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hmoes\Downloads\"/>
    </mc:Choice>
  </mc:AlternateContent>
  <xr:revisionPtr revIDLastSave="0" documentId="13_ncr:1_{9885BD57-5DEA-4078-A477-6F55614EB456}" xr6:coauthVersionLast="47" xr6:coauthVersionMax="47" xr10:uidLastSave="{00000000-0000-0000-0000-000000000000}"/>
  <bookViews>
    <workbookView xWindow="-110" yWindow="-110" windowWidth="25180" windowHeight="16260" activeTab="2" xr2:uid="{00000000-000D-0000-FFFF-FFFF00000000}"/>
  </bookViews>
  <sheets>
    <sheet name="Intercoder reliability check" sheetId="1" r:id="rId1"/>
    <sheet name="Coding using Matrix" sheetId="2" r:id="rId2"/>
    <sheet name="Coding Matrix Copy Original" sheetId="4" r:id="rId3"/>
    <sheet name="Profile matrix " sheetId="5" r:id="rId4"/>
    <sheet name="DESIGNTHINGS" sheetId="6" r:id="rId5"/>
    <sheet name="Bad Accounts" sheetId="7" r:id="rId6"/>
    <sheet name="Good Accounts" sheetId="8" r:id="rId7"/>
  </sheets>
  <definedNames>
    <definedName name="Z_9318B355_911F_4D11_A924_4F85D8B28D43_.wvu.FilterData" localSheetId="1" hidden="1">'Coding using Matrix'!$A$1:$AL$989</definedName>
    <definedName name="Z_9318B355_911F_4D11_A924_4F85D8B28D43_.wvu.FilterData" localSheetId="3" hidden="1">'Profile matrix '!$A$1:$AA$995</definedName>
  </definedNames>
  <calcPr calcId="191029"/>
  <customWorkbookViews>
    <customWorkbookView name="Filter 1" guid="{9318B355-911F-4D11-A924-4F85D8B28D4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6" i="6" l="1"/>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F2" i="6"/>
  <c r="G316" i="4"/>
  <c r="F316" i="4"/>
  <c r="G315" i="4"/>
  <c r="F315" i="4"/>
  <c r="G314" i="4"/>
  <c r="F314" i="4"/>
  <c r="G313" i="4"/>
  <c r="F313" i="4"/>
  <c r="G312" i="4"/>
  <c r="F312" i="4"/>
  <c r="G311" i="4"/>
  <c r="F311" i="4"/>
  <c r="G310" i="4"/>
  <c r="F310" i="4"/>
  <c r="G309" i="4"/>
  <c r="F309" i="4"/>
  <c r="G308" i="4"/>
  <c r="F308" i="4"/>
  <c r="G307" i="4"/>
  <c r="F307" i="4"/>
  <c r="G306" i="4"/>
  <c r="F306" i="4"/>
  <c r="G305" i="4"/>
  <c r="F305" i="4"/>
  <c r="G304" i="4"/>
  <c r="F304" i="4"/>
  <c r="G303" i="4"/>
  <c r="F303" i="4"/>
  <c r="G302" i="4"/>
  <c r="F302" i="4"/>
  <c r="G301" i="4"/>
  <c r="F301" i="4"/>
  <c r="G300" i="4"/>
  <c r="F300" i="4"/>
  <c r="G299" i="4"/>
  <c r="F299" i="4"/>
  <c r="G298" i="4"/>
  <c r="F298" i="4"/>
  <c r="G297" i="4"/>
  <c r="F297" i="4"/>
  <c r="G296" i="4"/>
  <c r="F296" i="4"/>
  <c r="G295" i="4"/>
  <c r="F295" i="4"/>
  <c r="G294" i="4"/>
  <c r="F294" i="4"/>
  <c r="G293" i="4"/>
  <c r="F293" i="4"/>
  <c r="G292" i="4"/>
  <c r="F292" i="4"/>
  <c r="G291" i="4"/>
  <c r="F291" i="4"/>
  <c r="G290" i="4"/>
  <c r="F290" i="4"/>
  <c r="G289" i="4"/>
  <c r="F289" i="4"/>
  <c r="G288" i="4"/>
  <c r="F288" i="4"/>
  <c r="G287" i="4"/>
  <c r="F287" i="4"/>
  <c r="G286" i="4"/>
  <c r="F286" i="4"/>
  <c r="G285" i="4"/>
  <c r="F285" i="4"/>
  <c r="G284" i="4"/>
  <c r="F284" i="4"/>
  <c r="G283" i="4"/>
  <c r="F283" i="4"/>
  <c r="G282" i="4"/>
  <c r="F282" i="4"/>
  <c r="G281" i="4"/>
  <c r="F281" i="4"/>
  <c r="G280" i="4"/>
  <c r="F280" i="4"/>
  <c r="G279" i="4"/>
  <c r="F279" i="4"/>
  <c r="G278" i="4"/>
  <c r="F278" i="4"/>
  <c r="G277" i="4"/>
  <c r="F277" i="4"/>
  <c r="G276" i="4"/>
  <c r="F276" i="4"/>
  <c r="G275" i="4"/>
  <c r="F275" i="4"/>
  <c r="G274" i="4"/>
  <c r="F274" i="4"/>
  <c r="G273" i="4"/>
  <c r="F273" i="4"/>
  <c r="G272" i="4"/>
  <c r="F272" i="4"/>
  <c r="G271" i="4"/>
  <c r="F271" i="4"/>
  <c r="G270" i="4"/>
  <c r="F270" i="4"/>
  <c r="G269" i="4"/>
  <c r="F269" i="4"/>
  <c r="G268" i="4"/>
  <c r="F268" i="4"/>
  <c r="G267" i="4"/>
  <c r="F267" i="4"/>
  <c r="G266" i="4"/>
  <c r="F266" i="4"/>
  <c r="G265" i="4"/>
  <c r="F265" i="4"/>
  <c r="G264" i="4"/>
  <c r="F264" i="4"/>
  <c r="G263" i="4"/>
  <c r="F263" i="4"/>
  <c r="G262" i="4"/>
  <c r="F262" i="4"/>
  <c r="G261" i="4"/>
  <c r="F261" i="4"/>
  <c r="G260" i="4"/>
  <c r="F260" i="4"/>
  <c r="G259" i="4"/>
  <c r="F259" i="4"/>
  <c r="G258" i="4"/>
  <c r="F258" i="4"/>
  <c r="G257" i="4"/>
  <c r="F257" i="4"/>
  <c r="G256" i="4"/>
  <c r="F256" i="4"/>
  <c r="G255" i="4"/>
  <c r="F255" i="4"/>
  <c r="G254" i="4"/>
  <c r="F254" i="4"/>
  <c r="G253" i="4"/>
  <c r="F253" i="4"/>
  <c r="G252" i="4"/>
  <c r="F252" i="4"/>
  <c r="G251" i="4"/>
  <c r="F251" i="4"/>
  <c r="G250" i="4"/>
  <c r="F250" i="4"/>
  <c r="G249" i="4"/>
  <c r="F249" i="4"/>
  <c r="G248" i="4"/>
  <c r="F248" i="4"/>
  <c r="G247" i="4"/>
  <c r="F247" i="4"/>
  <c r="G246" i="4"/>
  <c r="F246" i="4"/>
  <c r="G245" i="4"/>
  <c r="F245" i="4"/>
  <c r="G244" i="4"/>
  <c r="F244" i="4"/>
  <c r="G243" i="4"/>
  <c r="F243" i="4"/>
  <c r="G242" i="4"/>
  <c r="F242" i="4"/>
  <c r="G241" i="4"/>
  <c r="F241" i="4"/>
  <c r="G240" i="4"/>
  <c r="F240" i="4"/>
  <c r="G239" i="4"/>
  <c r="F239" i="4"/>
  <c r="G238" i="4"/>
  <c r="F238" i="4"/>
  <c r="G237" i="4"/>
  <c r="F237" i="4"/>
  <c r="G236" i="4"/>
  <c r="F236" i="4"/>
  <c r="G235" i="4"/>
  <c r="F235" i="4"/>
  <c r="G234" i="4"/>
  <c r="F234" i="4"/>
  <c r="G233" i="4"/>
  <c r="F233" i="4"/>
  <c r="G232" i="4"/>
  <c r="F232" i="4"/>
  <c r="G231" i="4"/>
  <c r="F231" i="4"/>
  <c r="G230" i="4"/>
  <c r="F230" i="4"/>
  <c r="G229" i="4"/>
  <c r="F229" i="4"/>
  <c r="G228" i="4"/>
  <c r="F228" i="4"/>
  <c r="G227" i="4"/>
  <c r="F227" i="4"/>
  <c r="G226" i="4"/>
  <c r="F226" i="4"/>
  <c r="G225" i="4"/>
  <c r="F225" i="4"/>
  <c r="G224" i="4"/>
  <c r="F224" i="4"/>
  <c r="G223" i="4"/>
  <c r="F223" i="4"/>
  <c r="G222" i="4"/>
  <c r="F222" i="4"/>
  <c r="G221" i="4"/>
  <c r="F221" i="4"/>
  <c r="G220" i="4"/>
  <c r="F220" i="4"/>
  <c r="G219" i="4"/>
  <c r="F219" i="4"/>
  <c r="G218" i="4"/>
  <c r="F218" i="4"/>
  <c r="G217" i="4"/>
  <c r="F217" i="4"/>
  <c r="G216" i="4"/>
  <c r="F216" i="4"/>
  <c r="G215" i="4"/>
  <c r="F215" i="4"/>
  <c r="G214" i="4"/>
  <c r="F214" i="4"/>
  <c r="G213" i="4"/>
  <c r="F213" i="4"/>
  <c r="G212" i="4"/>
  <c r="F212" i="4"/>
  <c r="G211" i="4"/>
  <c r="F211" i="4"/>
  <c r="G210" i="4"/>
  <c r="F210" i="4"/>
  <c r="G209" i="4"/>
  <c r="F209" i="4"/>
  <c r="G208" i="4"/>
  <c r="F208" i="4"/>
  <c r="G207" i="4"/>
  <c r="F207" i="4"/>
  <c r="G206" i="4"/>
  <c r="F206" i="4"/>
  <c r="G205" i="4"/>
  <c r="F205" i="4"/>
  <c r="G204" i="4"/>
  <c r="F204" i="4"/>
  <c r="G203" i="4"/>
  <c r="F203" i="4"/>
  <c r="G202" i="4"/>
  <c r="F202" i="4"/>
  <c r="G201" i="4"/>
  <c r="F201" i="4"/>
  <c r="G200"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G316" i="2"/>
  <c r="F316" i="2"/>
  <c r="G315" i="2"/>
  <c r="F315" i="2"/>
  <c r="G314" i="2"/>
  <c r="F314" i="2"/>
  <c r="G313" i="2"/>
  <c r="F313" i="2"/>
  <c r="G312" i="2"/>
  <c r="F312" i="2"/>
  <c r="G311" i="2"/>
  <c r="F311" i="2"/>
  <c r="G310" i="2"/>
  <c r="F310" i="2"/>
  <c r="G309" i="2"/>
  <c r="F309" i="2"/>
  <c r="G308" i="2"/>
  <c r="F308" i="2"/>
  <c r="G307" i="2"/>
  <c r="F307" i="2"/>
  <c r="G306" i="2"/>
  <c r="F306" i="2"/>
  <c r="G305" i="2"/>
  <c r="F305" i="2"/>
  <c r="G304" i="2"/>
  <c r="F304" i="2"/>
  <c r="G303" i="2"/>
  <c r="F303" i="2"/>
  <c r="G302" i="2"/>
  <c r="F302" i="2"/>
  <c r="G301" i="2"/>
  <c r="F301" i="2"/>
  <c r="G300" i="2"/>
  <c r="F300" i="2"/>
  <c r="G299" i="2"/>
  <c r="F299" i="2"/>
  <c r="G298" i="2"/>
  <c r="F298" i="2"/>
  <c r="G297" i="2"/>
  <c r="F297" i="2"/>
  <c r="G296" i="2"/>
  <c r="F296" i="2"/>
  <c r="G295" i="2"/>
  <c r="F295" i="2"/>
  <c r="G294" i="2"/>
  <c r="F294" i="2"/>
  <c r="G293" i="2"/>
  <c r="F293" i="2"/>
  <c r="G292" i="2"/>
  <c r="F292" i="2"/>
  <c r="G291" i="2"/>
  <c r="F291" i="2"/>
  <c r="G290" i="2"/>
  <c r="F290" i="2"/>
  <c r="G289" i="2"/>
  <c r="F289" i="2"/>
  <c r="G288" i="2"/>
  <c r="F288" i="2"/>
  <c r="G287" i="2"/>
  <c r="F287" i="2"/>
  <c r="G286" i="2"/>
  <c r="F286" i="2"/>
  <c r="G285" i="2"/>
  <c r="F285" i="2"/>
  <c r="G284" i="2"/>
  <c r="F284" i="2"/>
  <c r="G283" i="2"/>
  <c r="F283" i="2"/>
  <c r="G282" i="2"/>
  <c r="F282" i="2"/>
  <c r="G281" i="2"/>
  <c r="F281" i="2"/>
  <c r="G280" i="2"/>
  <c r="F280" i="2"/>
  <c r="G279" i="2"/>
  <c r="F279" i="2"/>
  <c r="G278" i="2"/>
  <c r="F278" i="2"/>
  <c r="G277" i="2"/>
  <c r="F277" i="2"/>
  <c r="G276" i="2"/>
  <c r="F276" i="2"/>
  <c r="G275" i="2"/>
  <c r="F275" i="2"/>
  <c r="G274" i="2"/>
  <c r="F274" i="2"/>
  <c r="G273" i="2"/>
  <c r="F273" i="2"/>
  <c r="G272" i="2"/>
  <c r="F272" i="2"/>
  <c r="G271" i="2"/>
  <c r="F271" i="2"/>
  <c r="G270" i="2"/>
  <c r="F270" i="2"/>
  <c r="G269" i="2"/>
  <c r="F269" i="2"/>
  <c r="G268" i="2"/>
  <c r="F268" i="2"/>
  <c r="G267" i="2"/>
  <c r="F267" i="2"/>
  <c r="G266" i="2"/>
  <c r="F266" i="2"/>
  <c r="G265" i="2"/>
  <c r="F265" i="2"/>
  <c r="G264" i="2"/>
  <c r="F264" i="2"/>
  <c r="G263" i="2"/>
  <c r="F263" i="2"/>
  <c r="G262" i="2"/>
  <c r="F262" i="2"/>
  <c r="G261" i="2"/>
  <c r="F261" i="2"/>
  <c r="G260" i="2"/>
  <c r="F260" i="2"/>
  <c r="G259" i="2"/>
  <c r="F259" i="2"/>
  <c r="G258" i="2"/>
  <c r="F258" i="2"/>
  <c r="G257" i="2"/>
  <c r="F257" i="2"/>
  <c r="G256" i="2"/>
  <c r="F256" i="2"/>
  <c r="G255" i="2"/>
  <c r="F255" i="2"/>
  <c r="G254" i="2"/>
  <c r="F254" i="2"/>
  <c r="G253" i="2"/>
  <c r="F253" i="2"/>
  <c r="G252" i="2"/>
  <c r="F252" i="2"/>
  <c r="G251" i="2"/>
  <c r="F251" i="2"/>
  <c r="G250" i="2"/>
  <c r="F250" i="2"/>
  <c r="G249" i="2"/>
  <c r="F249" i="2"/>
  <c r="G248" i="2"/>
  <c r="F248" i="2"/>
  <c r="G247" i="2"/>
  <c r="F247" i="2"/>
  <c r="G246" i="2"/>
  <c r="F246" i="2"/>
  <c r="G245" i="2"/>
  <c r="F245" i="2"/>
  <c r="G244" i="2"/>
  <c r="F244" i="2"/>
  <c r="G243" i="2"/>
  <c r="F243" i="2"/>
  <c r="G242" i="2"/>
  <c r="F242" i="2"/>
  <c r="G241" i="2"/>
  <c r="F241" i="2"/>
  <c r="G240" i="2"/>
  <c r="F240" i="2"/>
  <c r="G239" i="2"/>
  <c r="F239" i="2"/>
  <c r="G238" i="2"/>
  <c r="F238" i="2"/>
  <c r="G237" i="2"/>
  <c r="F237" i="2"/>
  <c r="G236" i="2"/>
  <c r="F236" i="2"/>
  <c r="G235" i="2"/>
  <c r="F235" i="2"/>
  <c r="G234" i="2"/>
  <c r="F234" i="2"/>
  <c r="G233" i="2"/>
  <c r="F233" i="2"/>
  <c r="G232" i="2"/>
  <c r="F232" i="2"/>
  <c r="G231" i="2"/>
  <c r="F231" i="2"/>
  <c r="G230" i="2"/>
  <c r="F230" i="2"/>
  <c r="G229" i="2"/>
  <c r="F229" i="2"/>
  <c r="G228" i="2"/>
  <c r="F228" i="2"/>
  <c r="G227" i="2"/>
  <c r="F227" i="2"/>
  <c r="G226" i="2"/>
  <c r="F226" i="2"/>
  <c r="G225" i="2"/>
  <c r="F225" i="2"/>
  <c r="G224" i="2"/>
  <c r="F224" i="2"/>
  <c r="G223" i="2"/>
  <c r="F223" i="2"/>
  <c r="G222" i="2"/>
  <c r="F222" i="2"/>
  <c r="G221" i="2"/>
  <c r="F221" i="2"/>
  <c r="G220" i="2"/>
  <c r="F220" i="2"/>
  <c r="G219" i="2"/>
  <c r="F219" i="2"/>
  <c r="G218" i="2"/>
  <c r="F218" i="2"/>
  <c r="G217" i="2"/>
  <c r="F217" i="2"/>
  <c r="G216" i="2"/>
  <c r="F216" i="2"/>
  <c r="G215" i="2"/>
  <c r="F215" i="2"/>
  <c r="G214" i="2"/>
  <c r="F214" i="2"/>
  <c r="G213" i="2"/>
  <c r="F213" i="2"/>
  <c r="G212" i="2"/>
  <c r="F212" i="2"/>
  <c r="G211" i="2"/>
  <c r="F211" i="2"/>
  <c r="G210" i="2"/>
  <c r="F210" i="2"/>
  <c r="G209" i="2"/>
  <c r="F209" i="2"/>
  <c r="G208" i="2"/>
  <c r="F208" i="2"/>
  <c r="G207" i="2"/>
  <c r="F207" i="2"/>
  <c r="G206" i="2"/>
  <c r="F206" i="2"/>
  <c r="G205" i="2"/>
  <c r="F205" i="2"/>
  <c r="G204" i="2"/>
  <c r="F204" i="2"/>
  <c r="G203" i="2"/>
  <c r="F203" i="2"/>
  <c r="G202" i="2"/>
  <c r="F202" i="2"/>
  <c r="G201" i="2"/>
  <c r="F201" i="2"/>
  <c r="G200"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29" authorId="0" shapeId="0" xr:uid="{00000000-0006-0000-0100-000001000000}">
      <text>
        <r>
          <rPr>
            <sz val="10"/>
            <color rgb="FF000000"/>
            <rFont val="Arial"/>
            <scheme val="minor"/>
          </rPr>
          <t>where?
	-Cees</t>
        </r>
      </text>
    </comment>
  </commentList>
</comments>
</file>

<file path=xl/sharedStrings.xml><?xml version="1.0" encoding="utf-8"?>
<sst xmlns="http://schemas.openxmlformats.org/spreadsheetml/2006/main" count="4502" uniqueCount="1277">
  <si>
    <t>Intercoder reliability check V.2</t>
  </si>
  <si>
    <r>
      <rPr>
        <b/>
        <sz val="10"/>
        <color rgb="FF000000"/>
        <rFont val="Arial"/>
      </rPr>
      <t xml:space="preserve">Focus: </t>
    </r>
    <r>
      <rPr>
        <sz val="10"/>
        <color rgb="FF000000"/>
        <rFont val="Arial"/>
      </rPr>
      <t xml:space="preserve">only for Tweet threads that help create or verify a narrative based on data / expertise / assessment </t>
    </r>
  </si>
  <si>
    <r>
      <rPr>
        <b/>
        <sz val="10"/>
        <color rgb="FF000000"/>
        <rFont val="Arial"/>
      </rPr>
      <t>Coding scheme / direction</t>
    </r>
    <r>
      <rPr>
        <sz val="10"/>
        <color rgb="FF000000"/>
        <rFont val="Arial"/>
      </rPr>
      <t xml:space="preserve"> where the tweet is pointing to: (1) Reliable/Trustworthy/Present, (2) Incomplete , (3) Unreliable/Untrustworthy/Absent
Usage note: if a single parameter is rated as "1" then it makes the tweet pointing towards trustfully, if a single parametere is rated as "3" it makes the tweet pointing to untrustfully</t>
    </r>
  </si>
  <si>
    <r>
      <rPr>
        <b/>
        <sz val="10"/>
        <color rgb="FF000000"/>
        <rFont val="Arial"/>
      </rPr>
      <t>***Note:</t>
    </r>
    <r>
      <rPr>
        <sz val="10"/>
        <color rgb="FF000000"/>
        <rFont val="Arial"/>
      </rPr>
      <t xml:space="preserve"> these variables are ordered but are not equally weighted </t>
    </r>
  </si>
  <si>
    <t>Coder</t>
  </si>
  <si>
    <t>Analytics</t>
  </si>
  <si>
    <t>Claims</t>
  </si>
  <si>
    <t>Data, Information, Sources</t>
  </si>
  <si>
    <t>Argumentation quality of the tweet text</t>
  </si>
  <si>
    <t>Style of communication only in the text of the tweet (*move earlier)</t>
  </si>
  <si>
    <t>Community</t>
  </si>
  <si>
    <t>Tweet URL</t>
  </si>
  <si>
    <t>Tweet ID</t>
  </si>
  <si>
    <t>Language</t>
  </si>
  <si>
    <t>What is being analysed?</t>
  </si>
  <si>
    <t>Claim/s</t>
  </si>
  <si>
    <t>Status of data and/or information</t>
  </si>
  <si>
    <t xml:space="preserve">Links to sources </t>
  </si>
  <si>
    <t>Provides credits</t>
  </si>
  <si>
    <t>Annotated content</t>
  </si>
  <si>
    <t>Manipulation</t>
  </si>
  <si>
    <t>Noise</t>
  </si>
  <si>
    <t>Adds an insight</t>
  </si>
  <si>
    <t>Adds specialized knowledge</t>
  </si>
  <si>
    <t>Method is communicated clearly</t>
  </si>
  <si>
    <t>The argumentation is logical</t>
  </si>
  <si>
    <t>Admits gaps in information</t>
  </si>
  <si>
    <r>
      <rPr>
        <b/>
        <u/>
        <sz val="10"/>
        <color theme="1"/>
        <rFont val="Arial"/>
      </rPr>
      <t>Result</t>
    </r>
    <r>
      <rPr>
        <b/>
        <sz val="10"/>
        <color theme="1"/>
        <rFont val="Arial"/>
      </rPr>
      <t xml:space="preserve"> is replicable</t>
    </r>
  </si>
  <si>
    <t>Use of self- affirmation of argument</t>
  </si>
  <si>
    <t>Excessive use of Hashtags</t>
  </si>
  <si>
    <t>Logical structure</t>
  </si>
  <si>
    <t>Overuse of emotive language</t>
  </si>
  <si>
    <t>Victim literature</t>
  </si>
  <si>
    <t>Harmful language</t>
  </si>
  <si>
    <t>Overuse of sarcasm</t>
  </si>
  <si>
    <t>Shares details on OSINT Tools/Technologies</t>
  </si>
  <si>
    <t>Uses community vernacular</t>
  </si>
  <si>
    <t>Tagging third parties</t>
  </si>
  <si>
    <t>Some engagement (likes, retweets)</t>
  </si>
  <si>
    <t>Definition:</t>
  </si>
  <si>
    <t>If there are no claims, then the tweet should not be included. (1=yes or 0=no)</t>
  </si>
  <si>
    <t>Data and/or information is provided that relates to the claim/s made. For example GPS location is given in relation to a photo.</t>
  </si>
  <si>
    <t>A source (hyperlink) is provided that takes the veiwer to the source of information and/or data</t>
  </si>
  <si>
    <t>1= References a source (not a hyperlink but that clarifies the source of information and/or data)
2= Provides a reference that is not comeplete (i.e, someone told me..)
3= No credit is provided</t>
  </si>
  <si>
    <t>Media (photo or video) is annotated by the author with the goal to support the claims made about the data and/or information</t>
  </si>
  <si>
    <t>Potential signs of media manipulation with the intention of decieving
1 = If it is clearly only being informative</t>
  </si>
  <si>
    <t>Addition of elements or non relevant content, that could be distracting for the user, or do not support the claim/s. For example, the use of text, emoticons, media, AI, watermarks...</t>
  </si>
  <si>
    <t>An insight to the data and/or information is provided, one that is more than a repetition of the information. It adds new information that didn't exsit anymore. For example, a verification could be considered an insight.</t>
  </si>
  <si>
    <t xml:space="preserve">Provides specific information such as geolocation, a weapon, or a vehicle, which suggests that the person has expertese in a specific domain. </t>
  </si>
  <si>
    <t>A method is provided and described, or referenced in a link.</t>
  </si>
  <si>
    <t>The conclusion follows logically from the claims and the provision of data and/or information. No logical fallacies.
3= absence of argument</t>
  </si>
  <si>
    <t xml:space="preserve">Acknowledgement of potential gaps in the argumentation, data, and or information. </t>
  </si>
  <si>
    <t>There is enough information for another person to redo the investigation and achieve the same claim.</t>
  </si>
  <si>
    <t xml:space="preserve">Over emphasis on the author's credibility as a means to justify the argument or claim. For example using terms such as "I know so", "trust me"... (Vibesint) </t>
  </si>
  <si>
    <t>Use of hashtags that do not relate to the content, or that do not support the content or consumption</t>
  </si>
  <si>
    <t>The sentences and presentation of information is structured so that the argument is clear to follow</t>
  </si>
  <si>
    <t>Emotive language appeals to the emotions of the reader which hinders or distracts from the argumentation or the conclusions. 
1 = No emotional aspects
2 = Any use of captials, exclamation marks, adjectives
3 = A lot of these items</t>
  </si>
  <si>
    <t xml:space="preserve">The communication style does not fall into victimisation styles. For example, emphasising the suffering of children or the opression by colonialists... etc. </t>
  </si>
  <si>
    <t>There is no lanugage that incites violence on groups or individuals. Also, the language doe not include any racist or sexist undertones ect.</t>
  </si>
  <si>
    <t>There is no use of irony or sarcastic language that distracts from the conclusion or argument.</t>
  </si>
  <si>
    <t>Provides links or references to tools and technologies that other OSINTers can use for investigations.</t>
  </si>
  <si>
    <t xml:space="preserve">Effective / correct use of community vernacular, which refers to the language or dialect spoken by a community, that another community won't necessarily understand. </t>
  </si>
  <si>
    <t>Tagging third parties on twitter using a handle (@). This is a good thing, as the user opens themselve up to scrutiny, which is a sign that the information can be validated / reviewed. For example, tagging reputable sources such as @GeoConfirmed</t>
  </si>
  <si>
    <t>The content recevieved feedback through likes and retweets. The retweets and or likes are not simply from the same author.</t>
  </si>
  <si>
    <t>Priority</t>
  </si>
  <si>
    <t>Classifies if it is OSINT</t>
  </si>
  <si>
    <t>Joanna</t>
  </si>
  <si>
    <t>https://twitter.com/Resist_05/status/1681096634854436865</t>
  </si>
  <si>
    <t>@Resist_05</t>
  </si>
  <si>
    <t>English / Ukranian</t>
  </si>
  <si>
    <t>Tweet</t>
  </si>
  <si>
    <t>Rutger</t>
  </si>
  <si>
    <t>Unsure</t>
  </si>
  <si>
    <t>Johanna</t>
  </si>
  <si>
    <t>Daria</t>
  </si>
  <si>
    <t>Winnie</t>
  </si>
  <si>
    <t>Cees</t>
  </si>
  <si>
    <t>Helge</t>
  </si>
  <si>
    <t>Yamine</t>
  </si>
  <si>
    <t>https://twitter.com/Osinttechnical/status/1743934358673649996</t>
  </si>
  <si>
    <t>English</t>
  </si>
  <si>
    <t xml:space="preserve">Thread </t>
  </si>
  <si>
    <t xml:space="preserve">Vita </t>
  </si>
  <si>
    <t>Lonneke</t>
  </si>
  <si>
    <t>Maartje</t>
  </si>
  <si>
    <t>@Osinttechnical</t>
  </si>
  <si>
    <t>Thread</t>
  </si>
  <si>
    <t>Koen</t>
  </si>
  <si>
    <t>ALWAYS log in to view tweets, otherwise you cannot see the threads</t>
  </si>
  <si>
    <t>TW</t>
  </si>
  <si>
    <t>Second coder</t>
  </si>
  <si>
    <t>Inclusion critieria</t>
  </si>
  <si>
    <t>Tweet_NO</t>
  </si>
  <si>
    <t>Tweet_ID</t>
  </si>
  <si>
    <t>Author_@</t>
  </si>
  <si>
    <t>Additional insight(s)</t>
  </si>
  <si>
    <t>Credits</t>
  </si>
  <si>
    <t>Specialized knowledge</t>
  </si>
  <si>
    <t>Method communication</t>
  </si>
  <si>
    <t>Argumentation</t>
  </si>
  <si>
    <t>Gaps in information</t>
  </si>
  <si>
    <t>Replicable result</t>
  </si>
  <si>
    <t>Self- affirmation</t>
  </si>
  <si>
    <t>Hashtags</t>
  </si>
  <si>
    <t>Emotive language</t>
  </si>
  <si>
    <t>Sarcasm</t>
  </si>
  <si>
    <t>The sharing OSINT Tools/Technologies</t>
  </si>
  <si>
    <t>Community vernacular usage</t>
  </si>
  <si>
    <r>
      <rPr>
        <b/>
        <sz val="11"/>
        <color rgb="FF000000"/>
        <rFont val="Arial"/>
      </rPr>
      <t>Tweet</t>
    </r>
    <r>
      <rPr>
        <sz val="11"/>
        <color rgb="FF000000"/>
        <rFont val="Arial"/>
      </rPr>
      <t xml:space="preserve"> = one post, with no further added post(s) by the same author (even if the source is a quoted tweet). 
</t>
    </r>
    <r>
      <rPr>
        <b/>
        <sz val="11"/>
        <color rgb="FF000000"/>
        <rFont val="Arial"/>
      </rPr>
      <t>Thread</t>
    </r>
    <r>
      <rPr>
        <sz val="11"/>
        <color rgb="FF000000"/>
        <rFont val="Arial"/>
      </rPr>
      <t xml:space="preserve"> = a series of connected tweets by one author. 
</t>
    </r>
    <r>
      <rPr>
        <b/>
        <sz val="11"/>
        <color rgb="FF000000"/>
        <rFont val="Arial"/>
      </rPr>
      <t xml:space="preserve">Note: </t>
    </r>
    <r>
      <rPr>
        <sz val="11"/>
        <color rgb="FF000000"/>
        <rFont val="Arial"/>
      </rPr>
      <t>ALWAYS log in to view tweets, otherwise you cannot see the threads</t>
    </r>
  </si>
  <si>
    <t>If there are no claims, then the tweet should not be consdiered an OSINT.</t>
  </si>
  <si>
    <t>Trustworthy OSINT provides data and/or information that relates to the claim/s made. For example GPS location is given in relation to a photo. If this is not the case, it is untrustworthy.</t>
  </si>
  <si>
    <t>An insight to the data and/or information is provided, one that is more than a repetition of the information. For example, a verification could be considered an insight. If this is not the case, it is untrustworthy.</t>
  </si>
  <si>
    <t xml:space="preserve">A source (hyperlink) is provided that takes the viewer to the source of information and/or data. </t>
  </si>
  <si>
    <t>References a source (not a hyperlink but an explicit statement that clarifies where the information and/or data comes from). If there is no credit, it is untrustworthy.</t>
  </si>
  <si>
    <t>Media (photo or video) is annotated by the author with the goal to support the claims made about the data and/or information. If not there, or if it is distracting, it is untrustworthy.</t>
  </si>
  <si>
    <t>Potential signs of media manipulation with the intention of decieving lead to untrustworthiness.</t>
  </si>
  <si>
    <t>The addition of elements or non relevant content, that could be distracting for the user, or that do not support the claim/s. For example, the use of text, emoticons, media, AI, or watermarks.</t>
  </si>
  <si>
    <t xml:space="preserve">Provides specific information such as geolocation, a weapon, or a vehicle, which suggests that the person has expertise in a specific domain. </t>
  </si>
  <si>
    <t>A method is provided and described, or referenced in a link. If not, it is untrustworthy.</t>
  </si>
  <si>
    <t>The conclusion follows logically from the claims and the provision of data and/or information. No logical fallacies. It is untrustworthy if there is no logic to the argument.</t>
  </si>
  <si>
    <t xml:space="preserve">Trustworthy OSINT would acknowledge potential gaps in the argumentation, data, and or information. </t>
  </si>
  <si>
    <t>Trustworthy OSINT provides enough information for another person to redo the investigation and make the same claim. Untrustworthy OSINT does not provide such info or info that leads to other conclusions.</t>
  </si>
  <si>
    <t>Over-emphasis on the author's credibility as a means to justify or persuade the reader of the argument or claim should not be trusted. For example using terms such as "trust me".</t>
  </si>
  <si>
    <t>The overuse hashtags and ones that do not relate to the content, or that do not support the content or its consumption, is problematic.</t>
  </si>
  <si>
    <t>Trustworthy OSINT structures sentences and presents information so that the argument is clear to follow. If not, it is untrustworthy.</t>
  </si>
  <si>
    <t>Language appeals to the emotions of the reader is untrustworthy. This is because the overuse of emotions can hinder or distract from the argumentation or the conclusions.</t>
  </si>
  <si>
    <t xml:space="preserve">If the communication style falls into victimisation styles primarily, we tag it as untrustworthy. For example, emphasising the suffering of children or the opression by colonialists... etc. </t>
  </si>
  <si>
    <t xml:space="preserve">Language that incites violence on groups or individuals, any racist or sexist undertones etc, indicates untrustworthiness. </t>
  </si>
  <si>
    <t>Too much use of irony or sarcastic language distracts from the conclusion or argument and should not to be trusted, especially if this is the main tone of the tweet.</t>
  </si>
  <si>
    <t>Trustworthy OSINT provides links or references to tools and technologies that other OSINTers can use for investigations.</t>
  </si>
  <si>
    <t xml:space="preserve">Trustworthy OSINT correctly uses community vernacular, which refers to the language or dialect spoken by a community, that outsiders won't necessarily understand. This refers to terms related to OSINT and does not include specialized knowledge. Untrustworthy tweets lack or wrongly apply vernacular. </t>
  </si>
  <si>
    <t xml:space="preserve">Tagging third parties on twitter using a handle (@) is a good thing, as the user opens themselve up to scrutiny, which is a sign that the information can be validated or reviewed. For example, tagging reputable sources such as @GeoConfirmed. </t>
  </si>
  <si>
    <t>Trustworthy tweets receive feedback through likes and retweets, and the retweets and or likes are not simply from the same author.</t>
  </si>
  <si>
    <t>🟢</t>
  </si>
  <si>
    <t>TW1</t>
  </si>
  <si>
    <t>https://twitter.com/molfar_agency/status/1701278887978692899</t>
  </si>
  <si>
    <t>@molfar_agency</t>
  </si>
  <si>
    <t>Ukrainian</t>
  </si>
  <si>
    <t>Yes</t>
  </si>
  <si>
    <t>TW2</t>
  </si>
  <si>
    <t>https://twitter.com/Techjournalisto/status/1714179012723867752</t>
  </si>
  <si>
    <t>@Techjournalisto</t>
  </si>
  <si>
    <t>German</t>
  </si>
  <si>
    <t>TW3</t>
  </si>
  <si>
    <t>https://twitter.com/liz_churchill10/status/1681325307863728129</t>
  </si>
  <si>
    <t>@liz_churchill10</t>
  </si>
  <si>
    <t>No</t>
  </si>
  <si>
    <t>TW4</t>
  </si>
  <si>
    <t>TW5</t>
  </si>
  <si>
    <t>https://twitter.com/amuse/status/1695781931240091721</t>
  </si>
  <si>
    <t>TW6</t>
  </si>
  <si>
    <t>https://twitter.com/WallStreetApes/status/1685451792258351104</t>
  </si>
  <si>
    <t>TW7</t>
  </si>
  <si>
    <t>https://twitter.com/matincantweet/status/1720179582123254009</t>
  </si>
  <si>
    <t>@matincantweet</t>
  </si>
  <si>
    <t>TW8</t>
  </si>
  <si>
    <t>https://twitter.com/cirnosad/status/1683253882397552641</t>
  </si>
  <si>
    <t>@cirnosad</t>
  </si>
  <si>
    <t>TW9</t>
  </si>
  <si>
    <t>https://twitter.com/UKikaski/status/1703401067944214675</t>
  </si>
  <si>
    <t>@UKikaski</t>
  </si>
  <si>
    <t>no osint</t>
  </si>
  <si>
    <t>TW10</t>
  </si>
  <si>
    <t>https://twitter.com/KPatthar/status/1640432067543441420</t>
  </si>
  <si>
    <t>@KPatthar</t>
  </si>
  <si>
    <t>TW11</t>
  </si>
  <si>
    <t>https://twitter.com/bili_vovky/status/1597216249670692864</t>
  </si>
  <si>
    <t>@bili_vovky</t>
  </si>
  <si>
    <t>TW12</t>
  </si>
  <si>
    <t>https://twitter.com/BrennpunktUA/status/1739023982970438103</t>
  </si>
  <si>
    <t>@BrennpunktUA</t>
  </si>
  <si>
    <t>TW13</t>
  </si>
  <si>
    <t>https://twitter.com/ArbiterOfTweets/status/1731358374183276761</t>
  </si>
  <si>
    <t>@ArbiterOfTweets</t>
  </si>
  <si>
    <t>Dutch</t>
  </si>
  <si>
    <t>TW14</t>
  </si>
  <si>
    <t>https://twitter.com/hugeglassofmilk/status/1724014055705227380</t>
  </si>
  <si>
    <t>@hugeglassofmilk</t>
  </si>
  <si>
    <t>TW15</t>
  </si>
  <si>
    <t>https://twitter.com/hugeglassofmilk/status/1719287930286375233</t>
  </si>
  <si>
    <t>TW16</t>
  </si>
  <si>
    <t>https://twitter.com/hugeglassofmilk/status/1724065501750452561</t>
  </si>
  <si>
    <t>TW17</t>
  </si>
  <si>
    <t>https://twitter.com/joods/status/1715389024230166698</t>
  </si>
  <si>
    <t>@Joods</t>
  </si>
  <si>
    <t>TW18</t>
  </si>
  <si>
    <t>https://twitter.com/mbentvelsen/status/1723986697929531399</t>
  </si>
  <si>
    <t>@mbentvelsen</t>
  </si>
  <si>
    <t>no Osint</t>
  </si>
  <si>
    <t>TW19</t>
  </si>
  <si>
    <t>https://twitter.com/EdenBraber/status/1714720877017760165</t>
  </si>
  <si>
    <t>@EdenBraber</t>
  </si>
  <si>
    <t>TW20</t>
  </si>
  <si>
    <t>https://twitter.com/CovertShores/status/1576235260924538881/photo/1</t>
  </si>
  <si>
    <t>@CovertShores</t>
  </si>
  <si>
    <t>TW21</t>
  </si>
  <si>
    <t>https://twitter.com/nigroeneveld/status/1497689664530042880</t>
  </si>
  <si>
    <t>@nigroeneveld</t>
  </si>
  <si>
    <t>TW22</t>
  </si>
  <si>
    <t>https://twitter.com/PatriotOSINT/status/1555721053938253829</t>
  </si>
  <si>
    <t>@PatriotOSINT</t>
  </si>
  <si>
    <t>TW23</t>
  </si>
  <si>
    <t>https://twitter.com/DataAbyssAI/status/1576409629147660288</t>
  </si>
  <si>
    <t>@DataAbyssAI</t>
  </si>
  <si>
    <t>TW24</t>
  </si>
  <si>
    <t>https://twitter.com/Volodymyr_D_/status/1565807467765932033</t>
  </si>
  <si>
    <t>@Volodymyr_D_</t>
  </si>
  <si>
    <t>TW25</t>
  </si>
  <si>
    <t>https://twitter.com/Volodymyr_D_/status/1605199916519018497</t>
  </si>
  <si>
    <t>TW26</t>
  </si>
  <si>
    <t>https://twitter.com/Osinttechnical/status/1743715113859739833</t>
  </si>
  <si>
    <t>TW27</t>
  </si>
  <si>
    <t>https://twitter.com/Osinttechnical/status/1743701090569208244</t>
  </si>
  <si>
    <t>TW28</t>
  </si>
  <si>
    <t>https://twitter.com/CovertShores/status/1563780511604117504</t>
  </si>
  <si>
    <t>TW29</t>
  </si>
  <si>
    <t>https://twitter.com/Forrest_Rogers/status/1496254107660738568</t>
  </si>
  <si>
    <t>@Forrest_Rogers</t>
  </si>
  <si>
    <t>TW30</t>
  </si>
  <si>
    <t>https://twitter.com/Sabados7/status/1496824540466401287</t>
  </si>
  <si>
    <t>@Sabados7</t>
  </si>
  <si>
    <t>TW31</t>
  </si>
  <si>
    <t>https://twitter.com/Osinttechnical/status/1744478209054310874</t>
  </si>
  <si>
    <t>TW32</t>
  </si>
  <si>
    <t>TW33</t>
  </si>
  <si>
    <t>https://twitter.com/Tendar/status/1744000869182435383</t>
  </si>
  <si>
    <t>@Tendar</t>
  </si>
  <si>
    <t>TW34</t>
  </si>
  <si>
    <t xml:space="preserve">https://twitter.com/ChrisO_wiki/status/1744291196313182515 </t>
  </si>
  <si>
    <t>@ChrisO_wiki</t>
  </si>
  <si>
    <t>TW35</t>
  </si>
  <si>
    <t>https://twitter.com/PijkerenTb/status/1725397839650459719</t>
  </si>
  <si>
    <t>@PijkerenTB</t>
  </si>
  <si>
    <t>TW36</t>
  </si>
  <si>
    <t>https://twitter.com/UKikaski/status/1742863600685908176</t>
  </si>
  <si>
    <t>TW37</t>
  </si>
  <si>
    <t>https://twitter.com/Partisangirl/status/1733026025150222482</t>
  </si>
  <si>
    <t xml:space="preserve">@Partisangirl </t>
  </si>
  <si>
    <t>TW38</t>
  </si>
  <si>
    <t>https://twitter.com/Tendar/status/1744478270328860865</t>
  </si>
  <si>
    <t>TW39</t>
  </si>
  <si>
    <t>https://twitter.com/zayedkhan08/status/1743013959681351869</t>
  </si>
  <si>
    <t>@zayedkhan08</t>
  </si>
  <si>
    <t>TW40</t>
  </si>
  <si>
    <t xml:space="preserve">https://twitter.com/UKikaski/status/1743590019116265868 </t>
  </si>
  <si>
    <t>TW41</t>
  </si>
  <si>
    <t>https://twitter.com/UKikaski/status/1744015340294586654</t>
  </si>
  <si>
    <t>TW42</t>
  </si>
  <si>
    <t>https://twitter.com/JakeGodin/status/1744373861074759753</t>
  </si>
  <si>
    <t>@JakeGodin</t>
  </si>
  <si>
    <t>TW43</t>
  </si>
  <si>
    <t>https://twitter.com/JakeGodin/status/1735052613970702480</t>
  </si>
  <si>
    <t>TW44</t>
  </si>
  <si>
    <t>https://twitter.com/DD_Geopolitics/status/1745449465195159853</t>
  </si>
  <si>
    <t>@DD_Geopolitics</t>
  </si>
  <si>
    <t>TW45</t>
  </si>
  <si>
    <t>https://twitter.com/DD_Geopolitics/status/1744741761107579198</t>
  </si>
  <si>
    <t>TW46</t>
  </si>
  <si>
    <t>@Hugeglassofmilk</t>
  </si>
  <si>
    <t>TW47</t>
  </si>
  <si>
    <t>https://twitter.com/danuzioneto/status/1744848220457439335</t>
  </si>
  <si>
    <t>@danuzioneto</t>
  </si>
  <si>
    <t>Portugese</t>
  </si>
  <si>
    <t>TW48</t>
  </si>
  <si>
    <t>https://twitter.com/nigroeneveld/status/1587039251484614656</t>
  </si>
  <si>
    <t>TW49</t>
  </si>
  <si>
    <t>https://twitter.com/Techjournalisto/status/1584909435348074508</t>
  </si>
  <si>
    <t>not OSINT</t>
  </si>
  <si>
    <t>TW50</t>
  </si>
  <si>
    <t>https://twitter.com/hacker_content/status/1581903839137239040</t>
  </si>
  <si>
    <t>@HackerContent</t>
  </si>
  <si>
    <t>TW51</t>
  </si>
  <si>
    <t>https://twitter.com/rafaelgrobinson/status/1577455925690249216</t>
  </si>
  <si>
    <t>@rafaelgrobinson</t>
  </si>
  <si>
    <t>TW52</t>
  </si>
  <si>
    <t>https://twitter.com/osintbear/status/1576242968700264448</t>
  </si>
  <si>
    <t>@osintbear</t>
  </si>
  <si>
    <t>TW53</t>
  </si>
  <si>
    <t>https://twitter.com/Techjournalisto/status/1576234829753950208</t>
  </si>
  <si>
    <t>@Techjounalisto</t>
  </si>
  <si>
    <t>TW54</t>
  </si>
  <si>
    <t>https://twitter.com/Techjournalisto/status/1555972455210033154</t>
  </si>
  <si>
    <t>TW55</t>
  </si>
  <si>
    <t>https://twitter.com/bradheitmann/status/1540808820796010496</t>
  </si>
  <si>
    <t>@Bradheitmann</t>
  </si>
  <si>
    <t>TW56</t>
  </si>
  <si>
    <t>https://twitter.com/Osinttechnical/status/1744514052670345639</t>
  </si>
  <si>
    <t>TW57</t>
  </si>
  <si>
    <t>https://twitter.com/OSINT_UA/status/1592594788444172288</t>
  </si>
  <si>
    <t>@OSINT_UA</t>
  </si>
  <si>
    <t>TW58</t>
  </si>
  <si>
    <t>https://twitter.com/Azovsouth/status/1744494071618367548</t>
  </si>
  <si>
    <t>@Azovsouth</t>
  </si>
  <si>
    <t>TW59</t>
  </si>
  <si>
    <r>
      <rPr>
        <u/>
        <sz val="11"/>
        <color rgb="FF000000"/>
        <rFont val="Arial"/>
      </rPr>
      <t>https://twitter.com/igorsushko/status/1744714373996892349</t>
    </r>
    <r>
      <rPr>
        <u/>
        <sz val="11"/>
        <color rgb="FF000000"/>
        <rFont val="Arial"/>
      </rPr>
      <t xml:space="preserve"> </t>
    </r>
  </si>
  <si>
    <t>@igorsushko</t>
  </si>
  <si>
    <t>TW60</t>
  </si>
  <si>
    <t>https://twitter.com/WarMonitors/status/1744663250438852685</t>
  </si>
  <si>
    <t>@WarMonitors</t>
  </si>
  <si>
    <t>TW61</t>
  </si>
  <si>
    <t>https://twitter.com/UKikaski/status/1744338502005710853</t>
  </si>
  <si>
    <t>TW62</t>
  </si>
  <si>
    <t>https://twitter.com/UKikaski/status/1744000766845559189</t>
  </si>
  <si>
    <t>TW63</t>
  </si>
  <si>
    <t>https://twitter.com/AricToler/status/1743281978038788252</t>
  </si>
  <si>
    <t>@AricToler</t>
  </si>
  <si>
    <t>TW64</t>
  </si>
  <si>
    <t>https://twitter.com/lobsterlarryliu/status/1743552123852247315</t>
  </si>
  <si>
    <t>@lobsterlarryliu</t>
  </si>
  <si>
    <t>TW65</t>
  </si>
  <si>
    <t>https://twitter.com/AricToler/status/1742278065147801929</t>
  </si>
  <si>
    <t>TW66</t>
  </si>
  <si>
    <t>https://twitter.com/JaidevJamwal/status/1743553833241038989</t>
  </si>
  <si>
    <t>Jaidev Jamwal</t>
  </si>
  <si>
    <t>TW67</t>
  </si>
  <si>
    <t xml:space="preserve">https://twitter.com/FrancoLopez288/status/1742731787204210956                </t>
  </si>
  <si>
    <t>@Francolopez288</t>
  </si>
  <si>
    <t>Spanish</t>
  </si>
  <si>
    <t>TW68</t>
  </si>
  <si>
    <t>https://twitter.com/wammezz/status/1739802241312211184</t>
  </si>
  <si>
    <t>@wammez</t>
  </si>
  <si>
    <t>TW69</t>
  </si>
  <si>
    <t>https://twitter.com/UKikaski/status/1743771126214320533</t>
  </si>
  <si>
    <t>TW70</t>
  </si>
  <si>
    <t>https://twitter.com/viper202020/status/1744148861533278685</t>
  </si>
  <si>
    <t>@viper202020</t>
  </si>
  <si>
    <t>TW71</t>
  </si>
  <si>
    <t>https://twitter.com/ArmsControlWonk/status/1743401785560084825</t>
  </si>
  <si>
    <t>@ArmsControlWonk</t>
  </si>
  <si>
    <t>TW72</t>
  </si>
  <si>
    <t>https://twitter.com/ariehkovler/status/1742993745732124991</t>
  </si>
  <si>
    <t>@ariehkovler</t>
  </si>
  <si>
    <t>TW73</t>
  </si>
  <si>
    <t>https://twitter.com/daniel_van0/status/1710518671855042718</t>
  </si>
  <si>
    <t>@daniel_van0</t>
  </si>
  <si>
    <t>TW74</t>
  </si>
  <si>
    <t>https://twitter.com/trbrtc/status/1740021446997368846</t>
  </si>
  <si>
    <t>@trbrtc</t>
  </si>
  <si>
    <t>TW75</t>
  </si>
  <si>
    <t>https://twitter.com/trbrtc/status/1738190439235170378</t>
  </si>
  <si>
    <t>TW76</t>
  </si>
  <si>
    <t>https://twitter.com/jfuruly/status/1718196319347442029</t>
  </si>
  <si>
    <t>@jfuruly</t>
  </si>
  <si>
    <t>TW77</t>
  </si>
  <si>
    <t>https://twitter.com/JakeGodin/status/1734975208367194235</t>
  </si>
  <si>
    <t>TW78</t>
  </si>
  <si>
    <t>TW79</t>
  </si>
  <si>
    <t>https://twitter.com/Resist_05/status/1744842724988334465</t>
  </si>
  <si>
    <t>@resist_05</t>
  </si>
  <si>
    <t>TW80</t>
  </si>
  <si>
    <t>https://twitter.com/bcresearchgroup/status/1744075778869150091</t>
  </si>
  <si>
    <t>@bcresearchgroup</t>
  </si>
  <si>
    <t>TW81</t>
  </si>
  <si>
    <t>https://twitter.com/pjasinski/status/1727704476125983060</t>
  </si>
  <si>
    <t>@pjasinski</t>
  </si>
  <si>
    <t>TW82</t>
  </si>
  <si>
    <t>https://twitter.com/Mvjko/status/1714337456001085830</t>
  </si>
  <si>
    <t>@Mvjko</t>
  </si>
  <si>
    <t>TW83</t>
  </si>
  <si>
    <t>https://twitter.com/Osint613/status/1744835013814730792</t>
  </si>
  <si>
    <t>@Osint613</t>
  </si>
  <si>
    <t>TW84</t>
  </si>
  <si>
    <t>https://twitter.com/tom_bike/status/1730212198725636584</t>
  </si>
  <si>
    <t>@tom_bike</t>
  </si>
  <si>
    <t>TW85</t>
  </si>
  <si>
    <t>https://twitter.com/ThomasVLinge/status/1729973285801034095</t>
  </si>
  <si>
    <t>@ThomasVLinge</t>
  </si>
  <si>
    <t>TW86</t>
  </si>
  <si>
    <t>https://twitter.com/trbrtc/status/1664434008132923392</t>
  </si>
  <si>
    <t>TW87</t>
  </si>
  <si>
    <t>https://twitter.com/osint_69/status/1744739916842668151</t>
  </si>
  <si>
    <t>@osint_69</t>
  </si>
  <si>
    <t>TW88</t>
  </si>
  <si>
    <t>https://twitter.com/bellingcat/status/1728112023030907247</t>
  </si>
  <si>
    <t>@bellingcat</t>
  </si>
  <si>
    <t>TW89</t>
  </si>
  <si>
    <t>https://twitter.com/Mvjko/status/1720557074466128178</t>
  </si>
  <si>
    <t>TW90</t>
  </si>
  <si>
    <t>https://twitter.com/JoshuaKoontz__/status/1727086501408977288</t>
  </si>
  <si>
    <t>@JoshuaKoontz__</t>
  </si>
  <si>
    <t>TW91</t>
  </si>
  <si>
    <t>https://twitter.com/UKikaski/status/1739009495739646310</t>
  </si>
  <si>
    <t>TW92</t>
  </si>
  <si>
    <t>https://twitter.com/trbrtc/status/1725566974657249712</t>
  </si>
  <si>
    <t>TW93</t>
  </si>
  <si>
    <t>https://twitter.com/bcresearchgroup/status/1739045857880883387</t>
  </si>
  <si>
    <t>TW94</t>
  </si>
  <si>
    <t>https://twitter.com/malachybrowne/status/1724525717214396464</t>
  </si>
  <si>
    <t>@malachybrowne</t>
  </si>
  <si>
    <t>TW95</t>
  </si>
  <si>
    <t>https://twitter.com/trbrtc/status/1724513414092038348</t>
  </si>
  <si>
    <t>TW96</t>
  </si>
  <si>
    <t>https://twitter.com/btselem/status/1721533312538186061</t>
  </si>
  <si>
    <t>@btselem</t>
  </si>
  <si>
    <t>TW97</t>
  </si>
  <si>
    <t>https://twitter.com/happygibbon123/status/1725516162715246880</t>
  </si>
  <si>
    <t>@happygibbon123</t>
  </si>
  <si>
    <t>TW98</t>
  </si>
  <si>
    <t>https://twitter.com/IPHRinvestigate/status/1712000443256082534</t>
  </si>
  <si>
    <t>@IPHRinvestigate</t>
  </si>
  <si>
    <t>TW99</t>
  </si>
  <si>
    <t>https://twitter.com/sergioajv1/status/1713987691757424994</t>
  </si>
  <si>
    <t>@sergioajv1</t>
  </si>
  <si>
    <t>Viggo</t>
  </si>
  <si>
    <t>TW100</t>
  </si>
  <si>
    <t>https://twitter.com/KenCox/status/1745266581553246400</t>
  </si>
  <si>
    <t>@KenCox</t>
  </si>
  <si>
    <t>TW101</t>
  </si>
  <si>
    <t>https://twitter.com/madmaxburn88/status/1742989024871285182</t>
  </si>
  <si>
    <t>@madmaxburn88</t>
  </si>
  <si>
    <t>TW102</t>
  </si>
  <si>
    <t>https://twitter.com/space_osint/status/1742952390754468216</t>
  </si>
  <si>
    <t>@space_osint</t>
  </si>
  <si>
    <t>TW103</t>
  </si>
  <si>
    <t>https://twitter.com/JaidevJamwal/status/1744594599618785739</t>
  </si>
  <si>
    <t>@JaidevJamwal</t>
  </si>
  <si>
    <t>TW104</t>
  </si>
  <si>
    <t>https://twitter.com/UKikaski/status/1745112662726279613</t>
  </si>
  <si>
    <t>TW105</t>
  </si>
  <si>
    <t>https://twitter.com/madmaxburn88/status/1745159502478127453</t>
  </si>
  <si>
    <t>TW106</t>
  </si>
  <si>
    <t>https://twitter.com/LeonidMikhalow/status/1744478615759143120</t>
  </si>
  <si>
    <t>@LeonidMikhalow</t>
  </si>
  <si>
    <t>TW107</t>
  </si>
  <si>
    <t>https://twitter.com/LeonidMikhalow/status/1744670527493382170</t>
  </si>
  <si>
    <t>TW108</t>
  </si>
  <si>
    <t>https://twitter.com/OSINTNic/status/1745138472447353127</t>
  </si>
  <si>
    <t>@OSINTNic</t>
  </si>
  <si>
    <t>TW109</t>
  </si>
  <si>
    <t>https://twitter.com/MyanmarWitness/status/1681265348098633748</t>
  </si>
  <si>
    <t>@MyanmarWitness</t>
  </si>
  <si>
    <t>TW110</t>
  </si>
  <si>
    <t>https://twitter.com/MyanmarWitness/status/1745082085809737968</t>
  </si>
  <si>
    <t>TW111</t>
  </si>
  <si>
    <t>https://twitter.com/Nrg8000/status/1460047675097710592</t>
  </si>
  <si>
    <t>@Nrg8000</t>
  </si>
  <si>
    <t>TW112</t>
  </si>
  <si>
    <t>https://twitter.com/brechtcastel/status/1471139015344771081</t>
  </si>
  <si>
    <t>@brechtcastel</t>
  </si>
  <si>
    <t>TW113</t>
  </si>
  <si>
    <t>https://twitter.com/MilitarySummary/status/1723304805781696883</t>
  </si>
  <si>
    <t>@MilitarySummary</t>
  </si>
  <si>
    <t>TW114</t>
  </si>
  <si>
    <t>https://twitter.com/amuse/status/1745429937039757617</t>
  </si>
  <si>
    <t>@amuse</t>
  </si>
  <si>
    <t>TW115</t>
  </si>
  <si>
    <t>https://twitter.com/amuse/status/1745397612243481083</t>
  </si>
  <si>
    <t>TW116</t>
  </si>
  <si>
    <t>https://twitter.com/amuse/status/1745089441062867059</t>
  </si>
  <si>
    <t>TW117</t>
  </si>
  <si>
    <t>https://twitter.com/amuse/status/1745080336885731388</t>
  </si>
  <si>
    <t>TW118</t>
  </si>
  <si>
    <t>https://twitter.com/happygibbon123/status/1719790323948220429</t>
  </si>
  <si>
    <t>TW119</t>
  </si>
  <si>
    <t>https://twitter.com/moklasen/status/1735971615039426701</t>
  </si>
  <si>
    <t>@moklasen</t>
  </si>
  <si>
    <t>TW120</t>
  </si>
  <si>
    <t>https://twitter.com/YWNReporter/status/1733965871461134846</t>
  </si>
  <si>
    <t>@YWNreporter</t>
  </si>
  <si>
    <t>TW121</t>
  </si>
  <si>
    <t>https://twitter.com/IPHRinvestigate/status/1711637964004991142</t>
  </si>
  <si>
    <t>TW122</t>
  </si>
  <si>
    <t>https://twitter.com/WarMonitors/status/1745418194989232536</t>
  </si>
  <si>
    <t>TW123</t>
  </si>
  <si>
    <t>https://twitter.com/moklasen/status/1733889619974926438</t>
  </si>
  <si>
    <t>TW124</t>
  </si>
  <si>
    <t>https://twitter.com/OSINTNic/status/1745449109723717693</t>
  </si>
  <si>
    <t>TW125</t>
  </si>
  <si>
    <t>https://twitter.com/WarMonitors/status/1745053403569377704</t>
  </si>
  <si>
    <t>TW126</t>
  </si>
  <si>
    <t>https://twitter.com/OsintExperts/status/1744278032762974690</t>
  </si>
  <si>
    <t>@OsintExperts</t>
  </si>
  <si>
    <t>TW127</t>
  </si>
  <si>
    <t>https://twitter.com/ja31ck/status/1718278328811962718</t>
  </si>
  <si>
    <t>@ja31ck</t>
  </si>
  <si>
    <t>TW128</t>
  </si>
  <si>
    <t>https://twitter.com/WarMonitors/status/1744843254766415993</t>
  </si>
  <si>
    <t>TW129</t>
  </si>
  <si>
    <t>https://twitter.com/WarMonitors/status/1744792969482273110</t>
  </si>
  <si>
    <t>TW130</t>
  </si>
  <si>
    <t>https://twitter.com/MarioNawfal/status/1743127134728544609</t>
  </si>
  <si>
    <t>@MarioNawfal</t>
  </si>
  <si>
    <t>TW131</t>
  </si>
  <si>
    <t>https://twitter.com/IPHRinvestigate/status/1712775737256640725</t>
  </si>
  <si>
    <t>TW132</t>
  </si>
  <si>
    <t>https://twitter.com/WarMonitors/status/1744714855515672666</t>
  </si>
  <si>
    <t>TW133</t>
  </si>
  <si>
    <t>https://twitter.com/WarMonitors/status/1744689167970222569</t>
  </si>
  <si>
    <t>TW134</t>
  </si>
  <si>
    <t>https://twitter.com/WarMonitors/status/1744671475263779180</t>
  </si>
  <si>
    <t>TW135</t>
  </si>
  <si>
    <t>https://twitter.com/kreyren/status/1714667666634612842</t>
  </si>
  <si>
    <t>@kreyren</t>
  </si>
  <si>
    <t>TW136</t>
  </si>
  <si>
    <t>https://twitter.com/WarMonitors/status/1744385276795896011</t>
  </si>
  <si>
    <t>TW137</t>
  </si>
  <si>
    <t>https://twitter.com/WarMonitors/status/1744033616680599674</t>
  </si>
  <si>
    <t>TW138</t>
  </si>
  <si>
    <t>https://twitter.com/WarMonitors/status/1744001939824673095</t>
  </si>
  <si>
    <t>TW139</t>
  </si>
  <si>
    <t>https://twitter.com/WarMonitors/status/1743797638523203926</t>
  </si>
  <si>
    <t>TW140</t>
  </si>
  <si>
    <t>https://twitter.com/WarMonitors/status/1743677607147610175</t>
  </si>
  <si>
    <t>TW141</t>
  </si>
  <si>
    <t>https://twitter.com/djuric_zlatko/status/1745441834506338475</t>
  </si>
  <si>
    <t>@djuric_zlatko</t>
  </si>
  <si>
    <t>TW142</t>
  </si>
  <si>
    <t>https://twitter.com/djuric_zlatko/status/1745064458588766229</t>
  </si>
  <si>
    <t>TW143</t>
  </si>
  <si>
    <t>https://twitter.com/VlastimilBalaty/status/1744758278507106585</t>
  </si>
  <si>
    <t>@VlastimilBalaty</t>
  </si>
  <si>
    <t>TW144</t>
  </si>
  <si>
    <t>TW145</t>
  </si>
  <si>
    <t>https://twitter.com/djuric_zlatko/status/1745350865681080380</t>
  </si>
  <si>
    <t>TW146</t>
  </si>
  <si>
    <t>https://twitter.com/djuric_zlatko/status/1745182457639424159</t>
  </si>
  <si>
    <t>TW147</t>
  </si>
  <si>
    <t>https://twitter.com/djuric_zlatko/status/1745099859277795401</t>
  </si>
  <si>
    <t>TW148</t>
  </si>
  <si>
    <t>https://twitter.com/OSINTJK/status/1744630302352547902</t>
  </si>
  <si>
    <t>@OSINTJK</t>
  </si>
  <si>
    <t>TW149</t>
  </si>
  <si>
    <t>https://twitter.com/djuric_zlatko/status/1744816128583479704</t>
  </si>
  <si>
    <t>TW150</t>
  </si>
  <si>
    <t>https://twitter.com/happygibbon123/status/1711831307351724166</t>
  </si>
  <si>
    <t>TW151</t>
  </si>
  <si>
    <t>https://twitter.com/happygibbon123/status/1711329534786654668</t>
  </si>
  <si>
    <t>TW152</t>
  </si>
  <si>
    <t>https://twitter.com/IPHRinvestigate/status/1710550777037488240</t>
  </si>
  <si>
    <t>TW153</t>
  </si>
  <si>
    <t>https://twitter.com/bayraktar_1love/status/1743272912914685982</t>
  </si>
  <si>
    <t>@bayraktar_1love</t>
  </si>
  <si>
    <t>TW154</t>
  </si>
  <si>
    <t>https://twitter.com/GermanObserver1/status/1744032110803919272</t>
  </si>
  <si>
    <t>@GermanObserver1</t>
  </si>
  <si>
    <t>TW155</t>
  </si>
  <si>
    <t>https://twitter.com/ChrisOsieck/status/1743658475110969829</t>
  </si>
  <si>
    <t>@ChrisOsieck</t>
  </si>
  <si>
    <t>TW156</t>
  </si>
  <si>
    <t>https://twitter.com/djuric_zlatko/status/1744611681056051268</t>
  </si>
  <si>
    <t>TW157</t>
  </si>
  <si>
    <t>https://twitter.com/djuric_zlatko/status/1744450386126094710</t>
  </si>
  <si>
    <t>TW158</t>
  </si>
  <si>
    <t>https://twitter.com/djuric_zlatko/status/1744446661307314590</t>
  </si>
  <si>
    <t>TW159</t>
  </si>
  <si>
    <t>https://twitter.com/mikalowistk/status/1741532032323277222</t>
  </si>
  <si>
    <t>@mikalowistk</t>
  </si>
  <si>
    <t>TW160</t>
  </si>
  <si>
    <t>https://twitter.com/djuric_zlatko/status/1744283969011544397</t>
  </si>
  <si>
    <t>TW161</t>
  </si>
  <si>
    <t>https://twitter.com/LeonidMikhalow/status/1742755378603909525</t>
  </si>
  <si>
    <t>TW162</t>
  </si>
  <si>
    <t>https://twitter.com/djuric_zlatko/status/1744265184137372081</t>
  </si>
  <si>
    <t>TW163</t>
  </si>
  <si>
    <t>https://twitter.com/Tendar/status/1743228213579391479</t>
  </si>
  <si>
    <t>TW164</t>
  </si>
  <si>
    <t>https://twitter.com/djuric_zlatko/status/1744257511778119704</t>
  </si>
  <si>
    <t>TW165</t>
  </si>
  <si>
    <t>https://twitter.com/obretix/status/1742880753992536272</t>
  </si>
  <si>
    <t>@obretix</t>
  </si>
  <si>
    <t>TW166</t>
  </si>
  <si>
    <t>https://twitter.com/Tendar/status/1744361364208947625</t>
  </si>
  <si>
    <t>TW167</t>
  </si>
  <si>
    <t>https://twitter.com/Tendar/status/1743981616198750439</t>
  </si>
  <si>
    <t>TW168</t>
  </si>
  <si>
    <t>https://twitter.com/Tendar/status/1742985407245979951</t>
  </si>
  <si>
    <t>TW169</t>
  </si>
  <si>
    <t>https://twitter.com/ChrisOsieck/status/1742945368168452134</t>
  </si>
  <si>
    <t>TW170</t>
  </si>
  <si>
    <t>https://twitter.com/Tendar/status/1742497910510538907</t>
  </si>
  <si>
    <t>https://twitter.com/Tendar/status/1742845353622118907</t>
  </si>
  <si>
    <t>https://twitter.com/336jimmy/status/1726647206286152004</t>
  </si>
  <si>
    <t>@336jimmy</t>
  </si>
  <si>
    <t>https://twitter.com/Tendar/status/1742102182608945652</t>
  </si>
  <si>
    <t>https://twitter.com/Tendar/status/1742159236807729336</t>
  </si>
  <si>
    <t>https://twitter.com/Tendar/status/1741836278927065587</t>
  </si>
  <si>
    <t>https://twitter.com/Tendar/status/1741447925996143098</t>
  </si>
  <si>
    <t>https://twitter.com/Tendar/status/1740853601516601850</t>
  </si>
  <si>
    <t>https://twitter.com/WarMonitors/status/1745045539723337867</t>
  </si>
  <si>
    <t>https://twitter.com/Osint_NY/status/1717536728007717333</t>
  </si>
  <si>
    <t>@Osint_NY</t>
  </si>
  <si>
    <t>https://twitter.com/JustusUwakwe/status/1716785530388488443</t>
  </si>
  <si>
    <t>@JustusUwakwe</t>
  </si>
  <si>
    <t>https://twitter.com/nadinbrzezinski/status/1744152874228314350</t>
  </si>
  <si>
    <t>@nadinbrzezinski</t>
  </si>
  <si>
    <t>https://twitter.com/KentTahir65227/status/1743223527350673870</t>
  </si>
  <si>
    <t>@KentTahir65227</t>
  </si>
  <si>
    <t>https://twitter.com/ukraine_osint/status/1712230703880982657</t>
  </si>
  <si>
    <t>@ukraine_osint</t>
  </si>
  <si>
    <t>https://twitter.com/OsintExperts/status/1745088959925948768</t>
  </si>
  <si>
    <t>https://twitter.com/OSINTNic/status/1745050832922456459</t>
  </si>
  <si>
    <t>https://twitter.com/Osint613/status/1744781756182430051</t>
  </si>
  <si>
    <t>https://twitter.com/osintDICC/status/1744769682073350390</t>
  </si>
  <si>
    <t>@osintDICC</t>
  </si>
  <si>
    <t>https://twitter.com/realRickWiles/status/1745250680741208543</t>
  </si>
  <si>
    <t>@realRickWiles</t>
  </si>
  <si>
    <t>https://twitter.com/YUranium235/status/1745208076821504306</t>
  </si>
  <si>
    <t>@YUranium235</t>
  </si>
  <si>
    <t>https://twitter.com/cirnosad/status/1745180580122345624</t>
  </si>
  <si>
    <t>https://twitter.com/BenDoBrown/status/1743218872906346618</t>
  </si>
  <si>
    <t>@BenDoBrown</t>
  </si>
  <si>
    <t>https://twitter.com/BenDoBrown/status/1740649237732622640</t>
  </si>
  <si>
    <t>https://twitter.com/BenDoBrown/status/1737797951966036125</t>
  </si>
  <si>
    <t>https://twitter.com/BenDoBrown/status/1737133840445960529</t>
  </si>
  <si>
    <t>https://twitter.com/WillCarter_NRC/status/1736883393332162951</t>
  </si>
  <si>
    <t>@WillCarter_NRC</t>
  </si>
  <si>
    <t>https://twitter.com/BenDoBrown/status/1731725754092654738</t>
  </si>
  <si>
    <t>https://twitter.com/BenDoBrown/status/1730263013721059375</t>
  </si>
  <si>
    <t>https://twitter.com/BenDoBrown/status/1724864270419046402</t>
  </si>
  <si>
    <t>https://twitter.com/BenDoBrown/status/1724057216901160965</t>
  </si>
  <si>
    <t>https://twitter.com/mattckwilliams/status/1575604348461420544</t>
  </si>
  <si>
    <t>https://twitter.com/ImageSatIntl/status/1117473176005545984</t>
  </si>
  <si>
    <t>https://twitter.com/KallergisK/status/1594652804584706049</t>
  </si>
  <si>
    <t>https://twitter.com/KallergisK/status/1669744417308016640</t>
  </si>
  <si>
    <t>https://twitter.com/CovertShores/status/1681187511446675456</t>
  </si>
  <si>
    <t>https://twitter.com/Qaisalamdar/status/1617710054702206984</t>
  </si>
  <si>
    <t>https://twitter.com/mattckwilliams/status/1521038609079586817</t>
  </si>
  <si>
    <t>https://twitter.com/UKikaski/status/1744694446220869674</t>
  </si>
  <si>
    <t>https://twitter.com/UKikaski/status/1744671046664413344</t>
  </si>
  <si>
    <t>https://twitter.com/Osint613/status/1745451372437475407</t>
  </si>
  <si>
    <t>https://twitter.com/UKikaski/status/1743984936971813251</t>
  </si>
  <si>
    <t>https://twitter.com/OSINTNic/status/1744369738510135708</t>
  </si>
  <si>
    <t>https://twitter.com/OSINTNic/status/1743726593850200515</t>
  </si>
  <si>
    <t>https://twitter.com/FrenchOsint/status/1745006876939423804</t>
  </si>
  <si>
    <t>French</t>
  </si>
  <si>
    <t>https://twitter.com/atummundi/status/1744395467780223286</t>
  </si>
  <si>
    <t>https://twitter.com/FrenchOsint/status/1745356879004389483</t>
  </si>
  <si>
    <t>https://twitter.com/clement_molin/status/1744663168478073154</t>
  </si>
  <si>
    <t>https://twitter.com/FrenchOsint/status/1745008353367978167</t>
  </si>
  <si>
    <t>https://twitter.com/imgsat973/status/1743641921690403016</t>
  </si>
  <si>
    <t>https://twitter.com/DumortierEmily/status/1744045105101578752</t>
  </si>
  <si>
    <t>https://twitter.com/osint_random/status/1744435168532672744</t>
  </si>
  <si>
    <t>https://twitter.com/osint_random/status/1744651789142564964</t>
  </si>
  <si>
    <t>https://twitter.com/osint_random/status/1744030126990377362</t>
  </si>
  <si>
    <t>https://twitter.com/FrenchOsint/status/1745048692057317612</t>
  </si>
  <si>
    <t>https://twitter.com/osint_random/status/1742707049161486481</t>
  </si>
  <si>
    <t>https://twitter.com/RejaumontP/status/1743248435912867906</t>
  </si>
  <si>
    <t>https://twitter.com/ZLLog/status/1744343813894684970</t>
  </si>
  <si>
    <t>https://twitter.com/osint_random/status/1745039181049373028</t>
  </si>
  <si>
    <t>https://twitter.com/osint_random/status/1744474648073368027</t>
  </si>
  <si>
    <t>https://twitter.com/osint_random/status/1742704004671627334</t>
  </si>
  <si>
    <t>https://twitter.com/osint_random/status/1743336095792889989</t>
  </si>
  <si>
    <t>https://twitter.com/osint_random/status/1743614122086834307</t>
  </si>
  <si>
    <t>https://twitter.com/osint_random/status/1743721946942984300</t>
  </si>
  <si>
    <t>https://twitter.com/osint_random/status/1745202695084937706</t>
  </si>
  <si>
    <t>https://twitter.com/osint_random/status/1744117903186682334</t>
  </si>
  <si>
    <t>https://twitter.com/osint_random/status/1745229154562277431</t>
  </si>
  <si>
    <t>https://twitter.com/rudyurbaniak/status/1743564710027362417</t>
  </si>
  <si>
    <t>https://twitter.com/osint_random/status/1744343193414492349</t>
  </si>
  <si>
    <t>https://twitter.com/mathieuandro/status/1743682996937408790</t>
  </si>
  <si>
    <t>https://twitter.com/korben_rss/status/1743546031365587299</t>
  </si>
  <si>
    <t>https://twitter.com/osint_random/status/1743753979790565833</t>
  </si>
  <si>
    <t>https://twitter.com/andrefrigon2/status/1743290627519811850</t>
  </si>
  <si>
    <t>https://twitter.com/osint_random/status/1742611240365482441</t>
  </si>
  <si>
    <t>https://twitter.com/osint_random/status/1742916166530846978</t>
  </si>
  <si>
    <t>https://twitter.com/osint_random/status/1743977680142324208</t>
  </si>
  <si>
    <t>https://twitter.com/osint_random/status/1743688875359252776</t>
  </si>
  <si>
    <t>https://twitter.com/osint_random/status/1743663854020628646</t>
  </si>
  <si>
    <t>https://twitter.com/osint_random/status/1744861056709611668</t>
  </si>
  <si>
    <t>https://twitter.com/Christophe_Tymo/status/1742597434457444601</t>
  </si>
  <si>
    <t>https://twitter.com/Prevention_web/status/1742580451443675209</t>
  </si>
  <si>
    <t>https://twitter.com/opsimathycouk/status/1742815198006607979</t>
  </si>
  <si>
    <t>https://twitter.com/FabriceFrossard/status/1743937651936276736</t>
  </si>
  <si>
    <t>https://twitter.com/osint_random/status/1744306606722957802</t>
  </si>
  <si>
    <t>https://twitter.com/MCutulic/status/1742538120740958211</t>
  </si>
  <si>
    <t>https://twitter.com/HackersOIHEC/status/1743783808049041503</t>
  </si>
  <si>
    <t>https://twitter.com/Osint613/status/1743278122697462048</t>
  </si>
  <si>
    <t>https://twitter.com/osint_w/status/1744202752480182549</t>
  </si>
  <si>
    <t>https://twitter.com/Osint613/status/1743279790952427875</t>
  </si>
  <si>
    <t>https://twitter.com/OSINTJK/status/1743208649571680444</t>
  </si>
  <si>
    <t>https://twitter.com/osint_w/status/1743763551125155983</t>
  </si>
  <si>
    <t>https://twitter.com/osint_w/status/1744211067243315307</t>
  </si>
  <si>
    <t>https://twitter.com/UKikaski/status/1744090601274929194</t>
  </si>
  <si>
    <t>https://twitter.com/LicGriffaNahuel/status/1744415592726004196</t>
  </si>
  <si>
    <t>https://twitter.com/FrancoLopez288/status/1742731787204210956</t>
  </si>
  <si>
    <t>https://twitter.com/Alonso_ReYDeS/status/1743455705225408883</t>
  </si>
  <si>
    <t>https://twitter.com/cibernicola_es/status/1743324079053066387</t>
  </si>
  <si>
    <t>https://twitter.com/NOTINAFO/status/1744317709859402040</t>
  </si>
  <si>
    <t>https://twitter.com/osint_w/status/1744354917370749025</t>
  </si>
  <si>
    <t>https://twitter.com/danuzioneto/status/1744809719154286928</t>
  </si>
  <si>
    <t>https://twitter.com/danuzioneto/status/1744819646795043204</t>
  </si>
  <si>
    <t>https://twitter.com/SraOSINT/status/1743077476845195439</t>
  </si>
  <si>
    <t>https://twitter.com/SraOSINT/status/1745444823794938066</t>
  </si>
  <si>
    <t>https://twitter.com/OsintExperts/status/1744839536658489573</t>
  </si>
  <si>
    <t>https://twitter.com/OVTT/status/1744726744194764808</t>
  </si>
  <si>
    <r>
      <rPr>
        <b/>
        <sz val="11"/>
        <color rgb="FF000000"/>
        <rFont val="Arial"/>
      </rPr>
      <t>Tweet</t>
    </r>
    <r>
      <rPr>
        <sz val="11"/>
        <color rgb="FF000000"/>
        <rFont val="Arial"/>
      </rPr>
      <t xml:space="preserve"> = one post, with no further added post(s) by the same author (even if the source is a quoted tweet). 
</t>
    </r>
    <r>
      <rPr>
        <b/>
        <sz val="11"/>
        <color rgb="FF000000"/>
        <rFont val="Arial"/>
      </rPr>
      <t>Thread</t>
    </r>
    <r>
      <rPr>
        <sz val="11"/>
        <color rgb="FF000000"/>
        <rFont val="Arial"/>
      </rPr>
      <t xml:space="preserve"> = a series of connected tweets by one author. 
</t>
    </r>
    <r>
      <rPr>
        <b/>
        <sz val="11"/>
        <color rgb="FF000000"/>
        <rFont val="Arial"/>
      </rPr>
      <t xml:space="preserve">Note: </t>
    </r>
    <r>
      <rPr>
        <sz val="11"/>
        <color rgb="FF000000"/>
        <rFont val="Arial"/>
      </rPr>
      <t>ALWAYS log in to view tweets, otherwise you cannot see the threads</t>
    </r>
  </si>
  <si>
    <t>If there are no claims, then the tweet should not be consdiered an OSINT. (1=yes or 0=no)</t>
  </si>
  <si>
    <t>Trustworthy OSINT provides data and/or information is provided that relates to the claim/s made  For example GPS location is given in relation to a photo. If this is not the case, it is untrustworthy</t>
  </si>
  <si>
    <t xml:space="preserve">An insight to the data and/or information is provided, one that is more than a repetition of the information. It adds new information that didn't exist before. For example, a verification could be considered an insight. If this is not the case, it is untrustworthy. 1= more than a repetition that adds to the claims made, 2 = the claims are not completely supported or there is no correlation, 3 = it adds no further insight </t>
  </si>
  <si>
    <t xml:space="preserve">A source (hyperlink) is provided that takes the viewer to the source of information and/or data. If not, it is untrustworthy. 1 = adds a hyperlink, 2 = </t>
  </si>
  <si>
    <t>References a source (not a hyperlink but an explicit statement that clarifies the source of information and/or data). (=1).If not, it is untrustworthy.
2= Provides a reference that is not comeplete (i.e, someone told me..)
3= No credit is provided</t>
  </si>
  <si>
    <t>Potential signs of media manipulation with the intention of decieving lead to untrustworthiness. Receives a (1) only if being informative.</t>
  </si>
  <si>
    <t>The addition of elements or non relevant content, that could be distracting for the user, or do not support the claim/s are considered "noise" and receive a (3). For example, the use of text, emoticons, media, AI, watermarks...</t>
  </si>
  <si>
    <t xml:space="preserve">Provides specific information such as geolocation, a weapon, or a vehicle, which suggests that the person has expertise in a specific domain, and receives a (1). </t>
  </si>
  <si>
    <t>The conclusion follows logically from the claims and the provision of data and/or information. No logical fallacies. In the case of absence of argument it is untrustworthy.</t>
  </si>
  <si>
    <t>Trustworthy OSINT would acknowledge potential gaps in the argumentation, data, and or information.  Untrustworthy OSINT is not self-reflexive.</t>
  </si>
  <si>
    <t>Trustworthy OSINT provides enough information for another person to redo the investigation and make the same claim. Untrustworthy OSINT does not povide such info or info that leads to other conclusions.</t>
  </si>
  <si>
    <t xml:space="preserve">Over-emphasis on the author's credibility as a means to justify the argument or claim should not be trusted (3). For example using terms such as "I know so", "trust me"... (Vibesint) </t>
  </si>
  <si>
    <t>The overuse hashtags and ones that do not relate to the content, or that do not support the content or its consumption, is problematic (3).</t>
  </si>
  <si>
    <t>Trustworthy OSINT provides sentences and presentation of information structured in a way that the argument is clear to follow. If not, it is untrustworthy.</t>
  </si>
  <si>
    <t>Emotive language appeals to the emotions of the reader. The overuse of emotions can hinder or distracts from the argumentation or the conclusions which makes it untrustworthy.
1 = No emotional aspects
2 = Any use of captials, exclamation marks, adjectives
3 = A lot of these items</t>
  </si>
  <si>
    <t xml:space="preserve">Lanugage that incites violence on groups or individuals, any racist or sexist undertones etc, indicates untrustworthiness. </t>
  </si>
  <si>
    <t>Too much use of irony or sarcastic language distracts from the conclusion or argument and is not to be trusted, especially if this is the main tone of the tweet.</t>
  </si>
  <si>
    <t>Trustworthy OSINT uses effective / correct use of community vernacular, which refers to the language or dialect spoken by a community, that outsiders won't necessarily understand. This refers to terms related to OSINT and does not include specialized knowledge. Untrustworthy is: absence of such vernaculars or wrong application of terms.</t>
  </si>
  <si>
    <t>If the content recevieved feedback through likes and retweets, and the retweets and or likes are not simply from the same author, it can be considered as trustworthy.</t>
  </si>
  <si>
    <r>
      <rPr>
        <u/>
        <sz val="11"/>
        <color rgb="FF000000"/>
        <rFont val="Arial"/>
      </rPr>
      <t>https://twitter.com/igorsushko/status/1744714373996892349</t>
    </r>
    <r>
      <rPr>
        <u/>
        <sz val="11"/>
        <color rgb="FF000000"/>
        <rFont val="Arial"/>
      </rPr>
      <t xml:space="preserve"> </t>
    </r>
  </si>
  <si>
    <t>Username</t>
  </si>
  <si>
    <t>ID</t>
  </si>
  <si>
    <t>Profile description</t>
  </si>
  <si>
    <t>Picture</t>
  </si>
  <si>
    <t>Verfication</t>
  </si>
  <si>
    <t>Tags</t>
  </si>
  <si>
    <t>External link</t>
  </si>
  <si>
    <t>Institutional affiliation</t>
  </si>
  <si>
    <t>Engagement (any followers)</t>
  </si>
  <si>
    <t xml:space="preserve">Bio specific details </t>
  </si>
  <si>
    <t>Email adress</t>
  </si>
  <si>
    <t>Molfar</t>
  </si>
  <si>
    <t>Military investigations, OSINT, fact-checks, and analytics. http://t.me/molfar_global</t>
  </si>
  <si>
    <t>Y</t>
  </si>
  <si>
    <t>https://molfar.com/</t>
  </si>
  <si>
    <t>Ben H.</t>
  </si>
  <si>
    <t>Journalist for the Süddeutsche Zeitung who works on the OSINT department. Does OSINT research but also focusses on news articles with a wide range of topics.</t>
  </si>
  <si>
    <t>N</t>
  </si>
  <si>
    <t>@SZ @SZ_Investigativ</t>
  </si>
  <si>
    <t>#OSINT #verification</t>
  </si>
  <si>
    <t>https://www.sueddeutsche.de/autoren/ben-heubl-1.5647089</t>
  </si>
  <si>
    <t>Süddeutsche Zeitung</t>
  </si>
  <si>
    <t>Liz Churchill</t>
  </si>
  <si>
    <t>Unofficial Queen of the World Economic Forum. Conspiracy Theorist. Bill Gates’ Best Friend. Communism Ruins Everything ™</t>
  </si>
  <si>
    <t>truthsocial.com/@LizChurchill</t>
  </si>
  <si>
    <t>Supporting Independent Journalists • Exposing Equity • Delivering Conservative Takes on Liberal Talking Points • Retweeting Videos • Go Blue!</t>
  </si>
  <si>
    <t>https://t.co/r8PZbp9jah</t>
  </si>
  <si>
    <t>Wall Street Apes</t>
  </si>
  <si>
    <t>@WallStreetApes</t>
  </si>
  <si>
    <t>AMC GameStop Global Movement Vs Short Sellers. Conspiracy Theorist.</t>
  </si>
  <si>
    <t>@DonaldjTrumpJr @joerogan @dbongino @catturd2 @JamesOKeefeIII</t>
  </si>
  <si>
    <t>https://t.co/hR4ceUx3V3</t>
  </si>
  <si>
    <t>Matin Khan</t>
  </si>
  <si>
    <t>A Pashtun who has a hunger of Peace.</t>
  </si>
  <si>
    <t>none</t>
  </si>
  <si>
    <t>Korobochka (コロボ) 🇦🇺✝️🇷🇺</t>
  </si>
  <si>
    <t>The Dumb△ss of Donbass. Ice fairy hunting lunatic shrine maidens. Warning: Extreme baka individual. ニュータイプ I do this for both of you, Maya and Darya.</t>
  </si>
  <si>
    <t>https://t.co/2SF4kfCGs3</t>
  </si>
  <si>
    <t>OSINT (Uri) 🇺🇸 🇨🇦 🇬🇧 🇺🇦 🇮🇱</t>
  </si>
  <si>
    <t>Occasionally irreverent Military Conflict OSINT analysis. USAF Veteran, Retired Engineer, USCG Master Captain living on dirt.</t>
  </si>
  <si>
    <t>don't mess with a 🇺🇦 girl</t>
  </si>
  <si>
    <t>#redsparrow based in Ukraine. Per ardua surgo</t>
  </si>
  <si>
    <t>#redsparrow</t>
  </si>
  <si>
    <t>Білі Вовки [Bilyi Vovki]</t>
  </si>
  <si>
    <t>Ukrainian OSINT Community</t>
  </si>
  <si>
    <t>Yes (but no foto)</t>
  </si>
  <si>
    <t xml:space="preserve"> (does not work)</t>
  </si>
  <si>
    <t>Et lux in tenebris lucet!</t>
  </si>
  <si>
    <t>bili.vovky@proton.me</t>
  </si>
  <si>
    <t>tweeting in 🇩🇪🇺🇸 — mostly about 🇷🇺 war in 🇺🇦 — live updates &amp; Ad Hoc News. Fast info sometimes means not💯accurate — Retweet doesn’t mean endorsement 🫡</t>
  </si>
  <si>
    <t>Yes  (but no foto)</t>
  </si>
  <si>
    <t>Rien Emmery</t>
  </si>
  <si>
    <t>Historian | Correspondent, | 'New Fact Checker | Tweets for your own account.</t>
  </si>
  <si>
    <t>Yes (but not his foto)</t>
  </si>
  <si>
    <r>
      <rPr>
        <u/>
        <sz val="10"/>
        <color rgb="FF1D9BF0"/>
        <rFont val="Arial"/>
      </rPr>
      <t>@Knack</t>
    </r>
    <r>
      <rPr>
        <sz val="10"/>
        <color rgb="FF000000"/>
        <rFont val="Arial"/>
      </rPr>
      <t xml:space="preserve"> @vrtnws </t>
    </r>
    <r>
      <rPr>
        <sz val="10"/>
        <color rgb="FF1D9BF0"/>
        <rFont val="Arial"/>
      </rPr>
      <t>@radio1be</t>
    </r>
  </si>
  <si>
    <t>https://muckrack.com/rien-emmery/articles</t>
  </si>
  <si>
    <t>VRTNews, Radio1B</t>
  </si>
  <si>
    <t>Yorrick de Vries</t>
  </si>
  <si>
    <t>OSINT and Ukraine. OSINT for @NOS_OSINT
 and @NOS
 Tweets in a personal capacity.</t>
  </si>
  <si>
    <r>
      <rPr>
        <u/>
        <sz val="10"/>
        <color rgb="FF1D9BF0"/>
        <rFont val="Arial"/>
      </rPr>
      <t>@NOS_OSINT</t>
    </r>
    <r>
      <rPr>
        <sz val="10"/>
        <color rgb="FF000000"/>
        <rFont val="Arial"/>
      </rPr>
      <t xml:space="preserve"> @NOS</t>
    </r>
  </si>
  <si>
    <t>Substack: http://acedia.substack.com BuyMeACoffee: http://bitly.ws/t9uN</t>
  </si>
  <si>
    <t>JOODS.NL</t>
  </si>
  <si>
    <t>@joods</t>
  </si>
  <si>
    <t>Dé eigenzinnige website met nieuws uit Joods Nederland, Israël en de Joodse wereld. http://instagram.com/joods.nl</t>
  </si>
  <si>
    <t>https://t.co/X8RZgQTtWi</t>
  </si>
  <si>
    <t>JOOD.NL</t>
  </si>
  <si>
    <t>Mario Bentvelsen</t>
  </si>
  <si>
    <t>Fotograaf, vakredacteur en copywriter. Twittert over politiek, economie, energie, marketing, innovatie, land- en tuinbouw. Retweet soms 'alternatieve' bronnen.'</t>
  </si>
  <si>
    <t>mariobentvelsen.com</t>
  </si>
  <si>
    <t>Elmer den Braber 🦜</t>
  </si>
  <si>
    <t>Auteur roman: 'Mijn vader was een NSB’er' http://bit.ly/pVy8jy &amp; 'Het sprookje van Eindhoven' Sport, social media &amp; 'Schrijver vh jaar 2014' #psv мир ◢ ◤</t>
  </si>
  <si>
    <t>#psv</t>
  </si>
  <si>
    <t>elmerdenbraber.nl</t>
  </si>
  <si>
    <t>H I Sutton</t>
  </si>
  <si>
    <r>
      <rPr>
        <sz val="11"/>
        <color rgb="FF0F1419"/>
        <rFont val="Arial"/>
      </rPr>
      <t xml:space="preserve">Independent Defense Analysis, Unconventional Naval Warfare, author, submarines, </t>
    </r>
    <r>
      <rPr>
        <u/>
        <sz val="11"/>
        <color rgb="FF0F1419"/>
        <rFont val="Arial"/>
      </rPr>
      <t>#OSINT</t>
    </r>
    <r>
      <rPr>
        <sz val="11"/>
        <color rgb="FF0F1419"/>
        <rFont val="Arial"/>
      </rPr>
      <t>, illustrations.</t>
    </r>
  </si>
  <si>
    <t>#OSINT</t>
  </si>
  <si>
    <t>hisutton.com</t>
  </si>
  <si>
    <t>Niels Groeneveld</t>
  </si>
  <si>
    <t>Tweeting about various issues, such as infosec and geopolitics. My tweets do not necessarily reflect the points of view of past, present or future employers.</t>
  </si>
  <si>
    <t>Patriot OSINT</t>
  </si>
  <si>
    <t>Watching the world - Following and sharing open source intelligence of world events.</t>
  </si>
  <si>
    <t>Yes (but not foto)</t>
  </si>
  <si>
    <t xml:space="preserve">none </t>
  </si>
  <si>
    <t>LJ Eads</t>
  </si>
  <si>
    <t>Strategic Insights: Multidomain Assessments, Specialized Investigations, and Expert Guidance</t>
  </si>
  <si>
    <t>Yes (but not to verify, if it´s him)</t>
  </si>
  <si>
    <t>https://www.dataabyss.ai/</t>
  </si>
  <si>
    <t>Volodymyr Dacenko</t>
  </si>
  <si>
    <t>nalyst, a columnist in Forbes Ukraine 2019-2021 member of the reform team of the SC "Ukroboronprom" (a group of state defense companies of Ukraine)</t>
  </si>
  <si>
    <t>https://www.facebook.com/profile.php?id=100008634730079&amp;paipv=0&amp;eav=AfY-WuztUQup1kwf22nEGHJ_tGnmdML2PRVWCIqxXHhB5ch-OI2nwfByREQnO_Bn2do</t>
  </si>
  <si>
    <t>Forbes Ukraine</t>
  </si>
  <si>
    <t>OSINTtechnical</t>
  </si>
  <si>
    <t>Boat enthusiast, my views/freezing cold takes are my own. Standard spiel about not endorsing retweets, likes, and comments.</t>
  </si>
  <si>
    <t>Yes (but random foto)</t>
  </si>
  <si>
    <t>linktr.ee/osinttechnical</t>
  </si>
  <si>
    <t>Forrest Rogers</t>
  </si>
  <si>
    <t>Open source/ visual investigations reporter</t>
  </si>
  <si>
    <t>@nzz</t>
  </si>
  <si>
    <t>https://www.nzz.ch/</t>
  </si>
  <si>
    <t>nzz</t>
  </si>
  <si>
    <t>Peter Sabo</t>
  </si>
  <si>
    <t>@NZZ</t>
  </si>
  <si>
    <t>Aktuality.sk</t>
  </si>
  <si>
    <t>(((Tendar)))</t>
  </si>
  <si>
    <t>. Military brat. Secret keeper. Professional overthinker. Sedition hunter. forrest.rogers@nzz.ch</t>
  </si>
  <si>
    <t>ChrisO_wiki</t>
  </si>
  <si>
    <t>Independent military history author and researcher. Also at https://mastodon.social/@ChrisO_wiki</t>
  </si>
  <si>
    <t>https://mastodon.social/@ChrisO_wiki</t>
  </si>
  <si>
    <t>Timothy</t>
  </si>
  <si>
    <t>Volunteer for Bellingcat's Global Authentication Project. Sharing data with CIR under GeoMouse. Helping with technical challenges on trenchmapping.</t>
  </si>
  <si>
    <t>http://t.co/MyVS52vbS1</t>
  </si>
  <si>
    <t>Syrian Girl 🇸🇾</t>
  </si>
  <si>
    <t>@Partisangirl</t>
  </si>
  <si>
    <t>Journalist | Think tank Analyst | Scientist support: https://ko-fi.com/syriangirl https://buymeacoffee.com/syriangirl Tgram: http://t.me/syriangirlpartisan</t>
  </si>
  <si>
    <t>patreon.com/syriangirl</t>
  </si>
  <si>
    <t>Zayed Khan</t>
  </si>
  <si>
    <t>SELECT * FROM choices WHERE you = 'successful'</t>
  </si>
  <si>
    <t>Jake Godin</t>
  </si>
  <si>
    <t>Longform 
@ScrippsNews
@bellingcat
 Series | jake.godin@scripps.com | #OSINT/#OSI 
Mastodon: @godin@journa.host
PostNews: @.jakegodin
Bluesky: @.godin.bsky.social</t>
  </si>
  <si>
    <t>@godin@journa.host @.jakegodin @.godin.bsky.social @ScrippsNews @bellingcat</t>
  </si>
  <si>
    <t>#OSINT #OSI</t>
  </si>
  <si>
    <t>https://scrippsnews.com/series/bellingcat-on-scripps-news/</t>
  </si>
  <si>
    <t>Scripps</t>
  </si>
  <si>
    <t>jake.godin@scripps.com</t>
  </si>
  <si>
    <t>DD Geopolitics</t>
  </si>
  <si>
    <t>Transcending Borders in a Multipolar WOrld</t>
  </si>
  <si>
    <t>Prof Danuzio Neto | OSINT Geopolítica Atualidades</t>
  </si>
  <si>
    <t>📨 | contato: equipedanuzioneto@gmail.com</t>
  </si>
  <si>
    <t>instagram.com/danuzioneto</t>
  </si>
  <si>
    <t>Content Hacker</t>
  </si>
  <si>
    <t>NOT OSINT</t>
  </si>
  <si>
    <t>Rafael</t>
  </si>
  <si>
    <t>I try to give informed opinions.
Friend, remember that: #OSIF ≠ #OSINT</t>
  </si>
  <si>
    <t>#OSIF #OSINT</t>
  </si>
  <si>
    <t>start.me/p/0PMrge</t>
  </si>
  <si>
    <t>Kʀɪs G</t>
  </si>
  <si>
    <t>Country of Origin Information (COI) and OSINT.  Passionate for social media, technology, innovation and TV dramas. Founder of 
@balkannews</t>
  </si>
  <si>
    <t>@balkannews</t>
  </si>
  <si>
    <t>buff.ly/Y9bnX2</t>
  </si>
  <si>
    <t>Brad Heitmann</t>
  </si>
  <si>
    <t>Private equity investor / former co-founder into geopolitics, art, tech, psych</t>
  </si>
  <si>
    <t>okoacapital.com</t>
  </si>
  <si>
    <t>OSINT UKRAINE 🇺🇦</t>
  </si>
  <si>
    <t>Open-Source INTelligence of the current situation in Ukraine #warnews #osintnews #opensourcenews</t>
  </si>
  <si>
    <t>#warnews #osintnews #opensourcenews</t>
  </si>
  <si>
    <t>АЗОВ South</t>
  </si>
  <si>
    <t>SUPPORT: http://buymeacoffee.com/Azovsouth1
                              ★NAFO News Agency★ Fighter★UAVs Pilot★
@A30bSouth2
 Bckp</t>
  </si>
  <si>
    <t xml:space="preserve">@A30bSouth2
</t>
  </si>
  <si>
    <t>Igor Sushko</t>
  </si>
  <si>
    <t>Born in Ukraine. American. 
@WindofChangeRG
Racecar Driver (Ret.) Japanese SUPER GT #FSBletters➡️http://igorsushko.com/articles</t>
  </si>
  <si>
    <t xml:space="preserve">@WindofChangeRG
</t>
  </si>
  <si>
    <t>#FSBletters #WindofChange</t>
  </si>
  <si>
    <t>buymeacoffee.com/igorsushko</t>
  </si>
  <si>
    <t>War Monitor</t>
  </si>
  <si>
    <t>Proud Semite 🇱🇧 || Breaking News || Geopolitics || Backup Account: 
@WarfareBackup
 || Want to support me? Donate: http://ko-fi.com/warmonitor</t>
  </si>
  <si>
    <t>@WarfareBackup</t>
  </si>
  <si>
    <t>t.me/warmonitors</t>
  </si>
  <si>
    <t>Aric Toler</t>
  </si>
  <si>
    <t>@nytimes
 Visual Investigations,
Previously 
@bellingcat
Tips, questions, etc. - DMs are open, aric.toler@nytimes.com
Signal/Telegram/WhatsApp: +1 913-209-0215</t>
  </si>
  <si>
    <t xml:space="preserve">@nytimes @bellingcat
</t>
  </si>
  <si>
    <t>nytimes.com/by/aric-toler</t>
  </si>
  <si>
    <t>The New York Times</t>
  </si>
  <si>
    <t>GEOINT</t>
  </si>
  <si>
    <t>Order of Battle (#ORBAT), military Open Source Intelligence (#OSINT) and Travel.
#RealOSINT = Satire. Other stuff may or may not be.</t>
  </si>
  <si>
    <t>#ORBAT #OSINT #RealOSINT</t>
  </si>
  <si>
    <t>jjamwal.in</t>
  </si>
  <si>
    <t>X - FRANCOYPUNTO</t>
  </si>
  <si>
    <t>CUENTA ESPIADA POR LA CIA, FBI, NATO, NSA, SCOTLAND YARD, MOSSAD Y EL MI6.
¿LIBERTAD?? SIN DUEÑOS!!... 
LAS MAFIAS GOBIERNAN Y QUIEREN EXTERMINARNOS!!</t>
  </si>
  <si>
    <t>Wim Zwijnenburg</t>
  </si>
  <si>
    <t>Military Drones/ Robots| Conflict, Climate &amp; Environment| UN Green Star Award | Contributor 
@bellingcat
 | views are my own.</t>
  </si>
  <si>
    <t xml:space="preserve">@bellingcat </t>
  </si>
  <si>
    <t>paxforpeace.nl</t>
  </si>
  <si>
    <t>Viper</t>
  </si>
  <si>
    <t>Data &amp; OSINT enthusiast | Team | RTs not necessarily endorsement</t>
  </si>
  <si>
    <t>yes (no foto)</t>
  </si>
  <si>
    <t>@DfIlite</t>
  </si>
  <si>
    <t>https://www.youtube.com/channel/UChr2E2FAInkq_EZ7BorpRdQ</t>
  </si>
  <si>
    <t>Dr. Jeffrey Lewis</t>
  </si>
  <si>
    <t>All opinions are my own.</t>
  </si>
  <si>
    <t xml:space="preserve">yes </t>
  </si>
  <si>
    <t>@ACWpodcast</t>
  </si>
  <si>
    <t>https://www.armscontrolwonk.com/</t>
  </si>
  <si>
    <r>
      <rPr>
        <u/>
        <sz val="10"/>
        <color rgb="FF1D9BF0"/>
        <rFont val="Arial"/>
      </rPr>
      <t>@MIIS</t>
    </r>
    <r>
      <rPr>
        <sz val="10"/>
        <color rgb="FF000000"/>
        <rFont val="Arial"/>
      </rPr>
      <t xml:space="preserve">. @JamesMartinCNS </t>
    </r>
    <r>
      <rPr>
        <sz val="10"/>
        <color rgb="FF1D9BF0"/>
        <rFont val="Arial"/>
      </rPr>
      <t>@StateDept</t>
    </r>
  </si>
  <si>
    <t>Arieh Kovler</t>
  </si>
  <si>
    <r>
      <t xml:space="preserve">Writer, political analyst, comms consultant. UK, Israeli, US. Politics, current affairs and technology. arieh@ariehkovler.com. </t>
    </r>
    <r>
      <rPr>
        <u/>
        <sz val="10"/>
        <color rgb="FF1155CC"/>
        <rFont val="Arial"/>
      </rPr>
      <t>https://linktr.ee/ariehkovler</t>
    </r>
  </si>
  <si>
    <t>yes</t>
  </si>
  <si>
    <t>arieh.substack.com</t>
  </si>
  <si>
    <t>خواجة مسكين</t>
  </si>
  <si>
    <t>@sudanwarmonitor</t>
  </si>
  <si>
    <t xml:space="preserve">no </t>
  </si>
  <si>
    <t>https://sudanwarmonitor.com/</t>
  </si>
  <si>
    <t>Christiaan Triebert</t>
  </si>
  <si>
    <t>Visual Investigations at @nytimes . Previously @bellingcat , @airwars . Tips, DMs, questions, Signal, Telegram etc. via christiaan.triebert@nytimes.com.</t>
  </si>
  <si>
    <t>@nytimes</t>
  </si>
  <si>
    <t>https://www.nytimes.com/spotlight/visual-investigations</t>
  </si>
  <si>
    <t>Jan Gunnar Furuly</t>
  </si>
  <si>
    <t>Investigative journalist, Aftenposten, Oslo, Norway. Doing OSINT / IMINT / satellite imagery analysis for the joint project Faktisk Verifiserbar.</t>
  </si>
  <si>
    <t>faktisk.no</t>
  </si>
  <si>
    <t>Qais Alamdar</t>
  </si>
  <si>
    <t>@Qaisalamdar</t>
  </si>
  <si>
    <t>Alumnus 
@Bard_Berlin
 | Focused on Afghanistan | Consultant | Views are personal</t>
  </si>
  <si>
    <t xml:space="preserve"> 
@Bard_Berlin
</t>
  </si>
  <si>
    <t>BCRG</t>
  </si>
  <si>
    <t>Black Cove Research Group - Studies for the Advancement of Science and Technology - Middle East and Africa Division.</t>
  </si>
  <si>
    <t>Pawel Jasinski</t>
  </si>
  <si>
    <t>Lisowczycy &amp; DirtyHooves horse tours &amp; Car Expeditions owner. Polish. NAFO Fella. Currently running @ArmedFlorks PayPal: http://paypal.me/pjasinski71 #StandWithUkraine</t>
  </si>
  <si>
    <t xml:space="preserve">@ArmedFlorks
</t>
  </si>
  <si>
    <t>#StandWithUkraine</t>
  </si>
  <si>
    <t>http://paypal.me/pjasinski71</t>
  </si>
  <si>
    <t>MV</t>
  </si>
  <si>
    <t>Open Source Intel</t>
  </si>
  <si>
    <t>Analyst • Curating Intelligence and news essentials • Occasionally paired with commentary, visuals and irony • Focused on the Middle East #Osint #Intel #Video</t>
  </si>
  <si>
    <t>#Osint #Intel #Video</t>
  </si>
  <si>
    <t>gazasmostwanted.com</t>
  </si>
  <si>
    <t>Tom Bike</t>
  </si>
  <si>
    <t>🛰️ Satellite Images 📷
👁️ 🌎🌍🌏
🚲 MTB 🚵‍♂️</t>
  </si>
  <si>
    <t>Thomas van Linge</t>
  </si>
  <si>
    <t>Freelance journalist/researcher with a passion for the struggle for democracy, human rights &amp; wildlife preservation. Reporting on wars, uprisings &amp; conservation</t>
  </si>
  <si>
    <t>ko-fi.com/thomasvlinge</t>
  </si>
  <si>
    <t xml:space="preserve">
BroSINT 69™</t>
  </si>
  <si>
    <t>Top OSINT account. Son of a bitch just to spite russia. Only top content. High on open, low on intelligence. Part time chem-trail pilot. I drive a M1A2 SEP v.4.</t>
  </si>
  <si>
    <t>t.me/osint_69</t>
  </si>
  <si>
    <t>Bellingcat</t>
  </si>
  <si>
    <r>
      <t xml:space="preserve">Want to support our charity? http://bellingcat.com/donate/
Buy our book "We Are Bellingcat" here: http://bit.ly/2EP09EN
Our award-winning podcast series: </t>
    </r>
    <r>
      <rPr>
        <u/>
        <sz val="10"/>
        <color rgb="FF1155CC"/>
        <rFont val="Arial"/>
      </rPr>
      <t>http://apple.co/36LJURI</t>
    </r>
  </si>
  <si>
    <t>bellingcat.com</t>
  </si>
  <si>
    <t>Joshua Koontz</t>
  </si>
  <si>
    <t>Yemen Analyst, Geolocation &amp; Maps, Follow/Like/Repost =/= Endorsement, My posts are my own, Threads 
@jkoontz__
 BlueSky Social 
@joshuakoontz
.bsky.social</t>
  </si>
  <si>
    <t>@jkoontz__
@joshuakoontz</t>
  </si>
  <si>
    <t>Malachy Browne</t>
  </si>
  <si>
    <r>
      <t xml:space="preserve">Visual Investigations 
@nytimes
 | Signal: +1 973 544 8648 | </t>
    </r>
    <r>
      <rPr>
        <u/>
        <sz val="10"/>
        <color rgb="FF1155CC"/>
        <rFont val="Arial"/>
      </rPr>
      <t>http://malachy.bsky.social</t>
    </r>
  </si>
  <si>
    <t xml:space="preserve">@nytimes </t>
  </si>
  <si>
    <t>https://t.co/XLzI0npoUz</t>
  </si>
  <si>
    <t>B'Tselem בצלם بتسيلم</t>
  </si>
  <si>
    <t>The Israeli Information Center for Human Rights in the Occupied Territories מרכז המידע הישראלי לזכויות האדם בשטחים RT ≠ endorsement.  ✉️ mail@btselem.org</t>
  </si>
  <si>
    <t>btselem.org</t>
  </si>
  <si>
    <t>The Israeli Information Center for Human Rights in the Occupied Territories</t>
  </si>
  <si>
    <t>happygibbon123</t>
  </si>
  <si>
    <t>OSINT and Politics. 
Truth conquers all</t>
  </si>
  <si>
    <t>IPHR Investigates</t>
  </si>
  <si>
    <t>🔍 Investigation and accountability, powered by 
@IPHR
 ⚖️
📫: investigates@iphronline.org
Artwork by 
@mikedunakovskiy</t>
  </si>
  <si>
    <t>@IPHR @mikedunakovskiy</t>
  </si>
  <si>
    <t>https://t.co/GAXff8g7RB</t>
  </si>
  <si>
    <t>IPHR</t>
  </si>
  <si>
    <t>Sérgio OSMsmaprs</t>
  </si>
  <si>
    <r>
      <t xml:space="preserve">Architect, worldwatcher, geogeek 🇧🇷 I like maps, images, Nature &amp; Humanity.
@Soar_Earth
 🌐➡️ </t>
    </r>
    <r>
      <rPr>
        <u/>
        <sz val="10"/>
        <color rgb="FF1155CC"/>
        <rFont val="Arial"/>
      </rPr>
      <t>https://soar.earth/profile/cdcbeabf684648e395fdb42c3adaff51?</t>
    </r>
  </si>
  <si>
    <t>https://t.co/G1xRloO2no</t>
  </si>
  <si>
    <t>soar.earth</t>
  </si>
  <si>
    <t>Ken Cox (@kencoxca on Threads.net) 🇨🇦</t>
  </si>
  <si>
    <t>Musk's Xitter ("shitter") is a cesspool. On Threads as 
@kencoxCA
. Retired journalist/producer/author/technical writer/programmer. Dummies Book ISBN 0470195924.</t>
  </si>
  <si>
    <t xml:space="preserve"> @kencoxCA</t>
  </si>
  <si>
    <t>threads.net/@kencoxCA</t>
  </si>
  <si>
    <t>Madmax OSINT 🇮🇪</t>
  </si>
  <si>
    <t xml:space="preserve">Posts mainly on military developments 🎖️ 🪖.                 
Born in Kerala. Never an Indian. Graciously Irish.
</t>
  </si>
  <si>
    <t>#AviationGeek #OSINT #Military</t>
  </si>
  <si>
    <t>Aerospace Intelligence</t>
  </si>
  <si>
    <t>Generally tweeting about military activities on and above Earth. I am not an expert on anything. Like/retweet/reply/follow ≠ endorsement</t>
  </si>
  <si>
    <t>Демон Омска ☭☦️🇷🇺🇨🇳🇰🇵🇧🇾</t>
  </si>
  <si>
    <t>#SINNOMOVEMENT
#СИННО新諾
Марксизм-ленинизм в эпоху многополярности.ZOV
Multipolar World=Socialist World Republic
紅軍是最強大的 Chinese Russian Marxist-Leninist</t>
  </si>
  <si>
    <t>#SINNOMOVEMENT
#СИННО新諾</t>
  </si>
  <si>
    <t>youtube.com/@GhostofOmsk</t>
  </si>
  <si>
    <t>OSINTNic</t>
  </si>
  <si>
    <t>Bibliophile and online sleuth | OSINT |Ukraine War News &amp; Footage | Geopolitics &amp; International News | 🇺🇸🇺🇦</t>
  </si>
  <si>
    <t>Myanmar Witness</t>
  </si>
  <si>
    <t>We collect evidence of human rights incidents in Myanmar in order to hold those responsible to account. 
A 
@Cen4InfoRes
 project. 
#WhatsHappeningInMyanmar</t>
  </si>
  <si>
    <t xml:space="preserve">@Cen4InfoRes
 </t>
  </si>
  <si>
    <t>#WhatsHappeningInMyanmar</t>
  </si>
  <si>
    <t>myanmarwitness.org</t>
  </si>
  <si>
    <t xml:space="preserve">
Myanmar Witness</t>
  </si>
  <si>
    <t>Nathan Ruser</t>
  </si>
  <si>
    <t>Picking quarrels and provoking trouble (寻衅滋事)
Analyst at 
@ASPI_CTS</t>
  </si>
  <si>
    <t xml:space="preserve">@ASPI_CTS
</t>
  </si>
  <si>
    <t>ASPI Cyber, Tech &amp; Security</t>
  </si>
  <si>
    <t>Brecht Castel</t>
  </si>
  <si>
    <t xml:space="preserve"> Visual Investigative Journalist 
@Knack
  #OSINT |  #HowToOSINT on YouTube | Have you seen a strange video or photo?   Send me a DM for Signal</t>
  </si>
  <si>
    <t xml:space="preserve">@Knack
 </t>
  </si>
  <si>
    <t>#OSINT  #HowToOSINT</t>
  </si>
  <si>
    <t>https://t.co/Ve0ijJIQGk</t>
  </si>
  <si>
    <t>Knack</t>
  </si>
  <si>
    <t>Military Summary</t>
  </si>
  <si>
    <r>
      <rPr>
        <sz val="11"/>
        <rFont val="Arial"/>
      </rPr>
      <t xml:space="preserve">This channel provides objective information about the military conflict between Ukraine and the Russian Federation.
</t>
    </r>
    <r>
      <rPr>
        <u/>
        <sz val="11"/>
        <color rgb="FF1155CC"/>
        <rFont val="Arial"/>
      </rPr>
      <t>http://t.me/militarysummary</t>
    </r>
  </si>
  <si>
    <t>https://t.co/sQIjxgplf7</t>
  </si>
  <si>
    <t>Pelham</t>
  </si>
  <si>
    <t>Live life for each second.. without hesitation</t>
  </si>
  <si>
    <t>imi (m)</t>
  </si>
  <si>
    <t>geolocations, machine learning, computer vision, data science</t>
  </si>
  <si>
    <t>Moshe Schwartz</t>
  </si>
  <si>
    <t>Newshound for 
@YWN
 • Covering world matters with a focus on the Middle East and the tri-state area • Enjoy OSINT • DM with Tips • Like 🚫  endorsement</t>
  </si>
  <si>
    <t>@YWN</t>
  </si>
  <si>
    <t>https://t.co/dASWgkItb0</t>
  </si>
  <si>
    <t>OSINT Expert</t>
  </si>
  <si>
    <t>Interested in Foreign Affairs | Geopolitics | Defense &amp; National Security | War &amp; Aviation | RTs are not endorsements.</t>
  </si>
  <si>
    <t>https://t.co/u07g5VlxAl</t>
  </si>
  <si>
    <t>Jack_Dev</t>
  </si>
  <si>
    <r>
      <rPr>
        <sz val="11"/>
        <rFont val="Arial"/>
      </rPr>
      <t xml:space="preserve">Misinformation
Interested...OSINT Geolocations
</t>
    </r>
    <r>
      <rPr>
        <u/>
        <sz val="11"/>
        <color rgb="FF1155CC"/>
        <rFont val="Arial"/>
      </rPr>
      <t>http://medium.com/@jack_dev</t>
    </r>
  </si>
  <si>
    <t>medium.com/@jack_dev</t>
  </si>
  <si>
    <t>Mario Nawfal</t>
  </si>
  <si>
    <t>Unfiltered Unbiased Verified 24x7 Breaking News | NO BIAS, NO ECHO CHAMBERS: Host of Twitter’s Largest Shows | Founder &amp; Investor</t>
  </si>
  <si>
    <t>roundtable.live</t>
  </si>
  <si>
    <t>𝙆𝙍𝙀𝙔𝙍𝙀𝙉#TaurusforUkraine🇨🇿🇺🇦🇮🇱🇵🇸</t>
  </si>
  <si>
    <t>The Open-Source Alchemist, main account on fediverse
https://zbraneproukrajinu.cz</t>
  </si>
  <si>
    <t>The Open-Source Alchemist, main account on fediverse https://zbraneproukrajinu.cz</t>
  </si>
  <si>
    <t>Zlatti71</t>
  </si>
  <si>
    <t>Say what u do and do what u say.</t>
  </si>
  <si>
    <t>https://www.buymeacoffee.com/zdjuricv</t>
  </si>
  <si>
    <t>85 690</t>
  </si>
  <si>
    <t>Vlastimil Balatý 🇨🇿🤝🇺🇦</t>
  </si>
  <si>
    <t>Anti-nonsense</t>
  </si>
  <si>
    <t>In your walls</t>
  </si>
  <si>
    <t>OSINT J&amp;K</t>
  </si>
  <si>
    <t>For Educational &amp; Research Purpose Only
                                                                               RTs are not Endorsement.</t>
  </si>
  <si>
    <t>10 911</t>
  </si>
  <si>
    <t>Special Kherson Cat 🐈🇺🇦</t>
  </si>
  <si>
    <t>Cat owner from Kherson🇺🇦. Here I post mainly about ongoing war in Ukraine and situation in my hometown Kherson, liberated 11/11/2022. (fled from Kherson)</t>
  </si>
  <si>
    <t>351 848</t>
  </si>
  <si>
    <t>Kherson, Ukraine</t>
  </si>
  <si>
    <t>German_Observer</t>
  </si>
  <si>
    <t>:)</t>
  </si>
  <si>
    <t>Chris Osieck</t>
  </si>
  <si>
    <t>Freelance OSINT/GEOINT. I find places and time. Contributor @bellingcat
. Also featured in investigations with international news organizations. Views my own.</t>
  </si>
  <si>
    <t>https://medium.com/@chrisosieck</t>
  </si>
  <si>
    <t>3 547</t>
  </si>
  <si>
    <t>chrisosieck.bsky.social</t>
  </si>
  <si>
    <t>Soros Mikalowistk</t>
  </si>
  <si>
    <t>Nazi Hunter</t>
  </si>
  <si>
    <t>Samir</t>
  </si>
  <si>
    <t>I like brave people who are able to think for themselves. geospatial IT – OSINT/IMINT</t>
  </si>
  <si>
    <t>https://ko-fi.com/T6T4E1Y1</t>
  </si>
  <si>
    <t>49 525</t>
  </si>
  <si>
    <t>Services professionnels</t>
  </si>
  <si>
    <t>Jimmy</t>
  </si>
  <si>
    <t>All lifeforms exist for a purpose beyond their own individuality. 
All life is valued.
#OSINT #EarlyWarning #Hypotheses #SitRep
🏃💨💨💨🤦🤦‍♀️</t>
  </si>
  <si>
    <t>#OSINT #EarlyWarning #Hypotheses #SitRep</t>
  </si>
  <si>
    <t>Earth</t>
  </si>
  <si>
    <t>OSINT_NY</t>
  </si>
  <si>
    <t>Information is power. OSINT investigator but don't expect me to share what isn't already known.</t>
  </si>
  <si>
    <t>DeSantis2024</t>
  </si>
  <si>
    <t>Justus Uwakwe</t>
  </si>
  <si>
    <t>"Unearthing stories like a pro while sipping coffee and dodging typos. Join the newsy adventure – hit that follow button now! ☕📝 #JournalismJokes"</t>
  </si>
  <si>
    <t>#JournalismJokes</t>
  </si>
  <si>
    <t>https://www.buymeacoffee.com/uwakwejustu</t>
  </si>
  <si>
    <t>2 259</t>
  </si>
  <si>
    <t>nadinbrzezinski 🇮🇱 🇺🇦 🇺🇸#OAF</t>
  </si>
  <si>
    <t>writer, blogger, Historian, reporter... you pronounced this nonsense, not me</t>
  </si>
  <si>
    <t>https://nadinbrzezinski.medium.com/</t>
  </si>
  <si>
    <t>8 916</t>
  </si>
  <si>
    <t>The Quantum Mechanic</t>
  </si>
  <si>
    <t>Permaculture Practitioner &amp; Regenerative Farmer, Educator, Family Man, Frontiersman, Etheric Explorer. Anarchist... One eye on the Matrix, the other on Nature.</t>
  </si>
  <si>
    <t>http://www.permaculturesouthafrica.co.za/</t>
  </si>
  <si>
    <t>South Africa</t>
  </si>
  <si>
    <t>Osint Ukraine</t>
  </si>
  <si>
    <t>OSINT, tracking russian forces, Slava Ukraini!
Contact:
osintukraine@gmail.com</t>
  </si>
  <si>
    <t>2 628</t>
  </si>
  <si>
    <t>osintukraine@gmail.com</t>
  </si>
  <si>
    <t>🇺🇦DeepInConflictComms</t>
  </si>
  <si>
    <t>Reporting from Ukr🇺🇦📢🏳️‍⚧️|⚡Deep inteligents Investegator of Ukrainian 4th Intel Corps🕵️</t>
  </si>
  <si>
    <t>Ukr</t>
  </si>
  <si>
    <t>Rick Wiles</t>
  </si>
  <si>
    <t>Rick Wiles: Disciple of Jesus, TruNews host, Final Day author, Baptist elder, Bible teacher, businessman, global Ambassador for Peace. Unable to swallow BS.</t>
  </si>
  <si>
    <t>https://www.trunews.com/</t>
  </si>
  <si>
    <t>Online</t>
  </si>
  <si>
    <t>YummyUranium235</t>
  </si>
  <si>
    <t>American't.  日本語を勉強しています。Also studying Mandarin, Spanish and Russian beside Japanese.  Lost my job due to vaxx politics and body autonomy.  Multiple degrees.</t>
  </si>
  <si>
    <t>Benjamin Strick</t>
  </si>
  <si>
    <t>Investigations Director @Cen4infoRes
. Past BBC &amp; @Bellingcat
. Tutorials: http://youtube.com/Bendobrown. OSINT/GEOINT. Views my own.</t>
  </si>
  <si>
    <t>@Cen4infoRes
@Bellingcat</t>
  </si>
  <si>
    <t>https://benjaminstrick.com/ https://www.youtube.com/Bendobrown</t>
  </si>
  <si>
    <t>58 057</t>
  </si>
  <si>
    <t>London</t>
  </si>
  <si>
    <t>William Carter</t>
  </si>
  <si>
    <t>Father. Country Director #Sudan 🇸🇩 @NRC_Norway
 | Formerly #Afghanistan 🇦🇫 &amp; Global Prog Lead - Covid-19 Response | ❤️ aid work, data, film | Opinions my own</t>
  </si>
  <si>
    <t xml:space="preserve"> @NRC_Norway
 </t>
  </si>
  <si>
    <t>#Afghanistan #Sudan</t>
  </si>
  <si>
    <t>https://www.linkedin.com/in/willcarternrc/</t>
  </si>
  <si>
    <t>7 345</t>
  </si>
  <si>
    <t>Réalisateur</t>
  </si>
  <si>
    <t>Matt Williams</t>
  </si>
  <si>
    <t>@mattckwilliams</t>
  </si>
  <si>
    <t>📰 Social Media Editor/Journalist @FT
 | Prev. @TheEconomist
 @newhumanitarian
 @Telegraph
 | #OSINT @Cen4infoRes
 | Views are my own</t>
  </si>
  <si>
    <t>@FT
@TheEconomist
@newhumanitarian
@Telegraph
@Cen4infoRes</t>
  </si>
  <si>
    <t>http://theconflictarchives.com/portfolio-matt-williams</t>
  </si>
  <si>
    <t>3 704</t>
  </si>
  <si>
    <t>ImageSat Intl.</t>
  </si>
  <si>
    <t>@ImageSatIntl</t>
  </si>
  <si>
    <t>We are a global leader in end-to-end geospatial solutions. Our solutions help our clients obtain high resolution satellite earth imagery &amp; viable data analysis.</t>
  </si>
  <si>
    <t>https://www.imagesatintl.com/</t>
  </si>
  <si>
    <t>48 482</t>
  </si>
  <si>
    <t>𝙺𝚘𝚜𝚝𝚊𝚜 𝙺𝚊𝚕𝚕𝚎𝚛𝚐𝚒𝚜</t>
  </si>
  <si>
    <t>@KallergisK</t>
  </si>
  <si>
    <t>Senior Producer - BBC News Brussels bureau. Needless to say... views &amp; RTs my own. No one else's. Not even my own!</t>
  </si>
  <si>
    <r>
      <rPr>
        <u/>
        <sz val="10"/>
        <color rgb="FF1155CC"/>
        <rFont val="Arial"/>
      </rPr>
      <t>https://www.instagram.com/kostaskallergis</t>
    </r>
    <r>
      <rPr>
        <sz val="10"/>
        <color rgb="FF000000"/>
        <rFont val="Arial"/>
      </rPr>
      <t xml:space="preserve"> </t>
    </r>
    <r>
      <rPr>
        <u/>
        <sz val="10"/>
        <color rgb="FF1155CC"/>
        <rFont val="Arial"/>
      </rPr>
      <t>https://www.bbc.com/news</t>
    </r>
  </si>
  <si>
    <t>BBC News</t>
  </si>
  <si>
    <t>7 168</t>
  </si>
  <si>
    <t>Brussels, Belgium</t>
  </si>
  <si>
    <t>FrenchOsint</t>
  </si>
  <si>
    <t>@FrenchOsint</t>
  </si>
  <si>
    <t>Compte indépendant |  géopolitique 🌐 | Guerre | Actualité mondiale |</t>
  </si>
  <si>
    <t>Atum Mundi 🌐</t>
  </si>
  <si>
    <t>@atummundi</t>
  </si>
  <si>
    <t>Le Média/Think tank d'analyse et d'actualité porté sur l'international. 🗺
Impartialité et ouverture sur le monde. 🌍</t>
  </si>
  <si>
    <t>7 278</t>
  </si>
  <si>
    <t>Clément Molin</t>
  </si>
  <si>
    <t>@clement_molin</t>
  </si>
  <si>
    <t>Etudiant à ILERI Lyon
18 ans, Co-directeur du Think Tank @atummundi
Passionné de géopolitique, suis les guerres, Ukraine, Soudan, Congo...
Centriste</t>
  </si>
  <si>
    <t>10 375</t>
  </si>
  <si>
    <t>Gwenael Régnier</t>
  </si>
  <si>
    <t>@imgsat973</t>
  </si>
  <si>
    <t>Enseignant H-Geo ; doctorant à l'EHESS ; intérêt pour l'utilisation des images satellite en classe de géographie</t>
  </si>
  <si>
    <t>https://www.satellite.grweb.fr/</t>
  </si>
  <si>
    <t>EHESS</t>
  </si>
  <si>
    <t>Guyane Française</t>
  </si>
  <si>
    <t>emily dumortier</t>
  </si>
  <si>
    <t>@DumortierEmily</t>
  </si>
  <si>
    <t>2 756</t>
  </si>
  <si>
    <t>Random OSINT</t>
  </si>
  <si>
    <t>@osint_random</t>
  </si>
  <si>
    <t>🇨🇵🔎 Debunk in FR and ENG 
🦊 Member of @ProjetFOX
🌍 Work for @atummundi</t>
  </si>
  <si>
    <t>@ProjetFOX @atummundi</t>
  </si>
  <si>
    <t>Science et technologie</t>
  </si>
  <si>
    <t>Rejaumont Patrick 🇫🇷🇪🇺🇺🇦🇮🇱⚡️PFM</t>
  </si>
  <si>
    <t>@RejaumontP</t>
  </si>
  <si>
    <t>#NAFO France 🇫🇷 🇺🇦 🇮🇱anti extrême D et G soutien 🇺🇦 jusqu’à la victoire et plus… Slava Ukraini</t>
  </si>
  <si>
    <t>#NAFO</t>
  </si>
  <si>
    <t>France</t>
  </si>
  <si>
    <t>NICO</t>
  </si>
  <si>
    <t>@ZLLog</t>
  </si>
  <si>
    <t>| OSINT; voit post📌 | 🫵🏻Mettez en avant les médias non subventionnés.</t>
  </si>
  <si>
    <t>Rudy</t>
  </si>
  <si>
    <t>@rudyurbaniak</t>
  </si>
  <si>
    <t>Rudy, infirmier, et fan de ciné, touche à tout ! #Nofakemed</t>
  </si>
  <si>
    <t>#Nofakemed</t>
  </si>
  <si>
    <t>Mathieu Andro</t>
  </si>
  <si>
    <t>@mathieuandro</t>
  </si>
  <si>
    <t>#transformation_numérique #crowdsourcing #textmining #bibliothèque_numérique #openaccess #veille #intelligence_économique</t>
  </si>
  <si>
    <t>https://bibliotheque-numerique.fr/</t>
  </si>
  <si>
    <t>Paris France</t>
  </si>
  <si>
    <t>Korben RSS</t>
  </si>
  <si>
    <t>@korben_rss</t>
  </si>
  <si>
    <t>Flux de news du site http://korben.info (ici : http://korben.info/feed/) + qq tweets au gré des vents. Pour tout contact direct passez par le compte @Korben
. Merci les amis !</t>
  </si>
  <si>
    <t xml:space="preserve"> @Korben</t>
  </si>
  <si>
    <t>https://korben.info/</t>
  </si>
  <si>
    <t>13 372</t>
  </si>
  <si>
    <t>andre frigon</t>
  </si>
  <si>
    <t>@andrefrigon2</t>
  </si>
  <si>
    <t>https://www.facebook.com/androne08/</t>
  </si>
  <si>
    <t>Trois Rivères</t>
  </si>
  <si>
    <t>Christophe Tymowski</t>
  </si>
  <si>
    <t>@Christophe_Tymo</t>
  </si>
  <si>
    <r>
      <t xml:space="preserve">Ancien officier de l’armée Suisse 🇨🇭, veille sur les questions militaires, rédacteur à la revue militaire suisse. </t>
    </r>
    <r>
      <rPr>
        <u/>
        <sz val="10"/>
        <color rgb="FF1155CC"/>
        <rFont val="Arial"/>
      </rPr>
      <t>https://revuemilitairesuisse.ch</t>
    </r>
  </si>
  <si>
    <t>https://revuemilitairesuisse.ch/</t>
  </si>
  <si>
    <t>14 938</t>
  </si>
  <si>
    <t>Warszawa, Polska</t>
  </si>
  <si>
    <t>Prevention-Internet</t>
  </si>
  <si>
    <t>@Prevention_web</t>
  </si>
  <si>
    <t>Bienvenue sur le compte Twitter "Prévention sur les dangers d'internet et des réseaux sociaux".</t>
  </si>
  <si>
    <t>https://prevention-internet.fr/</t>
  </si>
  <si>
    <t>Science et Technologie</t>
  </si>
  <si>
    <t>TonyB</t>
  </si>
  <si>
    <t>@opsimathycouk</t>
  </si>
  <si>
    <t>Online Investigator, Intelligence Gathering Expert, Trainer &amp; Author.</t>
  </si>
  <si>
    <t>https://www.opsimathy.co.uk/</t>
  </si>
  <si>
    <t>Nottingham, United Kingdom</t>
  </si>
  <si>
    <t>Fabrice Frossard</t>
  </si>
  <si>
    <t>@FabriceFrossard</t>
  </si>
  <si>
    <t>Paléogeek et ex journaliste - Fondateur http://faber-content.com #formations #contentmarketing #ghostwriter #IT #transfonum TL éclectique - @faber_content</t>
  </si>
  <si>
    <t>@faber_content</t>
  </si>
  <si>
    <t xml:space="preserve"> #formations #contentmarketing #ghostwriter #IT #transfonum</t>
  </si>
  <si>
    <t>http://faber-content.com/</t>
  </si>
  <si>
    <t>michel cutulic</t>
  </si>
  <si>
    <t>@MCutulic</t>
  </si>
  <si>
    <t>OIHEC hackers</t>
  </si>
  <si>
    <t>@HackersOIHEC</t>
  </si>
  <si>
    <t>Hacker mexicano</t>
  </si>
  <si>
    <t>https://www.oihec.com/</t>
  </si>
  <si>
    <t>35 631</t>
  </si>
  <si>
    <t>México</t>
  </si>
  <si>
    <t>Info-210</t>
  </si>
  <si>
    <t>@osint_w</t>
  </si>
  <si>
    <t>Odio a putin sobre todas las cosas</t>
  </si>
  <si>
    <t>Barad-dûr</t>
  </si>
  <si>
    <t xml:space="preserve"> 𝑳𝒊𝒄. 𝑵𝒂𝒉𝒖𝒆𝒍 𝑮𝒓𝒊𝒇𝒇𝒂 𝒁𝒊𝒎𝒂</t>
  </si>
  <si>
    <t>@LicGriffaNahuel</t>
  </si>
  <si>
    <t>Lic. en Criminalística (IUPFA) con Esp. En Cibercrimen y Evidencia Digital (UBA) y Maestría en Ciberdefensa y Ciberseguridad (UBA)</t>
  </si>
  <si>
    <t>https://linktr.ee/Lic.griffaznahuel</t>
  </si>
  <si>
    <t>Universidad de Buenos Aires</t>
  </si>
  <si>
    <t>Ciudad de Buenos Aires</t>
  </si>
  <si>
    <t>Alonso Caballero</t>
  </si>
  <si>
    <t>@Alonso_ReYDeS</t>
  </si>
  <si>
    <t>nstructor y Consultor en Ciberseguridad. ISC2 Certified in Cybersecurity (CC), LPI Security Essentials, EXIN Ethical Hacking Foundation, LPI Linux Essentials.</t>
  </si>
  <si>
    <t>https://www.reydes.com/d/</t>
  </si>
  <si>
    <t>22 904</t>
  </si>
  <si>
    <t>Peru</t>
  </si>
  <si>
    <t>Marc Almeidaˎˊ˗</t>
  </si>
  <si>
    <t>@cibernicola_es</t>
  </si>
  <si>
    <t>programmer | pregunto (?) | 4.2| security by common sense | GitS | oldSchool n00b | there is no planet b *for us* | #visualinfosec | #techLash</t>
  </si>
  <si>
    <t xml:space="preserve"> #visualinfosec  #techLash</t>
  </si>
  <si>
    <t>https://linktr.ee/cibernicola</t>
  </si>
  <si>
    <t>Salou, España</t>
  </si>
  <si>
    <t>🌍NOTINAFO -El noticiero de la #NAFO-</t>
  </si>
  <si>
    <t>@NOTINAFO</t>
  </si>
  <si>
    <r>
      <t xml:space="preserve">Agencia de Noticias Oficial de la #NAFO en Español.
🌍NOTINAFO 24 horas de información.
</t>
    </r>
    <r>
      <rPr>
        <u/>
        <sz val="10"/>
        <color rgb="FF1155CC"/>
        <rFont val="Arial"/>
      </rPr>
      <t>https://paypal.com/paypalme/Pesca</t>
    </r>
  </si>
  <si>
    <t>https://cafecito.app/notinafo</t>
  </si>
  <si>
    <t>Atlantico Sur</t>
  </si>
  <si>
    <t>María Gilda Carballo 👩‍💻 ✍️ 🧠🕵️‍♀️</t>
  </si>
  <si>
    <t>@SraOSINT</t>
  </si>
  <si>
    <t>Socialnetworker/Geek/Techie.
Investigenciadora.
Knowmad en beta permanente.
Personal: @MGildaCarballo
CM: MPI da rt, 
yo SIEMPRE cito ;)</t>
  </si>
  <si>
    <t xml:space="preserve"> @MGildaCarballo</t>
  </si>
  <si>
    <t>https://www.mypublicinbox.com/MariaGildaCarballo</t>
  </si>
  <si>
    <t>Argentina/Spain</t>
  </si>
  <si>
    <t>Observatorio Tecnológico UA</t>
  </si>
  <si>
    <t>@OVTT</t>
  </si>
  <si>
    <t>Vigilancia e inteligencia tecnológica en red #techtransfer #innovación #emprendimiento I Observatorio tecnológico@UA_UniversidadI #MoocVT@OVTTenglish</t>
  </si>
  <si>
    <t>@UA_Universidad  @OVTTenglish</t>
  </si>
  <si>
    <t>I #MoocVT  #techtransfer #innovación #emprendimiento</t>
  </si>
  <si>
    <t>https://www.ovtt.org/</t>
  </si>
  <si>
    <t>Universidad de Alicante</t>
  </si>
  <si>
    <t>Alicanter, Spain</t>
  </si>
  <si>
    <t>FCjwer</t>
  </si>
  <si>
    <r>
      <rPr>
        <b/>
        <u/>
        <sz val="11"/>
        <color theme="1"/>
        <rFont val="Arial"/>
      </rPr>
      <t>Result</t>
    </r>
    <r>
      <rPr>
        <b/>
        <sz val="11"/>
        <color theme="1"/>
        <rFont val="Arial"/>
      </rPr>
      <t xml:space="preserve"> is replicable</t>
    </r>
  </si>
  <si>
    <t>🔴</t>
  </si>
  <si>
    <t>Author</t>
  </si>
  <si>
    <t>URL</t>
  </si>
  <si>
    <t xml:space="preserve">Comments if needed </t>
  </si>
  <si>
    <t>Tweet example</t>
  </si>
  <si>
    <t>ClashReport</t>
  </si>
  <si>
    <t>https://twitter.com/clashreport</t>
  </si>
  <si>
    <t>david D.</t>
  </si>
  <si>
    <t>https://twitter.com/secretsqrl123</t>
  </si>
  <si>
    <t>https://twitter.com/neolithicobject</t>
  </si>
  <si>
    <t>https://twitter.com/stairwayto3dom</t>
  </si>
  <si>
    <t>https://twitter.com/Azovsouth</t>
  </si>
  <si>
    <t>Not giving any sources for claimed explosions or posted video footage. Also no accurate locations are given</t>
  </si>
  <si>
    <t>https://twitter.com/Partisangirl</t>
  </si>
  <si>
    <t>https://twitter.com/osint_69</t>
  </si>
  <si>
    <t>https://twitter.com/DravenNoctis</t>
  </si>
  <si>
    <t>https://twitter.com/igorsushko</t>
  </si>
  <si>
    <t>https://twitter.com/MyLordBebo</t>
  </si>
  <si>
    <t>https://twitter.com/Sprinter99800</t>
  </si>
  <si>
    <t>https://twitter.com/RWApodcast</t>
  </si>
  <si>
    <t>https://twitter.com/WarMonitors</t>
  </si>
  <si>
    <t>https://twitter.com/DD_Geopolitics</t>
  </si>
  <si>
    <t>https://twitter.com/Blackrussiantv</t>
  </si>
  <si>
    <t>https://twitter.com/Megatron_ron</t>
  </si>
  <si>
    <t>https://twitter.com/djuric_zlatko</t>
  </si>
  <si>
    <t>https://twitter.com/liz_churchill10</t>
  </si>
  <si>
    <t>https://twitter.com/Resist_05</t>
  </si>
  <si>
    <t>https://twitter.com/amuse</t>
  </si>
  <si>
    <t>https://twitter.com/WallStreetApes</t>
  </si>
  <si>
    <t>https://twitter.com/matincantweet</t>
  </si>
  <si>
    <t>https://twitter.com/cirnosad</t>
  </si>
  <si>
    <t>https://twitter.com/UKikaski</t>
  </si>
  <si>
    <t>https://twitter.com/KPatthar/status/1640432067543441420/photo/1</t>
  </si>
  <si>
    <t>https://twitter.com/bili_vovky</t>
  </si>
  <si>
    <t>https://twitter.com/BrennpunktUA</t>
  </si>
  <si>
    <t>Comments if needed</t>
  </si>
  <si>
    <t>https://twitter.com/Tatarigami_UA</t>
  </si>
  <si>
    <r>
      <rPr>
        <u/>
        <sz val="11"/>
        <color rgb="FF0000FF"/>
        <rFont val="Arial"/>
      </rPr>
      <t>https://twitter.com/NZ_Trav</t>
    </r>
    <r>
      <rPr>
        <u/>
        <sz val="11"/>
        <color rgb="FF000000"/>
        <rFont val="Arial"/>
      </rPr>
      <t xml:space="preserve">  </t>
    </r>
  </si>
  <si>
    <t>https://twitter.com/O_Rob1nson</t>
  </si>
  <si>
    <t>https://twitter.com/06JAnk</t>
  </si>
  <si>
    <t>https://twitter.com/AFVRec_</t>
  </si>
  <si>
    <t>https://twitter.com/hugeglassofmilk</t>
  </si>
  <si>
    <t>https://twitter.com/Tendar</t>
  </si>
  <si>
    <t>https://twitter.com/EliotHiggins</t>
  </si>
  <si>
    <t>https://twitter.com/Osinttechnical</t>
  </si>
  <si>
    <t>https://twitter.com/BenDoBrown</t>
  </si>
  <si>
    <t>https://twitter.com/Rebel44CZ</t>
  </si>
  <si>
    <t>https://twitter.com/RALee85</t>
  </si>
  <si>
    <t>https://twitter.com/GeoConfirmed</t>
  </si>
  <si>
    <t>https://twitter.com/neonhandrail</t>
  </si>
  <si>
    <t>https://twitter.com/AricToler</t>
  </si>
  <si>
    <t>https://twitter.com/molfar_agency</t>
  </si>
  <si>
    <t>https://twitter.com/Techjournalisto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</si>
</sst>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6">
    <font>
      <sz val="10"/>
      <color rgb="FF000000"/>
      <name val="Arial"/>
      <scheme val="minor"/>
    </font>
    <font>
      <b/>
      <sz val="23"/>
      <color theme="1"/>
      <name val="Arial"/>
    </font>
    <font>
      <sz val="10"/>
      <name val="Arial"/>
    </font>
    <font>
      <sz val="10"/>
      <color theme="1"/>
      <name val="Arial"/>
      <scheme val="minor"/>
    </font>
    <font>
      <sz val="10"/>
      <color theme="1"/>
      <name val="Arial"/>
    </font>
    <font>
      <sz val="10"/>
      <color rgb="FF000000"/>
      <name val="Arial"/>
    </font>
    <font>
      <b/>
      <sz val="10"/>
      <color theme="1"/>
      <name val="Arial"/>
    </font>
    <font>
      <sz val="10"/>
      <color theme="1"/>
      <name val="Arial"/>
    </font>
    <font>
      <b/>
      <sz val="10"/>
      <color rgb="FF000000"/>
      <name val="Arial"/>
    </font>
    <font>
      <b/>
      <sz val="10"/>
      <color rgb="FF000000"/>
      <name val="Arial"/>
    </font>
    <font>
      <sz val="10"/>
      <color rgb="FF000000"/>
      <name val="Arial"/>
    </font>
    <font>
      <u/>
      <sz val="10"/>
      <color rgb="FF000000"/>
      <name val="Arial"/>
    </font>
    <font>
      <sz val="11"/>
      <color rgb="FF000000"/>
      <name val="Arial"/>
    </font>
    <font>
      <u/>
      <sz val="10"/>
      <color rgb="FF000000"/>
      <name val="Arial"/>
    </font>
    <font>
      <u/>
      <sz val="11"/>
      <color rgb="FF000000"/>
      <name val="&quot;Times New Roman&quot;"/>
    </font>
    <font>
      <u/>
      <sz val="11"/>
      <color rgb="FF000000"/>
      <name val="&quot;Times New Roman&quot;"/>
    </font>
    <font>
      <u/>
      <sz val="10"/>
      <color rgb="FF000000"/>
      <name val="Arial"/>
    </font>
    <font>
      <sz val="11"/>
      <color theme="1"/>
      <name val="Arial"/>
    </font>
    <font>
      <u/>
      <sz val="10"/>
      <color rgb="FF1155CC"/>
      <name val="Arial"/>
    </font>
    <font>
      <u/>
      <sz val="10"/>
      <color rgb="FF000000"/>
      <name val="Arial"/>
    </font>
    <font>
      <u/>
      <sz val="10"/>
      <color rgb="FF000000"/>
      <name val="Arial"/>
    </font>
    <font>
      <u/>
      <sz val="10"/>
      <color rgb="FF000000"/>
      <name val="Arial"/>
    </font>
    <font>
      <u/>
      <sz val="11"/>
      <color rgb="FF000000"/>
      <name val="Times New Roman"/>
    </font>
    <font>
      <b/>
      <sz val="11"/>
      <color rgb="FF000000"/>
      <name val="Arial"/>
    </font>
    <font>
      <sz val="8"/>
      <color rgb="FF000000"/>
      <name val="Arial"/>
    </font>
    <font>
      <sz val="8"/>
      <color theme="1"/>
      <name val="Arial"/>
    </font>
    <font>
      <u/>
      <sz val="10"/>
      <color rgb="FF000000"/>
      <name val="Slack-Lato"/>
    </font>
    <font>
      <u/>
      <sz val="10"/>
      <color rgb="FF000000"/>
      <name val="Arial"/>
    </font>
    <font>
      <u/>
      <sz val="10"/>
      <color rgb="FF000000"/>
      <name val="Arial"/>
    </font>
    <font>
      <u/>
      <sz val="10"/>
      <color rgb="FF000000"/>
      <name val="Arial"/>
    </font>
    <font>
      <b/>
      <sz val="11"/>
      <color theme="1"/>
      <name val="Arial"/>
    </font>
    <font>
      <b/>
      <sz val="11"/>
      <color rgb="FFFF0000"/>
      <name val="Arial"/>
    </font>
    <font>
      <sz val="11"/>
      <color theme="1"/>
      <name val="Arial"/>
      <scheme val="minor"/>
    </font>
    <font>
      <u/>
      <sz val="11"/>
      <color rgb="FF000000"/>
      <name val="Arial"/>
    </font>
    <font>
      <u/>
      <sz val="11"/>
      <color rgb="FF000000"/>
      <name val="Arial"/>
    </font>
    <font>
      <u/>
      <sz val="11"/>
      <color rgb="FF000000"/>
      <name val="Arial"/>
    </font>
    <font>
      <u/>
      <sz val="11"/>
      <color rgb="FF000000"/>
      <name val="Arial"/>
    </font>
    <font>
      <u/>
      <sz val="11"/>
      <color rgb="FF000000"/>
      <name val="Arial"/>
    </font>
    <font>
      <u/>
      <sz val="11"/>
      <color rgb="FF000000"/>
      <name val="Arial"/>
    </font>
    <font>
      <u/>
      <sz val="11"/>
      <color rgb="FF000000"/>
      <name val="Arial"/>
    </font>
    <font>
      <u/>
      <sz val="11"/>
      <color rgb="FF000000"/>
      <name val="Arial"/>
    </font>
    <font>
      <u/>
      <sz val="11"/>
      <color rgb="FF000000"/>
      <name val="Arial"/>
    </font>
    <font>
      <u/>
      <sz val="11"/>
      <color rgb="FF000000"/>
      <name val="Arial"/>
    </font>
    <font>
      <u/>
      <sz val="11"/>
      <color rgb="FF000000"/>
      <name val="Arial"/>
    </font>
    <font>
      <u/>
      <sz val="11"/>
      <color rgb="FF000000"/>
      <name val="Arial"/>
    </font>
    <font>
      <u/>
      <sz val="11"/>
      <color rgb="FF000000"/>
      <name val="Arial"/>
    </font>
    <font>
      <u/>
      <sz val="11"/>
      <color rgb="FF000000"/>
      <name val="Arial"/>
    </font>
    <font>
      <u/>
      <sz val="11"/>
      <color rgb="FF000000"/>
      <name val="Arial"/>
    </font>
    <font>
      <u/>
      <sz val="11"/>
      <color rgb="FF0000FF"/>
      <name val="Arial"/>
    </font>
    <font>
      <u/>
      <sz val="11"/>
      <color rgb="FF000000"/>
      <name val="Arial"/>
    </font>
    <font>
      <u/>
      <sz val="11"/>
      <color rgb="FF0000FF"/>
      <name val="&quot;Times New Roman&quot;"/>
    </font>
    <font>
      <u/>
      <sz val="11"/>
      <color rgb="FF000000"/>
      <name val="Arial"/>
    </font>
    <font>
      <sz val="11"/>
      <color rgb="FF1155CC"/>
      <name val="Arial"/>
    </font>
    <font>
      <u/>
      <sz val="11"/>
      <color rgb="FF1155CC"/>
      <name val="Arial"/>
    </font>
    <font>
      <b/>
      <sz val="10"/>
      <color theme="1"/>
      <name val="Arial"/>
      <scheme val="minor"/>
    </font>
    <font>
      <u/>
      <sz val="11"/>
      <color rgb="FF0563C1"/>
      <name val="&quot;맑은 고딕&quot;"/>
    </font>
    <font>
      <u/>
      <sz val="10"/>
      <color rgb="FF0000FF"/>
      <name val="Arial"/>
    </font>
    <font>
      <u/>
      <sz val="11"/>
      <color rgb="FF0563C1"/>
      <name val="&quot;맑은 고딕&quot;"/>
    </font>
    <font>
      <u/>
      <sz val="10"/>
      <color rgb="FF0000FF"/>
      <name val="Arial"/>
    </font>
    <font>
      <u/>
      <sz val="11"/>
      <color rgb="FF000000"/>
      <name val="Arial"/>
    </font>
    <font>
      <sz val="11"/>
      <color rgb="FF0F1419"/>
      <name val="TwitterChirp"/>
    </font>
    <font>
      <u/>
      <sz val="11"/>
      <color rgb="FF0F1419"/>
      <name val="TwitterChirp"/>
    </font>
    <font>
      <sz val="10"/>
      <color rgb="FF000000"/>
      <name val="Arial"/>
      <scheme val="minor"/>
    </font>
    <font>
      <sz val="10"/>
      <color rgb="FF0F1419"/>
      <name val="Arial"/>
      <scheme val="minor"/>
    </font>
    <font>
      <u/>
      <sz val="11"/>
      <color rgb="FF0563C1"/>
      <name val="&quot;맑은 고딕&quot;"/>
    </font>
    <font>
      <u/>
      <sz val="10"/>
      <color rgb="FF1D9BF0"/>
      <name val="Arial"/>
    </font>
    <font>
      <u/>
      <sz val="10"/>
      <color rgb="FF0F1419"/>
      <name val="Arial"/>
    </font>
    <font>
      <u/>
      <sz val="10"/>
      <color rgb="FF1D9BF0"/>
      <name val="Arial"/>
    </font>
    <font>
      <sz val="10"/>
      <color rgb="FF1D9BF0"/>
      <name val="Arial"/>
      <scheme val="minor"/>
    </font>
    <font>
      <u/>
      <sz val="10"/>
      <color rgb="FF0000FF"/>
      <name val="Arial"/>
    </font>
    <font>
      <u/>
      <sz val="11"/>
      <color rgb="FF000000"/>
      <name val="Arial"/>
    </font>
    <font>
      <u/>
      <sz val="11"/>
      <color rgb="FF1D9BF0"/>
      <name val="TwitterChirp"/>
    </font>
    <font>
      <u/>
      <sz val="11"/>
      <color rgb="FF0F1419"/>
      <name val="TwitterChirp"/>
    </font>
    <font>
      <u/>
      <sz val="10"/>
      <color rgb="FF1D9BF0"/>
      <name val="Arial"/>
    </font>
    <font>
      <u/>
      <sz val="11"/>
      <color rgb="FF0563C1"/>
      <name val="&quot;맑은 고딕&quot;"/>
    </font>
    <font>
      <sz val="9"/>
      <color rgb="FF000000"/>
      <name val="Arial"/>
    </font>
    <font>
      <u/>
      <sz val="11"/>
      <color rgb="FF0563C1"/>
      <name val="&quot;맑은 고딕&quot;"/>
    </font>
    <font>
      <u/>
      <sz val="11"/>
      <color rgb="FF0000FF"/>
      <name val="Arial"/>
    </font>
    <font>
      <u/>
      <sz val="10"/>
      <color rgb="FF1155CC"/>
      <name val="Arial"/>
    </font>
    <font>
      <u/>
      <sz val="10"/>
      <color rgb="FF1D9BF0"/>
      <name val="Arial"/>
      <scheme val="minor"/>
    </font>
    <font>
      <u/>
      <sz val="11"/>
      <color rgb="FF0000FF"/>
      <name val="Arial"/>
    </font>
    <font>
      <u/>
      <sz val="11"/>
      <color rgb="FF0000FF"/>
      <name val="Arial"/>
    </font>
    <font>
      <u/>
      <sz val="11"/>
      <color theme="1"/>
      <name val="Arial"/>
    </font>
    <font>
      <u/>
      <sz val="11"/>
      <color rgb="FF0000FF"/>
      <name val="Arial"/>
    </font>
    <font>
      <u/>
      <sz val="11"/>
      <color rgb="FF0000FF"/>
      <name val="Arial"/>
    </font>
    <font>
      <u/>
      <sz val="11"/>
      <color rgb="FF0000FF"/>
      <name val="Arial"/>
    </font>
    <font>
      <u/>
      <sz val="11"/>
      <color rgb="FF0000FF"/>
      <name val="Arial"/>
    </font>
    <font>
      <u/>
      <sz val="11"/>
      <color rgb="FF1155CC"/>
      <name val="Arial"/>
    </font>
    <font>
      <b/>
      <sz val="10"/>
      <color theme="1"/>
      <name val="Arial"/>
    </font>
    <font>
      <b/>
      <sz val="12"/>
      <color theme="1"/>
      <name val="Arial"/>
    </font>
    <font>
      <u/>
      <sz val="10"/>
      <color rgb="FF0000FF"/>
      <name val="Arial"/>
    </font>
    <font>
      <sz val="9"/>
      <color theme="1"/>
      <name val="Arial"/>
    </font>
    <font>
      <u/>
      <sz val="10"/>
      <color rgb="FF0000FF"/>
      <name val="Arial"/>
    </font>
    <font>
      <u/>
      <sz val="11"/>
      <color rgb="FF0000FF"/>
      <name val="Arial"/>
    </font>
    <font>
      <u/>
      <sz val="10"/>
      <color rgb="FF0000FF"/>
      <name val="Arial"/>
    </font>
    <font>
      <u/>
      <sz val="10"/>
      <color rgb="FF0000FF"/>
      <name val="Arial"/>
    </font>
    <font>
      <sz val="10"/>
      <color theme="1"/>
      <name val="Arial"/>
      <scheme val="minor"/>
    </font>
    <font>
      <u/>
      <sz val="10"/>
      <color rgb="FF0000FF"/>
      <name val="Arial"/>
    </font>
    <font>
      <b/>
      <sz val="12"/>
      <color theme="1"/>
      <name val="Arial"/>
      <scheme val="minor"/>
    </font>
    <font>
      <u/>
      <sz val="10"/>
      <color rgb="FF0000FF"/>
      <name val="Arial"/>
    </font>
    <font>
      <b/>
      <u/>
      <sz val="10"/>
      <color theme="1"/>
      <name val="Arial"/>
    </font>
    <font>
      <sz val="10"/>
      <color rgb="FF1D9BF0"/>
      <name val="Arial"/>
    </font>
    <font>
      <sz val="11"/>
      <color rgb="FF0F1419"/>
      <name val="Arial"/>
    </font>
    <font>
      <u/>
      <sz val="11"/>
      <color rgb="FF0F1419"/>
      <name val="Arial"/>
    </font>
    <font>
      <sz val="11"/>
      <name val="Arial"/>
    </font>
    <font>
      <b/>
      <u/>
      <sz val="11"/>
      <color theme="1"/>
      <name val="Arial"/>
    </font>
  </fonts>
  <fills count="20">
    <fill>
      <patternFill patternType="none"/>
    </fill>
    <fill>
      <patternFill patternType="gray125"/>
    </fill>
    <fill>
      <patternFill patternType="solid">
        <fgColor rgb="FFFFF2CC"/>
        <bgColor rgb="FFFFF2CC"/>
      </patternFill>
    </fill>
    <fill>
      <patternFill patternType="solid">
        <fgColor rgb="FFFFFFFF"/>
        <bgColor rgb="FFFFFFFF"/>
      </patternFill>
    </fill>
    <fill>
      <patternFill patternType="solid">
        <fgColor rgb="FFF3F3F3"/>
        <bgColor rgb="FFF3F3F3"/>
      </patternFill>
    </fill>
    <fill>
      <patternFill patternType="solid">
        <fgColor rgb="FFB4A7D6"/>
        <bgColor rgb="FFB4A7D6"/>
      </patternFill>
    </fill>
    <fill>
      <patternFill patternType="solid">
        <fgColor rgb="FFDD7E6B"/>
        <bgColor rgb="FFDD7E6B"/>
      </patternFill>
    </fill>
    <fill>
      <patternFill patternType="solid">
        <fgColor rgb="FFF9CB9C"/>
        <bgColor rgb="FFF9CB9C"/>
      </patternFill>
    </fill>
    <fill>
      <patternFill patternType="solid">
        <fgColor rgb="FFFFE599"/>
        <bgColor rgb="FFFFE599"/>
      </patternFill>
    </fill>
    <fill>
      <patternFill patternType="solid">
        <fgColor rgb="FFB6D7A8"/>
        <bgColor rgb="FFB6D7A8"/>
      </patternFill>
    </fill>
    <fill>
      <patternFill patternType="solid">
        <fgColor rgb="FFD9D2E9"/>
        <bgColor rgb="FFD9D2E9"/>
      </patternFill>
    </fill>
    <fill>
      <patternFill patternType="solid">
        <fgColor rgb="FFE6B8AF"/>
        <bgColor rgb="FFE6B8AF"/>
      </patternFill>
    </fill>
    <fill>
      <patternFill patternType="solid">
        <fgColor rgb="FFFCE5CD"/>
        <bgColor rgb="FFFCE5CD"/>
      </patternFill>
    </fill>
    <fill>
      <patternFill patternType="solid">
        <fgColor rgb="FFD9EAD3"/>
        <bgColor rgb="FFD9EAD3"/>
      </patternFill>
    </fill>
    <fill>
      <patternFill patternType="solid">
        <fgColor rgb="FFF4CCCC"/>
        <bgColor rgb="FFF4CCCC"/>
      </patternFill>
    </fill>
    <fill>
      <patternFill patternType="solid">
        <fgColor rgb="FFEFEFEF"/>
        <bgColor rgb="FFEFEFEF"/>
      </patternFill>
    </fill>
    <fill>
      <patternFill patternType="solid">
        <fgColor rgb="FFF8F8F8"/>
        <bgColor rgb="FFF8F8F8"/>
      </patternFill>
    </fill>
    <fill>
      <patternFill patternType="solid">
        <fgColor rgb="FFA4C2F4"/>
        <bgColor rgb="FFA4C2F4"/>
      </patternFill>
    </fill>
    <fill>
      <patternFill patternType="solid">
        <fgColor rgb="FFCFE2F3"/>
        <bgColor rgb="FFCFE2F3"/>
      </patternFill>
    </fill>
    <fill>
      <patternFill patternType="solid">
        <fgColor rgb="FFFF0000"/>
        <bgColor rgb="FFFF0000"/>
      </patternFill>
    </fill>
  </fills>
  <borders count="51">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top/>
      <bottom/>
      <diagonal/>
    </border>
    <border>
      <left style="thin">
        <color rgb="FFD9D9D9"/>
      </left>
      <right style="thin">
        <color rgb="FFD9D9D9"/>
      </right>
      <top style="thin">
        <color rgb="FFD9D9D9"/>
      </top>
      <bottom style="thin">
        <color rgb="FFD9D9D9"/>
      </bottom>
      <diagonal/>
    </border>
    <border>
      <left style="thin">
        <color rgb="FFD9D9D9"/>
      </left>
      <right/>
      <top style="thin">
        <color rgb="FFD9D9D9"/>
      </top>
      <bottom style="thin">
        <color rgb="FFD9D9D9"/>
      </bottom>
      <diagonal/>
    </border>
    <border>
      <left style="thin">
        <color rgb="FF000000"/>
      </left>
      <right style="medium">
        <color rgb="FF000000"/>
      </right>
      <top style="thin">
        <color rgb="FFD9D9D9"/>
      </top>
      <bottom style="thin">
        <color rgb="FFD9D9D9"/>
      </bottom>
      <diagonal/>
    </border>
    <border>
      <left style="medium">
        <color rgb="FF000000"/>
      </left>
      <right style="thin">
        <color rgb="FFD9D9D9"/>
      </right>
      <top/>
      <bottom style="thin">
        <color rgb="FF000000"/>
      </bottom>
      <diagonal/>
    </border>
    <border>
      <left style="thin">
        <color rgb="FFD9D9D9"/>
      </left>
      <right style="thin">
        <color rgb="FFD9D9D9"/>
      </right>
      <top style="thin">
        <color rgb="FF000000"/>
      </top>
      <bottom style="thin">
        <color rgb="FF000000"/>
      </bottom>
      <diagonal/>
    </border>
    <border>
      <left style="thin">
        <color rgb="FFD9D9D9"/>
      </left>
      <right/>
      <top style="thin">
        <color rgb="FF000000"/>
      </top>
      <bottom style="thin">
        <color rgb="FF000000"/>
      </bottom>
      <diagonal/>
    </border>
    <border>
      <left style="thin">
        <color rgb="FFD9D9D9"/>
      </left>
      <right style="medium">
        <color rgb="FF000000"/>
      </right>
      <top style="thin">
        <color rgb="FF000000"/>
      </top>
      <bottom style="thin">
        <color rgb="FF000000"/>
      </bottom>
      <diagonal/>
    </border>
    <border>
      <left style="medium">
        <color rgb="FF000000"/>
      </left>
      <right style="thin">
        <color rgb="FFD9D9D9"/>
      </right>
      <top style="thin">
        <color rgb="FFD9D9D9"/>
      </top>
      <bottom style="thin">
        <color rgb="FFD9D9D9"/>
      </bottom>
      <diagonal/>
    </border>
    <border>
      <left/>
      <right style="medium">
        <color rgb="FF000000"/>
      </right>
      <top/>
      <bottom/>
      <diagonal/>
    </border>
    <border>
      <left style="medium">
        <color rgb="FF000000"/>
      </left>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D9D9D9"/>
      </left>
      <right style="thin">
        <color rgb="FFD9D9D9"/>
      </right>
      <top/>
      <bottom style="thin">
        <color rgb="FFD9D9D9"/>
      </bottom>
      <diagonal/>
    </border>
    <border>
      <left style="thin">
        <color rgb="FFD9D9D9"/>
      </left>
      <right style="thin">
        <color rgb="FFD9D9D9"/>
      </right>
      <top/>
      <bottom/>
      <diagonal/>
    </border>
    <border>
      <left style="thin">
        <color rgb="FFD9D9D9"/>
      </left>
      <right style="thin">
        <color rgb="FFD9D9D9"/>
      </right>
      <top style="thin">
        <color rgb="FFD9D9D9"/>
      </top>
      <bottom/>
      <diagonal/>
    </border>
    <border>
      <left style="thin">
        <color rgb="FF000000"/>
      </left>
      <right/>
      <top style="medium">
        <color rgb="FF000000"/>
      </top>
      <bottom/>
      <diagonal/>
    </border>
    <border>
      <left/>
      <right style="thin">
        <color rgb="FFD9D9D9"/>
      </right>
      <top style="thin">
        <color rgb="FF000000"/>
      </top>
      <bottom style="medium">
        <color rgb="FF000000"/>
      </bottom>
      <diagonal/>
    </border>
    <border>
      <left style="thin">
        <color rgb="FFD9D9D9"/>
      </left>
      <right style="thin">
        <color rgb="FFD9D9D9"/>
      </right>
      <top style="thin">
        <color rgb="FF000000"/>
      </top>
      <bottom style="medium">
        <color rgb="FF000000"/>
      </bottom>
      <diagonal/>
    </border>
    <border>
      <left style="thin">
        <color rgb="FFD9D9D9"/>
      </left>
      <right/>
      <top style="thin">
        <color rgb="FF000000"/>
      </top>
      <bottom style="medium">
        <color rgb="FF000000"/>
      </bottom>
      <diagonal/>
    </border>
    <border>
      <left style="thin">
        <color rgb="FFD9D9D9"/>
      </left>
      <right style="medium">
        <color rgb="FF000000"/>
      </right>
      <top style="thin">
        <color rgb="FF000000"/>
      </top>
      <bottom style="medium">
        <color rgb="FF000000"/>
      </bottom>
      <diagonal/>
    </border>
    <border>
      <left style="medium">
        <color rgb="FF000000"/>
      </left>
      <right style="thin">
        <color rgb="FFD9D9D9"/>
      </right>
      <top style="thin">
        <color rgb="FFD9D9D9"/>
      </top>
      <bottom style="medium">
        <color rgb="FF000000"/>
      </bottom>
      <diagonal/>
    </border>
    <border>
      <left style="thin">
        <color rgb="FFD9D9D9"/>
      </left>
      <right style="thin">
        <color rgb="FFD9D9D9"/>
      </right>
      <top style="thin">
        <color rgb="FFD9D9D9"/>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thin">
        <color rgb="FFD9D9D9"/>
      </right>
      <top/>
      <bottom/>
      <diagonal/>
    </border>
    <border>
      <left/>
      <right style="thin">
        <color rgb="FFD9D9D9"/>
      </right>
      <top/>
      <bottom style="thin">
        <color rgb="FFD9D9D9"/>
      </bottom>
      <diagonal/>
    </border>
    <border>
      <left/>
      <right style="thin">
        <color rgb="FFD9D9D9"/>
      </right>
      <top style="thin">
        <color rgb="FFD9D9D9"/>
      </top>
      <bottom style="thin">
        <color rgb="FFD9D9D9"/>
      </bottom>
      <diagonal/>
    </border>
  </borders>
  <cellStyleXfs count="1">
    <xf numFmtId="0" fontId="0" fillId="0" borderId="0"/>
  </cellStyleXfs>
  <cellXfs count="284">
    <xf numFmtId="0" fontId="0" fillId="0" borderId="0" xfId="0"/>
    <xf numFmtId="0" fontId="1" fillId="2" borderId="0" xfId="0" applyFont="1" applyFill="1" applyAlignment="1">
      <alignment horizontal="left" wrapText="1"/>
    </xf>
    <xf numFmtId="0" fontId="3" fillId="0" borderId="0" xfId="0" applyFont="1" applyAlignment="1">
      <alignment wrapText="1"/>
    </xf>
    <xf numFmtId="0" fontId="4" fillId="0" borderId="0" xfId="0" applyFont="1" applyAlignment="1">
      <alignment wrapText="1"/>
    </xf>
    <xf numFmtId="0" fontId="4" fillId="0" borderId="0" xfId="0" applyFont="1"/>
    <xf numFmtId="0" fontId="5" fillId="3" borderId="0" xfId="0" applyFont="1" applyFill="1" applyAlignment="1">
      <alignment horizontal="left" wrapText="1"/>
    </xf>
    <xf numFmtId="0" fontId="6" fillId="0" borderId="0" xfId="0" applyFont="1" applyAlignment="1">
      <alignment horizontal="center" wrapText="1"/>
    </xf>
    <xf numFmtId="0" fontId="6" fillId="0" borderId="0" xfId="0" applyFont="1" applyAlignment="1">
      <alignment horizontal="left" wrapText="1"/>
    </xf>
    <xf numFmtId="0" fontId="5" fillId="3" borderId="0" xfId="0" applyFont="1" applyFill="1" applyAlignment="1">
      <alignment horizontal="left" vertical="top" wrapText="1"/>
    </xf>
    <xf numFmtId="0" fontId="6" fillId="4" borderId="6" xfId="0" applyFont="1" applyFill="1" applyBorder="1" applyAlignment="1">
      <alignment horizontal="center" wrapText="1"/>
    </xf>
    <xf numFmtId="0" fontId="6" fillId="6" borderId="10" xfId="0" applyFont="1" applyFill="1" applyBorder="1" applyAlignment="1">
      <alignment horizontal="center" wrapText="1"/>
    </xf>
    <xf numFmtId="0" fontId="7" fillId="0" borderId="0" xfId="0" applyFont="1"/>
    <xf numFmtId="0" fontId="8" fillId="4" borderId="16" xfId="0" applyFont="1" applyFill="1" applyBorder="1" applyAlignment="1">
      <alignment horizontal="left" vertical="center" wrapText="1"/>
    </xf>
    <xf numFmtId="0" fontId="8" fillId="10" borderId="17" xfId="0" applyFont="1" applyFill="1" applyBorder="1" applyAlignment="1">
      <alignment horizontal="left" vertical="center" wrapText="1"/>
    </xf>
    <xf numFmtId="0" fontId="6" fillId="10" borderId="18" xfId="0" applyFont="1" applyFill="1" applyBorder="1" applyAlignment="1">
      <alignment horizontal="left" vertical="center" wrapText="1"/>
    </xf>
    <xf numFmtId="0" fontId="6" fillId="11" borderId="17" xfId="0" applyFont="1" applyFill="1" applyBorder="1" applyAlignment="1">
      <alignment horizontal="left" vertical="center" wrapText="1"/>
    </xf>
    <xf numFmtId="0" fontId="6" fillId="12" borderId="16" xfId="0" applyFont="1" applyFill="1" applyBorder="1" applyAlignment="1">
      <alignment horizontal="left" vertical="center" wrapText="1"/>
    </xf>
    <xf numFmtId="0" fontId="6" fillId="12" borderId="18" xfId="0" applyFont="1" applyFill="1" applyBorder="1" applyAlignment="1">
      <alignment horizontal="left" vertical="center" wrapText="1"/>
    </xf>
    <xf numFmtId="0" fontId="6" fillId="12" borderId="19" xfId="0" applyFont="1" applyFill="1" applyBorder="1" applyAlignment="1">
      <alignment vertical="center" wrapText="1"/>
    </xf>
    <xf numFmtId="0" fontId="6" fillId="2" borderId="16" xfId="0" applyFont="1" applyFill="1" applyBorder="1" applyAlignment="1">
      <alignment horizontal="left" vertical="center" wrapText="1"/>
    </xf>
    <xf numFmtId="0" fontId="6" fillId="2" borderId="18" xfId="0" applyFont="1" applyFill="1" applyBorder="1" applyAlignment="1">
      <alignment horizontal="left" vertical="center" wrapText="1"/>
    </xf>
    <xf numFmtId="0" fontId="8" fillId="2" borderId="18" xfId="0" applyFont="1" applyFill="1" applyBorder="1" applyAlignment="1">
      <alignment horizontal="left" wrapText="1"/>
    </xf>
    <xf numFmtId="0" fontId="6" fillId="2" borderId="19" xfId="0" applyFont="1" applyFill="1" applyBorder="1" applyAlignment="1">
      <alignment horizontal="left" vertical="center" wrapText="1"/>
    </xf>
    <xf numFmtId="0" fontId="6" fillId="13" borderId="16" xfId="0" applyFont="1" applyFill="1" applyBorder="1" applyAlignment="1">
      <alignment horizontal="left" vertical="center" wrapText="1"/>
    </xf>
    <xf numFmtId="0" fontId="6" fillId="13" borderId="18" xfId="0" applyFont="1" applyFill="1" applyBorder="1" applyAlignment="1">
      <alignment horizontal="left" vertical="center" wrapText="1"/>
    </xf>
    <xf numFmtId="0" fontId="6" fillId="13" borderId="19" xfId="0" applyFont="1" applyFill="1" applyBorder="1" applyAlignment="1">
      <alignment horizontal="left" vertical="center" wrapText="1"/>
    </xf>
    <xf numFmtId="0" fontId="6" fillId="10" borderId="16" xfId="0" applyFont="1" applyFill="1" applyBorder="1" applyAlignment="1">
      <alignment horizontal="left" vertical="center" wrapText="1"/>
    </xf>
    <xf numFmtId="0" fontId="6" fillId="10" borderId="19" xfId="0" applyFont="1" applyFill="1" applyBorder="1" applyAlignment="1">
      <alignment horizontal="left" vertical="center" wrapText="1"/>
    </xf>
    <xf numFmtId="0" fontId="9" fillId="0" borderId="20" xfId="0" applyFont="1" applyBorder="1" applyAlignment="1">
      <alignment horizontal="left" vertical="top" wrapText="1"/>
    </xf>
    <xf numFmtId="0" fontId="9" fillId="0" borderId="4" xfId="0" applyFont="1" applyBorder="1" applyAlignment="1">
      <alignment horizontal="left" vertical="top" wrapText="1"/>
    </xf>
    <xf numFmtId="0" fontId="9" fillId="0" borderId="21" xfId="0" applyFont="1" applyBorder="1" applyAlignment="1">
      <alignment horizontal="left" vertical="top" wrapText="1"/>
    </xf>
    <xf numFmtId="0" fontId="10" fillId="0" borderId="21" xfId="0" applyFont="1" applyBorder="1" applyAlignment="1">
      <alignment horizontal="left" vertical="top" wrapText="1"/>
    </xf>
    <xf numFmtId="0" fontId="10" fillId="0" borderId="22" xfId="0" applyFont="1" applyBorder="1" applyAlignment="1">
      <alignment horizontal="left" vertical="top" wrapText="1"/>
    </xf>
    <xf numFmtId="0" fontId="10" fillId="14" borderId="23" xfId="0" applyFont="1" applyFill="1" applyBorder="1" applyAlignment="1">
      <alignment horizontal="left" vertical="top" wrapText="1"/>
    </xf>
    <xf numFmtId="0" fontId="10" fillId="12" borderId="24" xfId="0" applyFont="1" applyFill="1" applyBorder="1" applyAlignment="1">
      <alignment horizontal="left" vertical="top" wrapText="1"/>
    </xf>
    <xf numFmtId="0" fontId="10" fillId="12" borderId="25" xfId="0" applyFont="1" applyFill="1" applyBorder="1" applyAlignment="1">
      <alignment horizontal="left" vertical="top" wrapText="1"/>
    </xf>
    <xf numFmtId="0" fontId="10" fillId="12" borderId="26" xfId="0" applyFont="1" applyFill="1" applyBorder="1" applyAlignment="1">
      <alignment horizontal="left" vertical="top" wrapText="1"/>
    </xf>
    <xf numFmtId="0" fontId="10" fillId="12" borderId="27" xfId="0" applyFont="1" applyFill="1" applyBorder="1" applyAlignment="1">
      <alignment horizontal="left" vertical="top" wrapText="1"/>
    </xf>
    <xf numFmtId="0" fontId="10" fillId="2" borderId="28" xfId="0" applyFont="1" applyFill="1" applyBorder="1" applyAlignment="1">
      <alignment horizontal="left" vertical="top" wrapText="1"/>
    </xf>
    <xf numFmtId="0" fontId="10" fillId="2" borderId="21" xfId="0" applyFont="1" applyFill="1" applyBorder="1" applyAlignment="1">
      <alignment horizontal="left" vertical="top" wrapText="1"/>
    </xf>
    <xf numFmtId="0" fontId="7" fillId="2" borderId="21" xfId="0" applyFont="1" applyFill="1" applyBorder="1" applyAlignment="1">
      <alignment horizontal="left" vertical="top" wrapText="1"/>
    </xf>
    <xf numFmtId="0" fontId="7" fillId="2" borderId="29" xfId="0" applyFont="1" applyFill="1" applyBorder="1" applyAlignment="1">
      <alignment vertical="top" wrapText="1"/>
    </xf>
    <xf numFmtId="0" fontId="7" fillId="13" borderId="20" xfId="0" applyFont="1" applyFill="1" applyBorder="1" applyAlignment="1">
      <alignment vertical="top" wrapText="1"/>
    </xf>
    <xf numFmtId="0" fontId="7" fillId="13" borderId="0" xfId="0" applyFont="1" applyFill="1" applyAlignment="1">
      <alignment vertical="top" wrapText="1"/>
    </xf>
    <xf numFmtId="0" fontId="7" fillId="13" borderId="29" xfId="0" applyFont="1" applyFill="1" applyBorder="1" applyAlignment="1">
      <alignment vertical="top" wrapText="1"/>
    </xf>
    <xf numFmtId="0" fontId="7" fillId="10" borderId="20" xfId="0" applyFont="1" applyFill="1" applyBorder="1" applyAlignment="1">
      <alignment vertical="top" wrapText="1"/>
    </xf>
    <xf numFmtId="0" fontId="7" fillId="10" borderId="0" xfId="0" applyFont="1" applyFill="1" applyAlignment="1">
      <alignment vertical="top" wrapText="1"/>
    </xf>
    <xf numFmtId="0" fontId="7" fillId="10" borderId="29" xfId="0" applyFont="1" applyFill="1" applyBorder="1" applyAlignment="1">
      <alignment vertical="top" wrapText="1"/>
    </xf>
    <xf numFmtId="0" fontId="7" fillId="0" borderId="0" xfId="0" applyFont="1" applyAlignment="1">
      <alignment vertical="top"/>
    </xf>
    <xf numFmtId="0" fontId="9" fillId="0" borderId="30" xfId="0" applyFont="1" applyBorder="1" applyAlignment="1">
      <alignment horizontal="left" wrapText="1"/>
    </xf>
    <xf numFmtId="0" fontId="11" fillId="0" borderId="31" xfId="0" applyFont="1" applyBorder="1" applyAlignment="1">
      <alignment horizontal="left" wrapText="1"/>
    </xf>
    <xf numFmtId="0" fontId="10" fillId="0" borderId="32" xfId="0" applyFont="1" applyBorder="1" applyAlignment="1">
      <alignment horizontal="left" wrapText="1"/>
    </xf>
    <xf numFmtId="0" fontId="10" fillId="14" borderId="33" xfId="0" applyFont="1" applyFill="1" applyBorder="1" applyAlignment="1">
      <alignment horizontal="left" wrapText="1"/>
    </xf>
    <xf numFmtId="0" fontId="4" fillId="12" borderId="30" xfId="0" applyFont="1" applyFill="1" applyBorder="1" applyAlignment="1">
      <alignment horizontal="left" wrapText="1"/>
    </xf>
    <xf numFmtId="0" fontId="10" fillId="12" borderId="32" xfId="0" applyFont="1" applyFill="1" applyBorder="1" applyAlignment="1">
      <alignment horizontal="left" wrapText="1"/>
    </xf>
    <xf numFmtId="0" fontId="10" fillId="12" borderId="34" xfId="0" applyFont="1" applyFill="1" applyBorder="1" applyAlignment="1">
      <alignment horizontal="left" wrapText="1"/>
    </xf>
    <xf numFmtId="0" fontId="10" fillId="2" borderId="30" xfId="0" applyFont="1" applyFill="1" applyBorder="1" applyAlignment="1">
      <alignment horizontal="left" wrapText="1"/>
    </xf>
    <xf numFmtId="0" fontId="10" fillId="2" borderId="32" xfId="0" applyFont="1" applyFill="1" applyBorder="1" applyAlignment="1">
      <alignment horizontal="left" wrapText="1"/>
    </xf>
    <xf numFmtId="0" fontId="10" fillId="2" borderId="34" xfId="0" applyFont="1" applyFill="1" applyBorder="1" applyAlignment="1">
      <alignment horizontal="left" wrapText="1"/>
    </xf>
    <xf numFmtId="0" fontId="10" fillId="13" borderId="30" xfId="0" applyFont="1" applyFill="1" applyBorder="1" applyAlignment="1">
      <alignment horizontal="left" wrapText="1"/>
    </xf>
    <xf numFmtId="0" fontId="10" fillId="13" borderId="32" xfId="0" applyFont="1" applyFill="1" applyBorder="1" applyAlignment="1">
      <alignment horizontal="left" wrapText="1"/>
    </xf>
    <xf numFmtId="0" fontId="10" fillId="13" borderId="34" xfId="0" applyFont="1" applyFill="1" applyBorder="1" applyAlignment="1">
      <alignment horizontal="left" wrapText="1"/>
    </xf>
    <xf numFmtId="0" fontId="10" fillId="10" borderId="30" xfId="0" applyFont="1" applyFill="1" applyBorder="1" applyAlignment="1">
      <alignment horizontal="left" wrapText="1"/>
    </xf>
    <xf numFmtId="0" fontId="10" fillId="10" borderId="32" xfId="0" applyFont="1" applyFill="1" applyBorder="1" applyAlignment="1">
      <alignment horizontal="left" wrapText="1"/>
    </xf>
    <xf numFmtId="0" fontId="10" fillId="10" borderId="34" xfId="0" applyFont="1" applyFill="1" applyBorder="1" applyAlignment="1">
      <alignment horizontal="left" wrapText="1"/>
    </xf>
    <xf numFmtId="0" fontId="12" fillId="0" borderId="0" xfId="0" applyFont="1" applyAlignment="1">
      <alignment horizontal="left" wrapText="1"/>
    </xf>
    <xf numFmtId="0" fontId="13" fillId="0" borderId="0" xfId="0" applyFont="1" applyAlignment="1">
      <alignment horizontal="left"/>
    </xf>
    <xf numFmtId="0" fontId="14" fillId="3" borderId="0" xfId="0" applyFont="1" applyFill="1"/>
    <xf numFmtId="0" fontId="10" fillId="0" borderId="35" xfId="0" applyFont="1" applyBorder="1" applyAlignment="1">
      <alignment horizontal="left" wrapText="1"/>
    </xf>
    <xf numFmtId="0" fontId="4" fillId="0" borderId="0" xfId="0" applyFont="1" applyAlignment="1">
      <alignment horizontal="left"/>
    </xf>
    <xf numFmtId="0" fontId="12" fillId="0" borderId="0" xfId="0" applyFont="1"/>
    <xf numFmtId="0" fontId="15" fillId="3" borderId="0" xfId="0" applyFont="1" applyFill="1"/>
    <xf numFmtId="0" fontId="10" fillId="0" borderId="36" xfId="0" applyFont="1" applyBorder="1" applyAlignment="1">
      <alignment horizontal="left" wrapText="1"/>
    </xf>
    <xf numFmtId="0" fontId="10" fillId="0" borderId="37" xfId="0" applyFont="1" applyBorder="1" applyAlignment="1">
      <alignment horizontal="left" wrapText="1"/>
    </xf>
    <xf numFmtId="0" fontId="10" fillId="0" borderId="0" xfId="0" applyFont="1" applyAlignment="1">
      <alignment horizontal="left" wrapText="1"/>
    </xf>
    <xf numFmtId="0" fontId="16" fillId="0" borderId="0" xfId="0" applyFont="1" applyAlignment="1">
      <alignment horizontal="left" wrapText="1"/>
    </xf>
    <xf numFmtId="0" fontId="17" fillId="0" borderId="0" xfId="0" applyFont="1" applyAlignment="1">
      <alignment horizontal="left" wrapText="1"/>
    </xf>
    <xf numFmtId="0" fontId="18" fillId="0" borderId="0" xfId="0" applyFont="1" applyAlignment="1">
      <alignment horizontal="left"/>
    </xf>
    <xf numFmtId="0" fontId="4" fillId="3" borderId="0" xfId="0" applyFont="1" applyFill="1" applyAlignment="1">
      <alignment horizontal="left"/>
    </xf>
    <xf numFmtId="0" fontId="4" fillId="0" borderId="0" xfId="0" applyFont="1" applyAlignment="1">
      <alignment horizontal="left" wrapText="1"/>
    </xf>
    <xf numFmtId="0" fontId="19" fillId="0" borderId="0" xfId="0" applyFont="1" applyAlignment="1">
      <alignment horizontal="left"/>
    </xf>
    <xf numFmtId="0" fontId="20" fillId="0" borderId="0" xfId="0" applyFont="1"/>
    <xf numFmtId="0" fontId="21" fillId="0" borderId="0" xfId="0" applyFont="1" applyAlignment="1">
      <alignment horizontal="left"/>
    </xf>
    <xf numFmtId="0" fontId="22" fillId="3" borderId="0" xfId="0" applyFont="1" applyFill="1" applyAlignment="1">
      <alignment horizontal="left"/>
    </xf>
    <xf numFmtId="0" fontId="23" fillId="15" borderId="0" xfId="0" applyFont="1" applyFill="1" applyAlignment="1">
      <alignment horizontal="left" vertical="top" wrapText="1"/>
    </xf>
    <xf numFmtId="0" fontId="9" fillId="15" borderId="0" xfId="0" applyFont="1" applyFill="1" applyAlignment="1">
      <alignment horizontal="left" vertical="top" wrapText="1"/>
    </xf>
    <xf numFmtId="0" fontId="10" fillId="15" borderId="0" xfId="0" applyFont="1" applyFill="1" applyAlignment="1">
      <alignment horizontal="left" vertical="top" wrapText="1"/>
    </xf>
    <xf numFmtId="0" fontId="24" fillId="15" borderId="0" xfId="0" applyFont="1" applyFill="1" applyAlignment="1">
      <alignment horizontal="left" vertical="top" wrapText="1"/>
    </xf>
    <xf numFmtId="0" fontId="25" fillId="15" borderId="0" xfId="0" applyFont="1" applyFill="1" applyAlignment="1">
      <alignment horizontal="left" vertical="top" wrapText="1"/>
    </xf>
    <xf numFmtId="0" fontId="25" fillId="15" borderId="0" xfId="0" applyFont="1" applyFill="1" applyAlignment="1">
      <alignment vertical="top"/>
    </xf>
    <xf numFmtId="0" fontId="25" fillId="15" borderId="0" xfId="0" applyFont="1" applyFill="1" applyAlignment="1">
      <alignment vertical="top" wrapText="1"/>
    </xf>
    <xf numFmtId="0" fontId="25" fillId="0" borderId="0" xfId="0" applyFont="1" applyAlignment="1">
      <alignment vertical="top" wrapText="1"/>
    </xf>
    <xf numFmtId="0" fontId="26" fillId="16" borderId="0" xfId="0" applyFont="1" applyFill="1" applyAlignment="1">
      <alignment horizontal="left"/>
    </xf>
    <xf numFmtId="0" fontId="27" fillId="0" borderId="0" xfId="0" applyFont="1"/>
    <xf numFmtId="0" fontId="10" fillId="0" borderId="35" xfId="0" applyFont="1" applyBorder="1" applyAlignment="1">
      <alignment horizontal="left" vertical="top" wrapText="1"/>
    </xf>
    <xf numFmtId="0" fontId="4" fillId="0" borderId="0" xfId="0" applyFont="1" applyAlignment="1">
      <alignment vertical="top"/>
    </xf>
    <xf numFmtId="0" fontId="28" fillId="0" borderId="0" xfId="0" applyFont="1" applyAlignment="1">
      <alignment horizontal="left"/>
    </xf>
    <xf numFmtId="0" fontId="10" fillId="0" borderId="36" xfId="0" applyFont="1" applyBorder="1" applyAlignment="1">
      <alignment horizontal="left" vertical="top" wrapText="1"/>
    </xf>
    <xf numFmtId="0" fontId="10" fillId="0" borderId="0" xfId="0" applyFont="1" applyAlignment="1">
      <alignment horizontal="left" vertical="top" wrapText="1"/>
    </xf>
    <xf numFmtId="0" fontId="29" fillId="0" borderId="0" xfId="0" applyFont="1" applyAlignment="1">
      <alignment horizontal="left"/>
    </xf>
    <xf numFmtId="0" fontId="7" fillId="0" borderId="0" xfId="0" applyFont="1" applyAlignment="1">
      <alignment horizontal="left" wrapText="1"/>
    </xf>
    <xf numFmtId="0" fontId="10" fillId="0" borderId="0" xfId="0" applyFont="1"/>
    <xf numFmtId="0" fontId="30" fillId="2" borderId="0" xfId="0" applyFont="1" applyFill="1" applyAlignment="1">
      <alignment horizontal="left" wrapText="1"/>
    </xf>
    <xf numFmtId="0" fontId="31" fillId="2" borderId="0" xfId="0" applyFont="1" applyFill="1" applyAlignment="1">
      <alignment horizontal="left"/>
    </xf>
    <xf numFmtId="0" fontId="32" fillId="0" borderId="0" xfId="0" applyFont="1" applyAlignment="1">
      <alignment wrapText="1"/>
    </xf>
    <xf numFmtId="0" fontId="17" fillId="0" borderId="0" xfId="0" applyFont="1" applyAlignment="1">
      <alignment wrapText="1"/>
    </xf>
    <xf numFmtId="0" fontId="17" fillId="0" borderId="0" xfId="0" applyFont="1"/>
    <xf numFmtId="0" fontId="30" fillId="4" borderId="0" xfId="0" applyFont="1" applyFill="1" applyAlignment="1">
      <alignment horizontal="center" wrapText="1"/>
    </xf>
    <xf numFmtId="0" fontId="30" fillId="4" borderId="6" xfId="0" applyFont="1" applyFill="1" applyBorder="1" applyAlignment="1">
      <alignment horizontal="center" wrapText="1"/>
    </xf>
    <xf numFmtId="0" fontId="23" fillId="5" borderId="9" xfId="0" applyFont="1" applyFill="1" applyBorder="1" applyAlignment="1">
      <alignment horizontal="center"/>
    </xf>
    <xf numFmtId="0" fontId="23" fillId="4" borderId="0" xfId="0" applyFont="1" applyFill="1" applyAlignment="1">
      <alignment horizontal="left" vertical="center" wrapText="1"/>
    </xf>
    <xf numFmtId="0" fontId="23" fillId="4" borderId="1" xfId="0" applyFont="1" applyFill="1" applyBorder="1" applyAlignment="1">
      <alignment horizontal="left" vertical="center" wrapText="1"/>
    </xf>
    <xf numFmtId="0" fontId="23" fillId="10" borderId="2" xfId="0" applyFont="1" applyFill="1" applyBorder="1" applyAlignment="1">
      <alignment horizontal="left" vertical="center"/>
    </xf>
    <xf numFmtId="0" fontId="23" fillId="10" borderId="1" xfId="0" applyFont="1" applyFill="1" applyBorder="1" applyAlignment="1">
      <alignment horizontal="left" vertical="center"/>
    </xf>
    <xf numFmtId="0" fontId="23" fillId="10" borderId="2" xfId="0" applyFont="1" applyFill="1" applyBorder="1" applyAlignment="1">
      <alignment horizontal="left" vertical="center" wrapText="1"/>
    </xf>
    <xf numFmtId="0" fontId="30" fillId="10" borderId="2" xfId="0" applyFont="1" applyFill="1" applyBorder="1" applyAlignment="1">
      <alignment horizontal="left" vertical="center" wrapText="1"/>
    </xf>
    <xf numFmtId="0" fontId="30" fillId="10" borderId="3" xfId="0" applyFont="1" applyFill="1" applyBorder="1" applyAlignment="1">
      <alignment horizontal="left" vertical="center" wrapText="1"/>
    </xf>
    <xf numFmtId="0" fontId="30" fillId="18" borderId="0" xfId="0" applyFont="1" applyFill="1" applyAlignment="1">
      <alignment horizontal="left" vertical="center" wrapText="1"/>
    </xf>
    <xf numFmtId="0" fontId="30" fillId="12" borderId="16" xfId="0" applyFont="1" applyFill="1" applyBorder="1" applyAlignment="1">
      <alignment horizontal="left" vertical="center" wrapText="1"/>
    </xf>
    <xf numFmtId="0" fontId="30" fillId="12" borderId="18" xfId="0" applyFont="1" applyFill="1" applyBorder="1" applyAlignment="1">
      <alignment horizontal="left" vertical="center" wrapText="1"/>
    </xf>
    <xf numFmtId="0" fontId="30" fillId="12" borderId="19" xfId="0" applyFont="1" applyFill="1" applyBorder="1" applyAlignment="1">
      <alignment vertical="center" wrapText="1"/>
    </xf>
    <xf numFmtId="0" fontId="30" fillId="2" borderId="16" xfId="0" applyFont="1" applyFill="1" applyBorder="1" applyAlignment="1">
      <alignment horizontal="left" vertical="center" wrapText="1"/>
    </xf>
    <xf numFmtId="0" fontId="30" fillId="2" borderId="18" xfId="0" applyFont="1" applyFill="1" applyBorder="1" applyAlignment="1">
      <alignment horizontal="left" vertical="center" wrapText="1"/>
    </xf>
    <xf numFmtId="0" fontId="23" fillId="2" borderId="18" xfId="0" applyFont="1" applyFill="1" applyBorder="1" applyAlignment="1">
      <alignment horizontal="left" wrapText="1"/>
    </xf>
    <xf numFmtId="0" fontId="30" fillId="2" borderId="19" xfId="0" applyFont="1" applyFill="1" applyBorder="1" applyAlignment="1">
      <alignment horizontal="left" vertical="center" wrapText="1"/>
    </xf>
    <xf numFmtId="0" fontId="30" fillId="13" borderId="16" xfId="0" applyFont="1" applyFill="1" applyBorder="1" applyAlignment="1">
      <alignment horizontal="left" vertical="center" wrapText="1"/>
    </xf>
    <xf numFmtId="0" fontId="30" fillId="13" borderId="18" xfId="0" applyFont="1" applyFill="1" applyBorder="1" applyAlignment="1">
      <alignment horizontal="left" vertical="center" wrapText="1"/>
    </xf>
    <xf numFmtId="0" fontId="30" fillId="13" borderId="19" xfId="0" applyFont="1" applyFill="1" applyBorder="1" applyAlignment="1">
      <alignment horizontal="left" vertical="center" wrapText="1"/>
    </xf>
    <xf numFmtId="0" fontId="30" fillId="10" borderId="16" xfId="0" applyFont="1" applyFill="1" applyBorder="1" applyAlignment="1">
      <alignment horizontal="left" vertical="center" wrapText="1"/>
    </xf>
    <xf numFmtId="0" fontId="30" fillId="10" borderId="18" xfId="0" applyFont="1" applyFill="1" applyBorder="1" applyAlignment="1">
      <alignment horizontal="left" vertical="center" wrapText="1"/>
    </xf>
    <xf numFmtId="0" fontId="30" fillId="10" borderId="19" xfId="0" applyFont="1" applyFill="1" applyBorder="1" applyAlignment="1">
      <alignment horizontal="left" vertical="center" wrapText="1"/>
    </xf>
    <xf numFmtId="0" fontId="23" fillId="0" borderId="0" xfId="0" applyFont="1" applyAlignment="1">
      <alignment horizontal="left" vertical="top" wrapText="1"/>
    </xf>
    <xf numFmtId="0" fontId="23" fillId="0" borderId="1" xfId="0" applyFont="1" applyBorder="1" applyAlignment="1">
      <alignment horizontal="left" vertical="top" wrapText="1"/>
    </xf>
    <xf numFmtId="0" fontId="23" fillId="10" borderId="1" xfId="0" applyFont="1" applyFill="1" applyBorder="1" applyAlignment="1">
      <alignment horizontal="left" vertical="top"/>
    </xf>
    <xf numFmtId="0" fontId="3" fillId="10" borderId="0" xfId="0" applyFont="1" applyFill="1"/>
    <xf numFmtId="0" fontId="23" fillId="10" borderId="25" xfId="0" applyFont="1" applyFill="1" applyBorder="1" applyAlignment="1">
      <alignment horizontal="left" vertical="top" wrapText="1"/>
    </xf>
    <xf numFmtId="0" fontId="12" fillId="10" borderId="25" xfId="0" applyFont="1" applyFill="1" applyBorder="1" applyAlignment="1">
      <alignment horizontal="left" vertical="top" wrapText="1"/>
    </xf>
    <xf numFmtId="0" fontId="12" fillId="10" borderId="26" xfId="0" applyFont="1" applyFill="1" applyBorder="1" applyAlignment="1">
      <alignment horizontal="left" vertical="top" wrapText="1"/>
    </xf>
    <xf numFmtId="0" fontId="12" fillId="18" borderId="1" xfId="0" applyFont="1" applyFill="1" applyBorder="1" applyAlignment="1">
      <alignment horizontal="left" vertical="top" wrapText="1"/>
    </xf>
    <xf numFmtId="0" fontId="12" fillId="18" borderId="2" xfId="0" applyFont="1" applyFill="1" applyBorder="1" applyAlignment="1">
      <alignment horizontal="left" vertical="top" wrapText="1"/>
    </xf>
    <xf numFmtId="0" fontId="12" fillId="18" borderId="3" xfId="0" applyFont="1" applyFill="1" applyBorder="1" applyAlignment="1">
      <alignment horizontal="left" vertical="top" wrapText="1"/>
    </xf>
    <xf numFmtId="0" fontId="12" fillId="12" borderId="39" xfId="0" applyFont="1" applyFill="1" applyBorder="1" applyAlignment="1">
      <alignment horizontal="left" vertical="top" wrapText="1"/>
    </xf>
    <xf numFmtId="0" fontId="12" fillId="12" borderId="40" xfId="0" applyFont="1" applyFill="1" applyBorder="1" applyAlignment="1">
      <alignment horizontal="left" vertical="top" wrapText="1"/>
    </xf>
    <xf numFmtId="0" fontId="12" fillId="12" borderId="41" xfId="0" applyFont="1" applyFill="1" applyBorder="1" applyAlignment="1">
      <alignment horizontal="left" vertical="top" wrapText="1"/>
    </xf>
    <xf numFmtId="0" fontId="12" fillId="12" borderId="42" xfId="0" applyFont="1" applyFill="1" applyBorder="1" applyAlignment="1">
      <alignment horizontal="left" vertical="top" wrapText="1"/>
    </xf>
    <xf numFmtId="0" fontId="12" fillId="2" borderId="43" xfId="0" applyFont="1" applyFill="1" applyBorder="1" applyAlignment="1">
      <alignment horizontal="left" vertical="top" wrapText="1"/>
    </xf>
    <xf numFmtId="0" fontId="12" fillId="2" borderId="44" xfId="0" applyFont="1" applyFill="1" applyBorder="1" applyAlignment="1">
      <alignment horizontal="left" vertical="top" wrapText="1"/>
    </xf>
    <xf numFmtId="0" fontId="17" fillId="2" borderId="44" xfId="0" applyFont="1" applyFill="1" applyBorder="1" applyAlignment="1">
      <alignment horizontal="left" vertical="top" wrapText="1"/>
    </xf>
    <xf numFmtId="0" fontId="17" fillId="2" borderId="45" xfId="0" applyFont="1" applyFill="1" applyBorder="1" applyAlignment="1">
      <alignment vertical="top" wrapText="1"/>
    </xf>
    <xf numFmtId="0" fontId="17" fillId="13" borderId="46" xfId="0" applyFont="1" applyFill="1" applyBorder="1" applyAlignment="1">
      <alignment vertical="top" wrapText="1"/>
    </xf>
    <xf numFmtId="0" fontId="17" fillId="13" borderId="47" xfId="0" applyFont="1" applyFill="1" applyBorder="1" applyAlignment="1">
      <alignment vertical="top" wrapText="1"/>
    </xf>
    <xf numFmtId="0" fontId="17" fillId="13" borderId="45" xfId="0" applyFont="1" applyFill="1" applyBorder="1" applyAlignment="1">
      <alignment vertical="top" wrapText="1"/>
    </xf>
    <xf numFmtId="0" fontId="17" fillId="10" borderId="46" xfId="0" applyFont="1" applyFill="1" applyBorder="1" applyAlignment="1">
      <alignment vertical="top" wrapText="1"/>
    </xf>
    <xf numFmtId="0" fontId="17" fillId="10" borderId="47" xfId="0" applyFont="1" applyFill="1" applyBorder="1" applyAlignment="1">
      <alignment vertical="top" wrapText="1"/>
    </xf>
    <xf numFmtId="0" fontId="17" fillId="10" borderId="45" xfId="0" applyFont="1" applyFill="1" applyBorder="1" applyAlignment="1">
      <alignment vertical="top" wrapText="1"/>
    </xf>
    <xf numFmtId="0" fontId="12" fillId="0" borderId="0" xfId="0" applyFont="1" applyAlignment="1">
      <alignment horizontal="left"/>
    </xf>
    <xf numFmtId="0" fontId="33" fillId="0" borderId="0" xfId="0" applyFont="1" applyAlignment="1">
      <alignment horizontal="left"/>
    </xf>
    <xf numFmtId="0" fontId="12" fillId="3" borderId="0" xfId="0" applyFont="1" applyFill="1"/>
    <xf numFmtId="0" fontId="34" fillId="3" borderId="0" xfId="0" applyFont="1" applyFill="1"/>
    <xf numFmtId="0" fontId="12" fillId="0" borderId="35" xfId="0" applyFont="1" applyBorder="1" applyAlignment="1">
      <alignment horizontal="left" wrapText="1"/>
    </xf>
    <xf numFmtId="0" fontId="12" fillId="3" borderId="0" xfId="0" applyFont="1" applyFill="1" applyAlignment="1">
      <alignment horizontal="left"/>
    </xf>
    <xf numFmtId="0" fontId="35" fillId="3" borderId="0" xfId="0" applyFont="1" applyFill="1" applyAlignment="1">
      <alignment horizontal="left"/>
    </xf>
    <xf numFmtId="0" fontId="12" fillId="0" borderId="36" xfId="0" applyFont="1" applyBorder="1" applyAlignment="1">
      <alignment horizontal="left" wrapText="1"/>
    </xf>
    <xf numFmtId="0" fontId="12" fillId="0" borderId="37" xfId="0" applyFont="1" applyBorder="1" applyAlignment="1">
      <alignment horizontal="left" wrapText="1"/>
    </xf>
    <xf numFmtId="0" fontId="36" fillId="0" borderId="0" xfId="0" applyFont="1"/>
    <xf numFmtId="0" fontId="37" fillId="3" borderId="0" xfId="0" applyFont="1" applyFill="1"/>
    <xf numFmtId="0" fontId="38" fillId="0" borderId="0" xfId="0" applyFont="1"/>
    <xf numFmtId="0" fontId="17" fillId="0" borderId="0" xfId="0" applyFont="1" applyAlignment="1">
      <alignment horizontal="left"/>
    </xf>
    <xf numFmtId="0" fontId="12" fillId="0" borderId="35" xfId="0" applyFont="1" applyBorder="1" applyAlignment="1">
      <alignment horizontal="left" vertical="top" wrapText="1"/>
    </xf>
    <xf numFmtId="49" fontId="12" fillId="0" borderId="0" xfId="0" applyNumberFormat="1" applyFont="1"/>
    <xf numFmtId="49" fontId="39" fillId="0" borderId="0" xfId="0" applyNumberFormat="1" applyFont="1"/>
    <xf numFmtId="0" fontId="40" fillId="0" borderId="0" xfId="0" applyFont="1"/>
    <xf numFmtId="0" fontId="12" fillId="0" borderId="36" xfId="0" applyFont="1" applyBorder="1" applyAlignment="1">
      <alignment horizontal="left" vertical="top" wrapText="1"/>
    </xf>
    <xf numFmtId="0" fontId="41" fillId="0" borderId="0" xfId="0" applyFont="1"/>
    <xf numFmtId="0" fontId="42" fillId="0" borderId="0" xfId="0" applyFont="1"/>
    <xf numFmtId="0" fontId="12" fillId="0" borderId="0" xfId="0" applyFont="1" applyAlignment="1">
      <alignment horizontal="left" vertical="top" wrapText="1"/>
    </xf>
    <xf numFmtId="0" fontId="43" fillId="0" borderId="0" xfId="0" applyFont="1"/>
    <xf numFmtId="0" fontId="44" fillId="0" borderId="48" xfId="0" applyFont="1" applyBorder="1"/>
    <xf numFmtId="0" fontId="12" fillId="0" borderId="49" xfId="0" applyFont="1" applyBorder="1" applyAlignment="1">
      <alignment wrapText="1"/>
    </xf>
    <xf numFmtId="0" fontId="45" fillId="3" borderId="0" xfId="0" applyFont="1" applyFill="1" applyAlignment="1">
      <alignment horizontal="left"/>
    </xf>
    <xf numFmtId="0" fontId="46" fillId="0" borderId="0" xfId="0" applyFont="1"/>
    <xf numFmtId="49" fontId="47" fillId="0" borderId="0" xfId="0" applyNumberFormat="1" applyFont="1"/>
    <xf numFmtId="0" fontId="48" fillId="0" borderId="0" xfId="0" applyFont="1"/>
    <xf numFmtId="0" fontId="32" fillId="0" borderId="0" xfId="0" applyFont="1"/>
    <xf numFmtId="0" fontId="49" fillId="0" borderId="0" xfId="0" applyFont="1"/>
    <xf numFmtId="0" fontId="50" fillId="3" borderId="0" xfId="0" applyFont="1" applyFill="1"/>
    <xf numFmtId="0" fontId="17" fillId="19" borderId="0" xfId="0" applyFont="1" applyFill="1"/>
    <xf numFmtId="0" fontId="12" fillId="19" borderId="0" xfId="0" applyFont="1" applyFill="1"/>
    <xf numFmtId="0" fontId="51" fillId="19" borderId="0" xfId="0" applyFont="1" applyFill="1"/>
    <xf numFmtId="0" fontId="52" fillId="0" borderId="0" xfId="0" applyFont="1"/>
    <xf numFmtId="0" fontId="53" fillId="0" borderId="0" xfId="0" applyFont="1"/>
    <xf numFmtId="0" fontId="17" fillId="3" borderId="0" xfId="0" applyFont="1" applyFill="1"/>
    <xf numFmtId="0" fontId="17" fillId="3" borderId="48" xfId="0" applyFont="1" applyFill="1" applyBorder="1"/>
    <xf numFmtId="0" fontId="17" fillId="0" borderId="49" xfId="0" applyFont="1" applyBorder="1" applyAlignment="1">
      <alignment wrapText="1"/>
    </xf>
    <xf numFmtId="0" fontId="5" fillId="0" borderId="0" xfId="0" applyFont="1"/>
    <xf numFmtId="0" fontId="54" fillId="12" borderId="0" xfId="0" applyFont="1" applyFill="1"/>
    <xf numFmtId="0" fontId="54" fillId="12" borderId="0" xfId="0" applyFont="1" applyFill="1" applyAlignment="1">
      <alignment wrapText="1"/>
    </xf>
    <xf numFmtId="0" fontId="3" fillId="0" borderId="0" xfId="0" applyFont="1"/>
    <xf numFmtId="0" fontId="55" fillId="3" borderId="48" xfId="0" applyFont="1" applyFill="1" applyBorder="1"/>
    <xf numFmtId="0" fontId="56" fillId="0" borderId="0" xfId="0" applyFont="1" applyAlignment="1">
      <alignment wrapText="1"/>
    </xf>
    <xf numFmtId="0" fontId="57" fillId="3" borderId="0" xfId="0" applyFont="1" applyFill="1"/>
    <xf numFmtId="0" fontId="58" fillId="0" borderId="0" xfId="0" applyFont="1" applyAlignment="1">
      <alignment wrapText="1"/>
    </xf>
    <xf numFmtId="0" fontId="59" fillId="0" borderId="0" xfId="0" applyFont="1"/>
    <xf numFmtId="0" fontId="60" fillId="3" borderId="0" xfId="0" applyFont="1" applyFill="1" applyAlignment="1">
      <alignment wrapText="1"/>
    </xf>
    <xf numFmtId="0" fontId="61" fillId="3" borderId="0" xfId="0" applyFont="1" applyFill="1" applyAlignment="1">
      <alignment wrapText="1"/>
    </xf>
    <xf numFmtId="0" fontId="62" fillId="0" borderId="0" xfId="0" applyFont="1" applyAlignment="1">
      <alignment wrapText="1"/>
    </xf>
    <xf numFmtId="0" fontId="63" fillId="0" borderId="0" xfId="0" applyFont="1"/>
    <xf numFmtId="0" fontId="64" fillId="0" borderId="48" xfId="0" applyFont="1" applyBorder="1"/>
    <xf numFmtId="0" fontId="65" fillId="0" borderId="0" xfId="0" applyFont="1" applyAlignment="1">
      <alignment wrapText="1"/>
    </xf>
    <xf numFmtId="0" fontId="66" fillId="0" borderId="0" xfId="0" applyFont="1" applyAlignment="1">
      <alignment wrapText="1"/>
    </xf>
    <xf numFmtId="0" fontId="67" fillId="0" borderId="0" xfId="0" applyFont="1" applyAlignment="1">
      <alignment wrapText="1"/>
    </xf>
    <xf numFmtId="0" fontId="68" fillId="0" borderId="0" xfId="0" applyFont="1" applyAlignment="1">
      <alignment wrapText="1"/>
    </xf>
    <xf numFmtId="0" fontId="69" fillId="0" borderId="0" xfId="0" applyFont="1"/>
    <xf numFmtId="0" fontId="70" fillId="0" borderId="48" xfId="0" applyFont="1" applyBorder="1"/>
    <xf numFmtId="0" fontId="12" fillId="0" borderId="48" xfId="0" applyFont="1" applyBorder="1"/>
    <xf numFmtId="0" fontId="71" fillId="3" borderId="0" xfId="0" applyFont="1" applyFill="1" applyAlignment="1">
      <alignment wrapText="1"/>
    </xf>
    <xf numFmtId="0" fontId="72" fillId="3" borderId="0" xfId="0" applyFont="1" applyFill="1" applyAlignment="1">
      <alignment wrapText="1"/>
    </xf>
    <xf numFmtId="0" fontId="60" fillId="3" borderId="0" xfId="0" applyFont="1" applyFill="1"/>
    <xf numFmtId="0" fontId="73" fillId="0" borderId="0" xfId="0" applyFont="1"/>
    <xf numFmtId="0" fontId="74" fillId="0" borderId="0" xfId="0" applyFont="1"/>
    <xf numFmtId="0" fontId="12" fillId="0" borderId="49" xfId="0" applyFont="1" applyBorder="1"/>
    <xf numFmtId="0" fontId="75" fillId="3" borderId="0" xfId="0" applyFont="1" applyFill="1" applyAlignment="1">
      <alignment horizontal="left"/>
    </xf>
    <xf numFmtId="0" fontId="68" fillId="0" borderId="0" xfId="0" applyFont="1"/>
    <xf numFmtId="0" fontId="76" fillId="0" borderId="0" xfId="0" applyFont="1"/>
    <xf numFmtId="0" fontId="77" fillId="0" borderId="0" xfId="0" applyFont="1" applyAlignment="1">
      <alignment wrapText="1"/>
    </xf>
    <xf numFmtId="0" fontId="3" fillId="0" borderId="0" xfId="0" applyFont="1" applyAlignment="1">
      <alignment horizontal="right" wrapText="1"/>
    </xf>
    <xf numFmtId="0" fontId="62" fillId="0" borderId="0" xfId="0" applyFont="1"/>
    <xf numFmtId="0" fontId="78" fillId="0" borderId="0" xfId="0" applyFont="1" applyAlignment="1">
      <alignment wrapText="1"/>
    </xf>
    <xf numFmtId="0" fontId="79" fillId="0" borderId="0" xfId="0" applyFont="1" applyAlignment="1">
      <alignment wrapText="1"/>
    </xf>
    <xf numFmtId="0" fontId="23" fillId="0" borderId="2" xfId="0" applyFont="1" applyBorder="1" applyAlignment="1">
      <alignment horizontal="left" vertical="center" wrapText="1"/>
    </xf>
    <xf numFmtId="0" fontId="30" fillId="12" borderId="19" xfId="0" applyFont="1" applyFill="1" applyBorder="1" applyAlignment="1">
      <alignment horizontal="left" vertical="center" wrapText="1"/>
    </xf>
    <xf numFmtId="0" fontId="23" fillId="2" borderId="18" xfId="0" applyFont="1" applyFill="1" applyBorder="1" applyAlignment="1">
      <alignment horizontal="left" vertical="center" wrapText="1"/>
    </xf>
    <xf numFmtId="0" fontId="7" fillId="0" borderId="0" xfId="0" applyFont="1" applyAlignment="1">
      <alignment horizontal="left" vertical="center"/>
    </xf>
    <xf numFmtId="49" fontId="80" fillId="0" borderId="0" xfId="0" applyNumberFormat="1" applyFont="1"/>
    <xf numFmtId="0" fontId="81" fillId="3" borderId="0" xfId="0" applyFont="1" applyFill="1"/>
    <xf numFmtId="0" fontId="17" fillId="0" borderId="48" xfId="0" applyFont="1" applyBorder="1"/>
    <xf numFmtId="0" fontId="17" fillId="0" borderId="50" xfId="0" applyFont="1" applyBorder="1" applyAlignment="1">
      <alignment wrapText="1"/>
    </xf>
    <xf numFmtId="0" fontId="17" fillId="0" borderId="48" xfId="0" applyFont="1" applyBorder="1" applyAlignment="1">
      <alignment wrapText="1"/>
    </xf>
    <xf numFmtId="0" fontId="82" fillId="0" borderId="0" xfId="0" applyFont="1"/>
    <xf numFmtId="0" fontId="83" fillId="0" borderId="0" xfId="0" applyFont="1"/>
    <xf numFmtId="0" fontId="84" fillId="0" borderId="48" xfId="0" applyFont="1" applyBorder="1"/>
    <xf numFmtId="0" fontId="4" fillId="3" borderId="0" xfId="0" applyFont="1" applyFill="1"/>
    <xf numFmtId="0" fontId="85" fillId="3" borderId="0" xfId="0" applyFont="1" applyFill="1"/>
    <xf numFmtId="0" fontId="86" fillId="0" borderId="0" xfId="0" applyFont="1"/>
    <xf numFmtId="49" fontId="4" fillId="0" borderId="0" xfId="0" applyNumberFormat="1" applyFont="1"/>
    <xf numFmtId="0" fontId="87" fillId="0" borderId="0" xfId="0" applyFont="1"/>
    <xf numFmtId="0" fontId="88" fillId="7" borderId="0" xfId="0" applyFont="1" applyFill="1" applyAlignment="1">
      <alignment wrapText="1"/>
    </xf>
    <xf numFmtId="0" fontId="89" fillId="7" borderId="0" xfId="0" applyFont="1" applyFill="1" applyAlignment="1">
      <alignment wrapText="1"/>
    </xf>
    <xf numFmtId="0" fontId="3" fillId="7" borderId="0" xfId="0" applyFont="1" applyFill="1"/>
    <xf numFmtId="0" fontId="7" fillId="0" borderId="0" xfId="0" applyFont="1" applyAlignment="1">
      <alignment wrapText="1"/>
    </xf>
    <xf numFmtId="0" fontId="90" fillId="0" borderId="0" xfId="0" applyFont="1" applyAlignment="1">
      <alignment wrapText="1"/>
    </xf>
    <xf numFmtId="0" fontId="91" fillId="0" borderId="0" xfId="0" applyFont="1"/>
    <xf numFmtId="0" fontId="92" fillId="0" borderId="0" xfId="0" applyFont="1" applyAlignment="1">
      <alignment wrapText="1"/>
    </xf>
    <xf numFmtId="0" fontId="93" fillId="0" borderId="0" xfId="0" applyFont="1"/>
    <xf numFmtId="0" fontId="94" fillId="0" borderId="0" xfId="0" applyFont="1" applyAlignment="1">
      <alignment wrapText="1"/>
    </xf>
    <xf numFmtId="0" fontId="95" fillId="0" borderId="0" xfId="0" applyFont="1"/>
    <xf numFmtId="0" fontId="96" fillId="0" borderId="0" xfId="0" applyFont="1"/>
    <xf numFmtId="0" fontId="97" fillId="0" borderId="0" xfId="0" applyFont="1"/>
    <xf numFmtId="0" fontId="98" fillId="7" borderId="0" xfId="0" applyFont="1" applyFill="1" applyAlignment="1">
      <alignment wrapText="1"/>
    </xf>
    <xf numFmtId="0" fontId="99" fillId="0" borderId="0" xfId="0" applyFont="1"/>
    <xf numFmtId="0" fontId="6" fillId="9" borderId="14" xfId="0" applyFont="1" applyFill="1" applyBorder="1" applyAlignment="1">
      <alignment horizontal="center" wrapText="1"/>
    </xf>
    <xf numFmtId="0" fontId="2" fillId="0" borderId="8" xfId="0" applyFont="1" applyBorder="1"/>
    <xf numFmtId="0" fontId="2" fillId="0" borderId="15" xfId="0" applyFont="1" applyBorder="1"/>
    <xf numFmtId="0" fontId="6" fillId="5" borderId="14" xfId="0" applyFont="1" applyFill="1" applyBorder="1" applyAlignment="1">
      <alignment horizontal="center" wrapText="1"/>
    </xf>
    <xf numFmtId="0" fontId="1" fillId="2" borderId="1" xfId="0" applyFont="1" applyFill="1" applyBorder="1" applyAlignment="1">
      <alignment horizontal="left" wrapText="1"/>
    </xf>
    <xf numFmtId="0" fontId="2" fillId="0" borderId="2" xfId="0" applyFont="1" applyBorder="1"/>
    <xf numFmtId="0" fontId="2" fillId="0" borderId="3" xfId="0" applyFont="1" applyBorder="1"/>
    <xf numFmtId="0" fontId="5" fillId="3" borderId="4" xfId="0" applyFont="1" applyFill="1" applyBorder="1" applyAlignment="1">
      <alignment horizontal="left" wrapText="1"/>
    </xf>
    <xf numFmtId="0" fontId="0" fillId="0" borderId="0" xfId="0"/>
    <xf numFmtId="0" fontId="2" fillId="0" borderId="5" xfId="0" applyFont="1" applyBorder="1"/>
    <xf numFmtId="0" fontId="5" fillId="3" borderId="4" xfId="0" applyFont="1" applyFill="1" applyBorder="1" applyAlignment="1">
      <alignment horizontal="left" vertical="top" wrapText="1"/>
    </xf>
    <xf numFmtId="0" fontId="6" fillId="5" borderId="7" xfId="0" applyFont="1" applyFill="1" applyBorder="1" applyAlignment="1">
      <alignment horizontal="center" wrapText="1"/>
    </xf>
    <xf numFmtId="0" fontId="2" fillId="0" borderId="9" xfId="0" applyFont="1" applyBorder="1"/>
    <xf numFmtId="0" fontId="6" fillId="7" borderId="11" xfId="0" applyFont="1" applyFill="1" applyBorder="1" applyAlignment="1">
      <alignment horizontal="center" wrapText="1"/>
    </xf>
    <xf numFmtId="0" fontId="2" fillId="0" borderId="12" xfId="0" applyFont="1" applyBorder="1"/>
    <xf numFmtId="0" fontId="2" fillId="0" borderId="13" xfId="0" applyFont="1" applyBorder="1"/>
    <xf numFmtId="0" fontId="6" fillId="8" borderId="14" xfId="0" applyFont="1" applyFill="1" applyBorder="1" applyAlignment="1">
      <alignment horizontal="center" wrapText="1"/>
    </xf>
    <xf numFmtId="0" fontId="30" fillId="9" borderId="14" xfId="0" applyFont="1" applyFill="1" applyBorder="1" applyAlignment="1">
      <alignment horizontal="center" wrapText="1"/>
    </xf>
    <xf numFmtId="0" fontId="30" fillId="5" borderId="14" xfId="0" applyFont="1" applyFill="1" applyBorder="1" applyAlignment="1">
      <alignment horizontal="center" wrapText="1"/>
    </xf>
    <xf numFmtId="0" fontId="31" fillId="2" borderId="1" xfId="0" applyFont="1" applyFill="1" applyBorder="1" applyAlignment="1">
      <alignment horizontal="left"/>
    </xf>
    <xf numFmtId="0" fontId="23" fillId="5" borderId="7" xfId="0" applyFont="1" applyFill="1" applyBorder="1" applyAlignment="1">
      <alignment horizontal="center"/>
    </xf>
    <xf numFmtId="0" fontId="30" fillId="17" borderId="38" xfId="0" applyFont="1" applyFill="1" applyBorder="1" applyAlignment="1">
      <alignment horizontal="center" wrapText="1"/>
    </xf>
    <xf numFmtId="0" fontId="30" fillId="7" borderId="11" xfId="0" applyFont="1" applyFill="1" applyBorder="1" applyAlignment="1">
      <alignment horizontal="center" wrapText="1"/>
    </xf>
    <xf numFmtId="0" fontId="30" fillId="8" borderId="14" xfId="0" applyFont="1" applyFill="1" applyBorder="1" applyAlignment="1">
      <alignment horizontal="center" wrapText="1"/>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twitter.com/Resist_05/status/1681096634854436865" TargetMode="External"/><Relationship Id="rId18" Type="http://schemas.openxmlformats.org/officeDocument/2006/relationships/hyperlink" Target="https://twitter.com/Resist_05/status/1681096634854436865" TargetMode="External"/><Relationship Id="rId26" Type="http://schemas.openxmlformats.org/officeDocument/2006/relationships/hyperlink" Target="https://twitter.com/Osinttechnical/status/1743934358673649996" TargetMode="External"/><Relationship Id="rId39" Type="http://schemas.openxmlformats.org/officeDocument/2006/relationships/hyperlink" Target="https://twitter.com/Osinttechnical" TargetMode="External"/><Relationship Id="rId21" Type="http://schemas.openxmlformats.org/officeDocument/2006/relationships/hyperlink" Target="https://twitter.com/Resist_05" TargetMode="External"/><Relationship Id="rId34" Type="http://schemas.openxmlformats.org/officeDocument/2006/relationships/hyperlink" Target="https://twitter.com/Osinttechnical/status/1743934358673649996" TargetMode="External"/><Relationship Id="rId7" Type="http://schemas.openxmlformats.org/officeDocument/2006/relationships/hyperlink" Target="https://twitter.com/Resist_05/status/1681096634854436865" TargetMode="External"/><Relationship Id="rId12" Type="http://schemas.openxmlformats.org/officeDocument/2006/relationships/hyperlink" Target="https://twitter.com/Resist_05" TargetMode="External"/><Relationship Id="rId17" Type="http://schemas.openxmlformats.org/officeDocument/2006/relationships/hyperlink" Target="https://twitter.com/Resist_05" TargetMode="External"/><Relationship Id="rId25" Type="http://schemas.openxmlformats.org/officeDocument/2006/relationships/hyperlink" Target="https://twitter.com/Osinttechnical" TargetMode="External"/><Relationship Id="rId33" Type="http://schemas.openxmlformats.org/officeDocument/2006/relationships/hyperlink" Target="https://twitter.com/Osinttechnical" TargetMode="External"/><Relationship Id="rId38" Type="http://schemas.openxmlformats.org/officeDocument/2006/relationships/hyperlink" Target="https://twitter.com/Osinttechnical/status/1743934358673649996" TargetMode="External"/><Relationship Id="rId2" Type="http://schemas.openxmlformats.org/officeDocument/2006/relationships/hyperlink" Target="https://twitter.com/Resist_05" TargetMode="External"/><Relationship Id="rId16" Type="http://schemas.openxmlformats.org/officeDocument/2006/relationships/hyperlink" Target="https://twitter.com/Resist_05/status/1681096634854436865" TargetMode="External"/><Relationship Id="rId20" Type="http://schemas.openxmlformats.org/officeDocument/2006/relationships/hyperlink" Target="https://twitter.com/Resist_05/status/1681096634854436865" TargetMode="External"/><Relationship Id="rId29" Type="http://schemas.openxmlformats.org/officeDocument/2006/relationships/hyperlink" Target="https://twitter.com/Osinttechnical" TargetMode="External"/><Relationship Id="rId1" Type="http://schemas.openxmlformats.org/officeDocument/2006/relationships/hyperlink" Target="https://twitter.com/Resist_05/status/1681096634854436865" TargetMode="External"/><Relationship Id="rId6" Type="http://schemas.openxmlformats.org/officeDocument/2006/relationships/hyperlink" Target="https://twitter.com/Resist_05" TargetMode="External"/><Relationship Id="rId11" Type="http://schemas.openxmlformats.org/officeDocument/2006/relationships/hyperlink" Target="https://twitter.com/Resist_05/status/1681096634854436865" TargetMode="External"/><Relationship Id="rId24" Type="http://schemas.openxmlformats.org/officeDocument/2006/relationships/hyperlink" Target="https://twitter.com/Osinttechnical/status/1743934358673649996" TargetMode="External"/><Relationship Id="rId32" Type="http://schemas.openxmlformats.org/officeDocument/2006/relationships/hyperlink" Target="https://twitter.com/Resist_05/status/1681096634854436865" TargetMode="External"/><Relationship Id="rId37" Type="http://schemas.openxmlformats.org/officeDocument/2006/relationships/hyperlink" Target="https://twitter.com/Osinttechnical" TargetMode="External"/><Relationship Id="rId5" Type="http://schemas.openxmlformats.org/officeDocument/2006/relationships/hyperlink" Target="https://twitter.com/Resist_05/status/1681096634854436865" TargetMode="External"/><Relationship Id="rId15" Type="http://schemas.openxmlformats.org/officeDocument/2006/relationships/hyperlink" Target="https://twitter.com/Osinttechnical/status/1743934358673649996" TargetMode="External"/><Relationship Id="rId23" Type="http://schemas.openxmlformats.org/officeDocument/2006/relationships/hyperlink" Target="https://twitter.com/Osinttechnical" TargetMode="External"/><Relationship Id="rId28" Type="http://schemas.openxmlformats.org/officeDocument/2006/relationships/hyperlink" Target="https://twitter.com/Osinttechnical/status/1743934358673649996" TargetMode="External"/><Relationship Id="rId36" Type="http://schemas.openxmlformats.org/officeDocument/2006/relationships/hyperlink" Target="https://twitter.com/Osinttechnical/status/1743934358673649996" TargetMode="External"/><Relationship Id="rId10" Type="http://schemas.openxmlformats.org/officeDocument/2006/relationships/hyperlink" Target="https://twitter.com/Resist_05" TargetMode="External"/><Relationship Id="rId19" Type="http://schemas.openxmlformats.org/officeDocument/2006/relationships/hyperlink" Target="https://twitter.com/Resist_05" TargetMode="External"/><Relationship Id="rId31" Type="http://schemas.openxmlformats.org/officeDocument/2006/relationships/hyperlink" Target="https://twitter.com/Osinttechnical" TargetMode="External"/><Relationship Id="rId4" Type="http://schemas.openxmlformats.org/officeDocument/2006/relationships/hyperlink" Target="https://twitter.com/Resist_05" TargetMode="External"/><Relationship Id="rId9" Type="http://schemas.openxmlformats.org/officeDocument/2006/relationships/hyperlink" Target="https://twitter.com/Resist_05/status/1681096634854436865" TargetMode="External"/><Relationship Id="rId14" Type="http://schemas.openxmlformats.org/officeDocument/2006/relationships/hyperlink" Target="https://twitter.com/Resist_05" TargetMode="External"/><Relationship Id="rId22" Type="http://schemas.openxmlformats.org/officeDocument/2006/relationships/hyperlink" Target="https://twitter.com/Osinttechnical/status/1743934358673649996" TargetMode="External"/><Relationship Id="rId27" Type="http://schemas.openxmlformats.org/officeDocument/2006/relationships/hyperlink" Target="https://twitter.com/Osinttechnical" TargetMode="External"/><Relationship Id="rId30" Type="http://schemas.openxmlformats.org/officeDocument/2006/relationships/hyperlink" Target="https://twitter.com/Osinttechnical/status/1743934358673649996" TargetMode="External"/><Relationship Id="rId35" Type="http://schemas.openxmlformats.org/officeDocument/2006/relationships/hyperlink" Target="https://twitter.com/Osinttechnical" TargetMode="External"/><Relationship Id="rId8" Type="http://schemas.openxmlformats.org/officeDocument/2006/relationships/hyperlink" Target="https://twitter.com/Resist_05" TargetMode="External"/><Relationship Id="rId3" Type="http://schemas.openxmlformats.org/officeDocument/2006/relationships/hyperlink" Target="https://twitter.com/Resist_05/status/1681096634854436865"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twitter.com/JakeGodin/status/1734975208367194235" TargetMode="External"/><Relationship Id="rId299" Type="http://schemas.openxmlformats.org/officeDocument/2006/relationships/hyperlink" Target="https://twitter.com/Osint613" TargetMode="External"/><Relationship Id="rId21" Type="http://schemas.openxmlformats.org/officeDocument/2006/relationships/hyperlink" Target="https://twitter.com/bili_vovky/status/1597216249670692864" TargetMode="External"/><Relationship Id="rId63" Type="http://schemas.openxmlformats.org/officeDocument/2006/relationships/hyperlink" Target="https://twitter.com/PijkerenTb/status/1725397839650459719" TargetMode="External"/><Relationship Id="rId159" Type="http://schemas.openxmlformats.org/officeDocument/2006/relationships/hyperlink" Target="https://twitter.com/sergioajv1" TargetMode="External"/><Relationship Id="rId324" Type="http://schemas.openxmlformats.org/officeDocument/2006/relationships/hyperlink" Target="https://twitter.com/UKikaski/status/1744694446220869674" TargetMode="External"/><Relationship Id="rId366" Type="http://schemas.openxmlformats.org/officeDocument/2006/relationships/hyperlink" Target="https://twitter.com/rudyurbaniak/status/1743564710027362417" TargetMode="External"/><Relationship Id="rId170" Type="http://schemas.openxmlformats.org/officeDocument/2006/relationships/hyperlink" Target="https://twitter.com/MyanmarWitness/status/1745082085809737968" TargetMode="External"/><Relationship Id="rId226" Type="http://schemas.openxmlformats.org/officeDocument/2006/relationships/hyperlink" Target="https://twitter.com/djuric_zlatko/status/1745182457639424159" TargetMode="External"/><Relationship Id="rId268" Type="http://schemas.openxmlformats.org/officeDocument/2006/relationships/hyperlink" Target="https://twitter.com/Tendar" TargetMode="External"/><Relationship Id="rId32" Type="http://schemas.openxmlformats.org/officeDocument/2006/relationships/hyperlink" Target="https://twitter.com/hugeglassofmilk" TargetMode="External"/><Relationship Id="rId74" Type="http://schemas.openxmlformats.org/officeDocument/2006/relationships/hyperlink" Target="https://twitter.com/DD_Geopolitics/status/1745449465195159853" TargetMode="External"/><Relationship Id="rId128" Type="http://schemas.openxmlformats.org/officeDocument/2006/relationships/hyperlink" Target="https://twitter.com/Mvjko" TargetMode="External"/><Relationship Id="rId335" Type="http://schemas.openxmlformats.org/officeDocument/2006/relationships/hyperlink" Target="https://twitter.com/FrenchOsint/status/1745008353367978167" TargetMode="External"/><Relationship Id="rId377" Type="http://schemas.openxmlformats.org/officeDocument/2006/relationships/hyperlink" Target="https://twitter.com/osint_random/status/1744861056709611668" TargetMode="External"/><Relationship Id="rId5" Type="http://schemas.openxmlformats.org/officeDocument/2006/relationships/hyperlink" Target="https://twitter.com/liz_churchill10/status/1681325307863728129" TargetMode="External"/><Relationship Id="rId181" Type="http://schemas.openxmlformats.org/officeDocument/2006/relationships/hyperlink" Target="https://twitter.com/IPHRinvestigate/status/1711637964004991142" TargetMode="External"/><Relationship Id="rId237" Type="http://schemas.openxmlformats.org/officeDocument/2006/relationships/hyperlink" Target="https://twitter.com/IPHRinvestigate/status/1710550777037488240" TargetMode="External"/><Relationship Id="rId402" Type="http://schemas.openxmlformats.org/officeDocument/2006/relationships/hyperlink" Target="https://twitter.com/Christophe_Tymo/status/1742597434457444601" TargetMode="External"/><Relationship Id="rId279" Type="http://schemas.openxmlformats.org/officeDocument/2006/relationships/hyperlink" Target="https://twitter.com/Tendar/status/1741447925996143098" TargetMode="External"/><Relationship Id="rId43" Type="http://schemas.openxmlformats.org/officeDocument/2006/relationships/hyperlink" Target="https://twitter.com/DataAbyssAI" TargetMode="External"/><Relationship Id="rId139" Type="http://schemas.openxmlformats.org/officeDocument/2006/relationships/hyperlink" Target="https://twitter.com/Mvjko" TargetMode="External"/><Relationship Id="rId290" Type="http://schemas.openxmlformats.org/officeDocument/2006/relationships/hyperlink" Target="https://twitter.com/KentTahir65227/status/1743223527350673870" TargetMode="External"/><Relationship Id="rId304" Type="http://schemas.openxmlformats.org/officeDocument/2006/relationships/hyperlink" Target="https://twitter.com/YUranium235" TargetMode="External"/><Relationship Id="rId346" Type="http://schemas.openxmlformats.org/officeDocument/2006/relationships/hyperlink" Target="https://twitter.com/osint_random/status/1744474648073368027" TargetMode="External"/><Relationship Id="rId388" Type="http://schemas.openxmlformats.org/officeDocument/2006/relationships/hyperlink" Target="https://twitter.com/andrefrigon2/status/1743290627519811850" TargetMode="External"/><Relationship Id="rId85" Type="http://schemas.openxmlformats.org/officeDocument/2006/relationships/hyperlink" Target="https://twitter.com/bradheitmann/status/1540808820796010496" TargetMode="External"/><Relationship Id="rId150" Type="http://schemas.openxmlformats.org/officeDocument/2006/relationships/hyperlink" Target="https://twitter.com/trbrtc/status/1724513414092038348" TargetMode="External"/><Relationship Id="rId192" Type="http://schemas.openxmlformats.org/officeDocument/2006/relationships/hyperlink" Target="https://twitter.com/WarMonitors/status/1744843254766415993" TargetMode="External"/><Relationship Id="rId206" Type="http://schemas.openxmlformats.org/officeDocument/2006/relationships/hyperlink" Target="https://twitter.com/kreyren" TargetMode="External"/><Relationship Id="rId413" Type="http://schemas.openxmlformats.org/officeDocument/2006/relationships/hyperlink" Target="https://twitter.com/osint_w/status/1743763551125155983" TargetMode="External"/><Relationship Id="rId248" Type="http://schemas.openxmlformats.org/officeDocument/2006/relationships/hyperlink" Target="https://twitter.com/mikalowistk/status/1741532032323277222" TargetMode="External"/><Relationship Id="rId12" Type="http://schemas.openxmlformats.org/officeDocument/2006/relationships/hyperlink" Target="https://twitter.com/WallStreetApes/status/1685451792258351104" TargetMode="External"/><Relationship Id="rId108" Type="http://schemas.openxmlformats.org/officeDocument/2006/relationships/hyperlink" Target="https://twitter.com/ariehkovler/status/1742993745732124991" TargetMode="External"/><Relationship Id="rId315" Type="http://schemas.openxmlformats.org/officeDocument/2006/relationships/hyperlink" Target="https://twitter.com/BenDoBrown/status/1724864270419046402" TargetMode="External"/><Relationship Id="rId357" Type="http://schemas.openxmlformats.org/officeDocument/2006/relationships/hyperlink" Target="https://twitter.com/osint_random/status/1745039181049373028" TargetMode="External"/><Relationship Id="rId54" Type="http://schemas.openxmlformats.org/officeDocument/2006/relationships/hyperlink" Target="https://twitter.com/Forrest_Rogers/status/1496254107660738568" TargetMode="External"/><Relationship Id="rId96" Type="http://schemas.openxmlformats.org/officeDocument/2006/relationships/hyperlink" Target="https://twitter.com/lobsterlarryliu/status/1743552123852247315" TargetMode="External"/><Relationship Id="rId161" Type="http://schemas.openxmlformats.org/officeDocument/2006/relationships/hyperlink" Target="https://twitter.com/madmaxburn88/status/1742989024871285182" TargetMode="External"/><Relationship Id="rId217" Type="http://schemas.openxmlformats.org/officeDocument/2006/relationships/hyperlink" Target="https://twitter.com/djuric_zlatko/status/1745441834506338475" TargetMode="External"/><Relationship Id="rId399" Type="http://schemas.openxmlformats.org/officeDocument/2006/relationships/hyperlink" Target="https://twitter.com/osint_random/status/1744306606722957802" TargetMode="External"/><Relationship Id="rId259" Type="http://schemas.openxmlformats.org/officeDocument/2006/relationships/hyperlink" Target="https://twitter.com/obretix/status/1742880753992536272" TargetMode="External"/><Relationship Id="rId424" Type="http://schemas.openxmlformats.org/officeDocument/2006/relationships/hyperlink" Target="https://twitter.com/SraOSINT/status/1743077476845195439" TargetMode="External"/><Relationship Id="rId23" Type="http://schemas.openxmlformats.org/officeDocument/2006/relationships/hyperlink" Target="https://twitter.com/BrennpunktUA/status/1739023982970438103" TargetMode="External"/><Relationship Id="rId119" Type="http://schemas.openxmlformats.org/officeDocument/2006/relationships/hyperlink" Target="https://twitter.com/jfuruly/status/1718196319347442029" TargetMode="External"/><Relationship Id="rId270" Type="http://schemas.openxmlformats.org/officeDocument/2006/relationships/hyperlink" Target="https://twitter.com/Tendar" TargetMode="External"/><Relationship Id="rId326" Type="http://schemas.openxmlformats.org/officeDocument/2006/relationships/hyperlink" Target="https://twitter.com/UKikaski/status/1744671046664413344" TargetMode="External"/><Relationship Id="rId65" Type="http://schemas.openxmlformats.org/officeDocument/2006/relationships/hyperlink" Target="https://twitter.com/Partisangirl/status/1733026025150222482" TargetMode="External"/><Relationship Id="rId130" Type="http://schemas.openxmlformats.org/officeDocument/2006/relationships/hyperlink" Target="https://twitter.com/tom_bike/status/1730212198725636584" TargetMode="External"/><Relationship Id="rId368" Type="http://schemas.openxmlformats.org/officeDocument/2006/relationships/hyperlink" Target="https://twitter.com/mathieuandro/status/1743682996937408790" TargetMode="External"/><Relationship Id="rId172" Type="http://schemas.openxmlformats.org/officeDocument/2006/relationships/hyperlink" Target="https://twitter.com/brechtcastel/status/1471139015344771081" TargetMode="External"/><Relationship Id="rId228" Type="http://schemas.openxmlformats.org/officeDocument/2006/relationships/hyperlink" Target="https://twitter.com/djuric_zlatko/status/1745099859277795401" TargetMode="External"/><Relationship Id="rId281" Type="http://schemas.openxmlformats.org/officeDocument/2006/relationships/hyperlink" Target="https://twitter.com/Tendar/status/1740853601516601850" TargetMode="External"/><Relationship Id="rId337" Type="http://schemas.openxmlformats.org/officeDocument/2006/relationships/hyperlink" Target="https://twitter.com/DumortierEmily/status/1744045105101578752" TargetMode="External"/><Relationship Id="rId34" Type="http://schemas.openxmlformats.org/officeDocument/2006/relationships/hyperlink" Target="https://twitter.com/mbentvelsen/status/1723986697929531399" TargetMode="External"/><Relationship Id="rId76" Type="http://schemas.openxmlformats.org/officeDocument/2006/relationships/hyperlink" Target="https://twitter.com/hugeglassofmilk/status/1719287930286375233" TargetMode="External"/><Relationship Id="rId141" Type="http://schemas.openxmlformats.org/officeDocument/2006/relationships/hyperlink" Target="https://twitter.com/JoshuaKoontz__" TargetMode="External"/><Relationship Id="rId379" Type="http://schemas.openxmlformats.org/officeDocument/2006/relationships/hyperlink" Target="https://twitter.com/Prevention_web/status/1742580451443675209" TargetMode="External"/><Relationship Id="rId7" Type="http://schemas.openxmlformats.org/officeDocument/2006/relationships/hyperlink" Target="https://twitter.com/Resist_05/status/1681096634854436865" TargetMode="External"/><Relationship Id="rId183" Type="http://schemas.openxmlformats.org/officeDocument/2006/relationships/hyperlink" Target="https://twitter.com/WarMonitors/status/1745418194989232536" TargetMode="External"/><Relationship Id="rId239" Type="http://schemas.openxmlformats.org/officeDocument/2006/relationships/hyperlink" Target="https://twitter.com/bayraktar_1love/status/1743272912914685982" TargetMode="External"/><Relationship Id="rId390" Type="http://schemas.openxmlformats.org/officeDocument/2006/relationships/hyperlink" Target="https://twitter.com/osint_random/status/1742916166530846978" TargetMode="External"/><Relationship Id="rId404" Type="http://schemas.openxmlformats.org/officeDocument/2006/relationships/hyperlink" Target="https://twitter.com/opsimathycouk/status/1742815198006607979" TargetMode="External"/><Relationship Id="rId250" Type="http://schemas.openxmlformats.org/officeDocument/2006/relationships/hyperlink" Target="https://twitter.com/djuric_zlatko/status/1744283969011544397" TargetMode="External"/><Relationship Id="rId292" Type="http://schemas.openxmlformats.org/officeDocument/2006/relationships/hyperlink" Target="https://twitter.com/ukraine_osint/status/1712230703880982657" TargetMode="External"/><Relationship Id="rId306" Type="http://schemas.openxmlformats.org/officeDocument/2006/relationships/hyperlink" Target="https://twitter.com/cirnosad" TargetMode="External"/><Relationship Id="rId45" Type="http://schemas.openxmlformats.org/officeDocument/2006/relationships/hyperlink" Target="https://twitter.com/Volodymyr_D_" TargetMode="External"/><Relationship Id="rId87" Type="http://schemas.openxmlformats.org/officeDocument/2006/relationships/hyperlink" Target="https://twitter.com/OSINT_UA/status/1592594788444172288" TargetMode="External"/><Relationship Id="rId110" Type="http://schemas.openxmlformats.org/officeDocument/2006/relationships/hyperlink" Target="https://twitter.com/daniel_van0/status/1710518671855042718" TargetMode="External"/><Relationship Id="rId348" Type="http://schemas.openxmlformats.org/officeDocument/2006/relationships/hyperlink" Target="https://twitter.com/osint_random/status/1743336095792889989" TargetMode="External"/><Relationship Id="rId152" Type="http://schemas.openxmlformats.org/officeDocument/2006/relationships/hyperlink" Target="https://twitter.com/btselem/status/1721533312538186061" TargetMode="External"/><Relationship Id="rId194" Type="http://schemas.openxmlformats.org/officeDocument/2006/relationships/hyperlink" Target="https://twitter.com/WarMonitors/status/1744792969482273110" TargetMode="External"/><Relationship Id="rId208" Type="http://schemas.openxmlformats.org/officeDocument/2006/relationships/hyperlink" Target="https://twitter.com/WarMonitors" TargetMode="External"/><Relationship Id="rId415" Type="http://schemas.openxmlformats.org/officeDocument/2006/relationships/hyperlink" Target="https://twitter.com/UKikaski/status/1744090601274929194" TargetMode="External"/><Relationship Id="rId261" Type="http://schemas.openxmlformats.org/officeDocument/2006/relationships/hyperlink" Target="https://twitter.com/Tendar" TargetMode="External"/><Relationship Id="rId14" Type="http://schemas.openxmlformats.org/officeDocument/2006/relationships/hyperlink" Target="https://twitter.com/matincantweet" TargetMode="External"/><Relationship Id="rId56" Type="http://schemas.openxmlformats.org/officeDocument/2006/relationships/hyperlink" Target="https://twitter.com/Sabados7/status/1496824540466401287" TargetMode="External"/><Relationship Id="rId317" Type="http://schemas.openxmlformats.org/officeDocument/2006/relationships/hyperlink" Target="https://twitter.com/mattckwilliams/status/1575604348461420544" TargetMode="External"/><Relationship Id="rId359" Type="http://schemas.openxmlformats.org/officeDocument/2006/relationships/hyperlink" Target="https://twitter.com/osint_random/status/1742704004671627334" TargetMode="External"/><Relationship Id="rId98" Type="http://schemas.openxmlformats.org/officeDocument/2006/relationships/hyperlink" Target="https://twitter.com/AricToler/status/1742278065147801929" TargetMode="External"/><Relationship Id="rId121" Type="http://schemas.openxmlformats.org/officeDocument/2006/relationships/hyperlink" Target="https://twitter.com/Resist_05/status/1744842724988334465" TargetMode="External"/><Relationship Id="rId163" Type="http://schemas.openxmlformats.org/officeDocument/2006/relationships/hyperlink" Target="https://twitter.com/JaidevJamwal/status/1744594599618785739" TargetMode="External"/><Relationship Id="rId219" Type="http://schemas.openxmlformats.org/officeDocument/2006/relationships/hyperlink" Target="https://twitter.com/djuric_zlatko/status/1745064458588766229" TargetMode="External"/><Relationship Id="rId370" Type="http://schemas.openxmlformats.org/officeDocument/2006/relationships/hyperlink" Target="https://twitter.com/osint_random/status/1743753979790565833" TargetMode="External"/><Relationship Id="rId426" Type="http://schemas.openxmlformats.org/officeDocument/2006/relationships/hyperlink" Target="https://twitter.com/OsintExperts/status/1744839536658489573" TargetMode="External"/><Relationship Id="rId230" Type="http://schemas.openxmlformats.org/officeDocument/2006/relationships/hyperlink" Target="https://twitter.com/OSINTJK/status/1744630302352547902" TargetMode="External"/><Relationship Id="rId25" Type="http://schemas.openxmlformats.org/officeDocument/2006/relationships/hyperlink" Target="https://twitter.com/ArbiterOfTweets/status/1731358374183276761" TargetMode="External"/><Relationship Id="rId67" Type="http://schemas.openxmlformats.org/officeDocument/2006/relationships/hyperlink" Target="https://twitter.com/zayedkhan08/status/1743013959681351869" TargetMode="External"/><Relationship Id="rId272" Type="http://schemas.openxmlformats.org/officeDocument/2006/relationships/hyperlink" Target="https://twitter.com/336jimmy" TargetMode="External"/><Relationship Id="rId328" Type="http://schemas.openxmlformats.org/officeDocument/2006/relationships/hyperlink" Target="https://twitter.com/UKikaski/status/1743984936971813251" TargetMode="External"/><Relationship Id="rId132" Type="http://schemas.openxmlformats.org/officeDocument/2006/relationships/hyperlink" Target="https://twitter.com/ThomasVLinge/status/1729973285801034095" TargetMode="External"/><Relationship Id="rId174" Type="http://schemas.openxmlformats.org/officeDocument/2006/relationships/hyperlink" Target="https://twitter.com/amuse/status/1745429937039757617" TargetMode="External"/><Relationship Id="rId381" Type="http://schemas.openxmlformats.org/officeDocument/2006/relationships/hyperlink" Target="https://twitter.com/FabriceFrossard/status/1743937651936276736" TargetMode="External"/><Relationship Id="rId241" Type="http://schemas.openxmlformats.org/officeDocument/2006/relationships/hyperlink" Target="https://twitter.com/ChrisOsieck/status/1743658475110969829" TargetMode="External"/><Relationship Id="rId36" Type="http://schemas.openxmlformats.org/officeDocument/2006/relationships/hyperlink" Target="https://twitter.com/CovertShores/status/1576235260924538881/photo/1" TargetMode="External"/><Relationship Id="rId283" Type="http://schemas.openxmlformats.org/officeDocument/2006/relationships/hyperlink" Target="https://twitter.com/WarMonitors/status/1745045539723337867" TargetMode="External"/><Relationship Id="rId339" Type="http://schemas.openxmlformats.org/officeDocument/2006/relationships/hyperlink" Target="https://twitter.com/osint_random/status/1744651789142564964" TargetMode="External"/><Relationship Id="rId78" Type="http://schemas.openxmlformats.org/officeDocument/2006/relationships/hyperlink" Target="https://twitter.com/nigroeneveld/status/1587039251484614656" TargetMode="External"/><Relationship Id="rId101" Type="http://schemas.openxmlformats.org/officeDocument/2006/relationships/hyperlink" Target="https://twitter.com/FrancoLopez288/status/1742731787204210956" TargetMode="External"/><Relationship Id="rId143" Type="http://schemas.openxmlformats.org/officeDocument/2006/relationships/hyperlink" Target="https://twitter.com/UKikaski" TargetMode="External"/><Relationship Id="rId185" Type="http://schemas.openxmlformats.org/officeDocument/2006/relationships/hyperlink" Target="https://twitter.com/moklasen/status/1733889619974926438" TargetMode="External"/><Relationship Id="rId350" Type="http://schemas.openxmlformats.org/officeDocument/2006/relationships/hyperlink" Target="https://twitter.com/osint_random/status/1743721946942984300" TargetMode="External"/><Relationship Id="rId406" Type="http://schemas.openxmlformats.org/officeDocument/2006/relationships/hyperlink" Target="https://twitter.com/osint_random/status/1744306606722957802" TargetMode="External"/><Relationship Id="rId9" Type="http://schemas.openxmlformats.org/officeDocument/2006/relationships/hyperlink" Target="https://twitter.com/amuse/status/1695781931240091721" TargetMode="External"/><Relationship Id="rId210" Type="http://schemas.openxmlformats.org/officeDocument/2006/relationships/hyperlink" Target="https://twitter.com/WarMonitors" TargetMode="External"/><Relationship Id="rId392" Type="http://schemas.openxmlformats.org/officeDocument/2006/relationships/hyperlink" Target="https://twitter.com/osint_random/status/1743688875359252776" TargetMode="External"/><Relationship Id="rId252" Type="http://schemas.openxmlformats.org/officeDocument/2006/relationships/hyperlink" Target="https://twitter.com/LeonidMikhalow/status/1742755378603909525" TargetMode="External"/><Relationship Id="rId294" Type="http://schemas.openxmlformats.org/officeDocument/2006/relationships/hyperlink" Target="https://twitter.com/OsintExperts/status/1745088959925948768" TargetMode="External"/><Relationship Id="rId308" Type="http://schemas.openxmlformats.org/officeDocument/2006/relationships/hyperlink" Target="https://twitter.com/BenDoBrown/status/1740649237732622640" TargetMode="External"/><Relationship Id="rId47" Type="http://schemas.openxmlformats.org/officeDocument/2006/relationships/hyperlink" Target="https://twitter.com/Volodymyr_D_" TargetMode="External"/><Relationship Id="rId89" Type="http://schemas.openxmlformats.org/officeDocument/2006/relationships/hyperlink" Target="https://twitter.com/Azovsouth/status/1744494071618367548" TargetMode="External"/><Relationship Id="rId112" Type="http://schemas.openxmlformats.org/officeDocument/2006/relationships/hyperlink" Target="https://twitter.com/trbrtc/status/1740021446997368846" TargetMode="External"/><Relationship Id="rId154" Type="http://schemas.openxmlformats.org/officeDocument/2006/relationships/hyperlink" Target="https://twitter.com/happygibbon123/status/1725516162715246880" TargetMode="External"/><Relationship Id="rId361" Type="http://schemas.openxmlformats.org/officeDocument/2006/relationships/hyperlink" Target="https://twitter.com/osint_random/status/1743614122086834307" TargetMode="External"/><Relationship Id="rId196" Type="http://schemas.openxmlformats.org/officeDocument/2006/relationships/hyperlink" Target="https://twitter.com/MarioNawfal/status/1743127134728544609" TargetMode="External"/><Relationship Id="rId417" Type="http://schemas.openxmlformats.org/officeDocument/2006/relationships/hyperlink" Target="https://twitter.com/FrancoLopez288/status/1742731787204210956" TargetMode="External"/><Relationship Id="rId16" Type="http://schemas.openxmlformats.org/officeDocument/2006/relationships/hyperlink" Target="https://twitter.com/cirnosad" TargetMode="External"/><Relationship Id="rId221" Type="http://schemas.openxmlformats.org/officeDocument/2006/relationships/hyperlink" Target="https://twitter.com/VlastimilBalaty/status/1744758278507106585" TargetMode="External"/><Relationship Id="rId263" Type="http://schemas.openxmlformats.org/officeDocument/2006/relationships/hyperlink" Target="https://twitter.com/Tendar" TargetMode="External"/><Relationship Id="rId319" Type="http://schemas.openxmlformats.org/officeDocument/2006/relationships/hyperlink" Target="https://twitter.com/KallergisK/status/1594652804584706049" TargetMode="External"/><Relationship Id="rId58" Type="http://schemas.openxmlformats.org/officeDocument/2006/relationships/hyperlink" Target="https://twitter.com/Osinttechnical" TargetMode="External"/><Relationship Id="rId123" Type="http://schemas.openxmlformats.org/officeDocument/2006/relationships/hyperlink" Target="https://twitter.com/bcresearchgroup/status/1744075778869150091" TargetMode="External"/><Relationship Id="rId330" Type="http://schemas.openxmlformats.org/officeDocument/2006/relationships/hyperlink" Target="https://twitter.com/OSINTNic/status/1743726593850200515" TargetMode="External"/><Relationship Id="rId165" Type="http://schemas.openxmlformats.org/officeDocument/2006/relationships/hyperlink" Target="https://twitter.com/madmaxburn88/status/1745159502478127453" TargetMode="External"/><Relationship Id="rId372" Type="http://schemas.openxmlformats.org/officeDocument/2006/relationships/hyperlink" Target="https://twitter.com/osint_random/status/1742611240365482441" TargetMode="External"/><Relationship Id="rId428" Type="http://schemas.openxmlformats.org/officeDocument/2006/relationships/hyperlink" Target="https://twitter.com/osint_w/status/1743763551125155983" TargetMode="External"/><Relationship Id="rId232" Type="http://schemas.openxmlformats.org/officeDocument/2006/relationships/hyperlink" Target="https://twitter.com/djuric_zlatko" TargetMode="External"/><Relationship Id="rId274" Type="http://schemas.openxmlformats.org/officeDocument/2006/relationships/hyperlink" Target="https://twitter.com/Tendar" TargetMode="External"/><Relationship Id="rId27" Type="http://schemas.openxmlformats.org/officeDocument/2006/relationships/hyperlink" Target="https://twitter.com/hugeglassofmilk/status/1724014055705227380" TargetMode="External"/><Relationship Id="rId69" Type="http://schemas.openxmlformats.org/officeDocument/2006/relationships/hyperlink" Target="https://twitter.com/UKikaski/status/1744015340294586654" TargetMode="External"/><Relationship Id="rId134" Type="http://schemas.openxmlformats.org/officeDocument/2006/relationships/hyperlink" Target="https://twitter.com/trbrtc/status/1664434008132923392" TargetMode="External"/><Relationship Id="rId80" Type="http://schemas.openxmlformats.org/officeDocument/2006/relationships/hyperlink" Target="https://twitter.com/hacker_content/status/1581903839137239040" TargetMode="External"/><Relationship Id="rId176" Type="http://schemas.openxmlformats.org/officeDocument/2006/relationships/hyperlink" Target="https://twitter.com/amuse/status/1745089441062867059" TargetMode="External"/><Relationship Id="rId341" Type="http://schemas.openxmlformats.org/officeDocument/2006/relationships/hyperlink" Target="https://twitter.com/FrenchOsint/status/1745048692057317612" TargetMode="External"/><Relationship Id="rId383" Type="http://schemas.openxmlformats.org/officeDocument/2006/relationships/hyperlink" Target="https://twitter.com/MCutulic/status/1742538120740958211" TargetMode="External"/><Relationship Id="rId201" Type="http://schemas.openxmlformats.org/officeDocument/2006/relationships/hyperlink" Target="https://twitter.com/WarMonitors/status/1744689167970222569" TargetMode="External"/><Relationship Id="rId243" Type="http://schemas.openxmlformats.org/officeDocument/2006/relationships/hyperlink" Target="https://twitter.com/djuric_zlatko" TargetMode="External"/><Relationship Id="rId285" Type="http://schemas.openxmlformats.org/officeDocument/2006/relationships/hyperlink" Target="https://twitter.com/Osint_NY/status/1717536728007717333" TargetMode="External"/><Relationship Id="rId38" Type="http://schemas.openxmlformats.org/officeDocument/2006/relationships/hyperlink" Target="https://twitter.com/nigroeneveld/status/1497689664530042880" TargetMode="External"/><Relationship Id="rId103" Type="http://schemas.openxmlformats.org/officeDocument/2006/relationships/hyperlink" Target="https://twitter.com/UKikaski/status/1743771126214320533" TargetMode="External"/><Relationship Id="rId310" Type="http://schemas.openxmlformats.org/officeDocument/2006/relationships/hyperlink" Target="https://twitter.com/BenDoBrown/status/1737133840445960529" TargetMode="External"/><Relationship Id="rId91" Type="http://schemas.openxmlformats.org/officeDocument/2006/relationships/hyperlink" Target="https://twitter.com/WarMonitors/status/1744663250438852685" TargetMode="External"/><Relationship Id="rId145" Type="http://schemas.openxmlformats.org/officeDocument/2006/relationships/hyperlink" Target="https://twitter.com/trbrtc" TargetMode="External"/><Relationship Id="rId187" Type="http://schemas.openxmlformats.org/officeDocument/2006/relationships/hyperlink" Target="https://twitter.com/WarMonitors/status/1745053403569377704" TargetMode="External"/><Relationship Id="rId352" Type="http://schemas.openxmlformats.org/officeDocument/2006/relationships/hyperlink" Target="https://twitter.com/osint_random/status/1744117903186682334" TargetMode="External"/><Relationship Id="rId394" Type="http://schemas.openxmlformats.org/officeDocument/2006/relationships/hyperlink" Target="https://twitter.com/osint_random/status/1744861056709611668" TargetMode="External"/><Relationship Id="rId408" Type="http://schemas.openxmlformats.org/officeDocument/2006/relationships/hyperlink" Target="https://twitter.com/HackersOIHEC/status/1743783808049041503" TargetMode="External"/><Relationship Id="rId1" Type="http://schemas.openxmlformats.org/officeDocument/2006/relationships/hyperlink" Target="https://twitter.com/molfar_agency/status/1701278887978692899" TargetMode="External"/><Relationship Id="rId212" Type="http://schemas.openxmlformats.org/officeDocument/2006/relationships/hyperlink" Target="https://twitter.com/WarMonitors" TargetMode="External"/><Relationship Id="rId233" Type="http://schemas.openxmlformats.org/officeDocument/2006/relationships/hyperlink" Target="https://twitter.com/happygibbon123/status/1711831307351724166" TargetMode="External"/><Relationship Id="rId254" Type="http://schemas.openxmlformats.org/officeDocument/2006/relationships/hyperlink" Target="https://twitter.com/djuric_zlatko" TargetMode="External"/><Relationship Id="rId28" Type="http://schemas.openxmlformats.org/officeDocument/2006/relationships/hyperlink" Target="https://twitter.com/hugeglassofmilk" TargetMode="External"/><Relationship Id="rId49" Type="http://schemas.openxmlformats.org/officeDocument/2006/relationships/hyperlink" Target="https://twitter.com/Osinttechnical" TargetMode="External"/><Relationship Id="rId114" Type="http://schemas.openxmlformats.org/officeDocument/2006/relationships/hyperlink" Target="https://twitter.com/trbrtc/status/1738190439235170378" TargetMode="External"/><Relationship Id="rId275" Type="http://schemas.openxmlformats.org/officeDocument/2006/relationships/hyperlink" Target="https://twitter.com/Tendar/status/1742159236807729336" TargetMode="External"/><Relationship Id="rId296" Type="http://schemas.openxmlformats.org/officeDocument/2006/relationships/hyperlink" Target="https://twitter.com/OSINTNic/status/1745050832922456459" TargetMode="External"/><Relationship Id="rId300" Type="http://schemas.openxmlformats.org/officeDocument/2006/relationships/hyperlink" Target="https://twitter.com/osintDICC/status/1744769682073350390" TargetMode="External"/><Relationship Id="rId60" Type="http://schemas.openxmlformats.org/officeDocument/2006/relationships/hyperlink" Target="https://twitter.com/Osinttechnical" TargetMode="External"/><Relationship Id="rId81" Type="http://schemas.openxmlformats.org/officeDocument/2006/relationships/hyperlink" Target="https://twitter.com/rafaelgrobinson/status/1577455925690249216" TargetMode="External"/><Relationship Id="rId135" Type="http://schemas.openxmlformats.org/officeDocument/2006/relationships/hyperlink" Target="https://twitter.com/osint_69/status/1744739916842668151" TargetMode="External"/><Relationship Id="rId156" Type="http://schemas.openxmlformats.org/officeDocument/2006/relationships/hyperlink" Target="https://twitter.com/IPHRinvestigate/status/1712000443256082534" TargetMode="External"/><Relationship Id="rId177" Type="http://schemas.openxmlformats.org/officeDocument/2006/relationships/hyperlink" Target="https://twitter.com/amuse/status/1745080336885731388" TargetMode="External"/><Relationship Id="rId198" Type="http://schemas.openxmlformats.org/officeDocument/2006/relationships/hyperlink" Target="https://twitter.com/IPHRinvestigate" TargetMode="External"/><Relationship Id="rId321" Type="http://schemas.openxmlformats.org/officeDocument/2006/relationships/hyperlink" Target="https://twitter.com/CovertShores/status/1681187511446675456" TargetMode="External"/><Relationship Id="rId342" Type="http://schemas.openxmlformats.org/officeDocument/2006/relationships/hyperlink" Target="https://twitter.com/osint_random/status/1742707049161486481" TargetMode="External"/><Relationship Id="rId363" Type="http://schemas.openxmlformats.org/officeDocument/2006/relationships/hyperlink" Target="https://twitter.com/osint_random/status/1745202695084937706" TargetMode="External"/><Relationship Id="rId384" Type="http://schemas.openxmlformats.org/officeDocument/2006/relationships/hyperlink" Target="https://twitter.com/osint_random/status/1744343193414492349" TargetMode="External"/><Relationship Id="rId419" Type="http://schemas.openxmlformats.org/officeDocument/2006/relationships/hyperlink" Target="https://twitter.com/cibernicola_es/status/1743324079053066387" TargetMode="External"/><Relationship Id="rId202" Type="http://schemas.openxmlformats.org/officeDocument/2006/relationships/hyperlink" Target="https://twitter.com/WarMonitors" TargetMode="External"/><Relationship Id="rId223" Type="http://schemas.openxmlformats.org/officeDocument/2006/relationships/hyperlink" Target="https://twitter.com/IPHRinvestigate" TargetMode="External"/><Relationship Id="rId244" Type="http://schemas.openxmlformats.org/officeDocument/2006/relationships/hyperlink" Target="https://twitter.com/djuric_zlatko/status/1744450386126094710" TargetMode="External"/><Relationship Id="rId430" Type="http://schemas.openxmlformats.org/officeDocument/2006/relationships/vmlDrawing" Target="../drawings/vmlDrawing1.vml"/><Relationship Id="rId18" Type="http://schemas.openxmlformats.org/officeDocument/2006/relationships/hyperlink" Target="https://twitter.com/UKikaski" TargetMode="External"/><Relationship Id="rId39" Type="http://schemas.openxmlformats.org/officeDocument/2006/relationships/hyperlink" Target="https://twitter.com/nigroeneveld" TargetMode="External"/><Relationship Id="rId265" Type="http://schemas.openxmlformats.org/officeDocument/2006/relationships/hyperlink" Target="https://twitter.com/Tendar" TargetMode="External"/><Relationship Id="rId286" Type="http://schemas.openxmlformats.org/officeDocument/2006/relationships/hyperlink" Target="https://twitter.com/Osint_NY" TargetMode="External"/><Relationship Id="rId50" Type="http://schemas.openxmlformats.org/officeDocument/2006/relationships/hyperlink" Target="https://twitter.com/Osinttechnical/status/1743701090569208244" TargetMode="External"/><Relationship Id="rId104" Type="http://schemas.openxmlformats.org/officeDocument/2006/relationships/hyperlink" Target="https://twitter.com/viper202020/status/1744148861533278685" TargetMode="External"/><Relationship Id="rId125" Type="http://schemas.openxmlformats.org/officeDocument/2006/relationships/hyperlink" Target="https://twitter.com/pjasinski/status/1727704476125983060" TargetMode="External"/><Relationship Id="rId146" Type="http://schemas.openxmlformats.org/officeDocument/2006/relationships/hyperlink" Target="https://twitter.com/bcresearchgroup/status/1739045857880883387" TargetMode="External"/><Relationship Id="rId167" Type="http://schemas.openxmlformats.org/officeDocument/2006/relationships/hyperlink" Target="https://twitter.com/LeonidMikhalow/status/1744670527493382170" TargetMode="External"/><Relationship Id="rId188" Type="http://schemas.openxmlformats.org/officeDocument/2006/relationships/hyperlink" Target="https://twitter.com/WarMonitors" TargetMode="External"/><Relationship Id="rId311" Type="http://schemas.openxmlformats.org/officeDocument/2006/relationships/hyperlink" Target="https://twitter.com/WillCarter_NRC/status/1736883393332162951" TargetMode="External"/><Relationship Id="rId332" Type="http://schemas.openxmlformats.org/officeDocument/2006/relationships/hyperlink" Target="https://twitter.com/atummundi/status/1744395467780223286" TargetMode="External"/><Relationship Id="rId353" Type="http://schemas.openxmlformats.org/officeDocument/2006/relationships/hyperlink" Target="https://twitter.com/osint_random/status/1745229154562277431" TargetMode="External"/><Relationship Id="rId374" Type="http://schemas.openxmlformats.org/officeDocument/2006/relationships/hyperlink" Target="https://twitter.com/osint_random/status/1743977680142324208" TargetMode="External"/><Relationship Id="rId395" Type="http://schemas.openxmlformats.org/officeDocument/2006/relationships/hyperlink" Target="https://twitter.com/Christophe_Tymo/status/1742597434457444601" TargetMode="External"/><Relationship Id="rId409" Type="http://schemas.openxmlformats.org/officeDocument/2006/relationships/hyperlink" Target="https://twitter.com/Osint613/status/1743278122697462048" TargetMode="External"/><Relationship Id="rId71" Type="http://schemas.openxmlformats.org/officeDocument/2006/relationships/hyperlink" Target="https://twitter.com/JakeGodin" TargetMode="External"/><Relationship Id="rId92" Type="http://schemas.openxmlformats.org/officeDocument/2006/relationships/hyperlink" Target="https://twitter.com/UKikaski/status/1744338502005710853" TargetMode="External"/><Relationship Id="rId213" Type="http://schemas.openxmlformats.org/officeDocument/2006/relationships/hyperlink" Target="https://twitter.com/WarMonitors/status/1743797638523203926" TargetMode="External"/><Relationship Id="rId234" Type="http://schemas.openxmlformats.org/officeDocument/2006/relationships/hyperlink" Target="https://twitter.com/happygibbon123" TargetMode="External"/><Relationship Id="rId420" Type="http://schemas.openxmlformats.org/officeDocument/2006/relationships/hyperlink" Target="https://twitter.com/NOTINAFO/status/1744317709859402040" TargetMode="External"/><Relationship Id="rId2" Type="http://schemas.openxmlformats.org/officeDocument/2006/relationships/hyperlink" Target="https://twitter.com/molfar_agency" TargetMode="External"/><Relationship Id="rId29" Type="http://schemas.openxmlformats.org/officeDocument/2006/relationships/hyperlink" Target="https://twitter.com/hugeglassofmilk/status/1719287930286375233" TargetMode="External"/><Relationship Id="rId255" Type="http://schemas.openxmlformats.org/officeDocument/2006/relationships/hyperlink" Target="https://twitter.com/Tendar/status/1743228213579391479" TargetMode="External"/><Relationship Id="rId276" Type="http://schemas.openxmlformats.org/officeDocument/2006/relationships/hyperlink" Target="https://twitter.com/Tendar" TargetMode="External"/><Relationship Id="rId297" Type="http://schemas.openxmlformats.org/officeDocument/2006/relationships/hyperlink" Target="https://twitter.com/OSINTNic" TargetMode="External"/><Relationship Id="rId40" Type="http://schemas.openxmlformats.org/officeDocument/2006/relationships/hyperlink" Target="https://twitter.com/PatriotOSINT/status/1555721053938253829" TargetMode="External"/><Relationship Id="rId115" Type="http://schemas.openxmlformats.org/officeDocument/2006/relationships/hyperlink" Target="https://twitter.com/trbrtc" TargetMode="External"/><Relationship Id="rId136" Type="http://schemas.openxmlformats.org/officeDocument/2006/relationships/hyperlink" Target="https://twitter.com/bellingcat/status/1728112023030907247" TargetMode="External"/><Relationship Id="rId157" Type="http://schemas.openxmlformats.org/officeDocument/2006/relationships/hyperlink" Target="https://twitter.com/IPHRinvestigate" TargetMode="External"/><Relationship Id="rId178" Type="http://schemas.openxmlformats.org/officeDocument/2006/relationships/hyperlink" Target="https://twitter.com/happygibbon123/status/1719790323948220429" TargetMode="External"/><Relationship Id="rId301" Type="http://schemas.openxmlformats.org/officeDocument/2006/relationships/hyperlink" Target="https://twitter.com/realRickWiles/status/1745250680741208543" TargetMode="External"/><Relationship Id="rId322" Type="http://schemas.openxmlformats.org/officeDocument/2006/relationships/hyperlink" Target="https://twitter.com/Qaisalamdar/status/1617710054702206984" TargetMode="External"/><Relationship Id="rId343" Type="http://schemas.openxmlformats.org/officeDocument/2006/relationships/hyperlink" Target="https://twitter.com/RejaumontP/status/1743248435912867906" TargetMode="External"/><Relationship Id="rId364" Type="http://schemas.openxmlformats.org/officeDocument/2006/relationships/hyperlink" Target="https://twitter.com/osint_random/status/1744117903186682334" TargetMode="External"/><Relationship Id="rId61" Type="http://schemas.openxmlformats.org/officeDocument/2006/relationships/hyperlink" Target="https://twitter.com/Tendar/status/1744000869182435383" TargetMode="External"/><Relationship Id="rId82" Type="http://schemas.openxmlformats.org/officeDocument/2006/relationships/hyperlink" Target="https://twitter.com/osintbear/status/1576242968700264448" TargetMode="External"/><Relationship Id="rId199" Type="http://schemas.openxmlformats.org/officeDocument/2006/relationships/hyperlink" Target="https://twitter.com/WarMonitors/status/1744714855515672666" TargetMode="External"/><Relationship Id="rId203" Type="http://schemas.openxmlformats.org/officeDocument/2006/relationships/hyperlink" Target="https://twitter.com/WarMonitors/status/1744671475263779180" TargetMode="External"/><Relationship Id="rId385" Type="http://schemas.openxmlformats.org/officeDocument/2006/relationships/hyperlink" Target="https://twitter.com/mathieuandro/status/1743682996937408790" TargetMode="External"/><Relationship Id="rId19" Type="http://schemas.openxmlformats.org/officeDocument/2006/relationships/hyperlink" Target="https://twitter.com/KPatthar/status/1640432067543441420" TargetMode="External"/><Relationship Id="rId224" Type="http://schemas.openxmlformats.org/officeDocument/2006/relationships/hyperlink" Target="https://twitter.com/djuric_zlatko/status/1745350865681080380" TargetMode="External"/><Relationship Id="rId245" Type="http://schemas.openxmlformats.org/officeDocument/2006/relationships/hyperlink" Target="https://twitter.com/djuric_zlatko" TargetMode="External"/><Relationship Id="rId266" Type="http://schemas.openxmlformats.org/officeDocument/2006/relationships/hyperlink" Target="https://twitter.com/ChrisOsieck/status/1742945368168452134" TargetMode="External"/><Relationship Id="rId287" Type="http://schemas.openxmlformats.org/officeDocument/2006/relationships/hyperlink" Target="https://twitter.com/JustusUwakwe/status/1716785530388488443" TargetMode="External"/><Relationship Id="rId410" Type="http://schemas.openxmlformats.org/officeDocument/2006/relationships/hyperlink" Target="https://twitter.com/osint_w/status/1744202752480182549" TargetMode="External"/><Relationship Id="rId431" Type="http://schemas.openxmlformats.org/officeDocument/2006/relationships/comments" Target="../comments1.xml"/><Relationship Id="rId30" Type="http://schemas.openxmlformats.org/officeDocument/2006/relationships/hyperlink" Target="https://twitter.com/hugeglassofmilk" TargetMode="External"/><Relationship Id="rId105" Type="http://schemas.openxmlformats.org/officeDocument/2006/relationships/hyperlink" Target="https://twitter.com/viper202020" TargetMode="External"/><Relationship Id="rId126" Type="http://schemas.openxmlformats.org/officeDocument/2006/relationships/hyperlink" Target="https://twitter.com/pjasinski" TargetMode="External"/><Relationship Id="rId147" Type="http://schemas.openxmlformats.org/officeDocument/2006/relationships/hyperlink" Target="https://twitter.com/bcresearchgroup" TargetMode="External"/><Relationship Id="rId168" Type="http://schemas.openxmlformats.org/officeDocument/2006/relationships/hyperlink" Target="https://twitter.com/OSINTNic/status/1745138472447353127" TargetMode="External"/><Relationship Id="rId312" Type="http://schemas.openxmlformats.org/officeDocument/2006/relationships/hyperlink" Target="https://twitter.com/WillCarter_NRC" TargetMode="External"/><Relationship Id="rId333" Type="http://schemas.openxmlformats.org/officeDocument/2006/relationships/hyperlink" Target="https://twitter.com/FrenchOsint/status/1745356879004389483" TargetMode="External"/><Relationship Id="rId354" Type="http://schemas.openxmlformats.org/officeDocument/2006/relationships/hyperlink" Target="https://twitter.com/rudyurbaniak/status/1743564710027362417" TargetMode="External"/><Relationship Id="rId51" Type="http://schemas.openxmlformats.org/officeDocument/2006/relationships/hyperlink" Target="https://twitter.com/Osinttechnical" TargetMode="External"/><Relationship Id="rId72" Type="http://schemas.openxmlformats.org/officeDocument/2006/relationships/hyperlink" Target="https://twitter.com/JakeGodin/status/1735052613970702480" TargetMode="External"/><Relationship Id="rId93" Type="http://schemas.openxmlformats.org/officeDocument/2006/relationships/hyperlink" Target="https://twitter.com/UKikaski/status/1744000766845559189" TargetMode="External"/><Relationship Id="rId189" Type="http://schemas.openxmlformats.org/officeDocument/2006/relationships/hyperlink" Target="https://twitter.com/OsintExperts/status/1744278032762974690" TargetMode="External"/><Relationship Id="rId375" Type="http://schemas.openxmlformats.org/officeDocument/2006/relationships/hyperlink" Target="https://twitter.com/osint_random/status/1743688875359252776" TargetMode="External"/><Relationship Id="rId396" Type="http://schemas.openxmlformats.org/officeDocument/2006/relationships/hyperlink" Target="https://twitter.com/Prevention_web/status/1742580451443675209" TargetMode="External"/><Relationship Id="rId3" Type="http://schemas.openxmlformats.org/officeDocument/2006/relationships/hyperlink" Target="https://twitter.com/Techjournalisto/status/1714179012723867752" TargetMode="External"/><Relationship Id="rId214" Type="http://schemas.openxmlformats.org/officeDocument/2006/relationships/hyperlink" Target="https://twitter.com/WarMonitors" TargetMode="External"/><Relationship Id="rId235" Type="http://schemas.openxmlformats.org/officeDocument/2006/relationships/hyperlink" Target="https://twitter.com/happygibbon123/status/1711329534786654668" TargetMode="External"/><Relationship Id="rId256" Type="http://schemas.openxmlformats.org/officeDocument/2006/relationships/hyperlink" Target="https://twitter.com/Tendar" TargetMode="External"/><Relationship Id="rId277" Type="http://schemas.openxmlformats.org/officeDocument/2006/relationships/hyperlink" Target="https://twitter.com/Tendar/status/1741836278927065587" TargetMode="External"/><Relationship Id="rId298" Type="http://schemas.openxmlformats.org/officeDocument/2006/relationships/hyperlink" Target="https://twitter.com/Osint613/status/1744781756182430051" TargetMode="External"/><Relationship Id="rId400" Type="http://schemas.openxmlformats.org/officeDocument/2006/relationships/hyperlink" Target="https://twitter.com/MCutulic/status/1742538120740958211" TargetMode="External"/><Relationship Id="rId421" Type="http://schemas.openxmlformats.org/officeDocument/2006/relationships/hyperlink" Target="https://twitter.com/osint_w/status/1744354917370749025" TargetMode="External"/><Relationship Id="rId116" Type="http://schemas.openxmlformats.org/officeDocument/2006/relationships/hyperlink" Target="https://twitter.com/jfuruly/status/1718196319347442029" TargetMode="External"/><Relationship Id="rId137" Type="http://schemas.openxmlformats.org/officeDocument/2006/relationships/hyperlink" Target="https://twitter.com/bellingcat" TargetMode="External"/><Relationship Id="rId158" Type="http://schemas.openxmlformats.org/officeDocument/2006/relationships/hyperlink" Target="https://twitter.com/sergioajv1/status/1713987691757424994" TargetMode="External"/><Relationship Id="rId302" Type="http://schemas.openxmlformats.org/officeDocument/2006/relationships/hyperlink" Target="https://twitter.com/realRickWiles" TargetMode="External"/><Relationship Id="rId323" Type="http://schemas.openxmlformats.org/officeDocument/2006/relationships/hyperlink" Target="https://twitter.com/mattckwilliams/status/1521038609079586817" TargetMode="External"/><Relationship Id="rId344" Type="http://schemas.openxmlformats.org/officeDocument/2006/relationships/hyperlink" Target="https://twitter.com/ZLLog/status/1744343813894684970" TargetMode="External"/><Relationship Id="rId20" Type="http://schemas.openxmlformats.org/officeDocument/2006/relationships/hyperlink" Target="https://twitter.com/KPatthar" TargetMode="External"/><Relationship Id="rId41" Type="http://schemas.openxmlformats.org/officeDocument/2006/relationships/hyperlink" Target="https://twitter.com/PatriotOSINT" TargetMode="External"/><Relationship Id="rId62" Type="http://schemas.openxmlformats.org/officeDocument/2006/relationships/hyperlink" Target="https://twitter.com/ChrisO_wiki/status/1744291196313182515" TargetMode="External"/><Relationship Id="rId83" Type="http://schemas.openxmlformats.org/officeDocument/2006/relationships/hyperlink" Target="https://twitter.com/Techjournalisto/status/1576234829753950208" TargetMode="External"/><Relationship Id="rId179" Type="http://schemas.openxmlformats.org/officeDocument/2006/relationships/hyperlink" Target="https://twitter.com/moklasen/status/1735971615039426701" TargetMode="External"/><Relationship Id="rId365" Type="http://schemas.openxmlformats.org/officeDocument/2006/relationships/hyperlink" Target="https://twitter.com/osint_random/status/1745229154562277431" TargetMode="External"/><Relationship Id="rId386" Type="http://schemas.openxmlformats.org/officeDocument/2006/relationships/hyperlink" Target="https://twitter.com/korben_rss/status/1743546031365587299" TargetMode="External"/><Relationship Id="rId190" Type="http://schemas.openxmlformats.org/officeDocument/2006/relationships/hyperlink" Target="https://twitter.com/ja31ck/status/1718278328811962718" TargetMode="External"/><Relationship Id="rId204" Type="http://schemas.openxmlformats.org/officeDocument/2006/relationships/hyperlink" Target="https://twitter.com/WarMonitors" TargetMode="External"/><Relationship Id="rId225" Type="http://schemas.openxmlformats.org/officeDocument/2006/relationships/hyperlink" Target="https://twitter.com/djuric_zlatko" TargetMode="External"/><Relationship Id="rId246" Type="http://schemas.openxmlformats.org/officeDocument/2006/relationships/hyperlink" Target="https://twitter.com/djuric_zlatko/status/1744446661307314590" TargetMode="External"/><Relationship Id="rId267" Type="http://schemas.openxmlformats.org/officeDocument/2006/relationships/hyperlink" Target="https://twitter.com/Tendar/status/1742497910510538907" TargetMode="External"/><Relationship Id="rId288" Type="http://schemas.openxmlformats.org/officeDocument/2006/relationships/hyperlink" Target="https://twitter.com/JustusUwakwe" TargetMode="External"/><Relationship Id="rId411" Type="http://schemas.openxmlformats.org/officeDocument/2006/relationships/hyperlink" Target="https://twitter.com/Osint613/status/1743279790952427875" TargetMode="External"/><Relationship Id="rId106" Type="http://schemas.openxmlformats.org/officeDocument/2006/relationships/hyperlink" Target="https://twitter.com/ArmsControlWonk/status/1743401785560084825" TargetMode="External"/><Relationship Id="rId127" Type="http://schemas.openxmlformats.org/officeDocument/2006/relationships/hyperlink" Target="https://twitter.com/Mvjko/status/1714337456001085830" TargetMode="External"/><Relationship Id="rId313" Type="http://schemas.openxmlformats.org/officeDocument/2006/relationships/hyperlink" Target="https://twitter.com/BenDoBrown/status/1731725754092654738" TargetMode="External"/><Relationship Id="rId10" Type="http://schemas.openxmlformats.org/officeDocument/2006/relationships/hyperlink" Target="https://twitter.com/amuse/status/1695781931240091721" TargetMode="External"/><Relationship Id="rId31" Type="http://schemas.openxmlformats.org/officeDocument/2006/relationships/hyperlink" Target="https://twitter.com/hugeglassofmilk/status/1724065501750452561" TargetMode="External"/><Relationship Id="rId52" Type="http://schemas.openxmlformats.org/officeDocument/2006/relationships/hyperlink" Target="https://twitter.com/CovertShores/status/1563780511604117504" TargetMode="External"/><Relationship Id="rId73" Type="http://schemas.openxmlformats.org/officeDocument/2006/relationships/hyperlink" Target="https://twitter.com/JakeGodin" TargetMode="External"/><Relationship Id="rId94" Type="http://schemas.openxmlformats.org/officeDocument/2006/relationships/hyperlink" Target="https://twitter.com/AricToler/status/1743281978038788252" TargetMode="External"/><Relationship Id="rId148" Type="http://schemas.openxmlformats.org/officeDocument/2006/relationships/hyperlink" Target="https://twitter.com/malachybrowne/status/1724525717214396464" TargetMode="External"/><Relationship Id="rId169" Type="http://schemas.openxmlformats.org/officeDocument/2006/relationships/hyperlink" Target="https://twitter.com/MyanmarWitness/status/1681265348098633748" TargetMode="External"/><Relationship Id="rId334" Type="http://schemas.openxmlformats.org/officeDocument/2006/relationships/hyperlink" Target="https://twitter.com/clement_molin/status/1744663168478073154" TargetMode="External"/><Relationship Id="rId355" Type="http://schemas.openxmlformats.org/officeDocument/2006/relationships/hyperlink" Target="https://twitter.com/RejaumontP/status/1743248435912867906" TargetMode="External"/><Relationship Id="rId376" Type="http://schemas.openxmlformats.org/officeDocument/2006/relationships/hyperlink" Target="https://twitter.com/osint_random/status/1743663854020628646" TargetMode="External"/><Relationship Id="rId397" Type="http://schemas.openxmlformats.org/officeDocument/2006/relationships/hyperlink" Target="https://twitter.com/opsimathycouk/status/1742815198006607979" TargetMode="External"/><Relationship Id="rId4" Type="http://schemas.openxmlformats.org/officeDocument/2006/relationships/hyperlink" Target="https://twitter.com/Techjournalisto" TargetMode="External"/><Relationship Id="rId180" Type="http://schemas.openxmlformats.org/officeDocument/2006/relationships/hyperlink" Target="https://twitter.com/YWNReporter/status/1733965871461134846" TargetMode="External"/><Relationship Id="rId215" Type="http://schemas.openxmlformats.org/officeDocument/2006/relationships/hyperlink" Target="https://twitter.com/WarMonitors/status/1743677607147610175" TargetMode="External"/><Relationship Id="rId236" Type="http://schemas.openxmlformats.org/officeDocument/2006/relationships/hyperlink" Target="https://twitter.com/happygibbon123" TargetMode="External"/><Relationship Id="rId257" Type="http://schemas.openxmlformats.org/officeDocument/2006/relationships/hyperlink" Target="https://twitter.com/djuric_zlatko/status/1744257511778119704" TargetMode="External"/><Relationship Id="rId278" Type="http://schemas.openxmlformats.org/officeDocument/2006/relationships/hyperlink" Target="https://twitter.com/Tendar" TargetMode="External"/><Relationship Id="rId401" Type="http://schemas.openxmlformats.org/officeDocument/2006/relationships/hyperlink" Target="https://twitter.com/osint_random/status/1744861056709611668" TargetMode="External"/><Relationship Id="rId422" Type="http://schemas.openxmlformats.org/officeDocument/2006/relationships/hyperlink" Target="https://twitter.com/danuzioneto/status/1744809719154286928" TargetMode="External"/><Relationship Id="rId303" Type="http://schemas.openxmlformats.org/officeDocument/2006/relationships/hyperlink" Target="https://twitter.com/YUranium235/status/1745208076821504306" TargetMode="External"/><Relationship Id="rId42" Type="http://schemas.openxmlformats.org/officeDocument/2006/relationships/hyperlink" Target="https://twitter.com/DataAbyssAI/status/1576409629147660288" TargetMode="External"/><Relationship Id="rId84" Type="http://schemas.openxmlformats.org/officeDocument/2006/relationships/hyperlink" Target="https://twitter.com/Techjournalisto/status/1555972455210033154" TargetMode="External"/><Relationship Id="rId138" Type="http://schemas.openxmlformats.org/officeDocument/2006/relationships/hyperlink" Target="https://twitter.com/Mvjko/status/1720557074466128178" TargetMode="External"/><Relationship Id="rId345" Type="http://schemas.openxmlformats.org/officeDocument/2006/relationships/hyperlink" Target="https://twitter.com/osint_random/status/1745039181049373028" TargetMode="External"/><Relationship Id="rId387" Type="http://schemas.openxmlformats.org/officeDocument/2006/relationships/hyperlink" Target="https://twitter.com/osint_random/status/1743753979790565833" TargetMode="External"/><Relationship Id="rId191" Type="http://schemas.openxmlformats.org/officeDocument/2006/relationships/hyperlink" Target="https://twitter.com/ja31ck" TargetMode="External"/><Relationship Id="rId205" Type="http://schemas.openxmlformats.org/officeDocument/2006/relationships/hyperlink" Target="https://twitter.com/kreyren/status/1714667666634612842" TargetMode="External"/><Relationship Id="rId247" Type="http://schemas.openxmlformats.org/officeDocument/2006/relationships/hyperlink" Target="https://twitter.com/djuric_zlatko" TargetMode="External"/><Relationship Id="rId412" Type="http://schemas.openxmlformats.org/officeDocument/2006/relationships/hyperlink" Target="https://twitter.com/OSINTJK/status/1743208649571680444" TargetMode="External"/><Relationship Id="rId107" Type="http://schemas.openxmlformats.org/officeDocument/2006/relationships/hyperlink" Target="https://twitter.com/ArmsControlWonk" TargetMode="External"/><Relationship Id="rId289" Type="http://schemas.openxmlformats.org/officeDocument/2006/relationships/hyperlink" Target="https://twitter.com/nadinbrzezinski/status/1744152874228314350" TargetMode="External"/><Relationship Id="rId11" Type="http://schemas.openxmlformats.org/officeDocument/2006/relationships/hyperlink" Target="https://twitter.com/WallStreetApes/status/1685451792258351104" TargetMode="External"/><Relationship Id="rId53" Type="http://schemas.openxmlformats.org/officeDocument/2006/relationships/hyperlink" Target="https://twitter.com/CovertShores" TargetMode="External"/><Relationship Id="rId149" Type="http://schemas.openxmlformats.org/officeDocument/2006/relationships/hyperlink" Target="https://twitter.com/malachybrowne" TargetMode="External"/><Relationship Id="rId314" Type="http://schemas.openxmlformats.org/officeDocument/2006/relationships/hyperlink" Target="https://twitter.com/BenDoBrown/status/1730263013721059375" TargetMode="External"/><Relationship Id="rId356" Type="http://schemas.openxmlformats.org/officeDocument/2006/relationships/hyperlink" Target="https://twitter.com/ZLLog/status/1744343813894684970" TargetMode="External"/><Relationship Id="rId398" Type="http://schemas.openxmlformats.org/officeDocument/2006/relationships/hyperlink" Target="https://twitter.com/FabriceFrossard/status/1743937651936276736" TargetMode="External"/><Relationship Id="rId95" Type="http://schemas.openxmlformats.org/officeDocument/2006/relationships/hyperlink" Target="https://twitter.com/AricToler" TargetMode="External"/><Relationship Id="rId160" Type="http://schemas.openxmlformats.org/officeDocument/2006/relationships/hyperlink" Target="https://twitter.com/KenCox/status/1745266581553246400" TargetMode="External"/><Relationship Id="rId216" Type="http://schemas.openxmlformats.org/officeDocument/2006/relationships/hyperlink" Target="https://twitter.com/WarMonitors" TargetMode="External"/><Relationship Id="rId423" Type="http://schemas.openxmlformats.org/officeDocument/2006/relationships/hyperlink" Target="https://twitter.com/danuzioneto/status/1744819646795043204" TargetMode="External"/><Relationship Id="rId258" Type="http://schemas.openxmlformats.org/officeDocument/2006/relationships/hyperlink" Target="https://twitter.com/djuric_zlatko" TargetMode="External"/><Relationship Id="rId22" Type="http://schemas.openxmlformats.org/officeDocument/2006/relationships/hyperlink" Target="https://twitter.com/bili_vovky" TargetMode="External"/><Relationship Id="rId64" Type="http://schemas.openxmlformats.org/officeDocument/2006/relationships/hyperlink" Target="https://twitter.com/UKikaski/status/1742863600685908176" TargetMode="External"/><Relationship Id="rId118" Type="http://schemas.openxmlformats.org/officeDocument/2006/relationships/hyperlink" Target="https://twitter.com/trbrtc" TargetMode="External"/><Relationship Id="rId325" Type="http://schemas.openxmlformats.org/officeDocument/2006/relationships/hyperlink" Target="https://twitter.com/bcresearchgroup/status/1744075778869150091" TargetMode="External"/><Relationship Id="rId367" Type="http://schemas.openxmlformats.org/officeDocument/2006/relationships/hyperlink" Target="https://twitter.com/osint_random/status/1744343193414492349" TargetMode="External"/><Relationship Id="rId171" Type="http://schemas.openxmlformats.org/officeDocument/2006/relationships/hyperlink" Target="https://twitter.com/Nrg8000/status/1460047675097710592" TargetMode="External"/><Relationship Id="rId227" Type="http://schemas.openxmlformats.org/officeDocument/2006/relationships/hyperlink" Target="https://twitter.com/djuric_zlatko" TargetMode="External"/><Relationship Id="rId269" Type="http://schemas.openxmlformats.org/officeDocument/2006/relationships/hyperlink" Target="https://twitter.com/Tendar/status/1742845353622118907" TargetMode="External"/><Relationship Id="rId33" Type="http://schemas.openxmlformats.org/officeDocument/2006/relationships/hyperlink" Target="https://twitter.com/joods/status/1715389024230166698" TargetMode="External"/><Relationship Id="rId129" Type="http://schemas.openxmlformats.org/officeDocument/2006/relationships/hyperlink" Target="https://twitter.com/Osint613/status/1744835013814730792" TargetMode="External"/><Relationship Id="rId280" Type="http://schemas.openxmlformats.org/officeDocument/2006/relationships/hyperlink" Target="https://twitter.com/Tendar" TargetMode="External"/><Relationship Id="rId336" Type="http://schemas.openxmlformats.org/officeDocument/2006/relationships/hyperlink" Target="https://twitter.com/imgsat973/status/1743641921690403016" TargetMode="External"/><Relationship Id="rId75" Type="http://schemas.openxmlformats.org/officeDocument/2006/relationships/hyperlink" Target="https://twitter.com/DD_Geopolitics/status/1744741761107579198" TargetMode="External"/><Relationship Id="rId140" Type="http://schemas.openxmlformats.org/officeDocument/2006/relationships/hyperlink" Target="https://twitter.com/JoshuaKoontz__/status/1727086501408977288" TargetMode="External"/><Relationship Id="rId182" Type="http://schemas.openxmlformats.org/officeDocument/2006/relationships/hyperlink" Target="https://twitter.com/IPHRinvestigate" TargetMode="External"/><Relationship Id="rId378" Type="http://schemas.openxmlformats.org/officeDocument/2006/relationships/hyperlink" Target="https://twitter.com/Christophe_Tymo/status/1742597434457444601" TargetMode="External"/><Relationship Id="rId403" Type="http://schemas.openxmlformats.org/officeDocument/2006/relationships/hyperlink" Target="https://twitter.com/Prevention_web/status/1742580451443675209" TargetMode="External"/><Relationship Id="rId6" Type="http://schemas.openxmlformats.org/officeDocument/2006/relationships/hyperlink" Target="https://twitter.com/liz_churchill10" TargetMode="External"/><Relationship Id="rId238" Type="http://schemas.openxmlformats.org/officeDocument/2006/relationships/hyperlink" Target="https://twitter.com/IPHRinvestigate" TargetMode="External"/><Relationship Id="rId291" Type="http://schemas.openxmlformats.org/officeDocument/2006/relationships/hyperlink" Target="https://twitter.com/KentTahir65227" TargetMode="External"/><Relationship Id="rId305" Type="http://schemas.openxmlformats.org/officeDocument/2006/relationships/hyperlink" Target="https://twitter.com/cirnosad/status/1745180580122345624" TargetMode="External"/><Relationship Id="rId347" Type="http://schemas.openxmlformats.org/officeDocument/2006/relationships/hyperlink" Target="https://twitter.com/osint_random/status/1742704004671627334" TargetMode="External"/><Relationship Id="rId44" Type="http://schemas.openxmlformats.org/officeDocument/2006/relationships/hyperlink" Target="https://twitter.com/Volodymyr_D_/status/1565807467765932033" TargetMode="External"/><Relationship Id="rId86" Type="http://schemas.openxmlformats.org/officeDocument/2006/relationships/hyperlink" Target="https://twitter.com/Osinttechnical/status/1744514052670345639" TargetMode="External"/><Relationship Id="rId151" Type="http://schemas.openxmlformats.org/officeDocument/2006/relationships/hyperlink" Target="https://twitter.com/trbrtc" TargetMode="External"/><Relationship Id="rId389" Type="http://schemas.openxmlformats.org/officeDocument/2006/relationships/hyperlink" Target="https://twitter.com/osint_random/status/1742611240365482441" TargetMode="External"/><Relationship Id="rId193" Type="http://schemas.openxmlformats.org/officeDocument/2006/relationships/hyperlink" Target="https://twitter.com/WarMonitors" TargetMode="External"/><Relationship Id="rId207" Type="http://schemas.openxmlformats.org/officeDocument/2006/relationships/hyperlink" Target="https://twitter.com/WarMonitors/status/1744385276795896011" TargetMode="External"/><Relationship Id="rId249" Type="http://schemas.openxmlformats.org/officeDocument/2006/relationships/hyperlink" Target="https://twitter.com/mikalowistk" TargetMode="External"/><Relationship Id="rId414" Type="http://schemas.openxmlformats.org/officeDocument/2006/relationships/hyperlink" Target="https://twitter.com/osint_w/status/1744211067243315307" TargetMode="External"/><Relationship Id="rId13" Type="http://schemas.openxmlformats.org/officeDocument/2006/relationships/hyperlink" Target="https://twitter.com/matincantweet/status/1720179582123254009" TargetMode="External"/><Relationship Id="rId109" Type="http://schemas.openxmlformats.org/officeDocument/2006/relationships/hyperlink" Target="https://twitter.com/ariehkovler" TargetMode="External"/><Relationship Id="rId260" Type="http://schemas.openxmlformats.org/officeDocument/2006/relationships/hyperlink" Target="https://twitter.com/Tendar/status/1744361364208947625" TargetMode="External"/><Relationship Id="rId316" Type="http://schemas.openxmlformats.org/officeDocument/2006/relationships/hyperlink" Target="https://twitter.com/BenDoBrown/status/1724057216901160965" TargetMode="External"/><Relationship Id="rId55" Type="http://schemas.openxmlformats.org/officeDocument/2006/relationships/hyperlink" Target="https://twitter.com/Forrest_Rogers" TargetMode="External"/><Relationship Id="rId97" Type="http://schemas.openxmlformats.org/officeDocument/2006/relationships/hyperlink" Target="https://twitter.com/lobsterlarryliu" TargetMode="External"/><Relationship Id="rId120" Type="http://schemas.openxmlformats.org/officeDocument/2006/relationships/hyperlink" Target="https://twitter.com/jfuruly" TargetMode="External"/><Relationship Id="rId358" Type="http://schemas.openxmlformats.org/officeDocument/2006/relationships/hyperlink" Target="https://twitter.com/osint_random/status/1744474648073368027" TargetMode="External"/><Relationship Id="rId162" Type="http://schemas.openxmlformats.org/officeDocument/2006/relationships/hyperlink" Target="https://twitter.com/space_osint/status/1742952390754468216" TargetMode="External"/><Relationship Id="rId218" Type="http://schemas.openxmlformats.org/officeDocument/2006/relationships/hyperlink" Target="https://twitter.com/djuric_zlatko" TargetMode="External"/><Relationship Id="rId425" Type="http://schemas.openxmlformats.org/officeDocument/2006/relationships/hyperlink" Target="https://twitter.com/SraOSINT/status/1745444823794938066" TargetMode="External"/><Relationship Id="rId271" Type="http://schemas.openxmlformats.org/officeDocument/2006/relationships/hyperlink" Target="https://twitter.com/336jimmy/status/1726647206286152004" TargetMode="External"/><Relationship Id="rId24" Type="http://schemas.openxmlformats.org/officeDocument/2006/relationships/hyperlink" Target="https://twitter.com/BrennpunktUA" TargetMode="External"/><Relationship Id="rId66" Type="http://schemas.openxmlformats.org/officeDocument/2006/relationships/hyperlink" Target="https://twitter.com/Tendar/status/1744478270328860865" TargetMode="External"/><Relationship Id="rId131" Type="http://schemas.openxmlformats.org/officeDocument/2006/relationships/hyperlink" Target="https://twitter.com/tom_bike" TargetMode="External"/><Relationship Id="rId327" Type="http://schemas.openxmlformats.org/officeDocument/2006/relationships/hyperlink" Target="https://twitter.com/Osint613/status/1745451372437475407" TargetMode="External"/><Relationship Id="rId369" Type="http://schemas.openxmlformats.org/officeDocument/2006/relationships/hyperlink" Target="https://twitter.com/korben_rss/status/1743546031365587299" TargetMode="External"/><Relationship Id="rId173" Type="http://schemas.openxmlformats.org/officeDocument/2006/relationships/hyperlink" Target="https://twitter.com/MilitarySummary/status/1723304805781696883" TargetMode="External"/><Relationship Id="rId229" Type="http://schemas.openxmlformats.org/officeDocument/2006/relationships/hyperlink" Target="https://twitter.com/djuric_zlatko" TargetMode="External"/><Relationship Id="rId380" Type="http://schemas.openxmlformats.org/officeDocument/2006/relationships/hyperlink" Target="https://twitter.com/opsimathycouk/status/1742815198006607979" TargetMode="External"/><Relationship Id="rId240" Type="http://schemas.openxmlformats.org/officeDocument/2006/relationships/hyperlink" Target="https://twitter.com/GermanObserver1/status/1744032110803919272" TargetMode="External"/><Relationship Id="rId35" Type="http://schemas.openxmlformats.org/officeDocument/2006/relationships/hyperlink" Target="https://twitter.com/EdenBraber/status/1714720877017760165" TargetMode="External"/><Relationship Id="rId77" Type="http://schemas.openxmlformats.org/officeDocument/2006/relationships/hyperlink" Target="https://twitter.com/danuzioneto/status/1744848220457439335" TargetMode="External"/><Relationship Id="rId100" Type="http://schemas.openxmlformats.org/officeDocument/2006/relationships/hyperlink" Target="https://twitter.com/JaidevJamwal/status/1743553833241038989" TargetMode="External"/><Relationship Id="rId282" Type="http://schemas.openxmlformats.org/officeDocument/2006/relationships/hyperlink" Target="https://twitter.com/Tendar" TargetMode="External"/><Relationship Id="rId338" Type="http://schemas.openxmlformats.org/officeDocument/2006/relationships/hyperlink" Target="https://twitter.com/osint_random/status/1744435168532672744" TargetMode="External"/><Relationship Id="rId8" Type="http://schemas.openxmlformats.org/officeDocument/2006/relationships/hyperlink" Target="https://twitter.com/Resist_05/status/1681096634854436865" TargetMode="External"/><Relationship Id="rId142" Type="http://schemas.openxmlformats.org/officeDocument/2006/relationships/hyperlink" Target="https://twitter.com/UKikaski/status/1739009495739646310" TargetMode="External"/><Relationship Id="rId184" Type="http://schemas.openxmlformats.org/officeDocument/2006/relationships/hyperlink" Target="https://twitter.com/WarMonitors" TargetMode="External"/><Relationship Id="rId391" Type="http://schemas.openxmlformats.org/officeDocument/2006/relationships/hyperlink" Target="https://twitter.com/osint_random/status/1743977680142324208" TargetMode="External"/><Relationship Id="rId405" Type="http://schemas.openxmlformats.org/officeDocument/2006/relationships/hyperlink" Target="https://twitter.com/FabriceFrossard/status/1743937651936276736" TargetMode="External"/><Relationship Id="rId251" Type="http://schemas.openxmlformats.org/officeDocument/2006/relationships/hyperlink" Target="https://twitter.com/djuric_zlatko" TargetMode="External"/><Relationship Id="rId46" Type="http://schemas.openxmlformats.org/officeDocument/2006/relationships/hyperlink" Target="https://twitter.com/Volodymyr_D_/status/1605199916519018497" TargetMode="External"/><Relationship Id="rId293" Type="http://schemas.openxmlformats.org/officeDocument/2006/relationships/hyperlink" Target="https://twitter.com/ukraine_osint" TargetMode="External"/><Relationship Id="rId307" Type="http://schemas.openxmlformats.org/officeDocument/2006/relationships/hyperlink" Target="https://twitter.com/BenDoBrown/status/1743218872906346618" TargetMode="External"/><Relationship Id="rId349" Type="http://schemas.openxmlformats.org/officeDocument/2006/relationships/hyperlink" Target="https://twitter.com/osint_random/status/1743614122086834307" TargetMode="External"/><Relationship Id="rId88" Type="http://schemas.openxmlformats.org/officeDocument/2006/relationships/hyperlink" Target="https://twitter.com/OSINT_UA" TargetMode="External"/><Relationship Id="rId111" Type="http://schemas.openxmlformats.org/officeDocument/2006/relationships/hyperlink" Target="https://twitter.com/daniel_van0" TargetMode="External"/><Relationship Id="rId153" Type="http://schemas.openxmlformats.org/officeDocument/2006/relationships/hyperlink" Target="https://twitter.com/btselem" TargetMode="External"/><Relationship Id="rId195" Type="http://schemas.openxmlformats.org/officeDocument/2006/relationships/hyperlink" Target="https://twitter.com/WarMonitors" TargetMode="External"/><Relationship Id="rId209" Type="http://schemas.openxmlformats.org/officeDocument/2006/relationships/hyperlink" Target="https://twitter.com/WarMonitors/status/1744033616680599674" TargetMode="External"/><Relationship Id="rId360" Type="http://schemas.openxmlformats.org/officeDocument/2006/relationships/hyperlink" Target="https://twitter.com/osint_random/status/1743336095792889989" TargetMode="External"/><Relationship Id="rId416" Type="http://schemas.openxmlformats.org/officeDocument/2006/relationships/hyperlink" Target="https://twitter.com/LicGriffaNahuel/status/1744415592726004196" TargetMode="External"/><Relationship Id="rId220" Type="http://schemas.openxmlformats.org/officeDocument/2006/relationships/hyperlink" Target="https://twitter.com/djuric_zlatko" TargetMode="External"/><Relationship Id="rId15" Type="http://schemas.openxmlformats.org/officeDocument/2006/relationships/hyperlink" Target="https://twitter.com/cirnosad/status/1683253882397552641" TargetMode="External"/><Relationship Id="rId57" Type="http://schemas.openxmlformats.org/officeDocument/2006/relationships/hyperlink" Target="https://twitter.com/Osinttechnical/status/1744478209054310874" TargetMode="External"/><Relationship Id="rId262" Type="http://schemas.openxmlformats.org/officeDocument/2006/relationships/hyperlink" Target="https://twitter.com/Tendar/status/1743981616198750439" TargetMode="External"/><Relationship Id="rId318" Type="http://schemas.openxmlformats.org/officeDocument/2006/relationships/hyperlink" Target="https://twitter.com/ImageSatIntl/status/1117473176005545984" TargetMode="External"/><Relationship Id="rId99" Type="http://schemas.openxmlformats.org/officeDocument/2006/relationships/hyperlink" Target="https://twitter.com/AricToler" TargetMode="External"/><Relationship Id="rId122" Type="http://schemas.openxmlformats.org/officeDocument/2006/relationships/hyperlink" Target="https://twitter.com/Resist_05" TargetMode="External"/><Relationship Id="rId164" Type="http://schemas.openxmlformats.org/officeDocument/2006/relationships/hyperlink" Target="https://twitter.com/UKikaski/status/1745112662726279613" TargetMode="External"/><Relationship Id="rId371" Type="http://schemas.openxmlformats.org/officeDocument/2006/relationships/hyperlink" Target="https://twitter.com/andrefrigon2/status/1743290627519811850" TargetMode="External"/><Relationship Id="rId427" Type="http://schemas.openxmlformats.org/officeDocument/2006/relationships/hyperlink" Target="https://twitter.com/OVTT/status/1744726744194764808" TargetMode="External"/><Relationship Id="rId26" Type="http://schemas.openxmlformats.org/officeDocument/2006/relationships/hyperlink" Target="https://twitter.com/ArbiterOfTweets" TargetMode="External"/><Relationship Id="rId231" Type="http://schemas.openxmlformats.org/officeDocument/2006/relationships/hyperlink" Target="https://twitter.com/djuric_zlatko/status/1744816128583479704" TargetMode="External"/><Relationship Id="rId273" Type="http://schemas.openxmlformats.org/officeDocument/2006/relationships/hyperlink" Target="https://twitter.com/Tendar/status/1742102182608945652" TargetMode="External"/><Relationship Id="rId329" Type="http://schemas.openxmlformats.org/officeDocument/2006/relationships/hyperlink" Target="https://twitter.com/OSINTNic/status/1744369738510135708" TargetMode="External"/><Relationship Id="rId68" Type="http://schemas.openxmlformats.org/officeDocument/2006/relationships/hyperlink" Target="https://twitter.com/UKikaski/status/1743590019116265868" TargetMode="External"/><Relationship Id="rId133" Type="http://schemas.openxmlformats.org/officeDocument/2006/relationships/hyperlink" Target="https://twitter.com/ThomasVLinge" TargetMode="External"/><Relationship Id="rId175" Type="http://schemas.openxmlformats.org/officeDocument/2006/relationships/hyperlink" Target="https://twitter.com/amuse/status/1745397612243481083" TargetMode="External"/><Relationship Id="rId340" Type="http://schemas.openxmlformats.org/officeDocument/2006/relationships/hyperlink" Target="https://twitter.com/osint_random/status/1744030126990377362" TargetMode="External"/><Relationship Id="rId200" Type="http://schemas.openxmlformats.org/officeDocument/2006/relationships/hyperlink" Target="https://twitter.com/WarMonitors" TargetMode="External"/><Relationship Id="rId382" Type="http://schemas.openxmlformats.org/officeDocument/2006/relationships/hyperlink" Target="https://twitter.com/osint_random/status/1744306606722957802" TargetMode="External"/><Relationship Id="rId242" Type="http://schemas.openxmlformats.org/officeDocument/2006/relationships/hyperlink" Target="https://twitter.com/djuric_zlatko/status/1744611681056051268" TargetMode="External"/><Relationship Id="rId284" Type="http://schemas.openxmlformats.org/officeDocument/2006/relationships/hyperlink" Target="https://twitter.com/WarMonitors" TargetMode="External"/><Relationship Id="rId37" Type="http://schemas.openxmlformats.org/officeDocument/2006/relationships/hyperlink" Target="https://twitter.com/CovertShores" TargetMode="External"/><Relationship Id="rId79" Type="http://schemas.openxmlformats.org/officeDocument/2006/relationships/hyperlink" Target="https://twitter.com/Techjournalisto/status/1584909435348074508" TargetMode="External"/><Relationship Id="rId102" Type="http://schemas.openxmlformats.org/officeDocument/2006/relationships/hyperlink" Target="https://twitter.com/wammezz/status/1739802241312211184" TargetMode="External"/><Relationship Id="rId144" Type="http://schemas.openxmlformats.org/officeDocument/2006/relationships/hyperlink" Target="https://twitter.com/trbrtc/status/1725566974657249712" TargetMode="External"/><Relationship Id="rId90" Type="http://schemas.openxmlformats.org/officeDocument/2006/relationships/hyperlink" Target="https://twitter.com/igorsushko/status/1744714373996892349" TargetMode="External"/><Relationship Id="rId186" Type="http://schemas.openxmlformats.org/officeDocument/2006/relationships/hyperlink" Target="https://twitter.com/OSINTNic/status/1745449109723717693" TargetMode="External"/><Relationship Id="rId351" Type="http://schemas.openxmlformats.org/officeDocument/2006/relationships/hyperlink" Target="https://twitter.com/osint_random/status/1745202695084937706" TargetMode="External"/><Relationship Id="rId393" Type="http://schemas.openxmlformats.org/officeDocument/2006/relationships/hyperlink" Target="https://twitter.com/osint_random/status/1743663854020628646" TargetMode="External"/><Relationship Id="rId407" Type="http://schemas.openxmlformats.org/officeDocument/2006/relationships/hyperlink" Target="https://twitter.com/MCutulic/status/1742538120740958211" TargetMode="External"/><Relationship Id="rId211" Type="http://schemas.openxmlformats.org/officeDocument/2006/relationships/hyperlink" Target="https://twitter.com/WarMonitors/status/1744001939824673095" TargetMode="External"/><Relationship Id="rId253" Type="http://schemas.openxmlformats.org/officeDocument/2006/relationships/hyperlink" Target="https://twitter.com/djuric_zlatko/status/1744265184137372081" TargetMode="External"/><Relationship Id="rId295" Type="http://schemas.openxmlformats.org/officeDocument/2006/relationships/hyperlink" Target="https://twitter.com/OsintExperts" TargetMode="External"/><Relationship Id="rId309" Type="http://schemas.openxmlformats.org/officeDocument/2006/relationships/hyperlink" Target="https://twitter.com/BenDoBrown/status/1737797951966036125" TargetMode="External"/><Relationship Id="rId48" Type="http://schemas.openxmlformats.org/officeDocument/2006/relationships/hyperlink" Target="https://twitter.com/Osinttechnical/status/1743715113859739833" TargetMode="External"/><Relationship Id="rId113" Type="http://schemas.openxmlformats.org/officeDocument/2006/relationships/hyperlink" Target="https://twitter.com/trbrtc" TargetMode="External"/><Relationship Id="rId320" Type="http://schemas.openxmlformats.org/officeDocument/2006/relationships/hyperlink" Target="https://twitter.com/KallergisK/status/1669744417308016640" TargetMode="External"/><Relationship Id="rId155" Type="http://schemas.openxmlformats.org/officeDocument/2006/relationships/hyperlink" Target="https://twitter.com/happygibbon123" TargetMode="External"/><Relationship Id="rId197" Type="http://schemas.openxmlformats.org/officeDocument/2006/relationships/hyperlink" Target="https://twitter.com/IPHRinvestigate/status/1712775737256640725" TargetMode="External"/><Relationship Id="rId362" Type="http://schemas.openxmlformats.org/officeDocument/2006/relationships/hyperlink" Target="https://twitter.com/osint_random/status/1743721946942984300" TargetMode="External"/><Relationship Id="rId418" Type="http://schemas.openxmlformats.org/officeDocument/2006/relationships/hyperlink" Target="https://twitter.com/Alonso_ReYDeS/status/1743455705225408883" TargetMode="External"/><Relationship Id="rId222" Type="http://schemas.openxmlformats.org/officeDocument/2006/relationships/hyperlink" Target="https://twitter.com/IPHRinvestigate/status/1712775737256640725" TargetMode="External"/><Relationship Id="rId264" Type="http://schemas.openxmlformats.org/officeDocument/2006/relationships/hyperlink" Target="https://twitter.com/Tendar/status/1742985407245979951" TargetMode="External"/><Relationship Id="rId17" Type="http://schemas.openxmlformats.org/officeDocument/2006/relationships/hyperlink" Target="https://twitter.com/UKikaski/status/1703401067944214675" TargetMode="External"/><Relationship Id="rId59" Type="http://schemas.openxmlformats.org/officeDocument/2006/relationships/hyperlink" Target="https://twitter.com/Osinttechnical/status/1743934358673649996" TargetMode="External"/><Relationship Id="rId124" Type="http://schemas.openxmlformats.org/officeDocument/2006/relationships/hyperlink" Target="https://twitter.com/bcresearchgroup" TargetMode="External"/><Relationship Id="rId70" Type="http://schemas.openxmlformats.org/officeDocument/2006/relationships/hyperlink" Target="https://twitter.com/JakeGodin/status/1744373861074759753" TargetMode="External"/><Relationship Id="rId166" Type="http://schemas.openxmlformats.org/officeDocument/2006/relationships/hyperlink" Target="https://twitter.com/LeonidMikhalow/status/1744478615759143120" TargetMode="External"/><Relationship Id="rId331" Type="http://schemas.openxmlformats.org/officeDocument/2006/relationships/hyperlink" Target="https://twitter.com/FrenchOsint/status/1745006876939423804" TargetMode="External"/><Relationship Id="rId373" Type="http://schemas.openxmlformats.org/officeDocument/2006/relationships/hyperlink" Target="https://twitter.com/osint_random/status/1742916166530846978" TargetMode="External"/><Relationship Id="rId429" Type="http://schemas.openxmlformats.org/officeDocument/2006/relationships/hyperlink" Target="https://twitter.com/osint_w/status/1744211067243315307"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twitter.com/JakeGodin/status/1734975208367194235" TargetMode="External"/><Relationship Id="rId299" Type="http://schemas.openxmlformats.org/officeDocument/2006/relationships/hyperlink" Target="https://twitter.com/Osint613" TargetMode="External"/><Relationship Id="rId21" Type="http://schemas.openxmlformats.org/officeDocument/2006/relationships/hyperlink" Target="https://twitter.com/bili_vovky/status/1597216249670692864" TargetMode="External"/><Relationship Id="rId63" Type="http://schemas.openxmlformats.org/officeDocument/2006/relationships/hyperlink" Target="https://twitter.com/PijkerenTb/status/1725397839650459719" TargetMode="External"/><Relationship Id="rId159" Type="http://schemas.openxmlformats.org/officeDocument/2006/relationships/hyperlink" Target="https://twitter.com/sergioajv1" TargetMode="External"/><Relationship Id="rId324" Type="http://schemas.openxmlformats.org/officeDocument/2006/relationships/hyperlink" Target="https://twitter.com/UKikaski/status/1744694446220869674" TargetMode="External"/><Relationship Id="rId366" Type="http://schemas.openxmlformats.org/officeDocument/2006/relationships/hyperlink" Target="https://twitter.com/rudyurbaniak/status/1743564710027362417" TargetMode="External"/><Relationship Id="rId170" Type="http://schemas.openxmlformats.org/officeDocument/2006/relationships/hyperlink" Target="https://twitter.com/MyanmarWitness/status/1745082085809737968" TargetMode="External"/><Relationship Id="rId226" Type="http://schemas.openxmlformats.org/officeDocument/2006/relationships/hyperlink" Target="https://twitter.com/djuric_zlatko/status/1745182457639424159" TargetMode="External"/><Relationship Id="rId268" Type="http://schemas.openxmlformats.org/officeDocument/2006/relationships/hyperlink" Target="https://twitter.com/Tendar" TargetMode="External"/><Relationship Id="rId32" Type="http://schemas.openxmlformats.org/officeDocument/2006/relationships/hyperlink" Target="https://twitter.com/hugeglassofmilk" TargetMode="External"/><Relationship Id="rId74" Type="http://schemas.openxmlformats.org/officeDocument/2006/relationships/hyperlink" Target="https://twitter.com/DD_Geopolitics/status/1745449465195159853" TargetMode="External"/><Relationship Id="rId128" Type="http://schemas.openxmlformats.org/officeDocument/2006/relationships/hyperlink" Target="https://twitter.com/Mvjko" TargetMode="External"/><Relationship Id="rId335" Type="http://schemas.openxmlformats.org/officeDocument/2006/relationships/hyperlink" Target="https://twitter.com/FrenchOsint/status/1745008353367978167" TargetMode="External"/><Relationship Id="rId377" Type="http://schemas.openxmlformats.org/officeDocument/2006/relationships/hyperlink" Target="https://twitter.com/osint_random/status/1744861056709611668" TargetMode="External"/><Relationship Id="rId5" Type="http://schemas.openxmlformats.org/officeDocument/2006/relationships/hyperlink" Target="https://twitter.com/liz_churchill10/status/1681325307863728129" TargetMode="External"/><Relationship Id="rId181" Type="http://schemas.openxmlformats.org/officeDocument/2006/relationships/hyperlink" Target="https://twitter.com/IPHRinvestigate/status/1711637964004991142" TargetMode="External"/><Relationship Id="rId237" Type="http://schemas.openxmlformats.org/officeDocument/2006/relationships/hyperlink" Target="https://twitter.com/IPHRinvestigate/status/1710550777037488240" TargetMode="External"/><Relationship Id="rId402" Type="http://schemas.openxmlformats.org/officeDocument/2006/relationships/hyperlink" Target="https://twitter.com/Christophe_Tymo/status/1742597434457444601" TargetMode="External"/><Relationship Id="rId279" Type="http://schemas.openxmlformats.org/officeDocument/2006/relationships/hyperlink" Target="https://twitter.com/Tendar/status/1741447925996143098" TargetMode="External"/><Relationship Id="rId43" Type="http://schemas.openxmlformats.org/officeDocument/2006/relationships/hyperlink" Target="https://twitter.com/DataAbyssAI" TargetMode="External"/><Relationship Id="rId139" Type="http://schemas.openxmlformats.org/officeDocument/2006/relationships/hyperlink" Target="https://twitter.com/Mvjko" TargetMode="External"/><Relationship Id="rId290" Type="http://schemas.openxmlformats.org/officeDocument/2006/relationships/hyperlink" Target="https://twitter.com/KentTahir65227/status/1743223527350673870" TargetMode="External"/><Relationship Id="rId304" Type="http://schemas.openxmlformats.org/officeDocument/2006/relationships/hyperlink" Target="https://twitter.com/YUranium235" TargetMode="External"/><Relationship Id="rId346" Type="http://schemas.openxmlformats.org/officeDocument/2006/relationships/hyperlink" Target="https://twitter.com/osint_random/status/1744474648073368027" TargetMode="External"/><Relationship Id="rId388" Type="http://schemas.openxmlformats.org/officeDocument/2006/relationships/hyperlink" Target="https://twitter.com/andrefrigon2/status/1743290627519811850" TargetMode="External"/><Relationship Id="rId85" Type="http://schemas.openxmlformats.org/officeDocument/2006/relationships/hyperlink" Target="https://twitter.com/bradheitmann/status/1540808820796010496" TargetMode="External"/><Relationship Id="rId150" Type="http://schemas.openxmlformats.org/officeDocument/2006/relationships/hyperlink" Target="https://twitter.com/trbrtc/status/1724513414092038348" TargetMode="External"/><Relationship Id="rId192" Type="http://schemas.openxmlformats.org/officeDocument/2006/relationships/hyperlink" Target="https://twitter.com/WarMonitors/status/1744843254766415993" TargetMode="External"/><Relationship Id="rId206" Type="http://schemas.openxmlformats.org/officeDocument/2006/relationships/hyperlink" Target="https://twitter.com/kreyren" TargetMode="External"/><Relationship Id="rId413" Type="http://schemas.openxmlformats.org/officeDocument/2006/relationships/hyperlink" Target="https://twitter.com/osint_w/status/1743763551125155983" TargetMode="External"/><Relationship Id="rId248" Type="http://schemas.openxmlformats.org/officeDocument/2006/relationships/hyperlink" Target="https://twitter.com/mikalowistk/status/1741532032323277222" TargetMode="External"/><Relationship Id="rId12" Type="http://schemas.openxmlformats.org/officeDocument/2006/relationships/hyperlink" Target="https://twitter.com/WallStreetApes/status/1685451792258351104" TargetMode="External"/><Relationship Id="rId108" Type="http://schemas.openxmlformats.org/officeDocument/2006/relationships/hyperlink" Target="https://twitter.com/ariehkovler/status/1742993745732124991" TargetMode="External"/><Relationship Id="rId315" Type="http://schemas.openxmlformats.org/officeDocument/2006/relationships/hyperlink" Target="https://twitter.com/BenDoBrown/status/1724864270419046402" TargetMode="External"/><Relationship Id="rId357" Type="http://schemas.openxmlformats.org/officeDocument/2006/relationships/hyperlink" Target="https://twitter.com/osint_random/status/1745039181049373028" TargetMode="External"/><Relationship Id="rId54" Type="http://schemas.openxmlformats.org/officeDocument/2006/relationships/hyperlink" Target="https://twitter.com/Forrest_Rogers/status/1496254107660738568" TargetMode="External"/><Relationship Id="rId96" Type="http://schemas.openxmlformats.org/officeDocument/2006/relationships/hyperlink" Target="https://twitter.com/lobsterlarryliu/status/1743552123852247315" TargetMode="External"/><Relationship Id="rId161" Type="http://schemas.openxmlformats.org/officeDocument/2006/relationships/hyperlink" Target="https://twitter.com/madmaxburn88/status/1742989024871285182" TargetMode="External"/><Relationship Id="rId217" Type="http://schemas.openxmlformats.org/officeDocument/2006/relationships/hyperlink" Target="https://twitter.com/djuric_zlatko/status/1745441834506338475" TargetMode="External"/><Relationship Id="rId399" Type="http://schemas.openxmlformats.org/officeDocument/2006/relationships/hyperlink" Target="https://twitter.com/osint_random/status/1744306606722957802" TargetMode="External"/><Relationship Id="rId259" Type="http://schemas.openxmlformats.org/officeDocument/2006/relationships/hyperlink" Target="https://twitter.com/obretix/status/1742880753992536272" TargetMode="External"/><Relationship Id="rId424" Type="http://schemas.openxmlformats.org/officeDocument/2006/relationships/hyperlink" Target="https://twitter.com/SraOSINT/status/1743077476845195439" TargetMode="External"/><Relationship Id="rId23" Type="http://schemas.openxmlformats.org/officeDocument/2006/relationships/hyperlink" Target="https://twitter.com/BrennpunktUA/status/1739023982970438103" TargetMode="External"/><Relationship Id="rId119" Type="http://schemas.openxmlformats.org/officeDocument/2006/relationships/hyperlink" Target="https://twitter.com/jfuruly/status/1718196319347442029" TargetMode="External"/><Relationship Id="rId270" Type="http://schemas.openxmlformats.org/officeDocument/2006/relationships/hyperlink" Target="https://twitter.com/Tendar" TargetMode="External"/><Relationship Id="rId326" Type="http://schemas.openxmlformats.org/officeDocument/2006/relationships/hyperlink" Target="https://twitter.com/UKikaski/status/1744671046664413344" TargetMode="External"/><Relationship Id="rId65" Type="http://schemas.openxmlformats.org/officeDocument/2006/relationships/hyperlink" Target="https://twitter.com/Partisangirl/status/1733026025150222482" TargetMode="External"/><Relationship Id="rId130" Type="http://schemas.openxmlformats.org/officeDocument/2006/relationships/hyperlink" Target="https://twitter.com/tom_bike/status/1730212198725636584" TargetMode="External"/><Relationship Id="rId368" Type="http://schemas.openxmlformats.org/officeDocument/2006/relationships/hyperlink" Target="https://twitter.com/mathieuandro/status/1743682996937408790" TargetMode="External"/><Relationship Id="rId172" Type="http://schemas.openxmlformats.org/officeDocument/2006/relationships/hyperlink" Target="https://twitter.com/brechtcastel/status/1471139015344771081" TargetMode="External"/><Relationship Id="rId228" Type="http://schemas.openxmlformats.org/officeDocument/2006/relationships/hyperlink" Target="https://twitter.com/djuric_zlatko/status/1745099859277795401" TargetMode="External"/><Relationship Id="rId281" Type="http://schemas.openxmlformats.org/officeDocument/2006/relationships/hyperlink" Target="https://twitter.com/Tendar/status/1740853601516601850" TargetMode="External"/><Relationship Id="rId337" Type="http://schemas.openxmlformats.org/officeDocument/2006/relationships/hyperlink" Target="https://twitter.com/DumortierEmily/status/1744045105101578752" TargetMode="External"/><Relationship Id="rId34" Type="http://schemas.openxmlformats.org/officeDocument/2006/relationships/hyperlink" Target="https://twitter.com/mbentvelsen/status/1723986697929531399" TargetMode="External"/><Relationship Id="rId76" Type="http://schemas.openxmlformats.org/officeDocument/2006/relationships/hyperlink" Target="https://twitter.com/hugeglassofmilk/status/1719287930286375233" TargetMode="External"/><Relationship Id="rId141" Type="http://schemas.openxmlformats.org/officeDocument/2006/relationships/hyperlink" Target="https://twitter.com/JoshuaKoontz__" TargetMode="External"/><Relationship Id="rId379" Type="http://schemas.openxmlformats.org/officeDocument/2006/relationships/hyperlink" Target="https://twitter.com/Prevention_web/status/1742580451443675209" TargetMode="External"/><Relationship Id="rId7" Type="http://schemas.openxmlformats.org/officeDocument/2006/relationships/hyperlink" Target="https://twitter.com/Resist_05/status/1681096634854436865" TargetMode="External"/><Relationship Id="rId183" Type="http://schemas.openxmlformats.org/officeDocument/2006/relationships/hyperlink" Target="https://twitter.com/WarMonitors/status/1745418194989232536" TargetMode="External"/><Relationship Id="rId239" Type="http://schemas.openxmlformats.org/officeDocument/2006/relationships/hyperlink" Target="https://twitter.com/bayraktar_1love/status/1743272912914685982" TargetMode="External"/><Relationship Id="rId390" Type="http://schemas.openxmlformats.org/officeDocument/2006/relationships/hyperlink" Target="https://twitter.com/osint_random/status/1742916166530846978" TargetMode="External"/><Relationship Id="rId404" Type="http://schemas.openxmlformats.org/officeDocument/2006/relationships/hyperlink" Target="https://twitter.com/opsimathycouk/status/1742815198006607979" TargetMode="External"/><Relationship Id="rId250" Type="http://schemas.openxmlformats.org/officeDocument/2006/relationships/hyperlink" Target="https://twitter.com/djuric_zlatko/status/1744283969011544397" TargetMode="External"/><Relationship Id="rId292" Type="http://schemas.openxmlformats.org/officeDocument/2006/relationships/hyperlink" Target="https://twitter.com/ukraine_osint/status/1712230703880982657" TargetMode="External"/><Relationship Id="rId306" Type="http://schemas.openxmlformats.org/officeDocument/2006/relationships/hyperlink" Target="https://twitter.com/cirnosad" TargetMode="External"/><Relationship Id="rId45" Type="http://schemas.openxmlformats.org/officeDocument/2006/relationships/hyperlink" Target="https://twitter.com/Volodymyr_D_" TargetMode="External"/><Relationship Id="rId87" Type="http://schemas.openxmlformats.org/officeDocument/2006/relationships/hyperlink" Target="https://twitter.com/OSINT_UA/status/1592594788444172288" TargetMode="External"/><Relationship Id="rId110" Type="http://schemas.openxmlformats.org/officeDocument/2006/relationships/hyperlink" Target="https://twitter.com/daniel_van0/status/1710518671855042718" TargetMode="External"/><Relationship Id="rId348" Type="http://schemas.openxmlformats.org/officeDocument/2006/relationships/hyperlink" Target="https://twitter.com/osint_random/status/1743336095792889989" TargetMode="External"/><Relationship Id="rId152" Type="http://schemas.openxmlformats.org/officeDocument/2006/relationships/hyperlink" Target="https://twitter.com/btselem/status/1721533312538186061" TargetMode="External"/><Relationship Id="rId194" Type="http://schemas.openxmlformats.org/officeDocument/2006/relationships/hyperlink" Target="https://twitter.com/WarMonitors/status/1744792969482273110" TargetMode="External"/><Relationship Id="rId208" Type="http://schemas.openxmlformats.org/officeDocument/2006/relationships/hyperlink" Target="https://twitter.com/WarMonitors" TargetMode="External"/><Relationship Id="rId415" Type="http://schemas.openxmlformats.org/officeDocument/2006/relationships/hyperlink" Target="https://twitter.com/UKikaski/status/1744090601274929194" TargetMode="External"/><Relationship Id="rId261" Type="http://schemas.openxmlformats.org/officeDocument/2006/relationships/hyperlink" Target="https://twitter.com/Tendar" TargetMode="External"/><Relationship Id="rId14" Type="http://schemas.openxmlformats.org/officeDocument/2006/relationships/hyperlink" Target="https://twitter.com/matincantweet" TargetMode="External"/><Relationship Id="rId56" Type="http://schemas.openxmlformats.org/officeDocument/2006/relationships/hyperlink" Target="https://twitter.com/Sabados7/status/1496824540466401287" TargetMode="External"/><Relationship Id="rId317" Type="http://schemas.openxmlformats.org/officeDocument/2006/relationships/hyperlink" Target="https://twitter.com/mattckwilliams/status/1575604348461420544" TargetMode="External"/><Relationship Id="rId359" Type="http://schemas.openxmlformats.org/officeDocument/2006/relationships/hyperlink" Target="https://twitter.com/osint_random/status/1742704004671627334" TargetMode="External"/><Relationship Id="rId98" Type="http://schemas.openxmlformats.org/officeDocument/2006/relationships/hyperlink" Target="https://twitter.com/AricToler/status/1742278065147801929" TargetMode="External"/><Relationship Id="rId121" Type="http://schemas.openxmlformats.org/officeDocument/2006/relationships/hyperlink" Target="https://twitter.com/Resist_05/status/1744842724988334465" TargetMode="External"/><Relationship Id="rId163" Type="http://schemas.openxmlformats.org/officeDocument/2006/relationships/hyperlink" Target="https://twitter.com/JaidevJamwal/status/1744594599618785739" TargetMode="External"/><Relationship Id="rId219" Type="http://schemas.openxmlformats.org/officeDocument/2006/relationships/hyperlink" Target="https://twitter.com/djuric_zlatko/status/1745064458588766229" TargetMode="External"/><Relationship Id="rId370" Type="http://schemas.openxmlformats.org/officeDocument/2006/relationships/hyperlink" Target="https://twitter.com/osint_random/status/1743753979790565833" TargetMode="External"/><Relationship Id="rId426" Type="http://schemas.openxmlformats.org/officeDocument/2006/relationships/hyperlink" Target="https://twitter.com/OsintExperts/status/1744839536658489573" TargetMode="External"/><Relationship Id="rId230" Type="http://schemas.openxmlformats.org/officeDocument/2006/relationships/hyperlink" Target="https://twitter.com/OSINTJK/status/1744630302352547902" TargetMode="External"/><Relationship Id="rId25" Type="http://schemas.openxmlformats.org/officeDocument/2006/relationships/hyperlink" Target="https://twitter.com/ArbiterOfTweets/status/1731358374183276761" TargetMode="External"/><Relationship Id="rId67" Type="http://schemas.openxmlformats.org/officeDocument/2006/relationships/hyperlink" Target="https://twitter.com/zayedkhan08/status/1743013959681351869" TargetMode="External"/><Relationship Id="rId272" Type="http://schemas.openxmlformats.org/officeDocument/2006/relationships/hyperlink" Target="https://twitter.com/336jimmy" TargetMode="External"/><Relationship Id="rId328" Type="http://schemas.openxmlformats.org/officeDocument/2006/relationships/hyperlink" Target="https://twitter.com/UKikaski/status/1743984936971813251" TargetMode="External"/><Relationship Id="rId132" Type="http://schemas.openxmlformats.org/officeDocument/2006/relationships/hyperlink" Target="https://twitter.com/ThomasVLinge/status/1729973285801034095" TargetMode="External"/><Relationship Id="rId174" Type="http://schemas.openxmlformats.org/officeDocument/2006/relationships/hyperlink" Target="https://twitter.com/amuse/status/1745429937039757617" TargetMode="External"/><Relationship Id="rId381" Type="http://schemas.openxmlformats.org/officeDocument/2006/relationships/hyperlink" Target="https://twitter.com/FabriceFrossard/status/1743937651936276736" TargetMode="External"/><Relationship Id="rId241" Type="http://schemas.openxmlformats.org/officeDocument/2006/relationships/hyperlink" Target="https://twitter.com/ChrisOsieck/status/1743658475110969829" TargetMode="External"/><Relationship Id="rId36" Type="http://schemas.openxmlformats.org/officeDocument/2006/relationships/hyperlink" Target="https://twitter.com/CovertShores/status/1576235260924538881/photo/1" TargetMode="External"/><Relationship Id="rId283" Type="http://schemas.openxmlformats.org/officeDocument/2006/relationships/hyperlink" Target="https://twitter.com/WarMonitors/status/1745045539723337867" TargetMode="External"/><Relationship Id="rId339" Type="http://schemas.openxmlformats.org/officeDocument/2006/relationships/hyperlink" Target="https://twitter.com/osint_random/status/1744651789142564964" TargetMode="External"/><Relationship Id="rId78" Type="http://schemas.openxmlformats.org/officeDocument/2006/relationships/hyperlink" Target="https://twitter.com/nigroeneveld/status/1587039251484614656" TargetMode="External"/><Relationship Id="rId101" Type="http://schemas.openxmlformats.org/officeDocument/2006/relationships/hyperlink" Target="https://twitter.com/FrancoLopez288/status/1742731787204210956" TargetMode="External"/><Relationship Id="rId143" Type="http://schemas.openxmlformats.org/officeDocument/2006/relationships/hyperlink" Target="https://twitter.com/UKikaski" TargetMode="External"/><Relationship Id="rId185" Type="http://schemas.openxmlformats.org/officeDocument/2006/relationships/hyperlink" Target="https://twitter.com/moklasen/status/1733889619974926438" TargetMode="External"/><Relationship Id="rId350" Type="http://schemas.openxmlformats.org/officeDocument/2006/relationships/hyperlink" Target="https://twitter.com/osint_random/status/1743721946942984300" TargetMode="External"/><Relationship Id="rId406" Type="http://schemas.openxmlformats.org/officeDocument/2006/relationships/hyperlink" Target="https://twitter.com/osint_random/status/1744306606722957802" TargetMode="External"/><Relationship Id="rId9" Type="http://schemas.openxmlformats.org/officeDocument/2006/relationships/hyperlink" Target="https://twitter.com/amuse/status/1695781931240091721" TargetMode="External"/><Relationship Id="rId210" Type="http://schemas.openxmlformats.org/officeDocument/2006/relationships/hyperlink" Target="https://twitter.com/WarMonitors" TargetMode="External"/><Relationship Id="rId392" Type="http://schemas.openxmlformats.org/officeDocument/2006/relationships/hyperlink" Target="https://twitter.com/osint_random/status/1743688875359252776" TargetMode="External"/><Relationship Id="rId252" Type="http://schemas.openxmlformats.org/officeDocument/2006/relationships/hyperlink" Target="https://twitter.com/LeonidMikhalow/status/1742755378603909525" TargetMode="External"/><Relationship Id="rId294" Type="http://schemas.openxmlformats.org/officeDocument/2006/relationships/hyperlink" Target="https://twitter.com/OsintExperts/status/1745088959925948768" TargetMode="External"/><Relationship Id="rId308" Type="http://schemas.openxmlformats.org/officeDocument/2006/relationships/hyperlink" Target="https://twitter.com/BenDoBrown/status/1740649237732622640" TargetMode="External"/><Relationship Id="rId47" Type="http://schemas.openxmlformats.org/officeDocument/2006/relationships/hyperlink" Target="https://twitter.com/Volodymyr_D_" TargetMode="External"/><Relationship Id="rId89" Type="http://schemas.openxmlformats.org/officeDocument/2006/relationships/hyperlink" Target="https://twitter.com/Azovsouth/status/1744494071618367548" TargetMode="External"/><Relationship Id="rId112" Type="http://schemas.openxmlformats.org/officeDocument/2006/relationships/hyperlink" Target="https://twitter.com/trbrtc/status/1740021446997368846" TargetMode="External"/><Relationship Id="rId154" Type="http://schemas.openxmlformats.org/officeDocument/2006/relationships/hyperlink" Target="https://twitter.com/happygibbon123/status/1725516162715246880" TargetMode="External"/><Relationship Id="rId361" Type="http://schemas.openxmlformats.org/officeDocument/2006/relationships/hyperlink" Target="https://twitter.com/osint_random/status/1743614122086834307" TargetMode="External"/><Relationship Id="rId196" Type="http://schemas.openxmlformats.org/officeDocument/2006/relationships/hyperlink" Target="https://twitter.com/MarioNawfal/status/1743127134728544609" TargetMode="External"/><Relationship Id="rId417" Type="http://schemas.openxmlformats.org/officeDocument/2006/relationships/hyperlink" Target="https://twitter.com/FrancoLopez288/status/1742731787204210956" TargetMode="External"/><Relationship Id="rId16" Type="http://schemas.openxmlformats.org/officeDocument/2006/relationships/hyperlink" Target="https://twitter.com/cirnosad" TargetMode="External"/><Relationship Id="rId221" Type="http://schemas.openxmlformats.org/officeDocument/2006/relationships/hyperlink" Target="https://twitter.com/VlastimilBalaty/status/1744758278507106585" TargetMode="External"/><Relationship Id="rId263" Type="http://schemas.openxmlformats.org/officeDocument/2006/relationships/hyperlink" Target="https://twitter.com/Tendar" TargetMode="External"/><Relationship Id="rId319" Type="http://schemas.openxmlformats.org/officeDocument/2006/relationships/hyperlink" Target="https://twitter.com/KallergisK/status/1594652804584706049" TargetMode="External"/><Relationship Id="rId58" Type="http://schemas.openxmlformats.org/officeDocument/2006/relationships/hyperlink" Target="https://twitter.com/Osinttechnical" TargetMode="External"/><Relationship Id="rId123" Type="http://schemas.openxmlformats.org/officeDocument/2006/relationships/hyperlink" Target="https://twitter.com/bcresearchgroup/status/1744075778869150091" TargetMode="External"/><Relationship Id="rId330" Type="http://schemas.openxmlformats.org/officeDocument/2006/relationships/hyperlink" Target="https://twitter.com/OSINTNic/status/1743726593850200515" TargetMode="External"/><Relationship Id="rId165" Type="http://schemas.openxmlformats.org/officeDocument/2006/relationships/hyperlink" Target="https://twitter.com/madmaxburn88/status/1745159502478127453" TargetMode="External"/><Relationship Id="rId372" Type="http://schemas.openxmlformats.org/officeDocument/2006/relationships/hyperlink" Target="https://twitter.com/osint_random/status/1742611240365482441" TargetMode="External"/><Relationship Id="rId428" Type="http://schemas.openxmlformats.org/officeDocument/2006/relationships/hyperlink" Target="https://twitter.com/osint_w/status/1743763551125155983" TargetMode="External"/><Relationship Id="rId232" Type="http://schemas.openxmlformats.org/officeDocument/2006/relationships/hyperlink" Target="https://twitter.com/djuric_zlatko" TargetMode="External"/><Relationship Id="rId274" Type="http://schemas.openxmlformats.org/officeDocument/2006/relationships/hyperlink" Target="https://twitter.com/Tendar" TargetMode="External"/><Relationship Id="rId27" Type="http://schemas.openxmlformats.org/officeDocument/2006/relationships/hyperlink" Target="https://twitter.com/hugeglassofmilk/status/1724014055705227380" TargetMode="External"/><Relationship Id="rId69" Type="http://schemas.openxmlformats.org/officeDocument/2006/relationships/hyperlink" Target="https://twitter.com/UKikaski/status/1744015340294586654" TargetMode="External"/><Relationship Id="rId134" Type="http://schemas.openxmlformats.org/officeDocument/2006/relationships/hyperlink" Target="https://twitter.com/trbrtc/status/1664434008132923392" TargetMode="External"/><Relationship Id="rId80" Type="http://schemas.openxmlformats.org/officeDocument/2006/relationships/hyperlink" Target="https://twitter.com/hacker_content/status/1581903839137239040" TargetMode="External"/><Relationship Id="rId176" Type="http://schemas.openxmlformats.org/officeDocument/2006/relationships/hyperlink" Target="https://twitter.com/amuse/status/1745089441062867059" TargetMode="External"/><Relationship Id="rId341" Type="http://schemas.openxmlformats.org/officeDocument/2006/relationships/hyperlink" Target="https://twitter.com/FrenchOsint/status/1745048692057317612" TargetMode="External"/><Relationship Id="rId383" Type="http://schemas.openxmlformats.org/officeDocument/2006/relationships/hyperlink" Target="https://twitter.com/MCutulic/status/1742538120740958211" TargetMode="External"/><Relationship Id="rId201" Type="http://schemas.openxmlformats.org/officeDocument/2006/relationships/hyperlink" Target="https://twitter.com/WarMonitors/status/1744689167970222569" TargetMode="External"/><Relationship Id="rId243" Type="http://schemas.openxmlformats.org/officeDocument/2006/relationships/hyperlink" Target="https://twitter.com/djuric_zlatko" TargetMode="External"/><Relationship Id="rId285" Type="http://schemas.openxmlformats.org/officeDocument/2006/relationships/hyperlink" Target="https://twitter.com/Osint_NY/status/1717536728007717333" TargetMode="External"/><Relationship Id="rId38" Type="http://schemas.openxmlformats.org/officeDocument/2006/relationships/hyperlink" Target="https://twitter.com/nigroeneveld/status/1497689664530042880" TargetMode="External"/><Relationship Id="rId103" Type="http://schemas.openxmlformats.org/officeDocument/2006/relationships/hyperlink" Target="https://twitter.com/UKikaski/status/1743771126214320533" TargetMode="External"/><Relationship Id="rId310" Type="http://schemas.openxmlformats.org/officeDocument/2006/relationships/hyperlink" Target="https://twitter.com/BenDoBrown/status/1737133840445960529" TargetMode="External"/><Relationship Id="rId91" Type="http://schemas.openxmlformats.org/officeDocument/2006/relationships/hyperlink" Target="https://twitter.com/WarMonitors/status/1744663250438852685" TargetMode="External"/><Relationship Id="rId145" Type="http://schemas.openxmlformats.org/officeDocument/2006/relationships/hyperlink" Target="https://twitter.com/trbrtc" TargetMode="External"/><Relationship Id="rId187" Type="http://schemas.openxmlformats.org/officeDocument/2006/relationships/hyperlink" Target="https://twitter.com/WarMonitors/status/1745053403569377704" TargetMode="External"/><Relationship Id="rId352" Type="http://schemas.openxmlformats.org/officeDocument/2006/relationships/hyperlink" Target="https://twitter.com/osint_random/status/1744117903186682334" TargetMode="External"/><Relationship Id="rId394" Type="http://schemas.openxmlformats.org/officeDocument/2006/relationships/hyperlink" Target="https://twitter.com/osint_random/status/1744861056709611668" TargetMode="External"/><Relationship Id="rId408" Type="http://schemas.openxmlformats.org/officeDocument/2006/relationships/hyperlink" Target="https://twitter.com/HackersOIHEC/status/1743783808049041503" TargetMode="External"/><Relationship Id="rId1" Type="http://schemas.openxmlformats.org/officeDocument/2006/relationships/hyperlink" Target="https://twitter.com/molfar_agency/status/1701278887978692899" TargetMode="External"/><Relationship Id="rId212" Type="http://schemas.openxmlformats.org/officeDocument/2006/relationships/hyperlink" Target="https://twitter.com/WarMonitors" TargetMode="External"/><Relationship Id="rId233" Type="http://schemas.openxmlformats.org/officeDocument/2006/relationships/hyperlink" Target="https://twitter.com/happygibbon123/status/1711831307351724166" TargetMode="External"/><Relationship Id="rId254" Type="http://schemas.openxmlformats.org/officeDocument/2006/relationships/hyperlink" Target="https://twitter.com/djuric_zlatko" TargetMode="External"/><Relationship Id="rId28" Type="http://schemas.openxmlformats.org/officeDocument/2006/relationships/hyperlink" Target="https://twitter.com/hugeglassofmilk" TargetMode="External"/><Relationship Id="rId49" Type="http://schemas.openxmlformats.org/officeDocument/2006/relationships/hyperlink" Target="https://twitter.com/Osinttechnical" TargetMode="External"/><Relationship Id="rId114" Type="http://schemas.openxmlformats.org/officeDocument/2006/relationships/hyperlink" Target="https://twitter.com/trbrtc/status/1738190439235170378" TargetMode="External"/><Relationship Id="rId275" Type="http://schemas.openxmlformats.org/officeDocument/2006/relationships/hyperlink" Target="https://twitter.com/Tendar/status/1742159236807729336" TargetMode="External"/><Relationship Id="rId296" Type="http://schemas.openxmlformats.org/officeDocument/2006/relationships/hyperlink" Target="https://twitter.com/OSINTNic/status/1745050832922456459" TargetMode="External"/><Relationship Id="rId300" Type="http://schemas.openxmlformats.org/officeDocument/2006/relationships/hyperlink" Target="https://twitter.com/osintDICC/status/1744769682073350390" TargetMode="External"/><Relationship Id="rId60" Type="http://schemas.openxmlformats.org/officeDocument/2006/relationships/hyperlink" Target="https://twitter.com/Osinttechnical" TargetMode="External"/><Relationship Id="rId81" Type="http://schemas.openxmlformats.org/officeDocument/2006/relationships/hyperlink" Target="https://twitter.com/rafaelgrobinson/status/1577455925690249216" TargetMode="External"/><Relationship Id="rId135" Type="http://schemas.openxmlformats.org/officeDocument/2006/relationships/hyperlink" Target="https://twitter.com/osint_69/status/1744739916842668151" TargetMode="External"/><Relationship Id="rId156" Type="http://schemas.openxmlformats.org/officeDocument/2006/relationships/hyperlink" Target="https://twitter.com/IPHRinvestigate/status/1712000443256082534" TargetMode="External"/><Relationship Id="rId177" Type="http://schemas.openxmlformats.org/officeDocument/2006/relationships/hyperlink" Target="https://twitter.com/amuse/status/1745080336885731388" TargetMode="External"/><Relationship Id="rId198" Type="http://schemas.openxmlformats.org/officeDocument/2006/relationships/hyperlink" Target="https://twitter.com/IPHRinvestigate" TargetMode="External"/><Relationship Id="rId321" Type="http://schemas.openxmlformats.org/officeDocument/2006/relationships/hyperlink" Target="https://twitter.com/CovertShores/status/1681187511446675456" TargetMode="External"/><Relationship Id="rId342" Type="http://schemas.openxmlformats.org/officeDocument/2006/relationships/hyperlink" Target="https://twitter.com/osint_random/status/1742707049161486481" TargetMode="External"/><Relationship Id="rId363" Type="http://schemas.openxmlformats.org/officeDocument/2006/relationships/hyperlink" Target="https://twitter.com/osint_random/status/1745202695084937706" TargetMode="External"/><Relationship Id="rId384" Type="http://schemas.openxmlformats.org/officeDocument/2006/relationships/hyperlink" Target="https://twitter.com/osint_random/status/1744343193414492349" TargetMode="External"/><Relationship Id="rId419" Type="http://schemas.openxmlformats.org/officeDocument/2006/relationships/hyperlink" Target="https://twitter.com/cibernicola_es/status/1743324079053066387" TargetMode="External"/><Relationship Id="rId202" Type="http://schemas.openxmlformats.org/officeDocument/2006/relationships/hyperlink" Target="https://twitter.com/WarMonitors" TargetMode="External"/><Relationship Id="rId223" Type="http://schemas.openxmlformats.org/officeDocument/2006/relationships/hyperlink" Target="https://twitter.com/IPHRinvestigate" TargetMode="External"/><Relationship Id="rId244" Type="http://schemas.openxmlformats.org/officeDocument/2006/relationships/hyperlink" Target="https://twitter.com/djuric_zlatko/status/1744450386126094710" TargetMode="External"/><Relationship Id="rId18" Type="http://schemas.openxmlformats.org/officeDocument/2006/relationships/hyperlink" Target="https://twitter.com/UKikaski" TargetMode="External"/><Relationship Id="rId39" Type="http://schemas.openxmlformats.org/officeDocument/2006/relationships/hyperlink" Target="https://twitter.com/nigroeneveld" TargetMode="External"/><Relationship Id="rId265" Type="http://schemas.openxmlformats.org/officeDocument/2006/relationships/hyperlink" Target="https://twitter.com/Tendar" TargetMode="External"/><Relationship Id="rId286" Type="http://schemas.openxmlformats.org/officeDocument/2006/relationships/hyperlink" Target="https://twitter.com/Osint_NY" TargetMode="External"/><Relationship Id="rId50" Type="http://schemas.openxmlformats.org/officeDocument/2006/relationships/hyperlink" Target="https://twitter.com/Osinttechnical/status/1743701090569208244" TargetMode="External"/><Relationship Id="rId104" Type="http://schemas.openxmlformats.org/officeDocument/2006/relationships/hyperlink" Target="https://twitter.com/viper202020/status/1744148861533278685" TargetMode="External"/><Relationship Id="rId125" Type="http://schemas.openxmlformats.org/officeDocument/2006/relationships/hyperlink" Target="https://twitter.com/pjasinski/status/1727704476125983060" TargetMode="External"/><Relationship Id="rId146" Type="http://schemas.openxmlformats.org/officeDocument/2006/relationships/hyperlink" Target="https://twitter.com/bcresearchgroup/status/1739045857880883387" TargetMode="External"/><Relationship Id="rId167" Type="http://schemas.openxmlformats.org/officeDocument/2006/relationships/hyperlink" Target="https://twitter.com/LeonidMikhalow/status/1744670527493382170" TargetMode="External"/><Relationship Id="rId188" Type="http://schemas.openxmlformats.org/officeDocument/2006/relationships/hyperlink" Target="https://twitter.com/WarMonitors" TargetMode="External"/><Relationship Id="rId311" Type="http://schemas.openxmlformats.org/officeDocument/2006/relationships/hyperlink" Target="https://twitter.com/WillCarter_NRC/status/1736883393332162951" TargetMode="External"/><Relationship Id="rId332" Type="http://schemas.openxmlformats.org/officeDocument/2006/relationships/hyperlink" Target="https://twitter.com/atummundi/status/1744395467780223286" TargetMode="External"/><Relationship Id="rId353" Type="http://schemas.openxmlformats.org/officeDocument/2006/relationships/hyperlink" Target="https://twitter.com/osint_random/status/1745229154562277431" TargetMode="External"/><Relationship Id="rId374" Type="http://schemas.openxmlformats.org/officeDocument/2006/relationships/hyperlink" Target="https://twitter.com/osint_random/status/1743977680142324208" TargetMode="External"/><Relationship Id="rId395" Type="http://schemas.openxmlformats.org/officeDocument/2006/relationships/hyperlink" Target="https://twitter.com/Christophe_Tymo/status/1742597434457444601" TargetMode="External"/><Relationship Id="rId409" Type="http://schemas.openxmlformats.org/officeDocument/2006/relationships/hyperlink" Target="https://twitter.com/Osint613/status/1743278122697462048" TargetMode="External"/><Relationship Id="rId71" Type="http://schemas.openxmlformats.org/officeDocument/2006/relationships/hyperlink" Target="https://twitter.com/JakeGodin" TargetMode="External"/><Relationship Id="rId92" Type="http://schemas.openxmlformats.org/officeDocument/2006/relationships/hyperlink" Target="https://twitter.com/UKikaski/status/1744338502005710853" TargetMode="External"/><Relationship Id="rId213" Type="http://schemas.openxmlformats.org/officeDocument/2006/relationships/hyperlink" Target="https://twitter.com/WarMonitors/status/1743797638523203926" TargetMode="External"/><Relationship Id="rId234" Type="http://schemas.openxmlformats.org/officeDocument/2006/relationships/hyperlink" Target="https://twitter.com/happygibbon123" TargetMode="External"/><Relationship Id="rId420" Type="http://schemas.openxmlformats.org/officeDocument/2006/relationships/hyperlink" Target="https://twitter.com/NOTINAFO/status/1744317709859402040" TargetMode="External"/><Relationship Id="rId2" Type="http://schemas.openxmlformats.org/officeDocument/2006/relationships/hyperlink" Target="https://twitter.com/molfar_agency" TargetMode="External"/><Relationship Id="rId29" Type="http://schemas.openxmlformats.org/officeDocument/2006/relationships/hyperlink" Target="https://twitter.com/hugeglassofmilk/status/1719287930286375233" TargetMode="External"/><Relationship Id="rId255" Type="http://schemas.openxmlformats.org/officeDocument/2006/relationships/hyperlink" Target="https://twitter.com/Tendar/status/1743228213579391479" TargetMode="External"/><Relationship Id="rId276" Type="http://schemas.openxmlformats.org/officeDocument/2006/relationships/hyperlink" Target="https://twitter.com/Tendar" TargetMode="External"/><Relationship Id="rId297" Type="http://schemas.openxmlformats.org/officeDocument/2006/relationships/hyperlink" Target="https://twitter.com/OSINTNic" TargetMode="External"/><Relationship Id="rId40" Type="http://schemas.openxmlformats.org/officeDocument/2006/relationships/hyperlink" Target="https://twitter.com/PatriotOSINT/status/1555721053938253829" TargetMode="External"/><Relationship Id="rId115" Type="http://schemas.openxmlformats.org/officeDocument/2006/relationships/hyperlink" Target="https://twitter.com/trbrtc" TargetMode="External"/><Relationship Id="rId136" Type="http://schemas.openxmlformats.org/officeDocument/2006/relationships/hyperlink" Target="https://twitter.com/bellingcat/status/1728112023030907247" TargetMode="External"/><Relationship Id="rId157" Type="http://schemas.openxmlformats.org/officeDocument/2006/relationships/hyperlink" Target="https://twitter.com/IPHRinvestigate" TargetMode="External"/><Relationship Id="rId178" Type="http://schemas.openxmlformats.org/officeDocument/2006/relationships/hyperlink" Target="https://twitter.com/happygibbon123/status/1719790323948220429" TargetMode="External"/><Relationship Id="rId301" Type="http://schemas.openxmlformats.org/officeDocument/2006/relationships/hyperlink" Target="https://twitter.com/realRickWiles/status/1745250680741208543" TargetMode="External"/><Relationship Id="rId322" Type="http://schemas.openxmlformats.org/officeDocument/2006/relationships/hyperlink" Target="https://twitter.com/Qaisalamdar/status/1617710054702206984" TargetMode="External"/><Relationship Id="rId343" Type="http://schemas.openxmlformats.org/officeDocument/2006/relationships/hyperlink" Target="https://twitter.com/RejaumontP/status/1743248435912867906" TargetMode="External"/><Relationship Id="rId364" Type="http://schemas.openxmlformats.org/officeDocument/2006/relationships/hyperlink" Target="https://twitter.com/osint_random/status/1744117903186682334" TargetMode="External"/><Relationship Id="rId61" Type="http://schemas.openxmlformats.org/officeDocument/2006/relationships/hyperlink" Target="https://twitter.com/Tendar/status/1744000869182435383" TargetMode="External"/><Relationship Id="rId82" Type="http://schemas.openxmlformats.org/officeDocument/2006/relationships/hyperlink" Target="https://twitter.com/osintbear/status/1576242968700264448" TargetMode="External"/><Relationship Id="rId199" Type="http://schemas.openxmlformats.org/officeDocument/2006/relationships/hyperlink" Target="https://twitter.com/WarMonitors/status/1744714855515672666" TargetMode="External"/><Relationship Id="rId203" Type="http://schemas.openxmlformats.org/officeDocument/2006/relationships/hyperlink" Target="https://twitter.com/WarMonitors/status/1744671475263779180" TargetMode="External"/><Relationship Id="rId385" Type="http://schemas.openxmlformats.org/officeDocument/2006/relationships/hyperlink" Target="https://twitter.com/mathieuandro/status/1743682996937408790" TargetMode="External"/><Relationship Id="rId19" Type="http://schemas.openxmlformats.org/officeDocument/2006/relationships/hyperlink" Target="https://twitter.com/KPatthar/status/1640432067543441420" TargetMode="External"/><Relationship Id="rId224" Type="http://schemas.openxmlformats.org/officeDocument/2006/relationships/hyperlink" Target="https://twitter.com/djuric_zlatko/status/1745350865681080380" TargetMode="External"/><Relationship Id="rId245" Type="http://schemas.openxmlformats.org/officeDocument/2006/relationships/hyperlink" Target="https://twitter.com/djuric_zlatko" TargetMode="External"/><Relationship Id="rId266" Type="http://schemas.openxmlformats.org/officeDocument/2006/relationships/hyperlink" Target="https://twitter.com/ChrisOsieck/status/1742945368168452134" TargetMode="External"/><Relationship Id="rId287" Type="http://schemas.openxmlformats.org/officeDocument/2006/relationships/hyperlink" Target="https://twitter.com/JustusUwakwe/status/1716785530388488443" TargetMode="External"/><Relationship Id="rId410" Type="http://schemas.openxmlformats.org/officeDocument/2006/relationships/hyperlink" Target="https://twitter.com/osint_w/status/1744202752480182549" TargetMode="External"/><Relationship Id="rId30" Type="http://schemas.openxmlformats.org/officeDocument/2006/relationships/hyperlink" Target="https://twitter.com/hugeglassofmilk" TargetMode="External"/><Relationship Id="rId105" Type="http://schemas.openxmlformats.org/officeDocument/2006/relationships/hyperlink" Target="https://twitter.com/viper202020" TargetMode="External"/><Relationship Id="rId126" Type="http://schemas.openxmlformats.org/officeDocument/2006/relationships/hyperlink" Target="https://twitter.com/pjasinski" TargetMode="External"/><Relationship Id="rId147" Type="http://schemas.openxmlformats.org/officeDocument/2006/relationships/hyperlink" Target="https://twitter.com/bcresearchgroup" TargetMode="External"/><Relationship Id="rId168" Type="http://schemas.openxmlformats.org/officeDocument/2006/relationships/hyperlink" Target="https://twitter.com/OSINTNic/status/1745138472447353127" TargetMode="External"/><Relationship Id="rId312" Type="http://schemas.openxmlformats.org/officeDocument/2006/relationships/hyperlink" Target="https://twitter.com/WillCarter_NRC" TargetMode="External"/><Relationship Id="rId333" Type="http://schemas.openxmlformats.org/officeDocument/2006/relationships/hyperlink" Target="https://twitter.com/FrenchOsint/status/1745356879004389483" TargetMode="External"/><Relationship Id="rId354" Type="http://schemas.openxmlformats.org/officeDocument/2006/relationships/hyperlink" Target="https://twitter.com/rudyurbaniak/status/1743564710027362417" TargetMode="External"/><Relationship Id="rId51" Type="http://schemas.openxmlformats.org/officeDocument/2006/relationships/hyperlink" Target="https://twitter.com/Osinttechnical" TargetMode="External"/><Relationship Id="rId72" Type="http://schemas.openxmlformats.org/officeDocument/2006/relationships/hyperlink" Target="https://twitter.com/JakeGodin/status/1735052613970702480" TargetMode="External"/><Relationship Id="rId93" Type="http://schemas.openxmlformats.org/officeDocument/2006/relationships/hyperlink" Target="https://twitter.com/UKikaski/status/1744000766845559189" TargetMode="External"/><Relationship Id="rId189" Type="http://schemas.openxmlformats.org/officeDocument/2006/relationships/hyperlink" Target="https://twitter.com/OsintExperts/status/1744278032762974690" TargetMode="External"/><Relationship Id="rId375" Type="http://schemas.openxmlformats.org/officeDocument/2006/relationships/hyperlink" Target="https://twitter.com/osint_random/status/1743688875359252776" TargetMode="External"/><Relationship Id="rId396" Type="http://schemas.openxmlformats.org/officeDocument/2006/relationships/hyperlink" Target="https://twitter.com/Prevention_web/status/1742580451443675209" TargetMode="External"/><Relationship Id="rId3" Type="http://schemas.openxmlformats.org/officeDocument/2006/relationships/hyperlink" Target="https://twitter.com/Techjournalisto/status/1714179012723867752" TargetMode="External"/><Relationship Id="rId214" Type="http://schemas.openxmlformats.org/officeDocument/2006/relationships/hyperlink" Target="https://twitter.com/WarMonitors" TargetMode="External"/><Relationship Id="rId235" Type="http://schemas.openxmlformats.org/officeDocument/2006/relationships/hyperlink" Target="https://twitter.com/happygibbon123/status/1711329534786654668" TargetMode="External"/><Relationship Id="rId256" Type="http://schemas.openxmlformats.org/officeDocument/2006/relationships/hyperlink" Target="https://twitter.com/Tendar" TargetMode="External"/><Relationship Id="rId277" Type="http://schemas.openxmlformats.org/officeDocument/2006/relationships/hyperlink" Target="https://twitter.com/Tendar/status/1741836278927065587" TargetMode="External"/><Relationship Id="rId298" Type="http://schemas.openxmlformats.org/officeDocument/2006/relationships/hyperlink" Target="https://twitter.com/Osint613/status/1744781756182430051" TargetMode="External"/><Relationship Id="rId400" Type="http://schemas.openxmlformats.org/officeDocument/2006/relationships/hyperlink" Target="https://twitter.com/MCutulic/status/1742538120740958211" TargetMode="External"/><Relationship Id="rId421" Type="http://schemas.openxmlformats.org/officeDocument/2006/relationships/hyperlink" Target="https://twitter.com/osint_w/status/1744354917370749025" TargetMode="External"/><Relationship Id="rId116" Type="http://schemas.openxmlformats.org/officeDocument/2006/relationships/hyperlink" Target="https://twitter.com/jfuruly/status/1718196319347442029" TargetMode="External"/><Relationship Id="rId137" Type="http://schemas.openxmlformats.org/officeDocument/2006/relationships/hyperlink" Target="https://twitter.com/bellingcat" TargetMode="External"/><Relationship Id="rId158" Type="http://schemas.openxmlformats.org/officeDocument/2006/relationships/hyperlink" Target="https://twitter.com/sergioajv1/status/1713987691757424994" TargetMode="External"/><Relationship Id="rId302" Type="http://schemas.openxmlformats.org/officeDocument/2006/relationships/hyperlink" Target="https://twitter.com/realRickWiles" TargetMode="External"/><Relationship Id="rId323" Type="http://schemas.openxmlformats.org/officeDocument/2006/relationships/hyperlink" Target="https://twitter.com/mattckwilliams/status/1521038609079586817" TargetMode="External"/><Relationship Id="rId344" Type="http://schemas.openxmlformats.org/officeDocument/2006/relationships/hyperlink" Target="https://twitter.com/ZLLog/status/1744343813894684970" TargetMode="External"/><Relationship Id="rId20" Type="http://schemas.openxmlformats.org/officeDocument/2006/relationships/hyperlink" Target="https://twitter.com/KPatthar" TargetMode="External"/><Relationship Id="rId41" Type="http://schemas.openxmlformats.org/officeDocument/2006/relationships/hyperlink" Target="https://twitter.com/PatriotOSINT" TargetMode="External"/><Relationship Id="rId62" Type="http://schemas.openxmlformats.org/officeDocument/2006/relationships/hyperlink" Target="https://twitter.com/ChrisO_wiki/status/1744291196313182515" TargetMode="External"/><Relationship Id="rId83" Type="http://schemas.openxmlformats.org/officeDocument/2006/relationships/hyperlink" Target="https://twitter.com/Techjournalisto/status/1576234829753950208" TargetMode="External"/><Relationship Id="rId179" Type="http://schemas.openxmlformats.org/officeDocument/2006/relationships/hyperlink" Target="https://twitter.com/moklasen/status/1735971615039426701" TargetMode="External"/><Relationship Id="rId365" Type="http://schemas.openxmlformats.org/officeDocument/2006/relationships/hyperlink" Target="https://twitter.com/osint_random/status/1745229154562277431" TargetMode="External"/><Relationship Id="rId386" Type="http://schemas.openxmlformats.org/officeDocument/2006/relationships/hyperlink" Target="https://twitter.com/korben_rss/status/1743546031365587299" TargetMode="External"/><Relationship Id="rId190" Type="http://schemas.openxmlformats.org/officeDocument/2006/relationships/hyperlink" Target="https://twitter.com/ja31ck/status/1718278328811962718" TargetMode="External"/><Relationship Id="rId204" Type="http://schemas.openxmlformats.org/officeDocument/2006/relationships/hyperlink" Target="https://twitter.com/WarMonitors" TargetMode="External"/><Relationship Id="rId225" Type="http://schemas.openxmlformats.org/officeDocument/2006/relationships/hyperlink" Target="https://twitter.com/djuric_zlatko" TargetMode="External"/><Relationship Id="rId246" Type="http://schemas.openxmlformats.org/officeDocument/2006/relationships/hyperlink" Target="https://twitter.com/djuric_zlatko/status/1744446661307314590" TargetMode="External"/><Relationship Id="rId267" Type="http://schemas.openxmlformats.org/officeDocument/2006/relationships/hyperlink" Target="https://twitter.com/Tendar/status/1742497910510538907" TargetMode="External"/><Relationship Id="rId288" Type="http://schemas.openxmlformats.org/officeDocument/2006/relationships/hyperlink" Target="https://twitter.com/JustusUwakwe" TargetMode="External"/><Relationship Id="rId411" Type="http://schemas.openxmlformats.org/officeDocument/2006/relationships/hyperlink" Target="https://twitter.com/Osint613/status/1743279790952427875" TargetMode="External"/><Relationship Id="rId106" Type="http://schemas.openxmlformats.org/officeDocument/2006/relationships/hyperlink" Target="https://twitter.com/ArmsControlWonk/status/1743401785560084825" TargetMode="External"/><Relationship Id="rId127" Type="http://schemas.openxmlformats.org/officeDocument/2006/relationships/hyperlink" Target="https://twitter.com/Mvjko/status/1714337456001085830" TargetMode="External"/><Relationship Id="rId313" Type="http://schemas.openxmlformats.org/officeDocument/2006/relationships/hyperlink" Target="https://twitter.com/BenDoBrown/status/1731725754092654738" TargetMode="External"/><Relationship Id="rId10" Type="http://schemas.openxmlformats.org/officeDocument/2006/relationships/hyperlink" Target="https://twitter.com/amuse/status/1695781931240091721" TargetMode="External"/><Relationship Id="rId31" Type="http://schemas.openxmlformats.org/officeDocument/2006/relationships/hyperlink" Target="https://twitter.com/hugeglassofmilk/status/1724065501750452561" TargetMode="External"/><Relationship Id="rId52" Type="http://schemas.openxmlformats.org/officeDocument/2006/relationships/hyperlink" Target="https://twitter.com/CovertShores/status/1563780511604117504" TargetMode="External"/><Relationship Id="rId73" Type="http://schemas.openxmlformats.org/officeDocument/2006/relationships/hyperlink" Target="https://twitter.com/JakeGodin" TargetMode="External"/><Relationship Id="rId94" Type="http://schemas.openxmlformats.org/officeDocument/2006/relationships/hyperlink" Target="https://twitter.com/AricToler/status/1743281978038788252" TargetMode="External"/><Relationship Id="rId148" Type="http://schemas.openxmlformats.org/officeDocument/2006/relationships/hyperlink" Target="https://twitter.com/malachybrowne/status/1724525717214396464" TargetMode="External"/><Relationship Id="rId169" Type="http://schemas.openxmlformats.org/officeDocument/2006/relationships/hyperlink" Target="https://twitter.com/MyanmarWitness/status/1681265348098633748" TargetMode="External"/><Relationship Id="rId334" Type="http://schemas.openxmlformats.org/officeDocument/2006/relationships/hyperlink" Target="https://twitter.com/clement_molin/status/1744663168478073154" TargetMode="External"/><Relationship Id="rId355" Type="http://schemas.openxmlformats.org/officeDocument/2006/relationships/hyperlink" Target="https://twitter.com/RejaumontP/status/1743248435912867906" TargetMode="External"/><Relationship Id="rId376" Type="http://schemas.openxmlformats.org/officeDocument/2006/relationships/hyperlink" Target="https://twitter.com/osint_random/status/1743663854020628646" TargetMode="External"/><Relationship Id="rId397" Type="http://schemas.openxmlformats.org/officeDocument/2006/relationships/hyperlink" Target="https://twitter.com/opsimathycouk/status/1742815198006607979" TargetMode="External"/><Relationship Id="rId4" Type="http://schemas.openxmlformats.org/officeDocument/2006/relationships/hyperlink" Target="https://twitter.com/Techjournalisto" TargetMode="External"/><Relationship Id="rId180" Type="http://schemas.openxmlformats.org/officeDocument/2006/relationships/hyperlink" Target="https://twitter.com/YWNReporter/status/1733965871461134846" TargetMode="External"/><Relationship Id="rId215" Type="http://schemas.openxmlformats.org/officeDocument/2006/relationships/hyperlink" Target="https://twitter.com/WarMonitors/status/1743677607147610175" TargetMode="External"/><Relationship Id="rId236" Type="http://schemas.openxmlformats.org/officeDocument/2006/relationships/hyperlink" Target="https://twitter.com/happygibbon123" TargetMode="External"/><Relationship Id="rId257" Type="http://schemas.openxmlformats.org/officeDocument/2006/relationships/hyperlink" Target="https://twitter.com/djuric_zlatko/status/1744257511778119704" TargetMode="External"/><Relationship Id="rId278" Type="http://schemas.openxmlformats.org/officeDocument/2006/relationships/hyperlink" Target="https://twitter.com/Tendar" TargetMode="External"/><Relationship Id="rId401" Type="http://schemas.openxmlformats.org/officeDocument/2006/relationships/hyperlink" Target="https://twitter.com/osint_random/status/1744861056709611668" TargetMode="External"/><Relationship Id="rId422" Type="http://schemas.openxmlformats.org/officeDocument/2006/relationships/hyperlink" Target="https://twitter.com/danuzioneto/status/1744809719154286928" TargetMode="External"/><Relationship Id="rId303" Type="http://schemas.openxmlformats.org/officeDocument/2006/relationships/hyperlink" Target="https://twitter.com/YUranium235/status/1745208076821504306" TargetMode="External"/><Relationship Id="rId42" Type="http://schemas.openxmlformats.org/officeDocument/2006/relationships/hyperlink" Target="https://twitter.com/DataAbyssAI/status/1576409629147660288" TargetMode="External"/><Relationship Id="rId84" Type="http://schemas.openxmlformats.org/officeDocument/2006/relationships/hyperlink" Target="https://twitter.com/Techjournalisto/status/1555972455210033154" TargetMode="External"/><Relationship Id="rId138" Type="http://schemas.openxmlformats.org/officeDocument/2006/relationships/hyperlink" Target="https://twitter.com/Mvjko/status/1720557074466128178" TargetMode="External"/><Relationship Id="rId345" Type="http://schemas.openxmlformats.org/officeDocument/2006/relationships/hyperlink" Target="https://twitter.com/osint_random/status/1745039181049373028" TargetMode="External"/><Relationship Id="rId387" Type="http://schemas.openxmlformats.org/officeDocument/2006/relationships/hyperlink" Target="https://twitter.com/osint_random/status/1743753979790565833" TargetMode="External"/><Relationship Id="rId191" Type="http://schemas.openxmlformats.org/officeDocument/2006/relationships/hyperlink" Target="https://twitter.com/ja31ck" TargetMode="External"/><Relationship Id="rId205" Type="http://schemas.openxmlformats.org/officeDocument/2006/relationships/hyperlink" Target="https://twitter.com/kreyren/status/1714667666634612842" TargetMode="External"/><Relationship Id="rId247" Type="http://schemas.openxmlformats.org/officeDocument/2006/relationships/hyperlink" Target="https://twitter.com/djuric_zlatko" TargetMode="External"/><Relationship Id="rId412" Type="http://schemas.openxmlformats.org/officeDocument/2006/relationships/hyperlink" Target="https://twitter.com/OSINTJK/status/1743208649571680444" TargetMode="External"/><Relationship Id="rId107" Type="http://schemas.openxmlformats.org/officeDocument/2006/relationships/hyperlink" Target="https://twitter.com/ArmsControlWonk" TargetMode="External"/><Relationship Id="rId289" Type="http://schemas.openxmlformats.org/officeDocument/2006/relationships/hyperlink" Target="https://twitter.com/nadinbrzezinski/status/1744152874228314350" TargetMode="External"/><Relationship Id="rId11" Type="http://schemas.openxmlformats.org/officeDocument/2006/relationships/hyperlink" Target="https://twitter.com/WallStreetApes/status/1685451792258351104" TargetMode="External"/><Relationship Id="rId53" Type="http://schemas.openxmlformats.org/officeDocument/2006/relationships/hyperlink" Target="https://twitter.com/CovertShores" TargetMode="External"/><Relationship Id="rId149" Type="http://schemas.openxmlformats.org/officeDocument/2006/relationships/hyperlink" Target="https://twitter.com/malachybrowne" TargetMode="External"/><Relationship Id="rId314" Type="http://schemas.openxmlformats.org/officeDocument/2006/relationships/hyperlink" Target="https://twitter.com/BenDoBrown/status/1730263013721059375" TargetMode="External"/><Relationship Id="rId356" Type="http://schemas.openxmlformats.org/officeDocument/2006/relationships/hyperlink" Target="https://twitter.com/ZLLog/status/1744343813894684970" TargetMode="External"/><Relationship Id="rId398" Type="http://schemas.openxmlformats.org/officeDocument/2006/relationships/hyperlink" Target="https://twitter.com/FabriceFrossard/status/1743937651936276736" TargetMode="External"/><Relationship Id="rId95" Type="http://schemas.openxmlformats.org/officeDocument/2006/relationships/hyperlink" Target="https://twitter.com/AricToler" TargetMode="External"/><Relationship Id="rId160" Type="http://schemas.openxmlformats.org/officeDocument/2006/relationships/hyperlink" Target="https://twitter.com/KenCox/status/1745266581553246400" TargetMode="External"/><Relationship Id="rId216" Type="http://schemas.openxmlformats.org/officeDocument/2006/relationships/hyperlink" Target="https://twitter.com/WarMonitors" TargetMode="External"/><Relationship Id="rId423" Type="http://schemas.openxmlformats.org/officeDocument/2006/relationships/hyperlink" Target="https://twitter.com/danuzioneto/status/1744819646795043204" TargetMode="External"/><Relationship Id="rId258" Type="http://schemas.openxmlformats.org/officeDocument/2006/relationships/hyperlink" Target="https://twitter.com/djuric_zlatko" TargetMode="External"/><Relationship Id="rId22" Type="http://schemas.openxmlformats.org/officeDocument/2006/relationships/hyperlink" Target="https://twitter.com/bili_vovky" TargetMode="External"/><Relationship Id="rId64" Type="http://schemas.openxmlformats.org/officeDocument/2006/relationships/hyperlink" Target="https://twitter.com/UKikaski/status/1742863600685908176" TargetMode="External"/><Relationship Id="rId118" Type="http://schemas.openxmlformats.org/officeDocument/2006/relationships/hyperlink" Target="https://twitter.com/trbrtc" TargetMode="External"/><Relationship Id="rId325" Type="http://schemas.openxmlformats.org/officeDocument/2006/relationships/hyperlink" Target="https://twitter.com/bcresearchgroup/status/1744075778869150091" TargetMode="External"/><Relationship Id="rId367" Type="http://schemas.openxmlformats.org/officeDocument/2006/relationships/hyperlink" Target="https://twitter.com/osint_random/status/1744343193414492349" TargetMode="External"/><Relationship Id="rId171" Type="http://schemas.openxmlformats.org/officeDocument/2006/relationships/hyperlink" Target="https://twitter.com/Nrg8000/status/1460047675097710592" TargetMode="External"/><Relationship Id="rId227" Type="http://schemas.openxmlformats.org/officeDocument/2006/relationships/hyperlink" Target="https://twitter.com/djuric_zlatko" TargetMode="External"/><Relationship Id="rId269" Type="http://schemas.openxmlformats.org/officeDocument/2006/relationships/hyperlink" Target="https://twitter.com/Tendar/status/1742845353622118907" TargetMode="External"/><Relationship Id="rId33" Type="http://schemas.openxmlformats.org/officeDocument/2006/relationships/hyperlink" Target="https://twitter.com/joods/status/1715389024230166698" TargetMode="External"/><Relationship Id="rId129" Type="http://schemas.openxmlformats.org/officeDocument/2006/relationships/hyperlink" Target="https://twitter.com/Osint613/status/1744835013814730792" TargetMode="External"/><Relationship Id="rId280" Type="http://schemas.openxmlformats.org/officeDocument/2006/relationships/hyperlink" Target="https://twitter.com/Tendar" TargetMode="External"/><Relationship Id="rId336" Type="http://schemas.openxmlformats.org/officeDocument/2006/relationships/hyperlink" Target="https://twitter.com/imgsat973/status/1743641921690403016" TargetMode="External"/><Relationship Id="rId75" Type="http://schemas.openxmlformats.org/officeDocument/2006/relationships/hyperlink" Target="https://twitter.com/DD_Geopolitics/status/1744741761107579198" TargetMode="External"/><Relationship Id="rId140" Type="http://schemas.openxmlformats.org/officeDocument/2006/relationships/hyperlink" Target="https://twitter.com/JoshuaKoontz__/status/1727086501408977288" TargetMode="External"/><Relationship Id="rId182" Type="http://schemas.openxmlformats.org/officeDocument/2006/relationships/hyperlink" Target="https://twitter.com/IPHRinvestigate" TargetMode="External"/><Relationship Id="rId378" Type="http://schemas.openxmlformats.org/officeDocument/2006/relationships/hyperlink" Target="https://twitter.com/Christophe_Tymo/status/1742597434457444601" TargetMode="External"/><Relationship Id="rId403" Type="http://schemas.openxmlformats.org/officeDocument/2006/relationships/hyperlink" Target="https://twitter.com/Prevention_web/status/1742580451443675209" TargetMode="External"/><Relationship Id="rId6" Type="http://schemas.openxmlformats.org/officeDocument/2006/relationships/hyperlink" Target="https://twitter.com/liz_churchill10" TargetMode="External"/><Relationship Id="rId238" Type="http://schemas.openxmlformats.org/officeDocument/2006/relationships/hyperlink" Target="https://twitter.com/IPHRinvestigate" TargetMode="External"/><Relationship Id="rId291" Type="http://schemas.openxmlformats.org/officeDocument/2006/relationships/hyperlink" Target="https://twitter.com/KentTahir65227" TargetMode="External"/><Relationship Id="rId305" Type="http://schemas.openxmlformats.org/officeDocument/2006/relationships/hyperlink" Target="https://twitter.com/cirnosad/status/1745180580122345624" TargetMode="External"/><Relationship Id="rId347" Type="http://schemas.openxmlformats.org/officeDocument/2006/relationships/hyperlink" Target="https://twitter.com/osint_random/status/1742704004671627334" TargetMode="External"/><Relationship Id="rId44" Type="http://schemas.openxmlformats.org/officeDocument/2006/relationships/hyperlink" Target="https://twitter.com/Volodymyr_D_/status/1565807467765932033" TargetMode="External"/><Relationship Id="rId86" Type="http://schemas.openxmlformats.org/officeDocument/2006/relationships/hyperlink" Target="https://twitter.com/Osinttechnical/status/1744514052670345639" TargetMode="External"/><Relationship Id="rId151" Type="http://schemas.openxmlformats.org/officeDocument/2006/relationships/hyperlink" Target="https://twitter.com/trbrtc" TargetMode="External"/><Relationship Id="rId389" Type="http://schemas.openxmlformats.org/officeDocument/2006/relationships/hyperlink" Target="https://twitter.com/osint_random/status/1742611240365482441" TargetMode="External"/><Relationship Id="rId193" Type="http://schemas.openxmlformats.org/officeDocument/2006/relationships/hyperlink" Target="https://twitter.com/WarMonitors" TargetMode="External"/><Relationship Id="rId207" Type="http://schemas.openxmlformats.org/officeDocument/2006/relationships/hyperlink" Target="https://twitter.com/WarMonitors/status/1744385276795896011" TargetMode="External"/><Relationship Id="rId249" Type="http://schemas.openxmlformats.org/officeDocument/2006/relationships/hyperlink" Target="https://twitter.com/mikalowistk" TargetMode="External"/><Relationship Id="rId414" Type="http://schemas.openxmlformats.org/officeDocument/2006/relationships/hyperlink" Target="https://twitter.com/osint_w/status/1744211067243315307" TargetMode="External"/><Relationship Id="rId13" Type="http://schemas.openxmlformats.org/officeDocument/2006/relationships/hyperlink" Target="https://twitter.com/matincantweet/status/1720179582123254009" TargetMode="External"/><Relationship Id="rId109" Type="http://schemas.openxmlformats.org/officeDocument/2006/relationships/hyperlink" Target="https://twitter.com/ariehkovler" TargetMode="External"/><Relationship Id="rId260" Type="http://schemas.openxmlformats.org/officeDocument/2006/relationships/hyperlink" Target="https://twitter.com/Tendar/status/1744361364208947625" TargetMode="External"/><Relationship Id="rId316" Type="http://schemas.openxmlformats.org/officeDocument/2006/relationships/hyperlink" Target="https://twitter.com/BenDoBrown/status/1724057216901160965" TargetMode="External"/><Relationship Id="rId55" Type="http://schemas.openxmlformats.org/officeDocument/2006/relationships/hyperlink" Target="https://twitter.com/Forrest_Rogers" TargetMode="External"/><Relationship Id="rId97" Type="http://schemas.openxmlformats.org/officeDocument/2006/relationships/hyperlink" Target="https://twitter.com/lobsterlarryliu" TargetMode="External"/><Relationship Id="rId120" Type="http://schemas.openxmlformats.org/officeDocument/2006/relationships/hyperlink" Target="https://twitter.com/jfuruly" TargetMode="External"/><Relationship Id="rId358" Type="http://schemas.openxmlformats.org/officeDocument/2006/relationships/hyperlink" Target="https://twitter.com/osint_random/status/1744474648073368027" TargetMode="External"/><Relationship Id="rId162" Type="http://schemas.openxmlformats.org/officeDocument/2006/relationships/hyperlink" Target="https://twitter.com/space_osint/status/1742952390754468216" TargetMode="External"/><Relationship Id="rId218" Type="http://schemas.openxmlformats.org/officeDocument/2006/relationships/hyperlink" Target="https://twitter.com/djuric_zlatko" TargetMode="External"/><Relationship Id="rId425" Type="http://schemas.openxmlformats.org/officeDocument/2006/relationships/hyperlink" Target="https://twitter.com/SraOSINT/status/1745444823794938066" TargetMode="External"/><Relationship Id="rId271" Type="http://schemas.openxmlformats.org/officeDocument/2006/relationships/hyperlink" Target="https://twitter.com/336jimmy/status/1726647206286152004" TargetMode="External"/><Relationship Id="rId24" Type="http://schemas.openxmlformats.org/officeDocument/2006/relationships/hyperlink" Target="https://twitter.com/BrennpunktUA" TargetMode="External"/><Relationship Id="rId66" Type="http://schemas.openxmlformats.org/officeDocument/2006/relationships/hyperlink" Target="https://twitter.com/Tendar/status/1744478270328860865" TargetMode="External"/><Relationship Id="rId131" Type="http://schemas.openxmlformats.org/officeDocument/2006/relationships/hyperlink" Target="https://twitter.com/tom_bike" TargetMode="External"/><Relationship Id="rId327" Type="http://schemas.openxmlformats.org/officeDocument/2006/relationships/hyperlink" Target="https://twitter.com/Osint613/status/1745451372437475407" TargetMode="External"/><Relationship Id="rId369" Type="http://schemas.openxmlformats.org/officeDocument/2006/relationships/hyperlink" Target="https://twitter.com/korben_rss/status/1743546031365587299" TargetMode="External"/><Relationship Id="rId173" Type="http://schemas.openxmlformats.org/officeDocument/2006/relationships/hyperlink" Target="https://twitter.com/MilitarySummary/status/1723304805781696883" TargetMode="External"/><Relationship Id="rId229" Type="http://schemas.openxmlformats.org/officeDocument/2006/relationships/hyperlink" Target="https://twitter.com/djuric_zlatko" TargetMode="External"/><Relationship Id="rId380" Type="http://schemas.openxmlformats.org/officeDocument/2006/relationships/hyperlink" Target="https://twitter.com/opsimathycouk/status/1742815198006607979" TargetMode="External"/><Relationship Id="rId240" Type="http://schemas.openxmlformats.org/officeDocument/2006/relationships/hyperlink" Target="https://twitter.com/GermanObserver1/status/1744032110803919272" TargetMode="External"/><Relationship Id="rId35" Type="http://schemas.openxmlformats.org/officeDocument/2006/relationships/hyperlink" Target="https://twitter.com/EdenBraber/status/1714720877017760165" TargetMode="External"/><Relationship Id="rId77" Type="http://schemas.openxmlformats.org/officeDocument/2006/relationships/hyperlink" Target="https://twitter.com/danuzioneto/status/1744848220457439335" TargetMode="External"/><Relationship Id="rId100" Type="http://schemas.openxmlformats.org/officeDocument/2006/relationships/hyperlink" Target="https://twitter.com/JaidevJamwal/status/1743553833241038989" TargetMode="External"/><Relationship Id="rId282" Type="http://schemas.openxmlformats.org/officeDocument/2006/relationships/hyperlink" Target="https://twitter.com/Tendar" TargetMode="External"/><Relationship Id="rId338" Type="http://schemas.openxmlformats.org/officeDocument/2006/relationships/hyperlink" Target="https://twitter.com/osint_random/status/1744435168532672744" TargetMode="External"/><Relationship Id="rId8" Type="http://schemas.openxmlformats.org/officeDocument/2006/relationships/hyperlink" Target="https://twitter.com/Resist_05/status/1681096634854436865" TargetMode="External"/><Relationship Id="rId142" Type="http://schemas.openxmlformats.org/officeDocument/2006/relationships/hyperlink" Target="https://twitter.com/UKikaski/status/1739009495739646310" TargetMode="External"/><Relationship Id="rId184" Type="http://schemas.openxmlformats.org/officeDocument/2006/relationships/hyperlink" Target="https://twitter.com/WarMonitors" TargetMode="External"/><Relationship Id="rId391" Type="http://schemas.openxmlformats.org/officeDocument/2006/relationships/hyperlink" Target="https://twitter.com/osint_random/status/1743977680142324208" TargetMode="External"/><Relationship Id="rId405" Type="http://schemas.openxmlformats.org/officeDocument/2006/relationships/hyperlink" Target="https://twitter.com/FabriceFrossard/status/1743937651936276736" TargetMode="External"/><Relationship Id="rId251" Type="http://schemas.openxmlformats.org/officeDocument/2006/relationships/hyperlink" Target="https://twitter.com/djuric_zlatko" TargetMode="External"/><Relationship Id="rId46" Type="http://schemas.openxmlformats.org/officeDocument/2006/relationships/hyperlink" Target="https://twitter.com/Volodymyr_D_/status/1605199916519018497" TargetMode="External"/><Relationship Id="rId293" Type="http://schemas.openxmlformats.org/officeDocument/2006/relationships/hyperlink" Target="https://twitter.com/ukraine_osint" TargetMode="External"/><Relationship Id="rId307" Type="http://schemas.openxmlformats.org/officeDocument/2006/relationships/hyperlink" Target="https://twitter.com/BenDoBrown/status/1743218872906346618" TargetMode="External"/><Relationship Id="rId349" Type="http://schemas.openxmlformats.org/officeDocument/2006/relationships/hyperlink" Target="https://twitter.com/osint_random/status/1743614122086834307" TargetMode="External"/><Relationship Id="rId88" Type="http://schemas.openxmlformats.org/officeDocument/2006/relationships/hyperlink" Target="https://twitter.com/OSINT_UA" TargetMode="External"/><Relationship Id="rId111" Type="http://schemas.openxmlformats.org/officeDocument/2006/relationships/hyperlink" Target="https://twitter.com/daniel_van0" TargetMode="External"/><Relationship Id="rId153" Type="http://schemas.openxmlformats.org/officeDocument/2006/relationships/hyperlink" Target="https://twitter.com/btselem" TargetMode="External"/><Relationship Id="rId195" Type="http://schemas.openxmlformats.org/officeDocument/2006/relationships/hyperlink" Target="https://twitter.com/WarMonitors" TargetMode="External"/><Relationship Id="rId209" Type="http://schemas.openxmlformats.org/officeDocument/2006/relationships/hyperlink" Target="https://twitter.com/WarMonitors/status/1744033616680599674" TargetMode="External"/><Relationship Id="rId360" Type="http://schemas.openxmlformats.org/officeDocument/2006/relationships/hyperlink" Target="https://twitter.com/osint_random/status/1743336095792889989" TargetMode="External"/><Relationship Id="rId416" Type="http://schemas.openxmlformats.org/officeDocument/2006/relationships/hyperlink" Target="https://twitter.com/LicGriffaNahuel/status/1744415592726004196" TargetMode="External"/><Relationship Id="rId220" Type="http://schemas.openxmlformats.org/officeDocument/2006/relationships/hyperlink" Target="https://twitter.com/djuric_zlatko" TargetMode="External"/><Relationship Id="rId15" Type="http://schemas.openxmlformats.org/officeDocument/2006/relationships/hyperlink" Target="https://twitter.com/cirnosad/status/1683253882397552641" TargetMode="External"/><Relationship Id="rId57" Type="http://schemas.openxmlformats.org/officeDocument/2006/relationships/hyperlink" Target="https://twitter.com/Osinttechnical/status/1744478209054310874" TargetMode="External"/><Relationship Id="rId262" Type="http://schemas.openxmlformats.org/officeDocument/2006/relationships/hyperlink" Target="https://twitter.com/Tendar/status/1743981616198750439" TargetMode="External"/><Relationship Id="rId318" Type="http://schemas.openxmlformats.org/officeDocument/2006/relationships/hyperlink" Target="https://twitter.com/ImageSatIntl/status/1117473176005545984" TargetMode="External"/><Relationship Id="rId99" Type="http://schemas.openxmlformats.org/officeDocument/2006/relationships/hyperlink" Target="https://twitter.com/AricToler" TargetMode="External"/><Relationship Id="rId122" Type="http://schemas.openxmlformats.org/officeDocument/2006/relationships/hyperlink" Target="https://twitter.com/Resist_05" TargetMode="External"/><Relationship Id="rId164" Type="http://schemas.openxmlformats.org/officeDocument/2006/relationships/hyperlink" Target="https://twitter.com/UKikaski/status/1745112662726279613" TargetMode="External"/><Relationship Id="rId371" Type="http://schemas.openxmlformats.org/officeDocument/2006/relationships/hyperlink" Target="https://twitter.com/andrefrigon2/status/1743290627519811850" TargetMode="External"/><Relationship Id="rId427" Type="http://schemas.openxmlformats.org/officeDocument/2006/relationships/hyperlink" Target="https://twitter.com/OVTT/status/1744726744194764808" TargetMode="External"/><Relationship Id="rId26" Type="http://schemas.openxmlformats.org/officeDocument/2006/relationships/hyperlink" Target="https://twitter.com/ArbiterOfTweets" TargetMode="External"/><Relationship Id="rId231" Type="http://schemas.openxmlformats.org/officeDocument/2006/relationships/hyperlink" Target="https://twitter.com/djuric_zlatko/status/1744816128583479704" TargetMode="External"/><Relationship Id="rId273" Type="http://schemas.openxmlformats.org/officeDocument/2006/relationships/hyperlink" Target="https://twitter.com/Tendar/status/1742102182608945652" TargetMode="External"/><Relationship Id="rId329" Type="http://schemas.openxmlformats.org/officeDocument/2006/relationships/hyperlink" Target="https://twitter.com/OSINTNic/status/1744369738510135708" TargetMode="External"/><Relationship Id="rId68" Type="http://schemas.openxmlformats.org/officeDocument/2006/relationships/hyperlink" Target="https://twitter.com/UKikaski/status/1743590019116265868" TargetMode="External"/><Relationship Id="rId133" Type="http://schemas.openxmlformats.org/officeDocument/2006/relationships/hyperlink" Target="https://twitter.com/ThomasVLinge" TargetMode="External"/><Relationship Id="rId175" Type="http://schemas.openxmlformats.org/officeDocument/2006/relationships/hyperlink" Target="https://twitter.com/amuse/status/1745397612243481083" TargetMode="External"/><Relationship Id="rId340" Type="http://schemas.openxmlformats.org/officeDocument/2006/relationships/hyperlink" Target="https://twitter.com/osint_random/status/1744030126990377362" TargetMode="External"/><Relationship Id="rId200" Type="http://schemas.openxmlformats.org/officeDocument/2006/relationships/hyperlink" Target="https://twitter.com/WarMonitors" TargetMode="External"/><Relationship Id="rId382" Type="http://schemas.openxmlformats.org/officeDocument/2006/relationships/hyperlink" Target="https://twitter.com/osint_random/status/1744306606722957802" TargetMode="External"/><Relationship Id="rId242" Type="http://schemas.openxmlformats.org/officeDocument/2006/relationships/hyperlink" Target="https://twitter.com/djuric_zlatko/status/1744611681056051268" TargetMode="External"/><Relationship Id="rId284" Type="http://schemas.openxmlformats.org/officeDocument/2006/relationships/hyperlink" Target="https://twitter.com/WarMonitors" TargetMode="External"/><Relationship Id="rId37" Type="http://schemas.openxmlformats.org/officeDocument/2006/relationships/hyperlink" Target="https://twitter.com/CovertShores" TargetMode="External"/><Relationship Id="rId79" Type="http://schemas.openxmlformats.org/officeDocument/2006/relationships/hyperlink" Target="https://twitter.com/Techjournalisto/status/1584909435348074508" TargetMode="External"/><Relationship Id="rId102" Type="http://schemas.openxmlformats.org/officeDocument/2006/relationships/hyperlink" Target="https://twitter.com/wammezz/status/1739802241312211184" TargetMode="External"/><Relationship Id="rId144" Type="http://schemas.openxmlformats.org/officeDocument/2006/relationships/hyperlink" Target="https://twitter.com/trbrtc/status/1725566974657249712" TargetMode="External"/><Relationship Id="rId90" Type="http://schemas.openxmlformats.org/officeDocument/2006/relationships/hyperlink" Target="https://twitter.com/igorsushko/status/1744714373996892349" TargetMode="External"/><Relationship Id="rId186" Type="http://schemas.openxmlformats.org/officeDocument/2006/relationships/hyperlink" Target="https://twitter.com/OSINTNic/status/1745449109723717693" TargetMode="External"/><Relationship Id="rId351" Type="http://schemas.openxmlformats.org/officeDocument/2006/relationships/hyperlink" Target="https://twitter.com/osint_random/status/1745202695084937706" TargetMode="External"/><Relationship Id="rId393" Type="http://schemas.openxmlformats.org/officeDocument/2006/relationships/hyperlink" Target="https://twitter.com/osint_random/status/1743663854020628646" TargetMode="External"/><Relationship Id="rId407" Type="http://schemas.openxmlformats.org/officeDocument/2006/relationships/hyperlink" Target="https://twitter.com/MCutulic/status/1742538120740958211" TargetMode="External"/><Relationship Id="rId211" Type="http://schemas.openxmlformats.org/officeDocument/2006/relationships/hyperlink" Target="https://twitter.com/WarMonitors/status/1744001939824673095" TargetMode="External"/><Relationship Id="rId253" Type="http://schemas.openxmlformats.org/officeDocument/2006/relationships/hyperlink" Target="https://twitter.com/djuric_zlatko/status/1744265184137372081" TargetMode="External"/><Relationship Id="rId295" Type="http://schemas.openxmlformats.org/officeDocument/2006/relationships/hyperlink" Target="https://twitter.com/OsintExperts" TargetMode="External"/><Relationship Id="rId309" Type="http://schemas.openxmlformats.org/officeDocument/2006/relationships/hyperlink" Target="https://twitter.com/BenDoBrown/status/1737797951966036125" TargetMode="External"/><Relationship Id="rId48" Type="http://schemas.openxmlformats.org/officeDocument/2006/relationships/hyperlink" Target="https://twitter.com/Osinttechnical/status/1743715113859739833" TargetMode="External"/><Relationship Id="rId113" Type="http://schemas.openxmlformats.org/officeDocument/2006/relationships/hyperlink" Target="https://twitter.com/trbrtc" TargetMode="External"/><Relationship Id="rId320" Type="http://schemas.openxmlformats.org/officeDocument/2006/relationships/hyperlink" Target="https://twitter.com/KallergisK/status/1669744417308016640" TargetMode="External"/><Relationship Id="rId155" Type="http://schemas.openxmlformats.org/officeDocument/2006/relationships/hyperlink" Target="https://twitter.com/happygibbon123" TargetMode="External"/><Relationship Id="rId197" Type="http://schemas.openxmlformats.org/officeDocument/2006/relationships/hyperlink" Target="https://twitter.com/IPHRinvestigate/status/1712775737256640725" TargetMode="External"/><Relationship Id="rId362" Type="http://schemas.openxmlformats.org/officeDocument/2006/relationships/hyperlink" Target="https://twitter.com/osint_random/status/1743721946942984300" TargetMode="External"/><Relationship Id="rId418" Type="http://schemas.openxmlformats.org/officeDocument/2006/relationships/hyperlink" Target="https://twitter.com/Alonso_ReYDeS/status/1743455705225408883" TargetMode="External"/><Relationship Id="rId222" Type="http://schemas.openxmlformats.org/officeDocument/2006/relationships/hyperlink" Target="https://twitter.com/IPHRinvestigate/status/1712775737256640725" TargetMode="External"/><Relationship Id="rId264" Type="http://schemas.openxmlformats.org/officeDocument/2006/relationships/hyperlink" Target="https://twitter.com/Tendar/status/1742985407245979951" TargetMode="External"/><Relationship Id="rId17" Type="http://schemas.openxmlformats.org/officeDocument/2006/relationships/hyperlink" Target="https://twitter.com/UKikaski/status/1703401067944214675" TargetMode="External"/><Relationship Id="rId59" Type="http://schemas.openxmlformats.org/officeDocument/2006/relationships/hyperlink" Target="https://twitter.com/Osinttechnical/status/1743934358673649996" TargetMode="External"/><Relationship Id="rId124" Type="http://schemas.openxmlformats.org/officeDocument/2006/relationships/hyperlink" Target="https://twitter.com/bcresearchgroup" TargetMode="External"/><Relationship Id="rId70" Type="http://schemas.openxmlformats.org/officeDocument/2006/relationships/hyperlink" Target="https://twitter.com/JakeGodin/status/1744373861074759753" TargetMode="External"/><Relationship Id="rId166" Type="http://schemas.openxmlformats.org/officeDocument/2006/relationships/hyperlink" Target="https://twitter.com/LeonidMikhalow/status/1744478615759143120" TargetMode="External"/><Relationship Id="rId331" Type="http://schemas.openxmlformats.org/officeDocument/2006/relationships/hyperlink" Target="https://twitter.com/FrenchOsint/status/1745006876939423804" TargetMode="External"/><Relationship Id="rId373" Type="http://schemas.openxmlformats.org/officeDocument/2006/relationships/hyperlink" Target="https://twitter.com/osint_random/status/1742916166530846978" TargetMode="External"/><Relationship Id="rId429" Type="http://schemas.openxmlformats.org/officeDocument/2006/relationships/hyperlink" Target="https://twitter.com/osint_w/status/1744211067243315307"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twitter.com/kreyren" TargetMode="External"/><Relationship Id="rId21" Type="http://schemas.openxmlformats.org/officeDocument/2006/relationships/hyperlink" Target="https://muckrack.com/rien-emmery/articles" TargetMode="External"/><Relationship Id="rId42" Type="http://schemas.openxmlformats.org/officeDocument/2006/relationships/hyperlink" Target="https://twitter.com/Osinttechnical" TargetMode="External"/><Relationship Id="rId63" Type="http://schemas.openxmlformats.org/officeDocument/2006/relationships/hyperlink" Target="http://jjamwal.in/" TargetMode="External"/><Relationship Id="rId84" Type="http://schemas.openxmlformats.org/officeDocument/2006/relationships/hyperlink" Target="https://twitter.com/Mvjko" TargetMode="External"/><Relationship Id="rId138" Type="http://schemas.openxmlformats.org/officeDocument/2006/relationships/hyperlink" Target="http://theconflictarchives.com/portfolio-matt-williams" TargetMode="External"/><Relationship Id="rId107" Type="http://schemas.openxmlformats.org/officeDocument/2006/relationships/hyperlink" Target="http://myanmarwitness.org/" TargetMode="External"/><Relationship Id="rId11" Type="http://schemas.openxmlformats.org/officeDocument/2006/relationships/hyperlink" Target="https://twitter.com/matincantweet" TargetMode="External"/><Relationship Id="rId32" Type="http://schemas.openxmlformats.org/officeDocument/2006/relationships/hyperlink" Target="https://t.co/xhIUcHg429" TargetMode="External"/><Relationship Id="rId53" Type="http://schemas.openxmlformats.org/officeDocument/2006/relationships/hyperlink" Target="https://t.co/My6M2kadEB" TargetMode="External"/><Relationship Id="rId74" Type="http://schemas.openxmlformats.org/officeDocument/2006/relationships/hyperlink" Target="http://arieh.substack.com/" TargetMode="External"/><Relationship Id="rId128" Type="http://schemas.openxmlformats.org/officeDocument/2006/relationships/hyperlink" Target="https://nadinbrzezinski.medium.com/" TargetMode="External"/><Relationship Id="rId149" Type="http://schemas.openxmlformats.org/officeDocument/2006/relationships/hyperlink" Target="http://faber-content.com/" TargetMode="External"/><Relationship Id="rId5" Type="http://schemas.openxmlformats.org/officeDocument/2006/relationships/hyperlink" Target="https://twitter.com/liz_churchill10" TargetMode="External"/><Relationship Id="rId95" Type="http://schemas.openxmlformats.org/officeDocument/2006/relationships/hyperlink" Target="http://malachy.bsky.social/" TargetMode="External"/><Relationship Id="rId22" Type="http://schemas.openxmlformats.org/officeDocument/2006/relationships/hyperlink" Target="https://twitter.com/hugeglassofmilk" TargetMode="External"/><Relationship Id="rId43" Type="http://schemas.openxmlformats.org/officeDocument/2006/relationships/hyperlink" Target="https://t.co/xrXYGxDg4z" TargetMode="External"/><Relationship Id="rId64" Type="http://schemas.openxmlformats.org/officeDocument/2006/relationships/hyperlink" Target="http://paxforpeace.nl/" TargetMode="External"/><Relationship Id="rId118" Type="http://schemas.openxmlformats.org/officeDocument/2006/relationships/hyperlink" Target="https://t.co/yuWtwwczgR" TargetMode="External"/><Relationship Id="rId139" Type="http://schemas.openxmlformats.org/officeDocument/2006/relationships/hyperlink" Target="https://www.imagesatintl.com/" TargetMode="External"/><Relationship Id="rId80" Type="http://schemas.openxmlformats.org/officeDocument/2006/relationships/hyperlink" Target="https://t.co/Ri7bay7vE9" TargetMode="External"/><Relationship Id="rId85" Type="http://schemas.openxmlformats.org/officeDocument/2006/relationships/hyperlink" Target="http://gazasmostwanted.com/" TargetMode="External"/><Relationship Id="rId150" Type="http://schemas.openxmlformats.org/officeDocument/2006/relationships/hyperlink" Target="https://www.oihec.com/" TargetMode="External"/><Relationship Id="rId155" Type="http://schemas.openxmlformats.org/officeDocument/2006/relationships/hyperlink" Target="https://cafecito.app/notinafo" TargetMode="External"/><Relationship Id="rId12" Type="http://schemas.openxmlformats.org/officeDocument/2006/relationships/hyperlink" Target="https://twitter.com/cirnosad" TargetMode="External"/><Relationship Id="rId17" Type="http://schemas.openxmlformats.org/officeDocument/2006/relationships/hyperlink" Target="https://twitter.com/bili_vovky" TargetMode="External"/><Relationship Id="rId33" Type="http://schemas.openxmlformats.org/officeDocument/2006/relationships/hyperlink" Target="https://twitter.com/CovertShores" TargetMode="External"/><Relationship Id="rId38" Type="http://schemas.openxmlformats.org/officeDocument/2006/relationships/hyperlink" Target="https://twitter.com/DataAbyssAI" TargetMode="External"/><Relationship Id="rId59" Type="http://schemas.openxmlformats.org/officeDocument/2006/relationships/hyperlink" Target="http://t.me/warmonitors" TargetMode="External"/><Relationship Id="rId103" Type="http://schemas.openxmlformats.org/officeDocument/2006/relationships/hyperlink" Target="https://soar.earth/profile/cdcbeabf684648e395fdb42c3adaff51?" TargetMode="External"/><Relationship Id="rId108" Type="http://schemas.openxmlformats.org/officeDocument/2006/relationships/hyperlink" Target="https://t.co/Ve0ijJIQGk" TargetMode="External"/><Relationship Id="rId124" Type="http://schemas.openxmlformats.org/officeDocument/2006/relationships/hyperlink" Target="https://twitter.com/336jimmy" TargetMode="External"/><Relationship Id="rId129" Type="http://schemas.openxmlformats.org/officeDocument/2006/relationships/hyperlink" Target="https://twitter.com/KentTahir65227" TargetMode="External"/><Relationship Id="rId54" Type="http://schemas.openxmlformats.org/officeDocument/2006/relationships/hyperlink" Target="http://start.me/p/0PMrge" TargetMode="External"/><Relationship Id="rId70" Type="http://schemas.openxmlformats.org/officeDocument/2006/relationships/hyperlink" Target="https://www.armscontrolwonk.com/" TargetMode="External"/><Relationship Id="rId75" Type="http://schemas.openxmlformats.org/officeDocument/2006/relationships/hyperlink" Target="https://twitter.com/daniel_van0" TargetMode="External"/><Relationship Id="rId91" Type="http://schemas.openxmlformats.org/officeDocument/2006/relationships/hyperlink" Target="http://apple.co/36LJURI" TargetMode="External"/><Relationship Id="rId96" Type="http://schemas.openxmlformats.org/officeDocument/2006/relationships/hyperlink" Target="https://t.co/XLzI0npoUz" TargetMode="External"/><Relationship Id="rId140" Type="http://schemas.openxmlformats.org/officeDocument/2006/relationships/hyperlink" Target="https://www.instagram.com/kostaskallergis" TargetMode="External"/><Relationship Id="rId145" Type="http://schemas.openxmlformats.org/officeDocument/2006/relationships/hyperlink" Target="https://revuemilitairesuisse.ch/" TargetMode="External"/><Relationship Id="rId1" Type="http://schemas.openxmlformats.org/officeDocument/2006/relationships/hyperlink" Target="https://twitter.com/molfar_agency" TargetMode="External"/><Relationship Id="rId6" Type="http://schemas.openxmlformats.org/officeDocument/2006/relationships/hyperlink" Target="http://truthsocial.com/@LizChurchill" TargetMode="External"/><Relationship Id="rId23" Type="http://schemas.openxmlformats.org/officeDocument/2006/relationships/hyperlink" Target="https://twitter.com/NOS_OSINT" TargetMode="External"/><Relationship Id="rId28" Type="http://schemas.openxmlformats.org/officeDocument/2006/relationships/hyperlink" Target="http://jood.nl/" TargetMode="External"/><Relationship Id="rId49" Type="http://schemas.openxmlformats.org/officeDocument/2006/relationships/hyperlink" Target="https://t.co/dEU3v6UaFO" TargetMode="External"/><Relationship Id="rId114" Type="http://schemas.openxmlformats.org/officeDocument/2006/relationships/hyperlink" Target="https://twitter.com/ja31ck" TargetMode="External"/><Relationship Id="rId119" Type="http://schemas.openxmlformats.org/officeDocument/2006/relationships/hyperlink" Target="https://twitter.com/djuric_zlatko" TargetMode="External"/><Relationship Id="rId44" Type="http://schemas.openxmlformats.org/officeDocument/2006/relationships/hyperlink" Target="https://twitter.com/Forrest_Rogers" TargetMode="External"/><Relationship Id="rId60" Type="http://schemas.openxmlformats.org/officeDocument/2006/relationships/hyperlink" Target="https://twitter.com/AricToler" TargetMode="External"/><Relationship Id="rId65" Type="http://schemas.openxmlformats.org/officeDocument/2006/relationships/hyperlink" Target="https://twitter.com/viper202020" TargetMode="External"/><Relationship Id="rId81" Type="http://schemas.openxmlformats.org/officeDocument/2006/relationships/hyperlink" Target="https://twitter.com/bcresearchgroup" TargetMode="External"/><Relationship Id="rId86" Type="http://schemas.openxmlformats.org/officeDocument/2006/relationships/hyperlink" Target="https://twitter.com/tom_bike" TargetMode="External"/><Relationship Id="rId130" Type="http://schemas.openxmlformats.org/officeDocument/2006/relationships/hyperlink" Target="http://www.permaculturesouthafrica.co.za/" TargetMode="External"/><Relationship Id="rId135" Type="http://schemas.openxmlformats.org/officeDocument/2006/relationships/hyperlink" Target="https://benjaminstrick.com/" TargetMode="External"/><Relationship Id="rId151" Type="http://schemas.openxmlformats.org/officeDocument/2006/relationships/hyperlink" Target="https://linktr.ee/Lic.griffaznahuel" TargetMode="External"/><Relationship Id="rId156" Type="http://schemas.openxmlformats.org/officeDocument/2006/relationships/hyperlink" Target="https://www.mypublicinbox.com/MariaGildaCarballo" TargetMode="External"/><Relationship Id="rId13" Type="http://schemas.openxmlformats.org/officeDocument/2006/relationships/hyperlink" Target="https://t.co/2SF4kfCGs3" TargetMode="External"/><Relationship Id="rId18" Type="http://schemas.openxmlformats.org/officeDocument/2006/relationships/hyperlink" Target="https://twitter.com/BrennpunktUA" TargetMode="External"/><Relationship Id="rId39" Type="http://schemas.openxmlformats.org/officeDocument/2006/relationships/hyperlink" Target="https://www.dataabyss.ai/" TargetMode="External"/><Relationship Id="rId109" Type="http://schemas.openxmlformats.org/officeDocument/2006/relationships/hyperlink" Target="http://t.me/militarysummary" TargetMode="External"/><Relationship Id="rId34" Type="http://schemas.openxmlformats.org/officeDocument/2006/relationships/hyperlink" Target="https://twitter.com/search?q=%23OSINT&amp;src=hashtag_click" TargetMode="External"/><Relationship Id="rId50" Type="http://schemas.openxmlformats.org/officeDocument/2006/relationships/hyperlink" Target="http://patreon.com/syriangirl" TargetMode="External"/><Relationship Id="rId55" Type="http://schemas.openxmlformats.org/officeDocument/2006/relationships/hyperlink" Target="http://buff.ly/Y9bnX2" TargetMode="External"/><Relationship Id="rId76" Type="http://schemas.openxmlformats.org/officeDocument/2006/relationships/hyperlink" Target="https://twitter.com/sudanwarmonitor" TargetMode="External"/><Relationship Id="rId97" Type="http://schemas.openxmlformats.org/officeDocument/2006/relationships/hyperlink" Target="https://twitter.com/btselem" TargetMode="External"/><Relationship Id="rId104" Type="http://schemas.openxmlformats.org/officeDocument/2006/relationships/hyperlink" Target="https://t.co/G1xRloO2no" TargetMode="External"/><Relationship Id="rId120" Type="http://schemas.openxmlformats.org/officeDocument/2006/relationships/hyperlink" Target="https://www.buymeacoffee.com/zdjuricv" TargetMode="External"/><Relationship Id="rId125" Type="http://schemas.openxmlformats.org/officeDocument/2006/relationships/hyperlink" Target="https://twitter.com/Osint_NY" TargetMode="External"/><Relationship Id="rId141" Type="http://schemas.openxmlformats.org/officeDocument/2006/relationships/hyperlink" Target="https://www.satellite.grweb.fr/" TargetMode="External"/><Relationship Id="rId146" Type="http://schemas.openxmlformats.org/officeDocument/2006/relationships/hyperlink" Target="https://revuemilitairesuisse.ch/" TargetMode="External"/><Relationship Id="rId7" Type="http://schemas.openxmlformats.org/officeDocument/2006/relationships/hyperlink" Target="https://twitter.com/amuse/status/1695781931240091721" TargetMode="External"/><Relationship Id="rId71" Type="http://schemas.openxmlformats.org/officeDocument/2006/relationships/hyperlink" Target="https://twitter.com/MIIS" TargetMode="External"/><Relationship Id="rId92" Type="http://schemas.openxmlformats.org/officeDocument/2006/relationships/hyperlink" Target="http://bellingcat.com/" TargetMode="External"/><Relationship Id="rId2" Type="http://schemas.openxmlformats.org/officeDocument/2006/relationships/hyperlink" Target="http://t.me/molfar_global" TargetMode="External"/><Relationship Id="rId29" Type="http://schemas.openxmlformats.org/officeDocument/2006/relationships/hyperlink" Target="https://t.co/hj3KATrSCL" TargetMode="External"/><Relationship Id="rId24" Type="http://schemas.openxmlformats.org/officeDocument/2006/relationships/hyperlink" Target="https://t.co/GTD2BX5tGl" TargetMode="External"/><Relationship Id="rId40" Type="http://schemas.openxmlformats.org/officeDocument/2006/relationships/hyperlink" Target="https://twitter.com/Volodymyr_D_" TargetMode="External"/><Relationship Id="rId45" Type="http://schemas.openxmlformats.org/officeDocument/2006/relationships/hyperlink" Target="https://www.nzz.ch/" TargetMode="External"/><Relationship Id="rId66" Type="http://schemas.openxmlformats.org/officeDocument/2006/relationships/hyperlink" Target="https://twitter.com/DfIlite" TargetMode="External"/><Relationship Id="rId87" Type="http://schemas.openxmlformats.org/officeDocument/2006/relationships/hyperlink" Target="https://twitter.com/ThomasVLinge" TargetMode="External"/><Relationship Id="rId110" Type="http://schemas.openxmlformats.org/officeDocument/2006/relationships/hyperlink" Target="https://t.co/sQIjxgplf7" TargetMode="External"/><Relationship Id="rId115" Type="http://schemas.openxmlformats.org/officeDocument/2006/relationships/hyperlink" Target="http://medium.com/@jack_dev" TargetMode="External"/><Relationship Id="rId131" Type="http://schemas.openxmlformats.org/officeDocument/2006/relationships/hyperlink" Target="https://twitter.com/ukraine_osint" TargetMode="External"/><Relationship Id="rId136" Type="http://schemas.openxmlformats.org/officeDocument/2006/relationships/hyperlink" Target="https://twitter.com/WillCarter_NRC" TargetMode="External"/><Relationship Id="rId157" Type="http://schemas.openxmlformats.org/officeDocument/2006/relationships/hyperlink" Target="https://www.ovtt.org/" TargetMode="External"/><Relationship Id="rId61" Type="http://schemas.openxmlformats.org/officeDocument/2006/relationships/hyperlink" Target="http://nytimes.com/by/aric-toler" TargetMode="External"/><Relationship Id="rId82" Type="http://schemas.openxmlformats.org/officeDocument/2006/relationships/hyperlink" Target="https://twitter.com/pjasinski" TargetMode="External"/><Relationship Id="rId152" Type="http://schemas.openxmlformats.org/officeDocument/2006/relationships/hyperlink" Target="https://www.reydes.com/d/" TargetMode="External"/><Relationship Id="rId19" Type="http://schemas.openxmlformats.org/officeDocument/2006/relationships/hyperlink" Target="https://twitter.com/ArbiterOfTweets" TargetMode="External"/><Relationship Id="rId14" Type="http://schemas.openxmlformats.org/officeDocument/2006/relationships/hyperlink" Target="https://twitter.com/UKikaski" TargetMode="External"/><Relationship Id="rId30" Type="http://schemas.openxmlformats.org/officeDocument/2006/relationships/hyperlink" Target="https://t.co/o99YtC7yO0" TargetMode="External"/><Relationship Id="rId35" Type="http://schemas.openxmlformats.org/officeDocument/2006/relationships/hyperlink" Target="http://hisutton.com/" TargetMode="External"/><Relationship Id="rId56" Type="http://schemas.openxmlformats.org/officeDocument/2006/relationships/hyperlink" Target="http://okoacapital.com/" TargetMode="External"/><Relationship Id="rId77" Type="http://schemas.openxmlformats.org/officeDocument/2006/relationships/hyperlink" Target="https://sudanwarmonitor.com/" TargetMode="External"/><Relationship Id="rId100" Type="http://schemas.openxmlformats.org/officeDocument/2006/relationships/hyperlink" Target="https://twitter.com/IPHRinvestigate" TargetMode="External"/><Relationship Id="rId105" Type="http://schemas.openxmlformats.org/officeDocument/2006/relationships/hyperlink" Target="http://threads.net/@kencoxCA" TargetMode="External"/><Relationship Id="rId126" Type="http://schemas.openxmlformats.org/officeDocument/2006/relationships/hyperlink" Target="https://twitter.com/JustusUwakwe" TargetMode="External"/><Relationship Id="rId147" Type="http://schemas.openxmlformats.org/officeDocument/2006/relationships/hyperlink" Target="https://prevention-internet.fr/" TargetMode="External"/><Relationship Id="rId8" Type="http://schemas.openxmlformats.org/officeDocument/2006/relationships/hyperlink" Target="https://t.co/r8PZbp9jah" TargetMode="External"/><Relationship Id="rId51" Type="http://schemas.openxmlformats.org/officeDocument/2006/relationships/hyperlink" Target="https://twitter.com/JakeGodin" TargetMode="External"/><Relationship Id="rId72" Type="http://schemas.openxmlformats.org/officeDocument/2006/relationships/hyperlink" Target="https://twitter.com/ariehkovler" TargetMode="External"/><Relationship Id="rId93" Type="http://schemas.openxmlformats.org/officeDocument/2006/relationships/hyperlink" Target="https://twitter.com/JoshuaKoontz__" TargetMode="External"/><Relationship Id="rId98" Type="http://schemas.openxmlformats.org/officeDocument/2006/relationships/hyperlink" Target="http://btselem.org/" TargetMode="External"/><Relationship Id="rId121" Type="http://schemas.openxmlformats.org/officeDocument/2006/relationships/hyperlink" Target="https://medium.com/@chrisosieck" TargetMode="External"/><Relationship Id="rId142" Type="http://schemas.openxmlformats.org/officeDocument/2006/relationships/hyperlink" Target="https://bibliotheque-numerique.fr/" TargetMode="External"/><Relationship Id="rId3" Type="http://schemas.openxmlformats.org/officeDocument/2006/relationships/hyperlink" Target="https://twitter.com/Techjournalisto" TargetMode="External"/><Relationship Id="rId25" Type="http://schemas.openxmlformats.org/officeDocument/2006/relationships/hyperlink" Target="http://joods.nl/" TargetMode="External"/><Relationship Id="rId46" Type="http://schemas.openxmlformats.org/officeDocument/2006/relationships/hyperlink" Target="https://t.co/8Xt5KoBhwC" TargetMode="External"/><Relationship Id="rId67" Type="http://schemas.openxmlformats.org/officeDocument/2006/relationships/hyperlink" Target="https://www.youtube.com/channel/UChr2E2FAInkq_EZ7BorpRdQ" TargetMode="External"/><Relationship Id="rId116" Type="http://schemas.openxmlformats.org/officeDocument/2006/relationships/hyperlink" Target="http://medium.com/@jack_dev" TargetMode="External"/><Relationship Id="rId137" Type="http://schemas.openxmlformats.org/officeDocument/2006/relationships/hyperlink" Target="https://www.linkedin.com/in/willcarternrc/" TargetMode="External"/><Relationship Id="rId20" Type="http://schemas.openxmlformats.org/officeDocument/2006/relationships/hyperlink" Target="https://twitter.com/Knack" TargetMode="External"/><Relationship Id="rId41" Type="http://schemas.openxmlformats.org/officeDocument/2006/relationships/hyperlink" Target="https://www.facebook.com/profile.php?id=100008634730079&amp;paipv=0&amp;eav=AfY-WuztUQup1kwf22nEGHJ_tGnmdML2PRVWCIqxXHhB5ch-OI2nwfByREQnO_Bn2do" TargetMode="External"/><Relationship Id="rId62" Type="http://schemas.openxmlformats.org/officeDocument/2006/relationships/hyperlink" Target="https://twitter.com/lobsterlarryliu" TargetMode="External"/><Relationship Id="rId83" Type="http://schemas.openxmlformats.org/officeDocument/2006/relationships/hyperlink" Target="http://paypal.me/pjasinski71" TargetMode="External"/><Relationship Id="rId88" Type="http://schemas.openxmlformats.org/officeDocument/2006/relationships/hyperlink" Target="http://ko-fi.com/thomasvlinge" TargetMode="External"/><Relationship Id="rId111" Type="http://schemas.openxmlformats.org/officeDocument/2006/relationships/hyperlink" Target="https://twitter.com/Resist_05/status/1681096634854436865" TargetMode="External"/><Relationship Id="rId132" Type="http://schemas.openxmlformats.org/officeDocument/2006/relationships/hyperlink" Target="https://twitter.com/realRickWiles" TargetMode="External"/><Relationship Id="rId153" Type="http://schemas.openxmlformats.org/officeDocument/2006/relationships/hyperlink" Target="https://linktr.ee/cibernicola" TargetMode="External"/><Relationship Id="rId15" Type="http://schemas.openxmlformats.org/officeDocument/2006/relationships/hyperlink" Target="https://twitter.com/KPatthar" TargetMode="External"/><Relationship Id="rId36" Type="http://schemas.openxmlformats.org/officeDocument/2006/relationships/hyperlink" Target="https://twitter.com/nigroeneveld" TargetMode="External"/><Relationship Id="rId57" Type="http://schemas.openxmlformats.org/officeDocument/2006/relationships/hyperlink" Target="https://twitter.com/OSINT_UA" TargetMode="External"/><Relationship Id="rId106" Type="http://schemas.openxmlformats.org/officeDocument/2006/relationships/hyperlink" Target="http://youtube.com/@GhostofOmsk" TargetMode="External"/><Relationship Id="rId127" Type="http://schemas.openxmlformats.org/officeDocument/2006/relationships/hyperlink" Target="https://www.buymeacoffee.com/uwakwejustu" TargetMode="External"/><Relationship Id="rId10" Type="http://schemas.openxmlformats.org/officeDocument/2006/relationships/hyperlink" Target="https://t.co/hR4ceUx3V3" TargetMode="External"/><Relationship Id="rId31" Type="http://schemas.openxmlformats.org/officeDocument/2006/relationships/hyperlink" Target="https://twitter.com/search?q=%23psv&amp;src=hashtag_click" TargetMode="External"/><Relationship Id="rId52" Type="http://schemas.openxmlformats.org/officeDocument/2006/relationships/hyperlink" Target="https://scrippsnews.com/series/bellingcat-on-scripps-news/" TargetMode="External"/><Relationship Id="rId73" Type="http://schemas.openxmlformats.org/officeDocument/2006/relationships/hyperlink" Target="https://linktr.ee/ariehkovler" TargetMode="External"/><Relationship Id="rId78" Type="http://schemas.openxmlformats.org/officeDocument/2006/relationships/hyperlink" Target="https://twitter.com/trbrtc" TargetMode="External"/><Relationship Id="rId94" Type="http://schemas.openxmlformats.org/officeDocument/2006/relationships/hyperlink" Target="https://twitter.com/malachybrowne" TargetMode="External"/><Relationship Id="rId99" Type="http://schemas.openxmlformats.org/officeDocument/2006/relationships/hyperlink" Target="https://twitter.com/happygibbon123" TargetMode="External"/><Relationship Id="rId101" Type="http://schemas.openxmlformats.org/officeDocument/2006/relationships/hyperlink" Target="https://t.co/GAXff8g7RB" TargetMode="External"/><Relationship Id="rId122" Type="http://schemas.openxmlformats.org/officeDocument/2006/relationships/hyperlink" Target="https://twitter.com/mikalowistk" TargetMode="External"/><Relationship Id="rId143" Type="http://schemas.openxmlformats.org/officeDocument/2006/relationships/hyperlink" Target="https://korben.info/" TargetMode="External"/><Relationship Id="rId148" Type="http://schemas.openxmlformats.org/officeDocument/2006/relationships/hyperlink" Target="https://www.opsimathy.co.uk/" TargetMode="External"/><Relationship Id="rId4" Type="http://schemas.openxmlformats.org/officeDocument/2006/relationships/hyperlink" Target="https://www.sueddeutsche.de/autoren/ben-heubl-1.5647089" TargetMode="External"/><Relationship Id="rId9" Type="http://schemas.openxmlformats.org/officeDocument/2006/relationships/hyperlink" Target="https://twitter.com/WallStreetApes/status/1685451792258351104" TargetMode="External"/><Relationship Id="rId26" Type="http://schemas.openxmlformats.org/officeDocument/2006/relationships/hyperlink" Target="https://twitter.com/joods" TargetMode="External"/><Relationship Id="rId47" Type="http://schemas.openxmlformats.org/officeDocument/2006/relationships/hyperlink" Target="https://mastodon.social/@ChrisO_wiki" TargetMode="External"/><Relationship Id="rId68" Type="http://schemas.openxmlformats.org/officeDocument/2006/relationships/hyperlink" Target="https://twitter.com/ArmsControlWonk" TargetMode="External"/><Relationship Id="rId89" Type="http://schemas.openxmlformats.org/officeDocument/2006/relationships/hyperlink" Target="http://t.me/osint_69" TargetMode="External"/><Relationship Id="rId112" Type="http://schemas.openxmlformats.org/officeDocument/2006/relationships/hyperlink" Target="https://t.co/dASWgkItb0" TargetMode="External"/><Relationship Id="rId133" Type="http://schemas.openxmlformats.org/officeDocument/2006/relationships/hyperlink" Target="https://www.trunews.com/" TargetMode="External"/><Relationship Id="rId154" Type="http://schemas.openxmlformats.org/officeDocument/2006/relationships/hyperlink" Target="https://paypal.com/paypalme/Pesca" TargetMode="External"/><Relationship Id="rId16" Type="http://schemas.openxmlformats.org/officeDocument/2006/relationships/hyperlink" Target="https://twitter.com/search?q=%23redsparrow&amp;src=hashtag_click" TargetMode="External"/><Relationship Id="rId37" Type="http://schemas.openxmlformats.org/officeDocument/2006/relationships/hyperlink" Target="https://twitter.com/PatriotOSINT" TargetMode="External"/><Relationship Id="rId58" Type="http://schemas.openxmlformats.org/officeDocument/2006/relationships/hyperlink" Target="http://buymeacoffee.com/igorsushko" TargetMode="External"/><Relationship Id="rId79" Type="http://schemas.openxmlformats.org/officeDocument/2006/relationships/hyperlink" Target="https://www.nytimes.com/spotlight/visual-investigations" TargetMode="External"/><Relationship Id="rId102" Type="http://schemas.openxmlformats.org/officeDocument/2006/relationships/hyperlink" Target="https://twitter.com/sergioajv1" TargetMode="External"/><Relationship Id="rId123" Type="http://schemas.openxmlformats.org/officeDocument/2006/relationships/hyperlink" Target="https://ko-fi.com/T6T4E1Y1" TargetMode="External"/><Relationship Id="rId144" Type="http://schemas.openxmlformats.org/officeDocument/2006/relationships/hyperlink" Target="https://www.facebook.com/androne08/" TargetMode="External"/><Relationship Id="rId90" Type="http://schemas.openxmlformats.org/officeDocument/2006/relationships/hyperlink" Target="https://twitter.com/bellingcat" TargetMode="External"/><Relationship Id="rId27" Type="http://schemas.openxmlformats.org/officeDocument/2006/relationships/hyperlink" Target="https://t.co/X8RZgQTtWi" TargetMode="External"/><Relationship Id="rId48" Type="http://schemas.openxmlformats.org/officeDocument/2006/relationships/hyperlink" Target="http://t.co/MyVS52vbS1" TargetMode="External"/><Relationship Id="rId69" Type="http://schemas.openxmlformats.org/officeDocument/2006/relationships/hyperlink" Target="https://twitter.com/ACWpodcast" TargetMode="External"/><Relationship Id="rId113" Type="http://schemas.openxmlformats.org/officeDocument/2006/relationships/hyperlink" Target="https://t.co/u07g5VlxAl" TargetMode="External"/><Relationship Id="rId134" Type="http://schemas.openxmlformats.org/officeDocument/2006/relationships/hyperlink" Target="https://twitter.com/YUranium235"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twitter.com/Osinttechnical" TargetMode="External"/><Relationship Id="rId21" Type="http://schemas.openxmlformats.org/officeDocument/2006/relationships/hyperlink" Target="https://twitter.com/Volodymyr_D_/status/1605199916519018497" TargetMode="External"/><Relationship Id="rId42" Type="http://schemas.openxmlformats.org/officeDocument/2006/relationships/hyperlink" Target="https://twitter.com/JakeGodin/status/1744373861074759753" TargetMode="External"/><Relationship Id="rId47" Type="http://schemas.openxmlformats.org/officeDocument/2006/relationships/hyperlink" Target="https://twitter.com/DD_Geopolitics/status/1744741761107579198" TargetMode="External"/><Relationship Id="rId63" Type="http://schemas.openxmlformats.org/officeDocument/2006/relationships/hyperlink" Target="https://twitter.com/daniel_van0/status/1710518671855042718" TargetMode="External"/><Relationship Id="rId68" Type="http://schemas.openxmlformats.org/officeDocument/2006/relationships/hyperlink" Target="https://twitter.com/trbrtc" TargetMode="External"/><Relationship Id="rId7" Type="http://schemas.openxmlformats.org/officeDocument/2006/relationships/hyperlink" Target="https://twitter.com/Resist_05/status/1681096634854436865" TargetMode="External"/><Relationship Id="rId71" Type="http://schemas.openxmlformats.org/officeDocument/2006/relationships/hyperlink" Target="https://twitter.com/trbrtc" TargetMode="External"/><Relationship Id="rId2" Type="http://schemas.openxmlformats.org/officeDocument/2006/relationships/hyperlink" Target="https://twitter.com/molfar_agency" TargetMode="External"/><Relationship Id="rId16" Type="http://schemas.openxmlformats.org/officeDocument/2006/relationships/hyperlink" Target="https://twitter.com/BrennpunktUA" TargetMode="External"/><Relationship Id="rId29" Type="http://schemas.openxmlformats.org/officeDocument/2006/relationships/hyperlink" Target="https://twitter.com/Sabados7/status/1496824540466401287" TargetMode="External"/><Relationship Id="rId11" Type="http://schemas.openxmlformats.org/officeDocument/2006/relationships/hyperlink" Target="https://twitter.com/WallStreetApes/status/1685451792258351104" TargetMode="External"/><Relationship Id="rId24" Type="http://schemas.openxmlformats.org/officeDocument/2006/relationships/hyperlink" Target="https://twitter.com/Osinttechnical" TargetMode="External"/><Relationship Id="rId32" Type="http://schemas.openxmlformats.org/officeDocument/2006/relationships/hyperlink" Target="https://twitter.com/Osinttechnical/status/1743934358673649996" TargetMode="External"/><Relationship Id="rId37" Type="http://schemas.openxmlformats.org/officeDocument/2006/relationships/hyperlink" Target="https://twitter.com/UKikaski/status/1742863600685908176" TargetMode="External"/><Relationship Id="rId40" Type="http://schemas.openxmlformats.org/officeDocument/2006/relationships/hyperlink" Target="https://twitter.com/UKikaski/status/1743590019116265868" TargetMode="External"/><Relationship Id="rId45" Type="http://schemas.openxmlformats.org/officeDocument/2006/relationships/hyperlink" Target="https://twitter.com/JakeGodin" TargetMode="External"/><Relationship Id="rId53" Type="http://schemas.openxmlformats.org/officeDocument/2006/relationships/hyperlink" Target="https://twitter.com/OSINT_UA/status/1592594788444172288" TargetMode="External"/><Relationship Id="rId58" Type="http://schemas.openxmlformats.org/officeDocument/2006/relationships/hyperlink" Target="https://twitter.com/viper202020" TargetMode="External"/><Relationship Id="rId66" Type="http://schemas.openxmlformats.org/officeDocument/2006/relationships/hyperlink" Target="https://twitter.com/trbrtc" TargetMode="External"/><Relationship Id="rId5" Type="http://schemas.openxmlformats.org/officeDocument/2006/relationships/hyperlink" Target="https://twitter.com/liz_churchill10/status/1681325307863728129" TargetMode="External"/><Relationship Id="rId61" Type="http://schemas.openxmlformats.org/officeDocument/2006/relationships/hyperlink" Target="https://twitter.com/ariehkovler/status/1742993745732124991" TargetMode="External"/><Relationship Id="rId19" Type="http://schemas.openxmlformats.org/officeDocument/2006/relationships/hyperlink" Target="https://twitter.com/Volodymyr_D_/status/1565807467765932033" TargetMode="External"/><Relationship Id="rId14" Type="http://schemas.openxmlformats.org/officeDocument/2006/relationships/hyperlink" Target="https://twitter.com/bili_vovky" TargetMode="External"/><Relationship Id="rId22" Type="http://schemas.openxmlformats.org/officeDocument/2006/relationships/hyperlink" Target="https://twitter.com/Volodymyr_D_" TargetMode="External"/><Relationship Id="rId27" Type="http://schemas.openxmlformats.org/officeDocument/2006/relationships/hyperlink" Target="https://twitter.com/Forrest_Rogers/status/1496254107660738568" TargetMode="External"/><Relationship Id="rId30" Type="http://schemas.openxmlformats.org/officeDocument/2006/relationships/hyperlink" Target="https://twitter.com/Osinttechnical/status/1744478209054310874" TargetMode="External"/><Relationship Id="rId35" Type="http://schemas.openxmlformats.org/officeDocument/2006/relationships/hyperlink" Target="https://twitter.com/ChrisO_wiki/status/1744291196313182515" TargetMode="External"/><Relationship Id="rId43" Type="http://schemas.openxmlformats.org/officeDocument/2006/relationships/hyperlink" Target="https://twitter.com/JakeGodin" TargetMode="External"/><Relationship Id="rId48" Type="http://schemas.openxmlformats.org/officeDocument/2006/relationships/hyperlink" Target="https://twitter.com/hugeglassofmilk/status/1719287930286375233" TargetMode="External"/><Relationship Id="rId56" Type="http://schemas.openxmlformats.org/officeDocument/2006/relationships/hyperlink" Target="https://twitter.com/UKikaski/status/1743771126214320533" TargetMode="External"/><Relationship Id="rId64" Type="http://schemas.openxmlformats.org/officeDocument/2006/relationships/hyperlink" Target="https://twitter.com/daniel_van0" TargetMode="External"/><Relationship Id="rId69" Type="http://schemas.openxmlformats.org/officeDocument/2006/relationships/hyperlink" Target="https://twitter.com/jfuruly/status/1718196319347442029" TargetMode="External"/><Relationship Id="rId8" Type="http://schemas.openxmlformats.org/officeDocument/2006/relationships/hyperlink" Target="https://twitter.com/Resist_05/status/1681096634854436865" TargetMode="External"/><Relationship Id="rId51" Type="http://schemas.openxmlformats.org/officeDocument/2006/relationships/hyperlink" Target="https://twitter.com/Techjournalisto/status/1584909435348074508" TargetMode="External"/><Relationship Id="rId3" Type="http://schemas.openxmlformats.org/officeDocument/2006/relationships/hyperlink" Target="https://twitter.com/Techjournalisto/status/1714179012723867752" TargetMode="External"/><Relationship Id="rId12" Type="http://schemas.openxmlformats.org/officeDocument/2006/relationships/hyperlink" Target="https://twitter.com/WallStreetApes/status/1685451792258351104" TargetMode="External"/><Relationship Id="rId17" Type="http://schemas.openxmlformats.org/officeDocument/2006/relationships/hyperlink" Target="https://twitter.com/ArbiterOfTweets/status/1731358374183276761" TargetMode="External"/><Relationship Id="rId25" Type="http://schemas.openxmlformats.org/officeDocument/2006/relationships/hyperlink" Target="https://twitter.com/Osinttechnical/status/1743701090569208244" TargetMode="External"/><Relationship Id="rId33" Type="http://schemas.openxmlformats.org/officeDocument/2006/relationships/hyperlink" Target="https://twitter.com/Osinttechnical" TargetMode="External"/><Relationship Id="rId38" Type="http://schemas.openxmlformats.org/officeDocument/2006/relationships/hyperlink" Target="https://twitter.com/Partisangirl/status/1733026025150222482" TargetMode="External"/><Relationship Id="rId46" Type="http://schemas.openxmlformats.org/officeDocument/2006/relationships/hyperlink" Target="https://twitter.com/DD_Geopolitics/status/1745449465195159853" TargetMode="External"/><Relationship Id="rId59" Type="http://schemas.openxmlformats.org/officeDocument/2006/relationships/hyperlink" Target="https://twitter.com/ArmsControlWonk/status/1743401785560084825" TargetMode="External"/><Relationship Id="rId67" Type="http://schemas.openxmlformats.org/officeDocument/2006/relationships/hyperlink" Target="https://twitter.com/trbrtc/status/1738190439235170378" TargetMode="External"/><Relationship Id="rId20" Type="http://schemas.openxmlformats.org/officeDocument/2006/relationships/hyperlink" Target="https://twitter.com/Volodymyr_D_" TargetMode="External"/><Relationship Id="rId41" Type="http://schemas.openxmlformats.org/officeDocument/2006/relationships/hyperlink" Target="https://twitter.com/UKikaski/status/1744015340294586654" TargetMode="External"/><Relationship Id="rId54" Type="http://schemas.openxmlformats.org/officeDocument/2006/relationships/hyperlink" Target="https://twitter.com/OSINT_UA" TargetMode="External"/><Relationship Id="rId62" Type="http://schemas.openxmlformats.org/officeDocument/2006/relationships/hyperlink" Target="https://twitter.com/ariehkovler" TargetMode="External"/><Relationship Id="rId70" Type="http://schemas.openxmlformats.org/officeDocument/2006/relationships/hyperlink" Target="https://twitter.com/JakeGodin/status/1734975208367194235" TargetMode="External"/><Relationship Id="rId1" Type="http://schemas.openxmlformats.org/officeDocument/2006/relationships/hyperlink" Target="https://twitter.com/molfar_agency/status/1701278887978692899" TargetMode="External"/><Relationship Id="rId6" Type="http://schemas.openxmlformats.org/officeDocument/2006/relationships/hyperlink" Target="https://twitter.com/liz_churchill10" TargetMode="External"/><Relationship Id="rId15" Type="http://schemas.openxmlformats.org/officeDocument/2006/relationships/hyperlink" Target="https://twitter.com/BrennpunktUA/status/1739023982970438103" TargetMode="External"/><Relationship Id="rId23" Type="http://schemas.openxmlformats.org/officeDocument/2006/relationships/hyperlink" Target="https://twitter.com/Osinttechnical/status/1743715113859739833" TargetMode="External"/><Relationship Id="rId28" Type="http://schemas.openxmlformats.org/officeDocument/2006/relationships/hyperlink" Target="https://twitter.com/Forrest_Rogers" TargetMode="External"/><Relationship Id="rId36" Type="http://schemas.openxmlformats.org/officeDocument/2006/relationships/hyperlink" Target="https://twitter.com/PijkerenTb/status/1725397839650459719" TargetMode="External"/><Relationship Id="rId49" Type="http://schemas.openxmlformats.org/officeDocument/2006/relationships/hyperlink" Target="https://twitter.com/danuzioneto/status/1744848220457439335" TargetMode="External"/><Relationship Id="rId57" Type="http://schemas.openxmlformats.org/officeDocument/2006/relationships/hyperlink" Target="https://twitter.com/viper202020/status/1744148861533278685" TargetMode="External"/><Relationship Id="rId10" Type="http://schemas.openxmlformats.org/officeDocument/2006/relationships/hyperlink" Target="https://twitter.com/amuse/status/1695781931240091721" TargetMode="External"/><Relationship Id="rId31" Type="http://schemas.openxmlformats.org/officeDocument/2006/relationships/hyperlink" Target="https://twitter.com/Osinttechnical" TargetMode="External"/><Relationship Id="rId44" Type="http://schemas.openxmlformats.org/officeDocument/2006/relationships/hyperlink" Target="https://twitter.com/JakeGodin/status/1735052613970702480" TargetMode="External"/><Relationship Id="rId52" Type="http://schemas.openxmlformats.org/officeDocument/2006/relationships/hyperlink" Target="https://twitter.com/Osinttechnical/status/1744514052670345639" TargetMode="External"/><Relationship Id="rId60" Type="http://schemas.openxmlformats.org/officeDocument/2006/relationships/hyperlink" Target="https://twitter.com/ArmsControlWonk" TargetMode="External"/><Relationship Id="rId65" Type="http://schemas.openxmlformats.org/officeDocument/2006/relationships/hyperlink" Target="https://twitter.com/trbrtc/status/1740021446997368846" TargetMode="External"/><Relationship Id="rId4" Type="http://schemas.openxmlformats.org/officeDocument/2006/relationships/hyperlink" Target="https://twitter.com/Techjournalisto" TargetMode="External"/><Relationship Id="rId9" Type="http://schemas.openxmlformats.org/officeDocument/2006/relationships/hyperlink" Target="https://twitter.com/amuse/status/1695781931240091721" TargetMode="External"/><Relationship Id="rId13" Type="http://schemas.openxmlformats.org/officeDocument/2006/relationships/hyperlink" Target="https://twitter.com/bili_vovky/status/1597216249670692864" TargetMode="External"/><Relationship Id="rId18" Type="http://schemas.openxmlformats.org/officeDocument/2006/relationships/hyperlink" Target="https://twitter.com/ArbiterOfTweets" TargetMode="External"/><Relationship Id="rId39" Type="http://schemas.openxmlformats.org/officeDocument/2006/relationships/hyperlink" Target="https://twitter.com/Tendar/status/1744478270328860865" TargetMode="External"/><Relationship Id="rId34" Type="http://schemas.openxmlformats.org/officeDocument/2006/relationships/hyperlink" Target="https://twitter.com/Tendar/status/1744000869182435383" TargetMode="External"/><Relationship Id="rId50" Type="http://schemas.openxmlformats.org/officeDocument/2006/relationships/hyperlink" Target="https://twitter.com/nigroeneveld/status/1587039251484614656" TargetMode="External"/><Relationship Id="rId55" Type="http://schemas.openxmlformats.org/officeDocument/2006/relationships/hyperlink" Target="https://twitter.com/wammezz/status/1739802241312211184"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twitter.com/WarMonitors" TargetMode="External"/><Relationship Id="rId18" Type="http://schemas.openxmlformats.org/officeDocument/2006/relationships/hyperlink" Target="https://twitter.com/liz_churchill10" TargetMode="External"/><Relationship Id="rId26" Type="http://schemas.openxmlformats.org/officeDocument/2006/relationships/hyperlink" Target="https://twitter.com/matincantweet" TargetMode="External"/><Relationship Id="rId39" Type="http://schemas.openxmlformats.org/officeDocument/2006/relationships/hyperlink" Target="https://twitter.com/BrennpunktUA" TargetMode="External"/><Relationship Id="rId21" Type="http://schemas.openxmlformats.org/officeDocument/2006/relationships/hyperlink" Target="https://twitter.com/Resist_05/status/1681096634854436865" TargetMode="External"/><Relationship Id="rId34" Type="http://schemas.openxmlformats.org/officeDocument/2006/relationships/hyperlink" Target="https://twitter.com/KPatthar" TargetMode="External"/><Relationship Id="rId7" Type="http://schemas.openxmlformats.org/officeDocument/2006/relationships/hyperlink" Target="https://twitter.com/osint_69" TargetMode="External"/><Relationship Id="rId2" Type="http://schemas.openxmlformats.org/officeDocument/2006/relationships/hyperlink" Target="https://twitter.com/secretsqrl123" TargetMode="External"/><Relationship Id="rId16" Type="http://schemas.openxmlformats.org/officeDocument/2006/relationships/hyperlink" Target="https://twitter.com/Megatron_ron" TargetMode="External"/><Relationship Id="rId20" Type="http://schemas.openxmlformats.org/officeDocument/2006/relationships/hyperlink" Target="https://twitter.com/Resist_05" TargetMode="External"/><Relationship Id="rId29" Type="http://schemas.openxmlformats.org/officeDocument/2006/relationships/hyperlink" Target="https://twitter.com/cirnosad/status/1683253882397552641" TargetMode="External"/><Relationship Id="rId41" Type="http://schemas.openxmlformats.org/officeDocument/2006/relationships/hyperlink" Target="https://twitter.com/BrennpunktUA/status/1739023982970438103" TargetMode="External"/><Relationship Id="rId1" Type="http://schemas.openxmlformats.org/officeDocument/2006/relationships/hyperlink" Target="https://twitter.com/clashreport" TargetMode="External"/><Relationship Id="rId6" Type="http://schemas.openxmlformats.org/officeDocument/2006/relationships/hyperlink" Target="https://twitter.com/Partisangirl" TargetMode="External"/><Relationship Id="rId11" Type="http://schemas.openxmlformats.org/officeDocument/2006/relationships/hyperlink" Target="https://twitter.com/Sprinter99800" TargetMode="External"/><Relationship Id="rId24" Type="http://schemas.openxmlformats.org/officeDocument/2006/relationships/hyperlink" Target="https://twitter.com/WallStreetApes" TargetMode="External"/><Relationship Id="rId32" Type="http://schemas.openxmlformats.org/officeDocument/2006/relationships/hyperlink" Target="https://twitter.com/UKikaski" TargetMode="External"/><Relationship Id="rId37" Type="http://schemas.openxmlformats.org/officeDocument/2006/relationships/hyperlink" Target="https://twitter.com/bili_vovky" TargetMode="External"/><Relationship Id="rId40" Type="http://schemas.openxmlformats.org/officeDocument/2006/relationships/hyperlink" Target="https://twitter.com/BrennpunktUA" TargetMode="External"/><Relationship Id="rId5" Type="http://schemas.openxmlformats.org/officeDocument/2006/relationships/hyperlink" Target="https://twitter.com/Azovsouth" TargetMode="External"/><Relationship Id="rId15" Type="http://schemas.openxmlformats.org/officeDocument/2006/relationships/hyperlink" Target="https://twitter.com/Blackrussiantv" TargetMode="External"/><Relationship Id="rId23" Type="http://schemas.openxmlformats.org/officeDocument/2006/relationships/hyperlink" Target="https://twitter.com/amuse/status/1695781931240091721" TargetMode="External"/><Relationship Id="rId28" Type="http://schemas.openxmlformats.org/officeDocument/2006/relationships/hyperlink" Target="https://twitter.com/cirnosad" TargetMode="External"/><Relationship Id="rId36" Type="http://schemas.openxmlformats.org/officeDocument/2006/relationships/hyperlink" Target="https://twitter.com/KPatthar/status/1640432067543441420" TargetMode="External"/><Relationship Id="rId10" Type="http://schemas.openxmlformats.org/officeDocument/2006/relationships/hyperlink" Target="https://twitter.com/MyLordBebo" TargetMode="External"/><Relationship Id="rId19" Type="http://schemas.openxmlformats.org/officeDocument/2006/relationships/hyperlink" Target="https://twitter.com/liz_churchill10/status/1681325307863728129" TargetMode="External"/><Relationship Id="rId31" Type="http://schemas.openxmlformats.org/officeDocument/2006/relationships/hyperlink" Target="https://twitter.com/UKikaski" TargetMode="External"/><Relationship Id="rId4" Type="http://schemas.openxmlformats.org/officeDocument/2006/relationships/hyperlink" Target="https://twitter.com/stairwayto3dom" TargetMode="External"/><Relationship Id="rId9" Type="http://schemas.openxmlformats.org/officeDocument/2006/relationships/hyperlink" Target="https://twitter.com/igorsushko" TargetMode="External"/><Relationship Id="rId14" Type="http://schemas.openxmlformats.org/officeDocument/2006/relationships/hyperlink" Target="https://twitter.com/DD_Geopolitics" TargetMode="External"/><Relationship Id="rId22" Type="http://schemas.openxmlformats.org/officeDocument/2006/relationships/hyperlink" Target="https://twitter.com/amuse" TargetMode="External"/><Relationship Id="rId27" Type="http://schemas.openxmlformats.org/officeDocument/2006/relationships/hyperlink" Target="https://twitter.com/matincantweet/status/1720179582123254009" TargetMode="External"/><Relationship Id="rId30" Type="http://schemas.openxmlformats.org/officeDocument/2006/relationships/hyperlink" Target="https://twitter.com/cirnosad/status/1683253882397552641" TargetMode="External"/><Relationship Id="rId35" Type="http://schemas.openxmlformats.org/officeDocument/2006/relationships/hyperlink" Target="https://twitter.com/KPatthar/status/1640432067543441420/photo/1" TargetMode="External"/><Relationship Id="rId8" Type="http://schemas.openxmlformats.org/officeDocument/2006/relationships/hyperlink" Target="https://twitter.com/DravenNoctis" TargetMode="External"/><Relationship Id="rId3" Type="http://schemas.openxmlformats.org/officeDocument/2006/relationships/hyperlink" Target="https://twitter.com/neolithicobject" TargetMode="External"/><Relationship Id="rId12" Type="http://schemas.openxmlformats.org/officeDocument/2006/relationships/hyperlink" Target="https://twitter.com/RWApodcast" TargetMode="External"/><Relationship Id="rId17" Type="http://schemas.openxmlformats.org/officeDocument/2006/relationships/hyperlink" Target="https://twitter.com/djuric_zlatko" TargetMode="External"/><Relationship Id="rId25" Type="http://schemas.openxmlformats.org/officeDocument/2006/relationships/hyperlink" Target="https://twitter.com/WallStreetApes/status/1685451792258351104" TargetMode="External"/><Relationship Id="rId33" Type="http://schemas.openxmlformats.org/officeDocument/2006/relationships/hyperlink" Target="https://twitter.com/UKikaski/status/1703401067944214675" TargetMode="External"/><Relationship Id="rId38" Type="http://schemas.openxmlformats.org/officeDocument/2006/relationships/hyperlink" Target="https://twitter.com/bili_vovky/status/1597216249670692864"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twitter.com/EliotHiggins" TargetMode="External"/><Relationship Id="rId13" Type="http://schemas.openxmlformats.org/officeDocument/2006/relationships/hyperlink" Target="https://twitter.com/GeoConfirmed" TargetMode="External"/><Relationship Id="rId18" Type="http://schemas.openxmlformats.org/officeDocument/2006/relationships/hyperlink" Target="https://twitter.com/molfar_agency/status/1701278887978692899" TargetMode="External"/><Relationship Id="rId3" Type="http://schemas.openxmlformats.org/officeDocument/2006/relationships/hyperlink" Target="https://twitter.com/O_Rob1nson" TargetMode="External"/><Relationship Id="rId21" Type="http://schemas.openxmlformats.org/officeDocument/2006/relationships/hyperlink" Target="https://twitter.com/Techjournalisto/status/1714179012723867752" TargetMode="External"/><Relationship Id="rId7" Type="http://schemas.openxmlformats.org/officeDocument/2006/relationships/hyperlink" Target="https://twitter.com/Tendar" TargetMode="External"/><Relationship Id="rId12" Type="http://schemas.openxmlformats.org/officeDocument/2006/relationships/hyperlink" Target="https://twitter.com/RALee85" TargetMode="External"/><Relationship Id="rId17" Type="http://schemas.openxmlformats.org/officeDocument/2006/relationships/hyperlink" Target="https://twitter.com/molfar_agency" TargetMode="External"/><Relationship Id="rId2" Type="http://schemas.openxmlformats.org/officeDocument/2006/relationships/hyperlink" Target="https://twitter.com/NZ_Trav" TargetMode="External"/><Relationship Id="rId16" Type="http://schemas.openxmlformats.org/officeDocument/2006/relationships/hyperlink" Target="https://twitter.com/molfar_agency" TargetMode="External"/><Relationship Id="rId20" Type="http://schemas.openxmlformats.org/officeDocument/2006/relationships/hyperlink" Target="https://twitter.com/Techjournalisto" TargetMode="External"/><Relationship Id="rId1" Type="http://schemas.openxmlformats.org/officeDocument/2006/relationships/hyperlink" Target="https://twitter.com/Tatarigami_UA" TargetMode="External"/><Relationship Id="rId6" Type="http://schemas.openxmlformats.org/officeDocument/2006/relationships/hyperlink" Target="https://twitter.com/hugeglassofmilk" TargetMode="External"/><Relationship Id="rId11" Type="http://schemas.openxmlformats.org/officeDocument/2006/relationships/hyperlink" Target="https://twitter.com/Rebel44CZ" TargetMode="External"/><Relationship Id="rId5" Type="http://schemas.openxmlformats.org/officeDocument/2006/relationships/hyperlink" Target="https://twitter.com/AFVRec_" TargetMode="External"/><Relationship Id="rId15" Type="http://schemas.openxmlformats.org/officeDocument/2006/relationships/hyperlink" Target="https://twitter.com/AricToler" TargetMode="External"/><Relationship Id="rId10" Type="http://schemas.openxmlformats.org/officeDocument/2006/relationships/hyperlink" Target="https://twitter.com/BenDoBrown" TargetMode="External"/><Relationship Id="rId19" Type="http://schemas.openxmlformats.org/officeDocument/2006/relationships/hyperlink" Target="https://twitter.com/Techjournalisto" TargetMode="External"/><Relationship Id="rId4" Type="http://schemas.openxmlformats.org/officeDocument/2006/relationships/hyperlink" Target="https://twitter.com/06JAnk" TargetMode="External"/><Relationship Id="rId9" Type="http://schemas.openxmlformats.org/officeDocument/2006/relationships/hyperlink" Target="https://twitter.com/Osinttechnical" TargetMode="External"/><Relationship Id="rId14" Type="http://schemas.openxmlformats.org/officeDocument/2006/relationships/hyperlink" Target="https://twitter.com/neonhandra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1002"/>
  <sheetViews>
    <sheetView workbookViewId="0">
      <pane xSplit="1" ySplit="7" topLeftCell="B8" activePane="bottomRight" state="frozen"/>
      <selection pane="topRight" activeCell="B1" sqref="B1"/>
      <selection pane="bottomLeft" activeCell="A8" sqref="A8"/>
      <selection pane="bottomRight" activeCell="B8" sqref="B8"/>
    </sheetView>
  </sheetViews>
  <sheetFormatPr defaultColWidth="12.6328125" defaultRowHeight="15.75" customHeight="1"/>
  <cols>
    <col min="1" max="1" width="14.7265625" customWidth="1"/>
    <col min="2" max="2" width="11" customWidth="1"/>
    <col min="4" max="4" width="16.90625" customWidth="1"/>
    <col min="5" max="5" width="14.6328125" customWidth="1"/>
    <col min="7" max="7" width="18.08984375" customWidth="1"/>
    <col min="8" max="8" width="22.36328125" customWidth="1"/>
    <col min="9" max="9" width="17.26953125" customWidth="1"/>
    <col min="10" max="11" width="19.08984375" customWidth="1"/>
    <col min="12" max="12" width="17" customWidth="1"/>
    <col min="13" max="13" width="20.26953125" customWidth="1"/>
    <col min="14" max="14" width="21.08984375" customWidth="1"/>
    <col min="15" max="15" width="18.453125" customWidth="1"/>
    <col min="16" max="16" width="16.90625" customWidth="1"/>
    <col min="17" max="17" width="19.6328125" customWidth="1"/>
    <col min="18" max="18" width="14.453125" customWidth="1"/>
    <col min="19" max="19" width="15.6328125" customWidth="1"/>
    <col min="20" max="20" width="18.453125" customWidth="1"/>
    <col min="21" max="21" width="13.6328125" customWidth="1"/>
    <col min="22" max="22" width="15.6328125" customWidth="1"/>
    <col min="23" max="23" width="27.08984375" customWidth="1"/>
    <col min="24" max="24" width="18.08984375" customWidth="1"/>
    <col min="25" max="25" width="17.08984375" customWidth="1"/>
    <col min="26" max="26" width="14.7265625" customWidth="1"/>
    <col min="27" max="27" width="18.36328125" customWidth="1"/>
    <col min="28" max="28" width="20.36328125" customWidth="1"/>
    <col min="29" max="29" width="21.26953125" customWidth="1"/>
    <col min="30" max="30" width="16.453125" customWidth="1"/>
    <col min="31" max="35" width="2.6328125" customWidth="1"/>
  </cols>
  <sheetData>
    <row r="1" spans="1:35" ht="29">
      <c r="A1" s="1"/>
      <c r="B1" s="264" t="s">
        <v>0</v>
      </c>
      <c r="C1" s="265"/>
      <c r="D1" s="265"/>
      <c r="E1" s="265"/>
      <c r="F1" s="265"/>
      <c r="G1" s="265"/>
      <c r="H1" s="266"/>
      <c r="I1" s="2"/>
      <c r="J1" s="3"/>
      <c r="K1" s="3"/>
      <c r="L1" s="3"/>
      <c r="M1" s="3"/>
      <c r="N1" s="4"/>
      <c r="O1" s="4"/>
      <c r="P1" s="4"/>
      <c r="Q1" s="4"/>
      <c r="R1" s="4"/>
      <c r="S1" s="4"/>
      <c r="T1" s="4"/>
      <c r="U1" s="4"/>
      <c r="V1" s="4"/>
      <c r="W1" s="4"/>
      <c r="X1" s="4"/>
      <c r="Y1" s="4"/>
      <c r="Z1" s="4"/>
      <c r="AA1" s="4"/>
      <c r="AB1" s="4"/>
      <c r="AC1" s="4"/>
      <c r="AD1" s="4"/>
      <c r="AE1" s="4"/>
      <c r="AF1" s="4"/>
      <c r="AG1" s="4"/>
      <c r="AH1" s="4"/>
      <c r="AI1" s="4"/>
    </row>
    <row r="2" spans="1:35" ht="13">
      <c r="A2" s="5"/>
      <c r="B2" s="267" t="s">
        <v>1</v>
      </c>
      <c r="C2" s="268"/>
      <c r="D2" s="268"/>
      <c r="E2" s="268"/>
      <c r="F2" s="268"/>
      <c r="G2" s="268"/>
      <c r="H2" s="269"/>
      <c r="I2" s="2"/>
      <c r="J2" s="6"/>
      <c r="K2" s="6"/>
      <c r="L2" s="6"/>
      <c r="M2" s="6"/>
      <c r="N2" s="6"/>
      <c r="O2" s="6"/>
      <c r="P2" s="6"/>
      <c r="Q2" s="6"/>
      <c r="R2" s="6"/>
      <c r="S2" s="6"/>
      <c r="T2" s="6"/>
      <c r="U2" s="7"/>
      <c r="V2" s="7"/>
      <c r="W2" s="7"/>
      <c r="X2" s="7"/>
      <c r="Y2" s="7"/>
      <c r="Z2" s="7"/>
      <c r="AA2" s="7"/>
      <c r="AB2" s="7"/>
      <c r="AC2" s="7"/>
      <c r="AD2" s="7"/>
      <c r="AE2" s="7"/>
      <c r="AF2" s="7"/>
      <c r="AG2" s="7"/>
      <c r="AH2" s="7"/>
      <c r="AI2" s="7"/>
    </row>
    <row r="3" spans="1:35" ht="13">
      <c r="A3" s="8"/>
      <c r="B3" s="270" t="s">
        <v>2</v>
      </c>
      <c r="C3" s="268"/>
      <c r="D3" s="268"/>
      <c r="E3" s="268"/>
      <c r="F3" s="268"/>
      <c r="G3" s="268"/>
      <c r="H3" s="269"/>
      <c r="I3" s="2"/>
      <c r="J3" s="6"/>
      <c r="K3" s="6"/>
      <c r="L3" s="6"/>
      <c r="M3" s="6"/>
      <c r="N3" s="6"/>
      <c r="O3" s="6"/>
      <c r="P3" s="6"/>
      <c r="Q3" s="6"/>
      <c r="R3" s="6"/>
      <c r="S3" s="6"/>
      <c r="T3" s="6"/>
      <c r="U3" s="7"/>
      <c r="V3" s="7"/>
      <c r="W3" s="7"/>
      <c r="X3" s="7"/>
      <c r="Y3" s="7"/>
      <c r="Z3" s="7"/>
      <c r="AA3" s="7"/>
      <c r="AB3" s="7"/>
      <c r="AC3" s="7"/>
      <c r="AD3" s="7"/>
      <c r="AE3" s="7"/>
      <c r="AF3" s="7"/>
      <c r="AG3" s="7"/>
      <c r="AH3" s="7"/>
      <c r="AI3" s="7"/>
    </row>
    <row r="4" spans="1:35" ht="13">
      <c r="A4" s="5"/>
      <c r="B4" s="267" t="s">
        <v>3</v>
      </c>
      <c r="C4" s="268"/>
      <c r="D4" s="268"/>
      <c r="E4" s="268"/>
      <c r="F4" s="268"/>
      <c r="G4" s="268"/>
      <c r="H4" s="269"/>
      <c r="I4" s="6"/>
      <c r="J4" s="6"/>
      <c r="K4" s="6"/>
      <c r="L4" s="6"/>
      <c r="M4" s="6"/>
      <c r="N4" s="6"/>
      <c r="O4" s="6"/>
      <c r="P4" s="6"/>
      <c r="Q4" s="6"/>
      <c r="R4" s="6"/>
      <c r="S4" s="6"/>
      <c r="T4" s="6"/>
      <c r="U4" s="7"/>
      <c r="V4" s="7"/>
      <c r="W4" s="7"/>
      <c r="X4" s="7"/>
      <c r="Y4" s="7"/>
      <c r="Z4" s="7"/>
      <c r="AA4" s="7"/>
      <c r="AB4" s="7"/>
      <c r="AC4" s="7"/>
      <c r="AD4" s="7"/>
      <c r="AE4" s="7"/>
      <c r="AF4" s="7"/>
      <c r="AG4" s="7"/>
      <c r="AH4" s="7"/>
      <c r="AI4" s="7"/>
    </row>
    <row r="5" spans="1:35" ht="13">
      <c r="A5" s="9" t="s">
        <v>4</v>
      </c>
      <c r="B5" s="9"/>
      <c r="C5" s="271" t="s">
        <v>5</v>
      </c>
      <c r="D5" s="261"/>
      <c r="E5" s="261"/>
      <c r="F5" s="272"/>
      <c r="G5" s="10" t="s">
        <v>6</v>
      </c>
      <c r="H5" s="273" t="s">
        <v>7</v>
      </c>
      <c r="I5" s="274"/>
      <c r="J5" s="274"/>
      <c r="K5" s="274"/>
      <c r="L5" s="274"/>
      <c r="M5" s="275"/>
      <c r="N5" s="276" t="s">
        <v>8</v>
      </c>
      <c r="O5" s="261"/>
      <c r="P5" s="261"/>
      <c r="Q5" s="261"/>
      <c r="R5" s="261"/>
      <c r="S5" s="261"/>
      <c r="T5" s="262"/>
      <c r="U5" s="260" t="s">
        <v>9</v>
      </c>
      <c r="V5" s="261"/>
      <c r="W5" s="261"/>
      <c r="X5" s="261"/>
      <c r="Y5" s="261"/>
      <c r="Z5" s="262"/>
      <c r="AA5" s="263" t="s">
        <v>10</v>
      </c>
      <c r="AB5" s="261"/>
      <c r="AC5" s="261"/>
      <c r="AD5" s="262"/>
      <c r="AE5" s="11"/>
      <c r="AF5" s="11"/>
      <c r="AG5" s="11"/>
      <c r="AH5" s="11"/>
      <c r="AI5" s="11"/>
    </row>
    <row r="6" spans="1:35" ht="39">
      <c r="A6" s="12"/>
      <c r="B6" s="12"/>
      <c r="C6" s="13" t="s">
        <v>11</v>
      </c>
      <c r="D6" s="14" t="s">
        <v>12</v>
      </c>
      <c r="E6" s="14" t="s">
        <v>13</v>
      </c>
      <c r="F6" s="14" t="s">
        <v>14</v>
      </c>
      <c r="G6" s="15" t="s">
        <v>15</v>
      </c>
      <c r="H6" s="16" t="s">
        <v>16</v>
      </c>
      <c r="I6" s="17" t="s">
        <v>17</v>
      </c>
      <c r="J6" s="17" t="s">
        <v>18</v>
      </c>
      <c r="K6" s="17" t="s">
        <v>19</v>
      </c>
      <c r="L6" s="17" t="s">
        <v>20</v>
      </c>
      <c r="M6" s="18" t="s">
        <v>21</v>
      </c>
      <c r="N6" s="19" t="s">
        <v>22</v>
      </c>
      <c r="O6" s="20" t="s">
        <v>23</v>
      </c>
      <c r="P6" s="20" t="s">
        <v>24</v>
      </c>
      <c r="Q6" s="21" t="s">
        <v>25</v>
      </c>
      <c r="R6" s="20" t="s">
        <v>26</v>
      </c>
      <c r="S6" s="20" t="s">
        <v>27</v>
      </c>
      <c r="T6" s="22" t="s">
        <v>28</v>
      </c>
      <c r="U6" s="23" t="s">
        <v>29</v>
      </c>
      <c r="V6" s="24" t="s">
        <v>30</v>
      </c>
      <c r="W6" s="24" t="s">
        <v>31</v>
      </c>
      <c r="X6" s="24" t="s">
        <v>32</v>
      </c>
      <c r="Y6" s="24" t="s">
        <v>33</v>
      </c>
      <c r="Z6" s="25" t="s">
        <v>34</v>
      </c>
      <c r="AA6" s="26" t="s">
        <v>35</v>
      </c>
      <c r="AB6" s="14" t="s">
        <v>36</v>
      </c>
      <c r="AC6" s="14" t="s">
        <v>37</v>
      </c>
      <c r="AD6" s="27" t="s">
        <v>38</v>
      </c>
      <c r="AE6" s="11"/>
      <c r="AF6" s="11"/>
      <c r="AG6" s="11"/>
      <c r="AH6" s="11"/>
      <c r="AI6" s="11"/>
    </row>
    <row r="7" spans="1:35" ht="137.5">
      <c r="A7" s="28" t="s">
        <v>39</v>
      </c>
      <c r="B7" s="28"/>
      <c r="C7" s="29"/>
      <c r="D7" s="30"/>
      <c r="E7" s="31"/>
      <c r="F7" s="32"/>
      <c r="G7" s="33" t="s">
        <v>40</v>
      </c>
      <c r="H7" s="34" t="s">
        <v>41</v>
      </c>
      <c r="I7" s="35" t="s">
        <v>42</v>
      </c>
      <c r="J7" s="35" t="s">
        <v>43</v>
      </c>
      <c r="K7" s="35" t="s">
        <v>44</v>
      </c>
      <c r="L7" s="36" t="s">
        <v>45</v>
      </c>
      <c r="M7" s="37" t="s">
        <v>46</v>
      </c>
      <c r="N7" s="38" t="s">
        <v>47</v>
      </c>
      <c r="O7" s="39" t="s">
        <v>48</v>
      </c>
      <c r="P7" s="39" t="s">
        <v>49</v>
      </c>
      <c r="Q7" s="40" t="s">
        <v>50</v>
      </c>
      <c r="R7" s="40" t="s">
        <v>51</v>
      </c>
      <c r="S7" s="40" t="s">
        <v>52</v>
      </c>
      <c r="T7" s="41" t="s">
        <v>53</v>
      </c>
      <c r="U7" s="42" t="s">
        <v>54</v>
      </c>
      <c r="V7" s="43" t="s">
        <v>55</v>
      </c>
      <c r="W7" s="43" t="s">
        <v>56</v>
      </c>
      <c r="X7" s="43" t="s">
        <v>57</v>
      </c>
      <c r="Y7" s="43" t="s">
        <v>58</v>
      </c>
      <c r="Z7" s="44" t="s">
        <v>59</v>
      </c>
      <c r="AA7" s="45" t="s">
        <v>60</v>
      </c>
      <c r="AB7" s="46" t="s">
        <v>61</v>
      </c>
      <c r="AC7" s="46" t="s">
        <v>62</v>
      </c>
      <c r="AD7" s="47" t="s">
        <v>63</v>
      </c>
      <c r="AE7" s="48"/>
      <c r="AF7" s="48"/>
      <c r="AG7" s="48"/>
      <c r="AH7" s="48"/>
      <c r="AI7" s="48"/>
    </row>
    <row r="8" spans="1:35" ht="25.5">
      <c r="A8" s="49" t="s">
        <v>64</v>
      </c>
      <c r="B8" s="49"/>
      <c r="C8" s="50"/>
      <c r="D8" s="51"/>
      <c r="E8" s="51"/>
      <c r="F8" s="51"/>
      <c r="G8" s="52" t="s">
        <v>65</v>
      </c>
      <c r="H8" s="53" t="s">
        <v>65</v>
      </c>
      <c r="I8" s="54"/>
      <c r="J8" s="54"/>
      <c r="K8" s="54"/>
      <c r="L8" s="54"/>
      <c r="M8" s="55"/>
      <c r="N8" s="56" t="s">
        <v>65</v>
      </c>
      <c r="O8" s="57"/>
      <c r="P8" s="57"/>
      <c r="Q8" s="57"/>
      <c r="R8" s="57"/>
      <c r="S8" s="57"/>
      <c r="T8" s="58"/>
      <c r="U8" s="59"/>
      <c r="V8" s="60"/>
      <c r="W8" s="60"/>
      <c r="X8" s="60"/>
      <c r="Y8" s="60"/>
      <c r="Z8" s="61"/>
      <c r="AA8" s="62"/>
      <c r="AB8" s="63"/>
      <c r="AC8" s="63"/>
      <c r="AD8" s="64"/>
      <c r="AE8" s="11"/>
      <c r="AF8" s="11"/>
      <c r="AG8" s="11"/>
      <c r="AH8" s="11"/>
      <c r="AI8" s="11"/>
    </row>
    <row r="9" spans="1:35" ht="16.5" customHeight="1">
      <c r="A9" s="65" t="s">
        <v>66</v>
      </c>
      <c r="B9" s="65" t="s">
        <v>66</v>
      </c>
      <c r="C9" s="66" t="s">
        <v>67</v>
      </c>
      <c r="D9" s="67" t="s">
        <v>68</v>
      </c>
      <c r="E9" s="68" t="s">
        <v>69</v>
      </c>
      <c r="F9" s="68" t="s">
        <v>70</v>
      </c>
      <c r="G9" s="69">
        <v>1</v>
      </c>
      <c r="H9" s="68">
        <v>2</v>
      </c>
      <c r="I9" s="68">
        <v>3</v>
      </c>
      <c r="J9" s="68">
        <v>3</v>
      </c>
      <c r="K9" s="68">
        <v>3</v>
      </c>
      <c r="L9" s="68">
        <v>3</v>
      </c>
      <c r="M9" s="68">
        <v>2</v>
      </c>
      <c r="N9" s="68">
        <v>2</v>
      </c>
      <c r="O9" s="68">
        <v>3</v>
      </c>
      <c r="P9" s="68">
        <v>3</v>
      </c>
      <c r="Q9" s="68">
        <v>3</v>
      </c>
      <c r="R9" s="68">
        <v>3</v>
      </c>
      <c r="S9" s="68">
        <v>3</v>
      </c>
      <c r="T9" s="68">
        <v>1</v>
      </c>
      <c r="U9" s="68">
        <v>1</v>
      </c>
      <c r="V9" s="68">
        <v>1</v>
      </c>
      <c r="W9" s="68">
        <v>2</v>
      </c>
      <c r="X9" s="68">
        <v>2</v>
      </c>
      <c r="Y9" s="68">
        <v>1</v>
      </c>
      <c r="Z9" s="68">
        <v>3</v>
      </c>
      <c r="AA9" s="68">
        <v>3</v>
      </c>
      <c r="AB9" s="68">
        <v>3</v>
      </c>
      <c r="AC9" s="68">
        <v>3</v>
      </c>
      <c r="AD9" s="68">
        <v>1</v>
      </c>
      <c r="AE9" s="11"/>
      <c r="AF9" s="11"/>
      <c r="AG9" s="11"/>
      <c r="AH9" s="11"/>
      <c r="AI9" s="11"/>
    </row>
    <row r="10" spans="1:35" ht="16.5" customHeight="1">
      <c r="A10" s="70" t="s">
        <v>71</v>
      </c>
      <c r="B10" s="70" t="s">
        <v>71</v>
      </c>
      <c r="C10" s="66" t="s">
        <v>67</v>
      </c>
      <c r="D10" s="71" t="s">
        <v>68</v>
      </c>
      <c r="E10" s="72" t="s">
        <v>69</v>
      </c>
      <c r="F10" s="73" t="s">
        <v>70</v>
      </c>
      <c r="G10" s="69">
        <v>1</v>
      </c>
      <c r="H10" s="72">
        <v>2</v>
      </c>
      <c r="I10" s="72">
        <v>3</v>
      </c>
      <c r="J10" s="72">
        <v>3</v>
      </c>
      <c r="K10" s="72">
        <v>3</v>
      </c>
      <c r="L10" s="72">
        <v>3</v>
      </c>
      <c r="M10" s="72">
        <v>2</v>
      </c>
      <c r="N10" s="72">
        <v>2</v>
      </c>
      <c r="O10" s="72">
        <v>3</v>
      </c>
      <c r="P10" s="72">
        <v>3</v>
      </c>
      <c r="Q10" s="72">
        <v>3</v>
      </c>
      <c r="R10" s="72">
        <v>3</v>
      </c>
      <c r="S10" s="72">
        <v>3</v>
      </c>
      <c r="T10" s="72">
        <v>1</v>
      </c>
      <c r="U10" s="72">
        <v>1</v>
      </c>
      <c r="V10" s="72">
        <v>2</v>
      </c>
      <c r="W10" s="72">
        <v>2</v>
      </c>
      <c r="X10" s="72">
        <v>1</v>
      </c>
      <c r="Y10" s="72">
        <v>1</v>
      </c>
      <c r="Z10" s="72">
        <v>3</v>
      </c>
      <c r="AA10" s="72">
        <v>3</v>
      </c>
      <c r="AB10" s="72" t="s">
        <v>72</v>
      </c>
      <c r="AC10" s="72">
        <v>3</v>
      </c>
      <c r="AD10" s="72">
        <v>1</v>
      </c>
      <c r="AE10" s="11"/>
      <c r="AF10" s="11"/>
      <c r="AG10" s="11"/>
      <c r="AH10" s="11"/>
      <c r="AI10" s="11"/>
    </row>
    <row r="11" spans="1:35" ht="16.5" customHeight="1">
      <c r="A11" s="65" t="s">
        <v>73</v>
      </c>
      <c r="B11" s="65" t="s">
        <v>73</v>
      </c>
      <c r="C11" s="66" t="s">
        <v>67</v>
      </c>
      <c r="D11" s="71" t="s">
        <v>68</v>
      </c>
      <c r="E11" s="74" t="s">
        <v>69</v>
      </c>
      <c r="F11" s="74" t="s">
        <v>70</v>
      </c>
      <c r="G11" s="69">
        <v>1</v>
      </c>
      <c r="H11" s="74">
        <v>2</v>
      </c>
      <c r="I11" s="74">
        <v>3</v>
      </c>
      <c r="J11" s="74">
        <v>3</v>
      </c>
      <c r="K11" s="74">
        <v>3</v>
      </c>
      <c r="L11" s="74"/>
      <c r="M11" s="74">
        <v>2</v>
      </c>
      <c r="N11" s="74">
        <v>3</v>
      </c>
      <c r="O11" s="74">
        <v>3</v>
      </c>
      <c r="P11" s="74">
        <v>3</v>
      </c>
      <c r="Q11" s="74">
        <v>3</v>
      </c>
      <c r="R11" s="74">
        <v>3</v>
      </c>
      <c r="S11" s="74">
        <v>3</v>
      </c>
      <c r="T11" s="74">
        <v>1</v>
      </c>
      <c r="U11" s="74">
        <v>1</v>
      </c>
      <c r="V11" s="74">
        <v>1</v>
      </c>
      <c r="W11" s="74">
        <v>2</v>
      </c>
      <c r="X11" s="74">
        <v>2</v>
      </c>
      <c r="Y11" s="74">
        <v>1</v>
      </c>
      <c r="Z11" s="74">
        <v>3</v>
      </c>
      <c r="AA11" s="74">
        <v>3</v>
      </c>
      <c r="AB11" s="74">
        <v>3</v>
      </c>
      <c r="AC11" s="74">
        <v>3</v>
      </c>
      <c r="AD11" s="74">
        <v>1</v>
      </c>
      <c r="AE11" s="11"/>
      <c r="AF11" s="11"/>
      <c r="AG11" s="11"/>
      <c r="AH11" s="11"/>
      <c r="AI11" s="11"/>
    </row>
    <row r="12" spans="1:35" ht="16.5" customHeight="1">
      <c r="A12" s="65" t="s">
        <v>74</v>
      </c>
      <c r="B12" s="65" t="s">
        <v>74</v>
      </c>
      <c r="C12" s="66" t="s">
        <v>67</v>
      </c>
      <c r="D12" s="71" t="s">
        <v>68</v>
      </c>
      <c r="E12" s="74" t="s">
        <v>69</v>
      </c>
      <c r="F12" s="74" t="s">
        <v>70</v>
      </c>
      <c r="G12" s="69">
        <v>1</v>
      </c>
      <c r="H12" s="74">
        <v>2</v>
      </c>
      <c r="I12" s="74">
        <v>3</v>
      </c>
      <c r="J12" s="74">
        <v>3</v>
      </c>
      <c r="K12" s="74">
        <v>3</v>
      </c>
      <c r="L12" s="74">
        <v>3</v>
      </c>
      <c r="M12" s="74">
        <v>2</v>
      </c>
      <c r="N12" s="74">
        <v>2</v>
      </c>
      <c r="O12" s="74">
        <v>3</v>
      </c>
      <c r="P12" s="74">
        <v>3</v>
      </c>
      <c r="Q12" s="74">
        <v>3</v>
      </c>
      <c r="R12" s="74">
        <v>3</v>
      </c>
      <c r="S12" s="74">
        <v>3</v>
      </c>
      <c r="T12" s="74">
        <v>1</v>
      </c>
      <c r="U12" s="74">
        <v>1</v>
      </c>
      <c r="V12" s="74">
        <v>2</v>
      </c>
      <c r="W12" s="74">
        <v>2</v>
      </c>
      <c r="X12" s="74">
        <v>2</v>
      </c>
      <c r="Y12" s="74">
        <v>1</v>
      </c>
      <c r="Z12" s="74">
        <v>3</v>
      </c>
      <c r="AA12" s="74">
        <v>3</v>
      </c>
      <c r="AB12" s="74">
        <v>3</v>
      </c>
      <c r="AC12" s="74">
        <v>3</v>
      </c>
      <c r="AD12" s="74">
        <v>1</v>
      </c>
      <c r="AE12" s="11"/>
      <c r="AF12" s="11"/>
      <c r="AG12" s="11"/>
      <c r="AH12" s="11"/>
      <c r="AI12" s="11"/>
    </row>
    <row r="13" spans="1:35" ht="16.5" customHeight="1">
      <c r="A13" s="65" t="s">
        <v>75</v>
      </c>
      <c r="B13" s="65" t="s">
        <v>75</v>
      </c>
      <c r="C13" s="66" t="s">
        <v>67</v>
      </c>
      <c r="D13" s="71" t="s">
        <v>68</v>
      </c>
      <c r="E13" s="74" t="s">
        <v>69</v>
      </c>
      <c r="F13" s="74" t="s">
        <v>70</v>
      </c>
      <c r="G13" s="69">
        <v>1</v>
      </c>
      <c r="H13" s="74">
        <v>2</v>
      </c>
      <c r="I13" s="74">
        <v>3</v>
      </c>
      <c r="J13" s="74">
        <v>3</v>
      </c>
      <c r="K13" s="74">
        <v>3</v>
      </c>
      <c r="L13" s="74">
        <v>3</v>
      </c>
      <c r="M13" s="74">
        <v>2</v>
      </c>
      <c r="N13" s="74">
        <v>2</v>
      </c>
      <c r="O13" s="74">
        <v>3</v>
      </c>
      <c r="P13" s="74">
        <v>3</v>
      </c>
      <c r="Q13" s="74">
        <v>3</v>
      </c>
      <c r="R13" s="74">
        <v>3</v>
      </c>
      <c r="S13" s="74">
        <v>3</v>
      </c>
      <c r="T13" s="74">
        <v>1</v>
      </c>
      <c r="U13" s="74">
        <v>1</v>
      </c>
      <c r="V13" s="74">
        <v>1</v>
      </c>
      <c r="W13" s="74">
        <v>2</v>
      </c>
      <c r="X13" s="74">
        <v>2</v>
      </c>
      <c r="Y13" s="74">
        <v>1</v>
      </c>
      <c r="Z13" s="74">
        <v>3</v>
      </c>
      <c r="AA13" s="74">
        <v>3</v>
      </c>
      <c r="AB13" s="74">
        <v>3</v>
      </c>
      <c r="AC13" s="74">
        <v>3</v>
      </c>
      <c r="AD13" s="74">
        <v>1</v>
      </c>
      <c r="AE13" s="11"/>
      <c r="AF13" s="11"/>
      <c r="AG13" s="11"/>
      <c r="AH13" s="11"/>
      <c r="AI13" s="11"/>
    </row>
    <row r="14" spans="1:35" ht="16.5" customHeight="1">
      <c r="A14" s="65" t="s">
        <v>76</v>
      </c>
      <c r="B14" s="65" t="s">
        <v>76</v>
      </c>
      <c r="C14" s="66" t="s">
        <v>67</v>
      </c>
      <c r="D14" s="71" t="s">
        <v>68</v>
      </c>
      <c r="E14" s="74" t="s">
        <v>69</v>
      </c>
      <c r="F14" s="74" t="s">
        <v>70</v>
      </c>
      <c r="G14" s="69">
        <v>1</v>
      </c>
      <c r="H14" s="74">
        <v>2</v>
      </c>
      <c r="I14" s="74">
        <v>3</v>
      </c>
      <c r="J14" s="74">
        <v>3</v>
      </c>
      <c r="K14" s="74">
        <v>3</v>
      </c>
      <c r="L14" s="74">
        <v>3</v>
      </c>
      <c r="M14" s="74">
        <v>2</v>
      </c>
      <c r="N14" s="74">
        <v>2</v>
      </c>
      <c r="O14" s="74">
        <v>3</v>
      </c>
      <c r="P14" s="74">
        <v>3</v>
      </c>
      <c r="Q14" s="74">
        <v>3</v>
      </c>
      <c r="R14" s="74">
        <v>3</v>
      </c>
      <c r="S14" s="74">
        <v>3</v>
      </c>
      <c r="T14" s="74">
        <v>1</v>
      </c>
      <c r="U14" s="74">
        <v>1</v>
      </c>
      <c r="V14" s="74">
        <v>1</v>
      </c>
      <c r="W14" s="74">
        <v>1</v>
      </c>
      <c r="X14" s="74">
        <v>2</v>
      </c>
      <c r="Y14" s="74">
        <v>1</v>
      </c>
      <c r="Z14" s="74">
        <v>3</v>
      </c>
      <c r="AA14" s="74">
        <v>3</v>
      </c>
      <c r="AB14" s="74">
        <v>3</v>
      </c>
      <c r="AC14" s="74">
        <v>3</v>
      </c>
      <c r="AD14" s="74">
        <v>1</v>
      </c>
      <c r="AE14" s="11"/>
      <c r="AF14" s="11"/>
      <c r="AG14" s="11"/>
      <c r="AH14" s="11"/>
      <c r="AI14" s="11"/>
    </row>
    <row r="15" spans="1:35" ht="16.5" customHeight="1">
      <c r="A15" s="65" t="s">
        <v>77</v>
      </c>
      <c r="B15" s="65" t="s">
        <v>77</v>
      </c>
      <c r="C15" s="75" t="s">
        <v>67</v>
      </c>
      <c r="D15" s="67" t="s">
        <v>68</v>
      </c>
      <c r="E15" s="74" t="s">
        <v>69</v>
      </c>
      <c r="F15" s="76" t="s">
        <v>70</v>
      </c>
      <c r="G15" s="69">
        <v>1</v>
      </c>
      <c r="H15" s="76">
        <v>2</v>
      </c>
      <c r="I15" s="76">
        <v>3</v>
      </c>
      <c r="J15" s="76">
        <v>3</v>
      </c>
      <c r="K15" s="76">
        <v>3</v>
      </c>
      <c r="L15" s="76">
        <v>3</v>
      </c>
      <c r="M15" s="76">
        <v>2</v>
      </c>
      <c r="N15" s="76">
        <v>3</v>
      </c>
      <c r="O15" s="76">
        <v>3</v>
      </c>
      <c r="P15" s="76">
        <v>3</v>
      </c>
      <c r="Q15" s="76">
        <v>3</v>
      </c>
      <c r="R15" s="76">
        <v>3</v>
      </c>
      <c r="S15" s="76">
        <v>3</v>
      </c>
      <c r="T15" s="76">
        <v>1</v>
      </c>
      <c r="U15" s="76">
        <v>1</v>
      </c>
      <c r="V15" s="76">
        <v>2</v>
      </c>
      <c r="W15" s="76">
        <v>1</v>
      </c>
      <c r="X15" s="76">
        <v>2</v>
      </c>
      <c r="Y15" s="76">
        <v>1</v>
      </c>
      <c r="Z15" s="76">
        <v>3</v>
      </c>
      <c r="AA15" s="76">
        <v>3</v>
      </c>
      <c r="AB15" s="76">
        <v>3</v>
      </c>
      <c r="AC15" s="76">
        <v>3</v>
      </c>
      <c r="AD15" s="76">
        <v>1</v>
      </c>
      <c r="AE15" s="11"/>
      <c r="AF15" s="11"/>
      <c r="AG15" s="11"/>
      <c r="AH15" s="11"/>
      <c r="AI15" s="11"/>
    </row>
    <row r="16" spans="1:35" ht="16.5" customHeight="1">
      <c r="A16" s="65" t="s">
        <v>78</v>
      </c>
      <c r="B16" s="65" t="s">
        <v>78</v>
      </c>
      <c r="C16" s="77" t="s">
        <v>79</v>
      </c>
      <c r="D16" s="78"/>
      <c r="E16" s="79" t="s">
        <v>80</v>
      </c>
      <c r="F16" s="79" t="s">
        <v>81</v>
      </c>
      <c r="G16" s="69">
        <v>1</v>
      </c>
      <c r="H16" s="79">
        <v>2</v>
      </c>
      <c r="I16" s="79">
        <v>3</v>
      </c>
      <c r="J16" s="79">
        <v>3</v>
      </c>
      <c r="K16" s="79">
        <v>3</v>
      </c>
      <c r="L16" s="79">
        <v>3</v>
      </c>
      <c r="M16" s="79">
        <v>3</v>
      </c>
      <c r="N16" s="79">
        <v>2</v>
      </c>
      <c r="O16" s="79">
        <v>3</v>
      </c>
      <c r="P16" s="79">
        <v>3</v>
      </c>
      <c r="Q16" s="79">
        <v>3</v>
      </c>
      <c r="R16" s="79">
        <v>3</v>
      </c>
      <c r="S16" s="79">
        <v>3</v>
      </c>
      <c r="T16" s="79">
        <v>1</v>
      </c>
      <c r="U16" s="79">
        <v>1</v>
      </c>
      <c r="V16" s="79">
        <v>1</v>
      </c>
      <c r="W16" s="79">
        <v>2</v>
      </c>
      <c r="X16" s="79">
        <v>2</v>
      </c>
      <c r="Y16" s="79">
        <v>1</v>
      </c>
      <c r="Z16" s="79">
        <v>2</v>
      </c>
      <c r="AA16" s="79">
        <v>3</v>
      </c>
      <c r="AB16" s="79">
        <v>3</v>
      </c>
      <c r="AC16" s="79">
        <v>3</v>
      </c>
      <c r="AD16" s="79">
        <v>1</v>
      </c>
      <c r="AE16" s="69"/>
      <c r="AF16" s="11"/>
      <c r="AG16" s="69"/>
      <c r="AH16" s="11"/>
      <c r="AI16" s="69"/>
    </row>
    <row r="17" spans="1:35" ht="16.5" customHeight="1">
      <c r="A17" s="65" t="s">
        <v>82</v>
      </c>
      <c r="B17" s="65" t="s">
        <v>82</v>
      </c>
      <c r="C17" s="80" t="s">
        <v>67</v>
      </c>
      <c r="D17" s="81" t="s">
        <v>68</v>
      </c>
      <c r="E17" s="74" t="s">
        <v>69</v>
      </c>
      <c r="F17" s="69" t="s">
        <v>70</v>
      </c>
      <c r="G17" s="69">
        <v>1</v>
      </c>
      <c r="H17" s="74">
        <v>2</v>
      </c>
      <c r="I17" s="74">
        <v>3</v>
      </c>
      <c r="J17" s="74">
        <v>3</v>
      </c>
      <c r="K17" s="74">
        <v>3</v>
      </c>
      <c r="L17" s="74">
        <v>3</v>
      </c>
      <c r="M17" s="74">
        <v>2</v>
      </c>
      <c r="N17" s="74">
        <v>3</v>
      </c>
      <c r="O17" s="74">
        <v>3</v>
      </c>
      <c r="P17" s="74">
        <v>3</v>
      </c>
      <c r="Q17" s="74">
        <v>3</v>
      </c>
      <c r="R17" s="74">
        <v>3</v>
      </c>
      <c r="S17" s="74">
        <v>3</v>
      </c>
      <c r="T17" s="74">
        <v>1</v>
      </c>
      <c r="U17" s="74">
        <v>1</v>
      </c>
      <c r="V17" s="74">
        <v>1</v>
      </c>
      <c r="W17" s="74">
        <v>2</v>
      </c>
      <c r="X17" s="74">
        <v>3</v>
      </c>
      <c r="Y17" s="74">
        <v>1</v>
      </c>
      <c r="Z17" s="74">
        <v>2</v>
      </c>
      <c r="AA17" s="74">
        <v>3</v>
      </c>
      <c r="AB17" s="74">
        <v>3</v>
      </c>
      <c r="AC17" s="74">
        <v>3</v>
      </c>
      <c r="AD17" s="74">
        <v>1</v>
      </c>
      <c r="AE17" s="11"/>
      <c r="AF17" s="11"/>
      <c r="AG17" s="11"/>
      <c r="AH17" s="11"/>
      <c r="AI17" s="11"/>
    </row>
    <row r="18" spans="1:35" ht="25.5">
      <c r="A18" s="76" t="s">
        <v>83</v>
      </c>
      <c r="B18" s="76" t="s">
        <v>83</v>
      </c>
      <c r="C18" s="82" t="s">
        <v>67</v>
      </c>
      <c r="D18" s="83" t="s">
        <v>68</v>
      </c>
      <c r="E18" s="74" t="s">
        <v>69</v>
      </c>
      <c r="F18" s="69" t="s">
        <v>70</v>
      </c>
      <c r="G18" s="69">
        <v>1</v>
      </c>
      <c r="H18" s="69">
        <v>2</v>
      </c>
      <c r="I18" s="69">
        <v>3</v>
      </c>
      <c r="J18" s="69">
        <v>3</v>
      </c>
      <c r="K18" s="69">
        <v>3</v>
      </c>
      <c r="L18" s="69"/>
      <c r="M18" s="69">
        <v>3</v>
      </c>
      <c r="N18" s="69">
        <v>2</v>
      </c>
      <c r="O18" s="69">
        <v>3</v>
      </c>
      <c r="P18" s="69">
        <v>3</v>
      </c>
      <c r="Q18" s="69">
        <v>3</v>
      </c>
      <c r="R18" s="69">
        <v>3</v>
      </c>
      <c r="S18" s="69">
        <v>3</v>
      </c>
      <c r="T18" s="69">
        <v>1</v>
      </c>
      <c r="U18" s="69">
        <v>1</v>
      </c>
      <c r="V18" s="69">
        <v>1</v>
      </c>
      <c r="W18" s="69">
        <v>3</v>
      </c>
      <c r="X18" s="69">
        <v>3</v>
      </c>
      <c r="Y18" s="69">
        <v>3</v>
      </c>
      <c r="Z18" s="69">
        <v>3</v>
      </c>
      <c r="AA18" s="69">
        <v>3</v>
      </c>
      <c r="AB18" s="69">
        <v>2</v>
      </c>
      <c r="AC18" s="69">
        <v>3</v>
      </c>
      <c r="AD18" s="69">
        <v>2</v>
      </c>
      <c r="AE18" s="69"/>
      <c r="AF18" s="11"/>
      <c r="AG18" s="69"/>
      <c r="AH18" s="69"/>
      <c r="AI18" s="69"/>
    </row>
    <row r="19" spans="1:35" ht="16.5" customHeight="1">
      <c r="A19" s="65" t="s">
        <v>84</v>
      </c>
      <c r="B19" s="65" t="s">
        <v>84</v>
      </c>
      <c r="C19" s="66" t="s">
        <v>67</v>
      </c>
      <c r="D19" s="71" t="s">
        <v>68</v>
      </c>
      <c r="E19" s="74" t="s">
        <v>69</v>
      </c>
      <c r="F19" s="65" t="s">
        <v>70</v>
      </c>
      <c r="G19" s="69">
        <v>1</v>
      </c>
      <c r="H19" s="74">
        <v>2</v>
      </c>
      <c r="I19" s="74">
        <v>3</v>
      </c>
      <c r="J19" s="74">
        <v>3</v>
      </c>
      <c r="K19" s="74">
        <v>3</v>
      </c>
      <c r="L19" s="74"/>
      <c r="M19" s="74">
        <v>2</v>
      </c>
      <c r="N19" s="74">
        <v>2</v>
      </c>
      <c r="O19" s="74">
        <v>3</v>
      </c>
      <c r="P19" s="74">
        <v>3</v>
      </c>
      <c r="Q19" s="74">
        <v>3</v>
      </c>
      <c r="R19" s="74">
        <v>3</v>
      </c>
      <c r="S19" s="74">
        <v>3</v>
      </c>
      <c r="T19" s="74">
        <v>1</v>
      </c>
      <c r="U19" s="74">
        <v>1</v>
      </c>
      <c r="V19" s="74">
        <v>1</v>
      </c>
      <c r="W19" s="74">
        <v>3</v>
      </c>
      <c r="X19" s="74">
        <v>2</v>
      </c>
      <c r="Y19" s="74">
        <v>1</v>
      </c>
      <c r="Z19" s="74">
        <v>3</v>
      </c>
      <c r="AA19" s="74">
        <v>3</v>
      </c>
      <c r="AB19" s="74" t="s">
        <v>72</v>
      </c>
      <c r="AC19" s="74">
        <v>3</v>
      </c>
      <c r="AD19" s="74">
        <v>1</v>
      </c>
      <c r="AE19" s="11"/>
      <c r="AF19" s="11"/>
      <c r="AG19" s="11"/>
      <c r="AH19" s="11"/>
      <c r="AI19" s="11"/>
    </row>
    <row r="20" spans="1:35" ht="14">
      <c r="A20" s="84"/>
      <c r="B20" s="84"/>
      <c r="C20" s="85"/>
      <c r="D20" s="85"/>
      <c r="E20" s="86"/>
      <c r="F20" s="87"/>
      <c r="G20" s="87"/>
      <c r="H20" s="87"/>
      <c r="I20" s="87"/>
      <c r="J20" s="87"/>
      <c r="K20" s="87"/>
      <c r="L20" s="87"/>
      <c r="M20" s="87"/>
      <c r="N20" s="87"/>
      <c r="O20" s="87"/>
      <c r="P20" s="87"/>
      <c r="Q20" s="88"/>
      <c r="R20" s="88"/>
      <c r="S20" s="88"/>
      <c r="T20" s="89"/>
      <c r="U20" s="89"/>
      <c r="V20" s="89"/>
      <c r="W20" s="89"/>
      <c r="X20" s="89"/>
      <c r="Y20" s="89"/>
      <c r="Z20" s="89"/>
      <c r="AA20" s="89"/>
      <c r="AB20" s="90"/>
      <c r="AC20" s="87"/>
      <c r="AD20" s="87"/>
      <c r="AE20" s="91"/>
      <c r="AF20" s="91"/>
      <c r="AG20" s="91"/>
      <c r="AH20" s="91"/>
      <c r="AI20" s="91"/>
    </row>
    <row r="21" spans="1:35" ht="14">
      <c r="A21" s="65" t="s">
        <v>66</v>
      </c>
      <c r="B21" s="65" t="s">
        <v>66</v>
      </c>
      <c r="C21" s="92" t="s">
        <v>79</v>
      </c>
      <c r="D21" s="93" t="s">
        <v>85</v>
      </c>
      <c r="E21" s="94" t="s">
        <v>80</v>
      </c>
      <c r="F21" s="65" t="s">
        <v>81</v>
      </c>
      <c r="G21" s="74">
        <v>1</v>
      </c>
      <c r="H21" s="74">
        <v>1</v>
      </c>
      <c r="I21" s="74">
        <v>1</v>
      </c>
      <c r="J21" s="74">
        <v>3</v>
      </c>
      <c r="K21" s="74">
        <v>1</v>
      </c>
      <c r="L21" s="74">
        <v>2</v>
      </c>
      <c r="M21" s="74">
        <v>3</v>
      </c>
      <c r="N21" s="74">
        <v>1</v>
      </c>
      <c r="O21" s="74">
        <v>1</v>
      </c>
      <c r="P21" s="65">
        <v>3</v>
      </c>
      <c r="Q21" s="65">
        <v>3</v>
      </c>
      <c r="R21" s="65">
        <v>3</v>
      </c>
      <c r="S21" s="74">
        <v>1</v>
      </c>
      <c r="T21" s="74">
        <v>1</v>
      </c>
      <c r="U21" s="74">
        <v>1</v>
      </c>
      <c r="V21" s="74">
        <v>1</v>
      </c>
      <c r="W21" s="74">
        <v>2</v>
      </c>
      <c r="X21" s="74">
        <v>1</v>
      </c>
      <c r="Y21" s="74">
        <v>1</v>
      </c>
      <c r="Z21" s="74">
        <v>1</v>
      </c>
      <c r="AA21" s="74">
        <v>3</v>
      </c>
      <c r="AB21" s="74">
        <v>1</v>
      </c>
      <c r="AC21" s="74">
        <v>3</v>
      </c>
      <c r="AD21" s="74">
        <v>1</v>
      </c>
      <c r="AE21" s="95"/>
      <c r="AF21" s="95"/>
      <c r="AG21" s="95"/>
      <c r="AH21" s="95"/>
      <c r="AI21" s="95"/>
    </row>
    <row r="22" spans="1:35" ht="14">
      <c r="A22" s="70" t="s">
        <v>71</v>
      </c>
      <c r="B22" s="70" t="s">
        <v>71</v>
      </c>
      <c r="C22" s="92" t="s">
        <v>79</v>
      </c>
      <c r="D22" s="93" t="s">
        <v>85</v>
      </c>
      <c r="E22" s="94" t="s">
        <v>80</v>
      </c>
      <c r="F22" s="65" t="s">
        <v>81</v>
      </c>
      <c r="G22" s="74">
        <v>1</v>
      </c>
      <c r="H22" s="74">
        <v>1</v>
      </c>
      <c r="I22" s="74">
        <v>1</v>
      </c>
      <c r="J22" s="74">
        <v>3</v>
      </c>
      <c r="K22" s="74">
        <v>1</v>
      </c>
      <c r="L22" s="74">
        <v>3</v>
      </c>
      <c r="M22" s="74">
        <v>3</v>
      </c>
      <c r="N22" s="65">
        <v>1</v>
      </c>
      <c r="O22" s="65">
        <v>1</v>
      </c>
      <c r="P22" s="74">
        <v>3</v>
      </c>
      <c r="Q22" s="74">
        <v>2</v>
      </c>
      <c r="R22" s="74">
        <v>3</v>
      </c>
      <c r="S22" s="74">
        <v>3</v>
      </c>
      <c r="T22" s="74">
        <v>1</v>
      </c>
      <c r="U22" s="74">
        <v>1</v>
      </c>
      <c r="V22" s="74">
        <v>1</v>
      </c>
      <c r="W22" s="74">
        <v>1</v>
      </c>
      <c r="X22" s="74">
        <v>1</v>
      </c>
      <c r="Y22" s="74">
        <v>1</v>
      </c>
      <c r="Z22" s="74">
        <v>1</v>
      </c>
      <c r="AA22" s="74">
        <v>3</v>
      </c>
      <c r="AB22" s="74">
        <v>1</v>
      </c>
      <c r="AC22" s="74">
        <v>3</v>
      </c>
      <c r="AD22" s="74">
        <v>1</v>
      </c>
    </row>
    <row r="23" spans="1:35" ht="14">
      <c r="A23" s="65" t="s">
        <v>73</v>
      </c>
      <c r="B23" s="65" t="s">
        <v>73</v>
      </c>
      <c r="C23" s="92" t="s">
        <v>79</v>
      </c>
      <c r="D23" s="93" t="s">
        <v>85</v>
      </c>
      <c r="E23" s="94" t="s">
        <v>80</v>
      </c>
      <c r="F23" s="65" t="s">
        <v>81</v>
      </c>
      <c r="G23" s="74">
        <v>1</v>
      </c>
      <c r="H23" s="74">
        <v>1</v>
      </c>
      <c r="I23" s="74">
        <v>1</v>
      </c>
      <c r="J23" s="65">
        <v>3</v>
      </c>
      <c r="K23" s="74">
        <v>1</v>
      </c>
      <c r="L23" s="74">
        <v>2</v>
      </c>
      <c r="M23" s="65">
        <v>3</v>
      </c>
      <c r="N23" s="74">
        <v>1</v>
      </c>
      <c r="O23" s="74">
        <v>1</v>
      </c>
      <c r="P23" s="74">
        <v>3</v>
      </c>
      <c r="Q23" s="74">
        <v>2</v>
      </c>
      <c r="R23" s="74">
        <v>3</v>
      </c>
      <c r="S23" s="74">
        <v>3</v>
      </c>
      <c r="T23" s="74">
        <v>1</v>
      </c>
      <c r="U23" s="74">
        <v>1</v>
      </c>
      <c r="V23" s="74">
        <v>1</v>
      </c>
      <c r="W23" s="74">
        <v>2</v>
      </c>
      <c r="X23" s="74">
        <v>1</v>
      </c>
      <c r="Y23" s="74">
        <v>1</v>
      </c>
      <c r="Z23" s="74">
        <v>1</v>
      </c>
      <c r="AA23" s="74">
        <v>3</v>
      </c>
      <c r="AB23" s="74">
        <v>1</v>
      </c>
      <c r="AC23" s="74">
        <v>3</v>
      </c>
      <c r="AD23" s="74">
        <v>1</v>
      </c>
      <c r="AE23" s="48"/>
      <c r="AF23" s="48"/>
      <c r="AG23" s="48"/>
      <c r="AH23" s="48"/>
      <c r="AI23" s="48"/>
    </row>
    <row r="24" spans="1:35" ht="14">
      <c r="A24" s="65" t="s">
        <v>74</v>
      </c>
      <c r="B24" s="65" t="s">
        <v>74</v>
      </c>
      <c r="C24" s="92" t="s">
        <v>79</v>
      </c>
      <c r="D24" s="96" t="s">
        <v>85</v>
      </c>
      <c r="E24" s="97" t="s">
        <v>80</v>
      </c>
      <c r="F24" s="76" t="s">
        <v>81</v>
      </c>
      <c r="G24" s="79">
        <v>1</v>
      </c>
      <c r="H24" s="79">
        <v>1</v>
      </c>
      <c r="I24" s="79">
        <v>1</v>
      </c>
      <c r="J24" s="79">
        <v>1</v>
      </c>
      <c r="K24" s="79">
        <v>1</v>
      </c>
      <c r="L24" s="79">
        <v>2</v>
      </c>
      <c r="M24" s="79">
        <v>3</v>
      </c>
      <c r="N24" s="79">
        <v>2</v>
      </c>
      <c r="O24" s="79">
        <v>1</v>
      </c>
      <c r="P24" s="79">
        <v>2</v>
      </c>
      <c r="Q24" s="79">
        <v>1</v>
      </c>
      <c r="R24" s="79">
        <v>2</v>
      </c>
      <c r="S24" s="79">
        <v>1</v>
      </c>
      <c r="T24" s="79">
        <v>1</v>
      </c>
      <c r="U24" s="79">
        <v>1</v>
      </c>
      <c r="V24" s="79">
        <v>1</v>
      </c>
      <c r="W24" s="79">
        <v>1</v>
      </c>
      <c r="X24" s="79">
        <v>1</v>
      </c>
      <c r="Y24" s="79">
        <v>2</v>
      </c>
      <c r="Z24" s="79">
        <v>1</v>
      </c>
      <c r="AA24" s="79">
        <v>1</v>
      </c>
      <c r="AB24" s="79">
        <v>1</v>
      </c>
      <c r="AC24" s="79">
        <v>1</v>
      </c>
      <c r="AD24" s="79">
        <v>1</v>
      </c>
      <c r="AE24" s="69"/>
      <c r="AF24" s="69"/>
      <c r="AG24" s="69"/>
      <c r="AH24" s="69"/>
      <c r="AI24" s="69"/>
    </row>
    <row r="25" spans="1:35" ht="14">
      <c r="A25" s="65" t="s">
        <v>75</v>
      </c>
      <c r="B25" s="65" t="s">
        <v>75</v>
      </c>
      <c r="C25" s="92" t="s">
        <v>79</v>
      </c>
      <c r="D25" s="93" t="s">
        <v>85</v>
      </c>
      <c r="E25" s="98" t="s">
        <v>80</v>
      </c>
      <c r="F25" s="65" t="s">
        <v>81</v>
      </c>
      <c r="G25" s="74">
        <v>1</v>
      </c>
      <c r="H25" s="74">
        <v>1</v>
      </c>
      <c r="I25" s="74">
        <v>1</v>
      </c>
      <c r="J25" s="74">
        <v>3</v>
      </c>
      <c r="K25" s="74">
        <v>1</v>
      </c>
      <c r="L25" s="74">
        <v>2</v>
      </c>
      <c r="M25" s="74">
        <v>3</v>
      </c>
      <c r="N25" s="74">
        <v>1</v>
      </c>
      <c r="O25" s="74">
        <v>1</v>
      </c>
      <c r="P25" s="74">
        <v>3</v>
      </c>
      <c r="Q25" s="74">
        <v>3</v>
      </c>
      <c r="R25" s="74">
        <v>3</v>
      </c>
      <c r="S25" s="74">
        <v>1</v>
      </c>
      <c r="T25" s="74">
        <v>1</v>
      </c>
      <c r="U25" s="74">
        <v>1</v>
      </c>
      <c r="V25" s="74">
        <v>1</v>
      </c>
      <c r="W25" s="74">
        <v>2</v>
      </c>
      <c r="X25" s="74">
        <v>1</v>
      </c>
      <c r="Y25" s="74">
        <v>1</v>
      </c>
      <c r="Z25" s="74">
        <v>1</v>
      </c>
      <c r="AA25" s="74">
        <v>3</v>
      </c>
      <c r="AB25" s="74">
        <v>1</v>
      </c>
      <c r="AC25" s="74">
        <v>3</v>
      </c>
      <c r="AD25" s="74">
        <v>1</v>
      </c>
      <c r="AE25" s="4"/>
      <c r="AF25" s="4"/>
      <c r="AG25" s="4"/>
      <c r="AH25" s="4"/>
      <c r="AI25" s="4"/>
    </row>
    <row r="26" spans="1:35" ht="14">
      <c r="A26" s="65" t="s">
        <v>76</v>
      </c>
      <c r="B26" s="76" t="s">
        <v>76</v>
      </c>
      <c r="C26" s="99" t="s">
        <v>79</v>
      </c>
      <c r="D26" s="96" t="s">
        <v>85</v>
      </c>
      <c r="E26" s="100" t="s">
        <v>80</v>
      </c>
      <c r="F26" s="79" t="s">
        <v>81</v>
      </c>
      <c r="G26" s="69">
        <v>1</v>
      </c>
      <c r="H26" s="79">
        <v>1</v>
      </c>
      <c r="I26" s="79">
        <v>1</v>
      </c>
      <c r="J26" s="79">
        <v>3</v>
      </c>
      <c r="K26" s="79">
        <v>1</v>
      </c>
      <c r="L26" s="79">
        <v>2</v>
      </c>
      <c r="M26" s="79">
        <v>3</v>
      </c>
      <c r="N26" s="79">
        <v>1</v>
      </c>
      <c r="O26" s="79">
        <v>1</v>
      </c>
      <c r="P26" s="79">
        <v>3</v>
      </c>
      <c r="Q26" s="79">
        <v>2</v>
      </c>
      <c r="R26" s="79">
        <v>3</v>
      </c>
      <c r="S26" s="79">
        <v>1</v>
      </c>
      <c r="T26" s="79">
        <v>1</v>
      </c>
      <c r="U26" s="79">
        <v>1</v>
      </c>
      <c r="V26" s="79">
        <v>1</v>
      </c>
      <c r="W26" s="79">
        <v>1</v>
      </c>
      <c r="X26" s="79">
        <v>1</v>
      </c>
      <c r="Y26" s="79">
        <v>1</v>
      </c>
      <c r="Z26" s="79">
        <v>1</v>
      </c>
      <c r="AA26" s="79">
        <v>3</v>
      </c>
      <c r="AB26" s="79">
        <v>1</v>
      </c>
      <c r="AC26" s="79">
        <v>3</v>
      </c>
      <c r="AD26" s="79">
        <v>1</v>
      </c>
      <c r="AE26" s="69"/>
      <c r="AF26" s="69"/>
      <c r="AG26" s="69"/>
      <c r="AH26" s="69"/>
      <c r="AI26" s="69"/>
    </row>
    <row r="27" spans="1:35" ht="14">
      <c r="A27" s="65" t="s">
        <v>77</v>
      </c>
      <c r="B27" s="65" t="s">
        <v>77</v>
      </c>
      <c r="C27" s="92" t="s">
        <v>79</v>
      </c>
      <c r="D27" s="93" t="s">
        <v>85</v>
      </c>
      <c r="E27" s="98" t="s">
        <v>80</v>
      </c>
      <c r="F27" s="76" t="s">
        <v>86</v>
      </c>
      <c r="G27" s="69">
        <v>1</v>
      </c>
      <c r="H27" s="76">
        <v>1</v>
      </c>
      <c r="I27" s="76">
        <v>1</v>
      </c>
      <c r="J27" s="76">
        <v>3</v>
      </c>
      <c r="K27" s="76">
        <v>1</v>
      </c>
      <c r="L27" s="76">
        <v>2</v>
      </c>
      <c r="M27" s="76">
        <v>2</v>
      </c>
      <c r="N27" s="76">
        <v>1</v>
      </c>
      <c r="O27" s="76">
        <v>1</v>
      </c>
      <c r="P27" s="76">
        <v>3</v>
      </c>
      <c r="Q27" s="76">
        <v>2</v>
      </c>
      <c r="R27" s="76">
        <v>2</v>
      </c>
      <c r="S27" s="76">
        <v>1</v>
      </c>
      <c r="T27" s="76">
        <v>1</v>
      </c>
      <c r="U27" s="76">
        <v>1</v>
      </c>
      <c r="V27" s="76">
        <v>1</v>
      </c>
      <c r="W27" s="76">
        <v>1</v>
      </c>
      <c r="X27" s="76">
        <v>1</v>
      </c>
      <c r="Y27" s="76">
        <v>1</v>
      </c>
      <c r="Z27" s="76">
        <v>1</v>
      </c>
      <c r="AA27" s="76">
        <v>1</v>
      </c>
      <c r="AB27" s="76">
        <v>1</v>
      </c>
      <c r="AC27" s="76">
        <v>1</v>
      </c>
      <c r="AD27" s="76">
        <v>1</v>
      </c>
      <c r="AE27" s="4"/>
      <c r="AF27" s="4"/>
      <c r="AG27" s="4"/>
      <c r="AH27" s="4"/>
      <c r="AI27" s="4"/>
    </row>
    <row r="28" spans="1:35" ht="14">
      <c r="A28" s="65" t="s">
        <v>78</v>
      </c>
      <c r="B28" s="65" t="s">
        <v>78</v>
      </c>
      <c r="C28" s="92" t="s">
        <v>79</v>
      </c>
      <c r="D28" s="93" t="s">
        <v>85</v>
      </c>
      <c r="E28" s="100" t="s">
        <v>80</v>
      </c>
      <c r="F28" s="79" t="s">
        <v>81</v>
      </c>
      <c r="G28" s="69">
        <v>1</v>
      </c>
      <c r="H28" s="79">
        <v>1</v>
      </c>
      <c r="I28" s="79">
        <v>1</v>
      </c>
      <c r="J28" s="79">
        <v>3</v>
      </c>
      <c r="K28" s="79">
        <v>1</v>
      </c>
      <c r="L28" s="79">
        <v>2</v>
      </c>
      <c r="M28" s="79">
        <v>3</v>
      </c>
      <c r="N28" s="79">
        <v>1</v>
      </c>
      <c r="O28" s="79">
        <v>1</v>
      </c>
      <c r="P28" s="79">
        <v>2</v>
      </c>
      <c r="Q28" s="79">
        <v>2</v>
      </c>
      <c r="R28" s="79">
        <v>3</v>
      </c>
      <c r="S28" s="79">
        <v>1</v>
      </c>
      <c r="T28" s="79">
        <v>1</v>
      </c>
      <c r="U28" s="79">
        <v>1</v>
      </c>
      <c r="V28" s="79">
        <v>1</v>
      </c>
      <c r="W28" s="79">
        <v>2</v>
      </c>
      <c r="X28" s="79">
        <v>1</v>
      </c>
      <c r="Y28" s="79">
        <v>1</v>
      </c>
      <c r="Z28" s="79">
        <v>1</v>
      </c>
      <c r="AA28" s="79">
        <v>3</v>
      </c>
      <c r="AB28" s="79">
        <v>1</v>
      </c>
      <c r="AC28" s="79">
        <v>3</v>
      </c>
      <c r="AD28" s="79">
        <v>1</v>
      </c>
      <c r="AE28" s="4"/>
      <c r="AF28" s="4"/>
      <c r="AG28" s="4"/>
      <c r="AH28" s="4"/>
      <c r="AI28" s="4"/>
    </row>
    <row r="29" spans="1:35" ht="14">
      <c r="A29" s="65" t="s">
        <v>87</v>
      </c>
      <c r="B29" s="65" t="s">
        <v>87</v>
      </c>
      <c r="C29" s="92" t="s">
        <v>79</v>
      </c>
      <c r="D29" s="93" t="s">
        <v>85</v>
      </c>
      <c r="E29" s="98" t="s">
        <v>80</v>
      </c>
      <c r="F29" s="65" t="s">
        <v>81</v>
      </c>
      <c r="G29" s="74">
        <v>1</v>
      </c>
      <c r="H29" s="74">
        <v>1</v>
      </c>
      <c r="I29" s="74">
        <v>1</v>
      </c>
      <c r="J29" s="74">
        <v>1</v>
      </c>
      <c r="K29" s="74">
        <v>1</v>
      </c>
      <c r="L29" s="74">
        <v>2</v>
      </c>
      <c r="M29" s="74">
        <v>3</v>
      </c>
      <c r="N29" s="74">
        <v>1</v>
      </c>
      <c r="O29" s="74">
        <v>1</v>
      </c>
      <c r="P29" s="74">
        <v>3</v>
      </c>
      <c r="Q29" s="74">
        <v>1</v>
      </c>
      <c r="R29" s="74">
        <v>3</v>
      </c>
      <c r="S29" s="74">
        <v>1</v>
      </c>
      <c r="T29" s="74">
        <v>1</v>
      </c>
      <c r="U29" s="74">
        <v>1</v>
      </c>
      <c r="V29" s="74">
        <v>1</v>
      </c>
      <c r="W29" s="74">
        <v>1</v>
      </c>
      <c r="X29" s="74">
        <v>1</v>
      </c>
      <c r="Y29" s="74">
        <v>1</v>
      </c>
      <c r="Z29" s="74">
        <v>1</v>
      </c>
      <c r="AA29" s="74">
        <v>3</v>
      </c>
      <c r="AB29" s="74">
        <v>1</v>
      </c>
      <c r="AC29" s="74">
        <v>3</v>
      </c>
      <c r="AD29" s="74">
        <v>1</v>
      </c>
      <c r="AE29" s="4"/>
      <c r="AF29" s="4"/>
      <c r="AG29" s="4"/>
      <c r="AH29" s="4"/>
      <c r="AI29" s="4"/>
    </row>
    <row r="30" spans="1:35" ht="12.5">
      <c r="A30" s="4"/>
      <c r="B30" s="4"/>
      <c r="C30" s="101"/>
      <c r="D30" s="101"/>
      <c r="E30" s="11"/>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row>
    <row r="31" spans="1:35" ht="12.5">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row>
    <row r="32" spans="1:35" ht="12.5">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row>
    <row r="33" spans="1:35" ht="12.5">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row>
    <row r="34" spans="1:35" ht="12.5">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row>
    <row r="35" spans="1:35" ht="12.5">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row>
    <row r="36" spans="1:35" ht="12.5">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row>
    <row r="37" spans="1:35" ht="12.5">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row>
    <row r="38" spans="1:35" ht="12.5">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row>
    <row r="39" spans="1:35" ht="12.5">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row>
    <row r="40" spans="1:35" ht="12.5">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row>
    <row r="41" spans="1:35" ht="12.5">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row>
    <row r="42" spans="1:35" ht="12.5">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row>
    <row r="43" spans="1:35" ht="12.5">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row>
    <row r="44" spans="1:35" ht="12.5">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row>
    <row r="45" spans="1:35" ht="12.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row>
    <row r="46" spans="1:35" ht="12.5">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row>
    <row r="47" spans="1:35" ht="12.5">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row>
    <row r="48" spans="1:35" ht="12.5">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row>
    <row r="49" spans="1:35" ht="12.5">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row>
    <row r="50" spans="1:35" ht="12.5">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row>
    <row r="51" spans="1:35" ht="12.5">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row>
    <row r="52" spans="1:35" ht="12.5">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row>
    <row r="53" spans="1:35" ht="12.5">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row>
    <row r="54" spans="1:35" ht="12.5">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row>
    <row r="55" spans="1:35" ht="12.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row>
    <row r="56" spans="1:35" ht="12.5">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row>
    <row r="57" spans="1:35" ht="12.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row>
    <row r="58" spans="1:35" ht="12.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row>
    <row r="59" spans="1:35" ht="12.5">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row>
    <row r="60" spans="1:35" ht="12.5">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row>
    <row r="61" spans="1:35" ht="12.5">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row>
    <row r="62" spans="1:35" ht="12.5">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row>
    <row r="63" spans="1:35" ht="12.5">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row>
    <row r="64" spans="1:35" ht="12.5">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row>
    <row r="65" spans="1:35" ht="12.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row>
    <row r="66" spans="1:35" ht="12.5">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row>
    <row r="67" spans="1:35" ht="12.5">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row>
    <row r="68" spans="1:35" ht="12.5">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row>
    <row r="69" spans="1:35" ht="12.5">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row>
    <row r="70" spans="1:35" ht="12.5">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row>
    <row r="71" spans="1:35" ht="12.5">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row>
    <row r="72" spans="1:35" ht="12.5">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row>
    <row r="73" spans="1:35" ht="12.5">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row>
    <row r="74" spans="1:35" ht="12.5">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row>
    <row r="75" spans="1:35" ht="12.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row>
    <row r="76" spans="1:35" ht="12.5">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row>
    <row r="77" spans="1:35" ht="12.5">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row>
    <row r="78" spans="1:35" ht="12.5">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row>
    <row r="79" spans="1:35" ht="12.5">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row>
    <row r="80" spans="1:35" ht="12.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row>
    <row r="81" spans="1:35" ht="12.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row>
    <row r="82" spans="1:35" ht="12.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row>
    <row r="83" spans="1:35" ht="12.5">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row>
    <row r="84" spans="1:35" ht="12.5">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row>
    <row r="85" spans="1:35" ht="12.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row>
    <row r="86" spans="1:35" ht="12.5">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row>
    <row r="87" spans="1:35" ht="12.5">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row>
    <row r="88" spans="1:35" ht="12.5">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row>
    <row r="89" spans="1:35" ht="12.5">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row>
    <row r="90" spans="1:35" ht="12.5">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row>
    <row r="91" spans="1:35" ht="12.5">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row>
    <row r="92" spans="1:35" ht="12.5">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row>
    <row r="93" spans="1:35" ht="12.5">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row>
    <row r="94" spans="1:35" ht="12.5">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row>
    <row r="95" spans="1:35" ht="12.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row>
    <row r="96" spans="1:35" ht="12.5">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row>
    <row r="97" spans="1:35" ht="12.5">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row>
    <row r="98" spans="1:35" ht="12.5">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row>
    <row r="99" spans="1:35" ht="12.5">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row>
    <row r="100" spans="1:35" ht="12.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row>
    <row r="101" spans="1:35" ht="12.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row>
    <row r="102" spans="1:35" ht="1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row>
    <row r="103" spans="1:35" ht="1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row>
    <row r="104" spans="1:35" ht="1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row>
    <row r="105" spans="1:35" ht="1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row>
    <row r="106" spans="1:35" ht="1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row>
    <row r="107" spans="1:35" ht="1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row>
    <row r="108" spans="1:35" ht="1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row>
    <row r="109" spans="1:35" ht="1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row>
    <row r="110" spans="1:35" ht="1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row>
    <row r="111" spans="1:35" ht="1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row>
    <row r="112" spans="1:35" ht="1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row>
    <row r="113" spans="1:35" ht="1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row>
    <row r="114" spans="1:35" ht="1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row>
    <row r="115" spans="1:35" ht="1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row>
    <row r="116" spans="1:35" ht="1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row>
    <row r="117" spans="1:35" ht="1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row>
    <row r="118" spans="1:35" ht="1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row>
    <row r="119" spans="1:35" ht="1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row>
    <row r="120" spans="1:35" ht="1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row>
    <row r="121" spans="1:35" ht="1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row>
    <row r="122" spans="1:35" ht="1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row>
    <row r="123" spans="1:35" ht="1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row>
    <row r="124" spans="1:35" ht="1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row>
    <row r="125" spans="1:35" ht="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row>
    <row r="126" spans="1:35" ht="1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row>
    <row r="127" spans="1:35" ht="1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row>
    <row r="128" spans="1:35" ht="1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row>
    <row r="129" spans="1:35" ht="1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row>
    <row r="130" spans="1:35" ht="1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row>
    <row r="131" spans="1:35" ht="1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row>
    <row r="132" spans="1:35" ht="1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row>
    <row r="133" spans="1:35" ht="1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row>
    <row r="134" spans="1:35" ht="1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row>
    <row r="135" spans="1:35" ht="1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row>
    <row r="136" spans="1:35" ht="1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row>
    <row r="137" spans="1:35" ht="1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row>
    <row r="138" spans="1:35" ht="1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row>
    <row r="139" spans="1:35" ht="1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row>
    <row r="140" spans="1:35" ht="1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row>
    <row r="141" spans="1:35" ht="1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row>
    <row r="142" spans="1:35" ht="1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row>
    <row r="143" spans="1:35" ht="1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row>
    <row r="144" spans="1:35" ht="1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row>
    <row r="145" spans="1:35" ht="1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row>
    <row r="146" spans="1:35" ht="1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row>
    <row r="147" spans="1:35" ht="1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row>
    <row r="148" spans="1:35" ht="1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row>
    <row r="149" spans="1:35" ht="1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row>
    <row r="150" spans="1:35" ht="1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row>
    <row r="151" spans="1:35" ht="1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row>
    <row r="152" spans="1:35" ht="1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row>
    <row r="153" spans="1:35" ht="1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row>
    <row r="154" spans="1:35" ht="1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row>
    <row r="155" spans="1:35" ht="1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row>
    <row r="156" spans="1:35" ht="1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row>
    <row r="157" spans="1:35" ht="1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row>
    <row r="158" spans="1:35" ht="1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row>
    <row r="159" spans="1:35" ht="1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row>
    <row r="160" spans="1:35" ht="1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row>
    <row r="161" spans="1:35" ht="1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row>
    <row r="162" spans="1:35" ht="1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row>
    <row r="163" spans="1:35" ht="1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row>
    <row r="164" spans="1:35" ht="1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row>
    <row r="165" spans="1:35" ht="1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row>
    <row r="166" spans="1:35" ht="1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row>
    <row r="167" spans="1:35" ht="1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row>
    <row r="168" spans="1:35" ht="1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row>
    <row r="169" spans="1:35" ht="1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row>
    <row r="170" spans="1:35" ht="1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row>
    <row r="171" spans="1:35" ht="1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row>
    <row r="172" spans="1:35" ht="1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row>
    <row r="173" spans="1:35" ht="1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row>
    <row r="174" spans="1:35" ht="1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row>
    <row r="175" spans="1:35" ht="1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row>
    <row r="176" spans="1:35" ht="1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row>
    <row r="177" spans="1:35" ht="1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row>
    <row r="178" spans="1:35" ht="1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row>
    <row r="179" spans="1:35" ht="1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row>
    <row r="180" spans="1:35" ht="1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row>
    <row r="181" spans="1:35" ht="1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row>
    <row r="182" spans="1:35" ht="1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row>
    <row r="183" spans="1:35" ht="1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row>
    <row r="184" spans="1:35" ht="1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row>
    <row r="185" spans="1:35" ht="1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row>
    <row r="186" spans="1:35" ht="1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row>
    <row r="187" spans="1:35" ht="1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row>
    <row r="188" spans="1:35" ht="1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row>
    <row r="189" spans="1:35" ht="1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row>
    <row r="190" spans="1:35" ht="1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row>
    <row r="191" spans="1:35" ht="1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row>
    <row r="192" spans="1:35" ht="1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row>
    <row r="193" spans="1:35" ht="1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row>
    <row r="194" spans="1:35" ht="1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row>
    <row r="195" spans="1:35" ht="1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row>
    <row r="196" spans="1:35" ht="1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row>
    <row r="197" spans="1:35" ht="1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row>
    <row r="198" spans="1:35" ht="1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row>
    <row r="199" spans="1:35" ht="1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row>
    <row r="200" spans="1:35" ht="1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row>
    <row r="201" spans="1:35" ht="1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row>
    <row r="202" spans="1:35" ht="1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row>
    <row r="203" spans="1:35" ht="1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row>
    <row r="204" spans="1:35" ht="1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row>
    <row r="205" spans="1:35" ht="1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row>
    <row r="206" spans="1:35" ht="1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row>
    <row r="207" spans="1:35" ht="1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row>
    <row r="208" spans="1:35" ht="1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row>
    <row r="209" spans="1:35" ht="1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row>
    <row r="210" spans="1:35" ht="1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row>
    <row r="211" spans="1:35" ht="1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row>
    <row r="212" spans="1:35" ht="1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row>
    <row r="213" spans="1:35" ht="1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row>
    <row r="214" spans="1:35" ht="1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row>
    <row r="215" spans="1:35" ht="1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row>
    <row r="216" spans="1:35" ht="1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row>
    <row r="217" spans="1:35" ht="1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row>
    <row r="218" spans="1:35" ht="1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row>
    <row r="219" spans="1:35" ht="1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row>
    <row r="220" spans="1:35" ht="1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row>
    <row r="221" spans="1:35" ht="1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row>
    <row r="222" spans="1:35" ht="1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row>
    <row r="223" spans="1:35" ht="1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row>
    <row r="224" spans="1:35" ht="1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row>
    <row r="225" spans="1:35" ht="1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row>
    <row r="226" spans="1:35" ht="1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row>
    <row r="227" spans="1:35" ht="1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row>
    <row r="228" spans="1:35" ht="1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row>
    <row r="229" spans="1:35" ht="1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row>
    <row r="230" spans="1:35" ht="1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row>
    <row r="231" spans="1:35" ht="1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row>
    <row r="232" spans="1:35" ht="1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row>
    <row r="233" spans="1:35" ht="1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row>
    <row r="234" spans="1:35" ht="1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row>
    <row r="235" spans="1:35" ht="1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row>
    <row r="236" spans="1:35" ht="1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row>
    <row r="237" spans="1:35" ht="1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row>
    <row r="238" spans="1:35" ht="1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row>
    <row r="239" spans="1:35" ht="1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row>
    <row r="240" spans="1:35" ht="1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row>
    <row r="241" spans="1:35" ht="1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row>
    <row r="242" spans="1:35" ht="1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row>
    <row r="243" spans="1:35" ht="1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row>
    <row r="244" spans="1:35" ht="1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row>
    <row r="245" spans="1:35" ht="1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row>
    <row r="246" spans="1:35" ht="1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row>
    <row r="247" spans="1:35" ht="1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row>
    <row r="248" spans="1:35" ht="1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row>
    <row r="249" spans="1:35" ht="1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row>
    <row r="250" spans="1:35" ht="1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row>
    <row r="251" spans="1:35" ht="1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row>
    <row r="252" spans="1:35" ht="1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row>
    <row r="253" spans="1:35" ht="1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row>
    <row r="254" spans="1:35" ht="1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row>
    <row r="255" spans="1:35" ht="1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row>
    <row r="256" spans="1:35" ht="1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row>
    <row r="257" spans="1:35" ht="1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row>
    <row r="258" spans="1:35" ht="1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row>
    <row r="259" spans="1:35" ht="1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row>
    <row r="260" spans="1:35" ht="1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row>
    <row r="261" spans="1:35" ht="1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row>
    <row r="262" spans="1:35" ht="1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row>
    <row r="263" spans="1:35" ht="1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row>
    <row r="264" spans="1:35" ht="1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row>
    <row r="265" spans="1:35" ht="1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row>
    <row r="266" spans="1:35" ht="1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row>
    <row r="267" spans="1:35" ht="1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row>
    <row r="268" spans="1:35" ht="1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row>
    <row r="269" spans="1:35" ht="1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row>
    <row r="270" spans="1:35" ht="1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row>
    <row r="271" spans="1:35" ht="1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row>
    <row r="272" spans="1:35" ht="1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row>
    <row r="273" spans="1:35" ht="1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row>
    <row r="274" spans="1:35" ht="1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row>
    <row r="275" spans="1:35" ht="1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row>
    <row r="276" spans="1:35" ht="1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row>
    <row r="277" spans="1:35" ht="1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row>
    <row r="278" spans="1:35" ht="1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row>
    <row r="279" spans="1:35" ht="1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row>
    <row r="280" spans="1:35" ht="1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row>
    <row r="281" spans="1:35" ht="1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row>
    <row r="282" spans="1:35" ht="1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row>
    <row r="283" spans="1:35" ht="1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row>
    <row r="284" spans="1:35" ht="1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row>
    <row r="285" spans="1:35" ht="1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row>
    <row r="286" spans="1:35" ht="1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row>
    <row r="287" spans="1:35" ht="1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row>
    <row r="288" spans="1:35" ht="1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row>
    <row r="289" spans="1:35" ht="1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row>
    <row r="290" spans="1:35" ht="1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row>
    <row r="291" spans="1:35" ht="1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row>
    <row r="292" spans="1:35" ht="1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row>
    <row r="293" spans="1:35" ht="1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row>
    <row r="294" spans="1:35" ht="1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row>
    <row r="295" spans="1:35" ht="1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row>
    <row r="296" spans="1:35" ht="1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row>
    <row r="297" spans="1:35" ht="1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row>
    <row r="298" spans="1:35" ht="1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row>
    <row r="299" spans="1:35" ht="1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row>
    <row r="300" spans="1:35" ht="1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row>
    <row r="301" spans="1:35" ht="1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row>
    <row r="302" spans="1:35" ht="1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row>
    <row r="303" spans="1:35" ht="1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row>
    <row r="304" spans="1:35" ht="1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row>
    <row r="305" spans="1:35" ht="1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row>
    <row r="306" spans="1:35" ht="1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row>
    <row r="307" spans="1:35" ht="1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row>
    <row r="308" spans="1:35" ht="1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row>
    <row r="309" spans="1:35" ht="1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row>
    <row r="310" spans="1:35" ht="1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row>
    <row r="311" spans="1:35" ht="1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row>
    <row r="312" spans="1:35" ht="1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row>
    <row r="313" spans="1:35" ht="1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row>
    <row r="314" spans="1:35" ht="1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row>
    <row r="315" spans="1:35" ht="1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row>
    <row r="316" spans="1:35" ht="1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row>
    <row r="317" spans="1:35" ht="1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row>
    <row r="318" spans="1:35" ht="1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row>
    <row r="319" spans="1:35" ht="1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row>
    <row r="320" spans="1:35" ht="1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row>
    <row r="321" spans="1:35" ht="1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row>
    <row r="322" spans="1:35" ht="1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row>
    <row r="323" spans="1:35" ht="1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row>
    <row r="324" spans="1:35" ht="1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row>
    <row r="325" spans="1:35" ht="1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row>
    <row r="326" spans="1:35" ht="1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row>
    <row r="327" spans="1:35" ht="1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row>
    <row r="328" spans="1:35" ht="1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row>
    <row r="329" spans="1:35" ht="1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row>
    <row r="330" spans="1:35" ht="1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row>
    <row r="331" spans="1:35" ht="1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row>
    <row r="332" spans="1:35" ht="1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row>
    <row r="333" spans="1:35" ht="1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row>
    <row r="334" spans="1:35" ht="1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row>
    <row r="335" spans="1:35" ht="1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row>
    <row r="336" spans="1:35" ht="1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row>
    <row r="337" spans="1:35" ht="1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row>
    <row r="338" spans="1:35" ht="1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row>
    <row r="339" spans="1:35" ht="1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row>
    <row r="340" spans="1:35" ht="1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row>
    <row r="341" spans="1:35" ht="1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row>
    <row r="342" spans="1:35" ht="1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row>
    <row r="343" spans="1:35" ht="1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row>
    <row r="344" spans="1:35" ht="1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row>
    <row r="345" spans="1:35" ht="1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row>
    <row r="346" spans="1:35" ht="1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row>
    <row r="347" spans="1:35" ht="1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row>
    <row r="348" spans="1:35" ht="1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row>
    <row r="349" spans="1:35" ht="1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row>
    <row r="350" spans="1:35" ht="1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row>
    <row r="351" spans="1:35" ht="1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row>
    <row r="352" spans="1:35" ht="1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row>
    <row r="353" spans="1:35" ht="1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row>
    <row r="354" spans="1:35" ht="1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row>
    <row r="355" spans="1:35" ht="1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row>
    <row r="356" spans="1:35" ht="1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row>
    <row r="357" spans="1:35" ht="1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row>
    <row r="358" spans="1:35" ht="1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row>
    <row r="359" spans="1:35" ht="1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row>
    <row r="360" spans="1:35" ht="1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row>
    <row r="361" spans="1:35" ht="1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row>
    <row r="362" spans="1:35" ht="1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row>
    <row r="363" spans="1:35" ht="1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row>
    <row r="364" spans="1:35" ht="1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row>
    <row r="365" spans="1:35" ht="1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row>
    <row r="366" spans="1:35" ht="1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row>
    <row r="367" spans="1:35" ht="1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row>
    <row r="368" spans="1:35" ht="1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row>
    <row r="369" spans="1:35" ht="1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row>
    <row r="370" spans="1:35" ht="1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row>
    <row r="371" spans="1:35" ht="1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row>
    <row r="372" spans="1:35" ht="1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row>
    <row r="373" spans="1:35" ht="1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row>
    <row r="374" spans="1:35" ht="1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row>
    <row r="375" spans="1:35" ht="1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row>
    <row r="376" spans="1:35" ht="1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row>
    <row r="377" spans="1:35" ht="1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row>
    <row r="378" spans="1:35" ht="1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row>
    <row r="379" spans="1:35" ht="1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row>
    <row r="380" spans="1:35" ht="1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row>
    <row r="381" spans="1:35" ht="1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row>
    <row r="382" spans="1:35" ht="1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row>
    <row r="383" spans="1:35" ht="1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row>
    <row r="384" spans="1:35" ht="1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row>
    <row r="385" spans="1:35" ht="1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row>
    <row r="386" spans="1:35" ht="1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row>
    <row r="387" spans="1:35" ht="1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row>
    <row r="388" spans="1:35" ht="1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row>
    <row r="389" spans="1:35" ht="1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row>
    <row r="390" spans="1:35" ht="1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row>
    <row r="391" spans="1:35" ht="1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row>
    <row r="392" spans="1:35" ht="1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row>
    <row r="393" spans="1:35" ht="1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row>
    <row r="394" spans="1:35" ht="1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row>
    <row r="395" spans="1:35" ht="1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row>
    <row r="396" spans="1:35" ht="1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row>
    <row r="397" spans="1:35" ht="1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row>
    <row r="398" spans="1:35" ht="1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row>
    <row r="399" spans="1:35" ht="1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row>
    <row r="400" spans="1:35" ht="1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row>
    <row r="401" spans="1:35" ht="1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row>
    <row r="402" spans="1:35" ht="1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row>
    <row r="403" spans="1:35" ht="1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row>
    <row r="404" spans="1:35" ht="1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row>
    <row r="405" spans="1:35" ht="1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row>
    <row r="406" spans="1:35" ht="1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row>
    <row r="407" spans="1:35" ht="1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row>
    <row r="408" spans="1:35" ht="1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row>
    <row r="409" spans="1:35" ht="1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row>
    <row r="410" spans="1:35" ht="1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row>
    <row r="411" spans="1:35" ht="1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row>
    <row r="412" spans="1:35" ht="1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row>
    <row r="413" spans="1:35" ht="1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row>
    <row r="414" spans="1:35" ht="1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row>
    <row r="415" spans="1:35" ht="1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row>
    <row r="416" spans="1:35" ht="1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row>
    <row r="417" spans="1:35" ht="1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row>
    <row r="418" spans="1:35" ht="1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row>
    <row r="419" spans="1:35" ht="1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row>
    <row r="420" spans="1:35" ht="1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row>
    <row r="421" spans="1:35" ht="1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row>
    <row r="422" spans="1:35" ht="1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row>
    <row r="423" spans="1:35" ht="1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row>
    <row r="424" spans="1:35" ht="1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row>
    <row r="425" spans="1:35" ht="1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row>
    <row r="426" spans="1:35" ht="1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row>
    <row r="427" spans="1:35" ht="1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row>
    <row r="428" spans="1:35" ht="1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row>
    <row r="429" spans="1:35" ht="1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row>
    <row r="430" spans="1:35" ht="1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row>
    <row r="431" spans="1:35" ht="1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row>
    <row r="432" spans="1:35" ht="1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row>
    <row r="433" spans="1:35" ht="1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row>
    <row r="434" spans="1:35" ht="1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row>
    <row r="435" spans="1:35" ht="1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row>
    <row r="436" spans="1:35" ht="1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row>
    <row r="437" spans="1:35" ht="1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row>
    <row r="438" spans="1:35" ht="1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row>
    <row r="439" spans="1:35" ht="1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row>
    <row r="440" spans="1:35" ht="1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row>
    <row r="441" spans="1:35" ht="1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row>
    <row r="442" spans="1:35" ht="1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row>
    <row r="443" spans="1:35" ht="1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row>
    <row r="444" spans="1:35" ht="1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row>
    <row r="445" spans="1:35" ht="1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row>
    <row r="446" spans="1:35" ht="1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row>
    <row r="447" spans="1:35" ht="1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row>
    <row r="448" spans="1:35" ht="1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row>
    <row r="449" spans="1:35" ht="1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row>
    <row r="450" spans="1:35" ht="1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row>
    <row r="451" spans="1:35" ht="1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row>
    <row r="452" spans="1:35" ht="1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row>
    <row r="453" spans="1:35" ht="1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row>
    <row r="454" spans="1:35" ht="1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row>
    <row r="455" spans="1:35" ht="1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row>
    <row r="456" spans="1:35" ht="1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row>
    <row r="457" spans="1:35" ht="1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row>
    <row r="458" spans="1:35" ht="1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row>
    <row r="459" spans="1:35" ht="1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row>
    <row r="460" spans="1:35" ht="1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row>
    <row r="461" spans="1:35" ht="1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row>
    <row r="462" spans="1:35" ht="1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row>
    <row r="463" spans="1:35" ht="1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row>
    <row r="464" spans="1:35" ht="1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row>
    <row r="465" spans="1:35" ht="1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row>
    <row r="466" spans="1:35" ht="1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row>
    <row r="467" spans="1:35" ht="1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row>
    <row r="468" spans="1:35" ht="1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row>
    <row r="469" spans="1:35" ht="1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row>
    <row r="470" spans="1:35" ht="1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row>
    <row r="471" spans="1:35" ht="1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row>
    <row r="472" spans="1:35" ht="1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row>
    <row r="473" spans="1:35" ht="1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row>
    <row r="474" spans="1:35" ht="1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row>
    <row r="475" spans="1:35" ht="1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row>
    <row r="476" spans="1:35" ht="1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row>
    <row r="477" spans="1:35" ht="1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row>
    <row r="478" spans="1:35" ht="1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row>
    <row r="479" spans="1:35" ht="1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row>
    <row r="480" spans="1:35" ht="1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row>
    <row r="481" spans="1:35" ht="1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row>
    <row r="482" spans="1:35" ht="1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row>
    <row r="483" spans="1:35" ht="1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row>
    <row r="484" spans="1:35" ht="1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row>
    <row r="485" spans="1:35" ht="1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row>
    <row r="486" spans="1:35" ht="1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row>
    <row r="487" spans="1:35" ht="1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row>
    <row r="488" spans="1:35" ht="1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row>
    <row r="489" spans="1:35" ht="1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row>
    <row r="490" spans="1:35" ht="1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row>
    <row r="491" spans="1:35" ht="1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row>
    <row r="492" spans="1:35" ht="1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row>
    <row r="493" spans="1:35" ht="1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row>
    <row r="494" spans="1:35" ht="1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row>
    <row r="495" spans="1:35" ht="1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row>
    <row r="496" spans="1:35" ht="1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row>
    <row r="497" spans="1:35" ht="1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row>
    <row r="498" spans="1:35" ht="1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row>
    <row r="499" spans="1:35" ht="1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row>
    <row r="500" spans="1:35" ht="1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row>
    <row r="501" spans="1:35" ht="1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row>
    <row r="502" spans="1:35" ht="1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row>
    <row r="503" spans="1:35" ht="1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row>
    <row r="504" spans="1:35" ht="1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row>
    <row r="505" spans="1:35" ht="1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row>
    <row r="506" spans="1:35" ht="1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row>
    <row r="507" spans="1:35" ht="1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row>
    <row r="508" spans="1:35" ht="1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row>
    <row r="509" spans="1:35" ht="1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row>
    <row r="510" spans="1:35" ht="1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row>
    <row r="511" spans="1:35" ht="1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row>
    <row r="512" spans="1:35" ht="1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row>
    <row r="513" spans="1:35" ht="1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row>
    <row r="514" spans="1:35" ht="1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row>
    <row r="515" spans="1:35" ht="1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row>
    <row r="516" spans="1:35" ht="1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row>
    <row r="517" spans="1:35" ht="1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row>
    <row r="518" spans="1:35" ht="1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row>
    <row r="519" spans="1:35" ht="1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row>
    <row r="520" spans="1:35" ht="1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row>
    <row r="521" spans="1:35" ht="1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row>
    <row r="522" spans="1:35" ht="1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row>
    <row r="523" spans="1:35" ht="1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row>
    <row r="524" spans="1:35" ht="1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row>
    <row r="525" spans="1:35" ht="1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row>
    <row r="526" spans="1:35" ht="1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row>
    <row r="527" spans="1:35" ht="1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row>
    <row r="528" spans="1:35" ht="1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row>
    <row r="529" spans="1:35" ht="1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row>
    <row r="530" spans="1:35" ht="1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row>
    <row r="531" spans="1:35" ht="1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row>
    <row r="532" spans="1:35" ht="1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row>
    <row r="533" spans="1:35" ht="1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row>
    <row r="534" spans="1:35" ht="1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row>
    <row r="535" spans="1:35" ht="1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row>
    <row r="536" spans="1:35" ht="1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row>
    <row r="537" spans="1:35" ht="1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row>
    <row r="538" spans="1:35" ht="1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row>
    <row r="539" spans="1:35" ht="1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row>
    <row r="540" spans="1:35" ht="1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row>
    <row r="541" spans="1:35" ht="1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row>
    <row r="542" spans="1:35" ht="1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row>
    <row r="543" spans="1:35" ht="1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row>
    <row r="544" spans="1:35" ht="1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row>
    <row r="545" spans="1:35" ht="1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row>
    <row r="546" spans="1:35" ht="1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row>
    <row r="547" spans="1:35" ht="1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row>
    <row r="548" spans="1:35" ht="1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row>
    <row r="549" spans="1:35" ht="1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row>
    <row r="550" spans="1:35" ht="1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row>
    <row r="551" spans="1:35" ht="1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row>
    <row r="552" spans="1:35" ht="1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row>
    <row r="553" spans="1:35" ht="1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row>
    <row r="554" spans="1:35" ht="1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row>
    <row r="555" spans="1:35" ht="1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row>
    <row r="556" spans="1:35" ht="1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row>
    <row r="557" spans="1:35" ht="1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row>
    <row r="558" spans="1:35" ht="1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row>
    <row r="559" spans="1:35" ht="1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row>
    <row r="560" spans="1:35" ht="1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row>
    <row r="561" spans="1:35" ht="1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row>
    <row r="562" spans="1:35" ht="1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row>
    <row r="563" spans="1:35" ht="1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row>
    <row r="564" spans="1:35" ht="1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row>
    <row r="565" spans="1:35" ht="1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row>
    <row r="566" spans="1:35" ht="1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row>
    <row r="567" spans="1:35" ht="1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row>
    <row r="568" spans="1:35" ht="1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row>
    <row r="569" spans="1:35" ht="1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row>
    <row r="570" spans="1:35" ht="1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row>
    <row r="571" spans="1:35" ht="1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row>
    <row r="572" spans="1:35" ht="1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row>
    <row r="573" spans="1:35" ht="1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row>
    <row r="574" spans="1:35" ht="1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row>
    <row r="575" spans="1:35" ht="1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row>
    <row r="576" spans="1:35" ht="1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row>
    <row r="577" spans="1:35" ht="1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row>
    <row r="578" spans="1:35" ht="1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row>
    <row r="579" spans="1:35" ht="1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row>
    <row r="580" spans="1:35" ht="1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row>
    <row r="581" spans="1:35" ht="1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row>
    <row r="582" spans="1:35" ht="1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row>
    <row r="583" spans="1:35" ht="1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row>
    <row r="584" spans="1:35" ht="1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row>
    <row r="585" spans="1:35" ht="1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row>
    <row r="586" spans="1:35" ht="1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row>
    <row r="587" spans="1:35" ht="1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row>
    <row r="588" spans="1:35" ht="1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row>
    <row r="589" spans="1:35" ht="1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row>
    <row r="590" spans="1:35" ht="1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row>
    <row r="591" spans="1:35" ht="1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row>
    <row r="592" spans="1:35" ht="1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row>
    <row r="593" spans="1:35" ht="1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row>
    <row r="594" spans="1:35" ht="1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row>
    <row r="595" spans="1:35" ht="1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row>
    <row r="596" spans="1:35" ht="1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row>
    <row r="597" spans="1:35" ht="1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row>
    <row r="598" spans="1:35" ht="1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row>
    <row r="599" spans="1:35" ht="1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row>
    <row r="600" spans="1:35" ht="1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row>
    <row r="601" spans="1:35" ht="1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row>
    <row r="602" spans="1:35" ht="1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row>
    <row r="603" spans="1:35" ht="1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row>
    <row r="604" spans="1:35" ht="1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row>
    <row r="605" spans="1:35" ht="1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row>
    <row r="606" spans="1:35" ht="1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row>
    <row r="607" spans="1:35" ht="1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row>
    <row r="608" spans="1:35" ht="1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row>
    <row r="609" spans="1:35" ht="1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row>
    <row r="610" spans="1:35" ht="1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row>
    <row r="611" spans="1:35" ht="1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row>
    <row r="612" spans="1:35" ht="1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row>
    <row r="613" spans="1:35" ht="1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row>
    <row r="614" spans="1:35" ht="1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row>
    <row r="615" spans="1:35" ht="1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row>
    <row r="616" spans="1:35" ht="1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row>
    <row r="617" spans="1:35" ht="1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row>
    <row r="618" spans="1:35" ht="1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row>
    <row r="619" spans="1:35" ht="1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row>
    <row r="620" spans="1:35" ht="1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row>
    <row r="621" spans="1:35" ht="1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row>
    <row r="622" spans="1:35" ht="1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row>
    <row r="623" spans="1:35" ht="1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row>
    <row r="624" spans="1:35" ht="1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row>
    <row r="625" spans="1:35" ht="1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row>
    <row r="626" spans="1:35" ht="1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row>
    <row r="627" spans="1:35" ht="1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row>
    <row r="628" spans="1:35" ht="1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row>
    <row r="629" spans="1:35" ht="1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row>
    <row r="630" spans="1:35" ht="1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row>
    <row r="631" spans="1:35" ht="1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row>
    <row r="632" spans="1:35" ht="1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row>
    <row r="633" spans="1:35" ht="1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row>
    <row r="634" spans="1:35" ht="1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row>
    <row r="635" spans="1:35" ht="1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row>
    <row r="636" spans="1:35" ht="1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row>
    <row r="637" spans="1:35" ht="1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row>
    <row r="638" spans="1:35" ht="1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row>
    <row r="639" spans="1:35" ht="1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row>
    <row r="640" spans="1:35" ht="1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row>
    <row r="641" spans="1:35" ht="1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row>
    <row r="642" spans="1:35" ht="1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row>
    <row r="643" spans="1:35" ht="1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row>
    <row r="644" spans="1:35" ht="1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row>
    <row r="645" spans="1:35" ht="1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row>
    <row r="646" spans="1:35" ht="1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row>
    <row r="647" spans="1:35" ht="1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row>
    <row r="648" spans="1:35" ht="1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row>
    <row r="649" spans="1:35" ht="1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row>
    <row r="650" spans="1:35" ht="1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row>
    <row r="651" spans="1:35" ht="1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row>
    <row r="652" spans="1:35" ht="1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row>
    <row r="653" spans="1:35" ht="1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row>
    <row r="654" spans="1:35" ht="1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row>
    <row r="655" spans="1:35" ht="1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row>
    <row r="656" spans="1:35" ht="1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row>
    <row r="657" spans="1:35" ht="1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row>
    <row r="658" spans="1:35" ht="1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row>
    <row r="659" spans="1:35" ht="1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row>
    <row r="660" spans="1:35" ht="1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row>
    <row r="661" spans="1:35" ht="1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row>
    <row r="662" spans="1:35" ht="1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row>
    <row r="663" spans="1:35" ht="1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row>
    <row r="664" spans="1:35" ht="1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row>
    <row r="665" spans="1:35" ht="1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row>
    <row r="666" spans="1:35" ht="1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row>
    <row r="667" spans="1:35" ht="1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row>
    <row r="668" spans="1:35" ht="1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row>
    <row r="669" spans="1:35" ht="1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row>
    <row r="670" spans="1:35" ht="1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row>
    <row r="671" spans="1:35" ht="1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row>
    <row r="672" spans="1:35" ht="1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row>
    <row r="673" spans="1:35" ht="1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row>
    <row r="674" spans="1:35" ht="1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row>
    <row r="675" spans="1:35" ht="1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row>
    <row r="676" spans="1:35" ht="1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row>
    <row r="677" spans="1:35" ht="1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row>
    <row r="678" spans="1:35" ht="1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row>
    <row r="679" spans="1:35" ht="1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row>
    <row r="680" spans="1:35" ht="1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row>
    <row r="681" spans="1:35" ht="1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row>
    <row r="682" spans="1:35" ht="1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row>
    <row r="683" spans="1:35" ht="1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row>
    <row r="684" spans="1:35" ht="1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row>
    <row r="685" spans="1:35" ht="1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row>
    <row r="686" spans="1:35" ht="1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row>
    <row r="687" spans="1:35" ht="1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row>
    <row r="688" spans="1:35" ht="1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row>
    <row r="689" spans="1:35" ht="1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row>
    <row r="690" spans="1:35" ht="1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row>
    <row r="691" spans="1:35" ht="1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row>
    <row r="692" spans="1:35" ht="1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row>
    <row r="693" spans="1:35" ht="1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row>
    <row r="694" spans="1:35" ht="1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row>
    <row r="695" spans="1:35" ht="1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row>
    <row r="696" spans="1:35" ht="1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row>
    <row r="697" spans="1:35" ht="1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row>
    <row r="698" spans="1:35" ht="1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row>
    <row r="699" spans="1:35" ht="1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row>
    <row r="700" spans="1:35" ht="1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row>
    <row r="701" spans="1:35" ht="1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row>
    <row r="702" spans="1:35" ht="1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row>
    <row r="703" spans="1:35" ht="1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row>
    <row r="704" spans="1:35" ht="1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row>
    <row r="705" spans="1:35" ht="1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row>
    <row r="706" spans="1:35" ht="1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row>
    <row r="707" spans="1:35" ht="1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row>
    <row r="708" spans="1:35" ht="1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row>
    <row r="709" spans="1:35" ht="1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row>
    <row r="710" spans="1:35" ht="1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row>
    <row r="711" spans="1:35" ht="1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row>
    <row r="712" spans="1:35" ht="1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row>
    <row r="713" spans="1:35" ht="1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row>
    <row r="714" spans="1:35" ht="1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row>
    <row r="715" spans="1:35" ht="1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row>
    <row r="716" spans="1:35" ht="1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row>
    <row r="717" spans="1:35" ht="1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row>
    <row r="718" spans="1:35" ht="1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row>
    <row r="719" spans="1:35" ht="1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row>
    <row r="720" spans="1:35" ht="1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row>
    <row r="721" spans="1:35" ht="1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row>
    <row r="722" spans="1:35" ht="1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row>
    <row r="723" spans="1:35" ht="1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row>
    <row r="724" spans="1:35" ht="1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row>
    <row r="725" spans="1:35" ht="1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row>
    <row r="726" spans="1:35" ht="1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row>
    <row r="727" spans="1:35" ht="1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row>
    <row r="728" spans="1:35" ht="1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row>
    <row r="729" spans="1:35" ht="1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row>
    <row r="730" spans="1:35" ht="1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row>
    <row r="731" spans="1:35" ht="1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row>
    <row r="732" spans="1:35" ht="1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row>
    <row r="733" spans="1:35" ht="1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row>
    <row r="734" spans="1:35" ht="1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row>
    <row r="735" spans="1:35" ht="1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row>
    <row r="736" spans="1:35" ht="1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row>
    <row r="737" spans="1:35" ht="1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row>
    <row r="738" spans="1:35" ht="1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row>
    <row r="739" spans="1:35" ht="1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row>
    <row r="740" spans="1:35" ht="1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row>
    <row r="741" spans="1:35" ht="1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row>
    <row r="742" spans="1:35" ht="1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row>
    <row r="743" spans="1:35" ht="1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row>
    <row r="744" spans="1:35" ht="1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row>
    <row r="745" spans="1:35" ht="1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row>
    <row r="746" spans="1:35" ht="1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row>
    <row r="747" spans="1:35" ht="1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row>
    <row r="748" spans="1:35" ht="1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row>
    <row r="749" spans="1:35" ht="1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row>
    <row r="750" spans="1:35" ht="1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row>
    <row r="751" spans="1:35" ht="1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row>
    <row r="752" spans="1:35" ht="1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row>
    <row r="753" spans="1:35" ht="1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row>
    <row r="754" spans="1:35" ht="1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row>
    <row r="755" spans="1:35" ht="1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row>
    <row r="756" spans="1:35" ht="1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row>
    <row r="757" spans="1:35" ht="1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row>
    <row r="758" spans="1:35" ht="1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row>
    <row r="759" spans="1:35" ht="1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row>
    <row r="760" spans="1:35" ht="1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row>
    <row r="761" spans="1:35" ht="1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row>
    <row r="762" spans="1:35" ht="1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row>
    <row r="763" spans="1:35" ht="1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row>
    <row r="764" spans="1:35" ht="1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row>
    <row r="765" spans="1:35" ht="1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row>
    <row r="766" spans="1:35" ht="1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row>
    <row r="767" spans="1:35" ht="1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row>
    <row r="768" spans="1:35" ht="1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row>
    <row r="769" spans="1:35" ht="1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row>
    <row r="770" spans="1:35" ht="1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row>
    <row r="771" spans="1:35" ht="1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row>
    <row r="772" spans="1:35" ht="1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row>
    <row r="773" spans="1:35" ht="1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row>
    <row r="774" spans="1:35" ht="1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row>
    <row r="775" spans="1:35" ht="1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row>
    <row r="776" spans="1:35" ht="1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row>
    <row r="777" spans="1:35" ht="1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row>
    <row r="778" spans="1:35" ht="1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row>
    <row r="779" spans="1:35" ht="1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row>
    <row r="780" spans="1:35" ht="1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row>
    <row r="781" spans="1:35" ht="1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row>
    <row r="782" spans="1:35" ht="1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row>
    <row r="783" spans="1:35" ht="1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row>
    <row r="784" spans="1:35" ht="1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row>
    <row r="785" spans="1:35" ht="1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row>
    <row r="786" spans="1:35" ht="1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row>
    <row r="787" spans="1:35" ht="1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row>
    <row r="788" spans="1:35" ht="1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row>
    <row r="789" spans="1:35" ht="1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row>
    <row r="790" spans="1:35" ht="1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row>
    <row r="791" spans="1:35" ht="1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row>
    <row r="792" spans="1:35" ht="1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row>
    <row r="793" spans="1:35" ht="1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row>
    <row r="794" spans="1:35" ht="1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row>
    <row r="795" spans="1:35" ht="1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row>
    <row r="796" spans="1:35" ht="1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row>
    <row r="797" spans="1:35" ht="1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row>
    <row r="798" spans="1:35" ht="1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row>
    <row r="799" spans="1:35" ht="1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row>
    <row r="800" spans="1:35" ht="1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row>
    <row r="801" spans="1:35" ht="1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row>
    <row r="802" spans="1:35" ht="1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row>
    <row r="803" spans="1:35" ht="1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row>
    <row r="804" spans="1:35" ht="1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row>
    <row r="805" spans="1:35" ht="1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row>
    <row r="806" spans="1:35" ht="1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row>
    <row r="807" spans="1:35" ht="1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row>
    <row r="808" spans="1:35" ht="1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row>
    <row r="809" spans="1:35" ht="1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row>
    <row r="810" spans="1:35" ht="1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row>
    <row r="811" spans="1:35" ht="1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row>
    <row r="812" spans="1:35" ht="1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row>
    <row r="813" spans="1:35" ht="1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row>
    <row r="814" spans="1:35" ht="1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row>
    <row r="815" spans="1:35" ht="1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row>
    <row r="816" spans="1:35" ht="1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row>
    <row r="817" spans="1:35" ht="1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row>
    <row r="818" spans="1:35" ht="1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row>
    <row r="819" spans="1:35" ht="1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row>
    <row r="820" spans="1:35" ht="1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row>
    <row r="821" spans="1:35" ht="1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row>
    <row r="822" spans="1:35" ht="1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row>
    <row r="823" spans="1:35" ht="1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row>
    <row r="824" spans="1:35" ht="1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row>
    <row r="825" spans="1:35" ht="1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row>
    <row r="826" spans="1:35" ht="1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row>
    <row r="827" spans="1:35" ht="1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row>
    <row r="828" spans="1:35" ht="1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row>
    <row r="829" spans="1:35" ht="1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row>
    <row r="830" spans="1:35" ht="1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row>
    <row r="831" spans="1:35" ht="1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row>
    <row r="832" spans="1:35" ht="1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row>
    <row r="833" spans="1:35" ht="1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row>
    <row r="834" spans="1:35" ht="1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row>
    <row r="835" spans="1:35" ht="1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row>
    <row r="836" spans="1:35" ht="1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row>
    <row r="837" spans="1:35" ht="1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row>
    <row r="838" spans="1:35" ht="1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row>
    <row r="839" spans="1:35" ht="1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row>
    <row r="840" spans="1:35" ht="1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row>
    <row r="841" spans="1:35" ht="1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row>
    <row r="842" spans="1:35" ht="1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row>
    <row r="843" spans="1:35" ht="1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row>
    <row r="844" spans="1:35" ht="1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row>
    <row r="845" spans="1:35" ht="1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row>
    <row r="846" spans="1:35" ht="1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row>
    <row r="847" spans="1:35" ht="1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row>
    <row r="848" spans="1:35" ht="1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row>
    <row r="849" spans="1:35" ht="1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row>
    <row r="850" spans="1:35" ht="1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row>
    <row r="851" spans="1:35" ht="1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row>
    <row r="852" spans="1:35" ht="1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row>
    <row r="853" spans="1:35" ht="1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row>
    <row r="854" spans="1:35" ht="1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row>
    <row r="855" spans="1:35" ht="1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row>
    <row r="856" spans="1:35" ht="1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row>
    <row r="857" spans="1:35" ht="1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row>
    <row r="858" spans="1:35" ht="1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row>
    <row r="859" spans="1:35" ht="1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row>
    <row r="860" spans="1:35" ht="1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row>
    <row r="861" spans="1:35" ht="1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row>
    <row r="862" spans="1:35" ht="1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row>
    <row r="863" spans="1:35" ht="1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row>
    <row r="864" spans="1:35" ht="1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row>
    <row r="865" spans="1:35" ht="1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row>
    <row r="866" spans="1:35" ht="1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row>
    <row r="867" spans="1:35" ht="1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row>
    <row r="868" spans="1:35" ht="1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row>
    <row r="869" spans="1:35" ht="1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row>
    <row r="870" spans="1:35" ht="1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row>
    <row r="871" spans="1:35" ht="1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row>
    <row r="872" spans="1:35" ht="1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row>
    <row r="873" spans="1:35" ht="1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row>
    <row r="874" spans="1:35" ht="1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row>
    <row r="875" spans="1:35" ht="1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row>
    <row r="876" spans="1:35" ht="1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row>
    <row r="877" spans="1:35" ht="1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row>
    <row r="878" spans="1:35" ht="1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row>
    <row r="879" spans="1:35" ht="1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row>
    <row r="880" spans="1:35" ht="1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row>
    <row r="881" spans="1:35" ht="1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row>
    <row r="882" spans="1:35" ht="1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row>
    <row r="883" spans="1:35" ht="1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row>
    <row r="884" spans="1:35" ht="1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row>
    <row r="885" spans="1:35" ht="1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row>
    <row r="886" spans="1:35" ht="1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row>
    <row r="887" spans="1:35" ht="1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row>
    <row r="888" spans="1:35" ht="1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row>
    <row r="889" spans="1:35" ht="1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row>
    <row r="890" spans="1:35" ht="1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row>
    <row r="891" spans="1:35" ht="1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row>
    <row r="892" spans="1:35" ht="1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row>
    <row r="893" spans="1:35" ht="1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row>
    <row r="894" spans="1:35" ht="1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row>
    <row r="895" spans="1:35" ht="1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row>
    <row r="896" spans="1:35" ht="1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row>
    <row r="897" spans="1:35" ht="1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row>
    <row r="898" spans="1:35" ht="1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row>
    <row r="899" spans="1:35" ht="1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row>
    <row r="900" spans="1:35" ht="1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row>
    <row r="901" spans="1:35" ht="1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row>
    <row r="902" spans="1:35" ht="1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row>
    <row r="903" spans="1:35" ht="1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row>
    <row r="904" spans="1:35" ht="1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row>
    <row r="905" spans="1:35" ht="1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row>
    <row r="906" spans="1:35" ht="1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row>
    <row r="907" spans="1:35" ht="1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row>
    <row r="908" spans="1:35" ht="1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row>
    <row r="909" spans="1:35" ht="1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row>
    <row r="910" spans="1:35" ht="1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row>
    <row r="911" spans="1:35" ht="1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row>
    <row r="912" spans="1:35" ht="1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row>
    <row r="913" spans="1:35" ht="1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row>
    <row r="914" spans="1:35" ht="1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row>
    <row r="915" spans="1:35" ht="1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row>
    <row r="916" spans="1:35" ht="1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row>
    <row r="917" spans="1:35" ht="1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row>
    <row r="918" spans="1:35" ht="1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row>
    <row r="919" spans="1:35" ht="1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row>
    <row r="920" spans="1:35" ht="1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row>
    <row r="921" spans="1:35" ht="1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row>
    <row r="922" spans="1:35" ht="1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row>
    <row r="923" spans="1:35" ht="1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row>
    <row r="924" spans="1:35" ht="1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row>
    <row r="925" spans="1:35" ht="1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row>
    <row r="926" spans="1:35" ht="1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row>
    <row r="927" spans="1:35" ht="1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row>
    <row r="928" spans="1:35" ht="1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row>
    <row r="929" spans="1:35" ht="1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row>
    <row r="930" spans="1:35" ht="1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row>
    <row r="931" spans="1:35" ht="1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row>
    <row r="932" spans="1:35" ht="1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row>
    <row r="933" spans="1:35" ht="1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row>
    <row r="934" spans="1:35" ht="1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row>
    <row r="935" spans="1:35" ht="1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row>
    <row r="936" spans="1:35" ht="1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row>
    <row r="937" spans="1:35" ht="1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row>
    <row r="938" spans="1:35" ht="1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row>
    <row r="939" spans="1:35" ht="1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row>
    <row r="940" spans="1:35" ht="1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row>
    <row r="941" spans="1:35" ht="1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row>
    <row r="942" spans="1:35" ht="1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row>
    <row r="943" spans="1:35" ht="1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row>
    <row r="944" spans="1:35" ht="1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row>
    <row r="945" spans="1:35" ht="1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row>
    <row r="946" spans="1:35" ht="1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row>
    <row r="947" spans="1:35" ht="1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row>
    <row r="948" spans="1:35" ht="1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row>
    <row r="949" spans="1:35" ht="1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row>
    <row r="950" spans="1:35" ht="1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row>
    <row r="951" spans="1:35" ht="1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row>
    <row r="952" spans="1:35" ht="1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row>
    <row r="953" spans="1:35" ht="1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row>
    <row r="954" spans="1:35" ht="1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row>
    <row r="955" spans="1:35" ht="1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row>
    <row r="956" spans="1:35" ht="1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row>
    <row r="957" spans="1:35" ht="1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row>
    <row r="958" spans="1:35" ht="1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row>
    <row r="959" spans="1:35" ht="1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row>
    <row r="960" spans="1:35" ht="1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row>
    <row r="961" spans="1:35" ht="1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row>
    <row r="962" spans="1:35" ht="1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row>
    <row r="963" spans="1:35" ht="1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row>
    <row r="964" spans="1:35" ht="1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row>
    <row r="965" spans="1:35" ht="1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row>
    <row r="966" spans="1:35" ht="1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row>
    <row r="967" spans="1:35" ht="1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row>
    <row r="968" spans="1:35" ht="1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row>
    <row r="969" spans="1:35" ht="1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row>
    <row r="970" spans="1:35" ht="1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row>
    <row r="971" spans="1:35" ht="1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row>
    <row r="972" spans="1:35" ht="1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row>
    <row r="973" spans="1:35" ht="1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row>
    <row r="974" spans="1:35" ht="1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row>
    <row r="975" spans="1:35" ht="1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row>
    <row r="976" spans="1:35" ht="1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row>
    <row r="977" spans="1:35" ht="1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row>
    <row r="978" spans="1:35" ht="1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row>
    <row r="979" spans="1:35" ht="1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row>
    <row r="980" spans="1:35" ht="1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row>
    <row r="981" spans="1:35" ht="1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row>
    <row r="982" spans="1:35" ht="1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row>
    <row r="983" spans="1:35" ht="1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row>
    <row r="984" spans="1:35" ht="1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row>
    <row r="985" spans="1:35" ht="1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row>
    <row r="986" spans="1:35" ht="1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row>
    <row r="987" spans="1:35" ht="1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row>
    <row r="988" spans="1:35" ht="1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row>
    <row r="989" spans="1:35" ht="1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row>
    <row r="990" spans="1:35" ht="1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row>
    <row r="991" spans="1:35" ht="1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row>
    <row r="992" spans="1:35" ht="1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row>
    <row r="993" spans="1:35" ht="12.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row>
    <row r="994" spans="1:35" ht="12.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row>
    <row r="995" spans="1:35" ht="12.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row>
    <row r="996" spans="1:35" ht="12.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row>
    <row r="997" spans="1:35" ht="12.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row>
    <row r="998" spans="1:35" ht="12.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row>
    <row r="999" spans="1:35" ht="12.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row>
    <row r="1000" spans="1:35" ht="12.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row>
    <row r="1001" spans="1:35" ht="12.5">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c r="AE1001" s="4"/>
      <c r="AF1001" s="4"/>
      <c r="AG1001" s="4"/>
      <c r="AH1001" s="4"/>
      <c r="AI1001" s="4"/>
    </row>
    <row r="1002" spans="1:35" ht="12.5">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c r="AD1002" s="4"/>
      <c r="AE1002" s="4"/>
      <c r="AF1002" s="4"/>
      <c r="AG1002" s="4"/>
      <c r="AH1002" s="4"/>
      <c r="AI1002" s="4"/>
    </row>
  </sheetData>
  <mergeCells count="9">
    <mergeCell ref="U5:Z5"/>
    <mergeCell ref="AA5:AD5"/>
    <mergeCell ref="B1:H1"/>
    <mergeCell ref="B2:H2"/>
    <mergeCell ref="B3:H3"/>
    <mergeCell ref="B4:H4"/>
    <mergeCell ref="C5:F5"/>
    <mergeCell ref="H5:M5"/>
    <mergeCell ref="N5:T5"/>
  </mergeCells>
  <dataValidations count="5">
    <dataValidation type="list" allowBlank="1" showErrorMessage="1" sqref="F15 F27" xr:uid="{00000000-0002-0000-0000-000000000000}">
      <formula1>"Tweet,Thread,Reply"</formula1>
    </dataValidation>
    <dataValidation type="list" allowBlank="1" showErrorMessage="1" sqref="H15:AD15 H27:AD27" xr:uid="{00000000-0002-0000-0000-000001000000}">
      <formula1>"1,2,3"</formula1>
    </dataValidation>
    <dataValidation type="list" allowBlank="1" showErrorMessage="1" sqref="H9:AD14 H16:AD19 G21:AD25 H26:AD26 H28:AD28 G29:AD29" xr:uid="{00000000-0002-0000-0000-000002000000}">
      <formula1>"1,2,3,Unsure"</formula1>
    </dataValidation>
    <dataValidation type="list" allowBlank="1" showErrorMessage="1" sqref="G9:G19 G26:G28" xr:uid="{00000000-0002-0000-0000-000003000000}">
      <formula1>"1,0,Unsure"</formula1>
    </dataValidation>
    <dataValidation type="list" allowBlank="1" showErrorMessage="1" sqref="F9:F14 F16:F19 F21:F26 F28:F29" xr:uid="{00000000-0002-0000-0000-000004000000}">
      <formula1>"Tweet,Reply ,Thread "</formula1>
    </dataValidation>
  </dataValidations>
  <hyperlinks>
    <hyperlink ref="C9" r:id="rId1" xr:uid="{00000000-0004-0000-0000-000000000000}"/>
    <hyperlink ref="D9" r:id="rId2" xr:uid="{00000000-0004-0000-0000-000001000000}"/>
    <hyperlink ref="C10" r:id="rId3" xr:uid="{00000000-0004-0000-0000-000002000000}"/>
    <hyperlink ref="D10" r:id="rId4" xr:uid="{00000000-0004-0000-0000-000003000000}"/>
    <hyperlink ref="C11" r:id="rId5" xr:uid="{00000000-0004-0000-0000-000004000000}"/>
    <hyperlink ref="D11" r:id="rId6" xr:uid="{00000000-0004-0000-0000-000005000000}"/>
    <hyperlink ref="C12" r:id="rId7" xr:uid="{00000000-0004-0000-0000-000006000000}"/>
    <hyperlink ref="D12" r:id="rId8" xr:uid="{00000000-0004-0000-0000-000007000000}"/>
    <hyperlink ref="C13" r:id="rId9" xr:uid="{00000000-0004-0000-0000-000008000000}"/>
    <hyperlink ref="D13" r:id="rId10" xr:uid="{00000000-0004-0000-0000-000009000000}"/>
    <hyperlink ref="C14" r:id="rId11" xr:uid="{00000000-0004-0000-0000-00000A000000}"/>
    <hyperlink ref="D14" r:id="rId12" xr:uid="{00000000-0004-0000-0000-00000B000000}"/>
    <hyperlink ref="C15" r:id="rId13" xr:uid="{00000000-0004-0000-0000-00000C000000}"/>
    <hyperlink ref="D15" r:id="rId14" xr:uid="{00000000-0004-0000-0000-00000D000000}"/>
    <hyperlink ref="C16" r:id="rId15" xr:uid="{00000000-0004-0000-0000-00000E000000}"/>
    <hyperlink ref="C17" r:id="rId16" xr:uid="{00000000-0004-0000-0000-00000F000000}"/>
    <hyperlink ref="D17" r:id="rId17" xr:uid="{00000000-0004-0000-0000-000010000000}"/>
    <hyperlink ref="C18" r:id="rId18" xr:uid="{00000000-0004-0000-0000-000011000000}"/>
    <hyperlink ref="D18" r:id="rId19" xr:uid="{00000000-0004-0000-0000-000012000000}"/>
    <hyperlink ref="C19" r:id="rId20" xr:uid="{00000000-0004-0000-0000-000013000000}"/>
    <hyperlink ref="D19" r:id="rId21" xr:uid="{00000000-0004-0000-0000-000014000000}"/>
    <hyperlink ref="C21" r:id="rId22" xr:uid="{00000000-0004-0000-0000-000015000000}"/>
    <hyperlink ref="D21" r:id="rId23" xr:uid="{00000000-0004-0000-0000-000016000000}"/>
    <hyperlink ref="C22" r:id="rId24" xr:uid="{00000000-0004-0000-0000-000017000000}"/>
    <hyperlink ref="D22" r:id="rId25" xr:uid="{00000000-0004-0000-0000-000018000000}"/>
    <hyperlink ref="C23" r:id="rId26" xr:uid="{00000000-0004-0000-0000-000019000000}"/>
    <hyperlink ref="D23" r:id="rId27" xr:uid="{00000000-0004-0000-0000-00001A000000}"/>
    <hyperlink ref="C24" r:id="rId28" xr:uid="{00000000-0004-0000-0000-00001B000000}"/>
    <hyperlink ref="D24" r:id="rId29" xr:uid="{00000000-0004-0000-0000-00001C000000}"/>
    <hyperlink ref="C25" r:id="rId30" xr:uid="{00000000-0004-0000-0000-00001D000000}"/>
    <hyperlink ref="D25" r:id="rId31" xr:uid="{00000000-0004-0000-0000-00001E000000}"/>
    <hyperlink ref="C26" r:id="rId32" xr:uid="{00000000-0004-0000-0000-00001F000000}"/>
    <hyperlink ref="D26" r:id="rId33" xr:uid="{00000000-0004-0000-0000-000020000000}"/>
    <hyperlink ref="C27" r:id="rId34" xr:uid="{00000000-0004-0000-0000-000021000000}"/>
    <hyperlink ref="D27" r:id="rId35" xr:uid="{00000000-0004-0000-0000-000022000000}"/>
    <hyperlink ref="C28" r:id="rId36" xr:uid="{00000000-0004-0000-0000-000023000000}"/>
    <hyperlink ref="D28" r:id="rId37" xr:uid="{00000000-0004-0000-0000-000024000000}"/>
    <hyperlink ref="C29" r:id="rId38" xr:uid="{00000000-0004-0000-0000-000025000000}"/>
    <hyperlink ref="D29" r:id="rId39" xr:uid="{00000000-0004-0000-0000-000026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Right="0"/>
  </sheetPr>
  <dimension ref="A1:AL989"/>
  <sheetViews>
    <sheetView workbookViewId="0">
      <pane xSplit="2" ySplit="4" topLeftCell="C5" activePane="bottomRight" state="frozen"/>
      <selection pane="topRight" activeCell="C1" sqref="C1"/>
      <selection pane="bottomLeft" activeCell="A5" sqref="A5"/>
      <selection pane="bottomRight" activeCell="C5" sqref="C5"/>
    </sheetView>
  </sheetViews>
  <sheetFormatPr defaultColWidth="12.6328125" defaultRowHeight="15.75" customHeight="1" outlineLevelRow="1"/>
  <cols>
    <col min="1" max="1" width="10.08984375" customWidth="1"/>
    <col min="2" max="2" width="24.6328125" customWidth="1"/>
    <col min="3" max="3" width="21.36328125" customWidth="1"/>
    <col min="4" max="5" width="37.90625" customWidth="1"/>
    <col min="6" max="7" width="16.90625" customWidth="1"/>
    <col min="8" max="8" width="12.08984375" customWidth="1"/>
    <col min="9" max="9" width="29.08984375" customWidth="1"/>
    <col min="10" max="10" width="19.36328125" customWidth="1"/>
    <col min="11" max="11" width="22.36328125" customWidth="1"/>
    <col min="12" max="12" width="27.6328125" customWidth="1"/>
    <col min="13" max="13" width="19.7265625" customWidth="1"/>
    <col min="14" max="14" width="22" customWidth="1"/>
    <col min="15" max="15" width="19.08984375" customWidth="1"/>
    <col min="16" max="16" width="17" customWidth="1"/>
    <col min="17" max="17" width="20.26953125" customWidth="1"/>
    <col min="18" max="18" width="18.453125" customWidth="1"/>
    <col min="19" max="19" width="16.90625" customWidth="1"/>
    <col min="20" max="20" width="19.6328125" customWidth="1"/>
    <col min="21" max="21" width="14.453125" customWidth="1"/>
    <col min="22" max="22" width="15.6328125" customWidth="1"/>
    <col min="23" max="23" width="18.453125" customWidth="1"/>
    <col min="24" max="24" width="13.6328125" customWidth="1"/>
    <col min="25" max="25" width="15.6328125" customWidth="1"/>
    <col min="26" max="26" width="27.08984375" customWidth="1"/>
    <col min="27" max="27" width="18.08984375" customWidth="1"/>
    <col min="28" max="28" width="17.08984375" customWidth="1"/>
    <col min="29" max="29" width="14.7265625" customWidth="1"/>
    <col min="30" max="30" width="18.36328125" customWidth="1"/>
    <col min="31" max="31" width="25.7265625" customWidth="1"/>
    <col min="32" max="32" width="27.36328125" customWidth="1"/>
    <col min="33" max="33" width="17.36328125" customWidth="1"/>
    <col min="34" max="38" width="2.6328125" customWidth="1"/>
  </cols>
  <sheetData>
    <row r="1" spans="1:38" ht="14" outlineLevel="1">
      <c r="A1" s="102"/>
      <c r="B1" s="102"/>
      <c r="C1" s="103"/>
      <c r="D1" s="103"/>
      <c r="E1" s="279" t="s">
        <v>88</v>
      </c>
      <c r="F1" s="265"/>
      <c r="G1" s="265"/>
      <c r="H1" s="265"/>
      <c r="I1" s="265"/>
      <c r="J1" s="265"/>
      <c r="K1" s="265"/>
      <c r="L1" s="266"/>
      <c r="M1" s="104"/>
      <c r="N1" s="105"/>
      <c r="O1" s="105"/>
      <c r="P1" s="105"/>
      <c r="Q1" s="105"/>
      <c r="R1" s="106"/>
      <c r="S1" s="106"/>
      <c r="T1" s="106"/>
      <c r="U1" s="106"/>
      <c r="V1" s="106"/>
      <c r="W1" s="106"/>
      <c r="X1" s="106"/>
      <c r="Y1" s="106"/>
      <c r="Z1" s="106"/>
      <c r="AA1" s="106"/>
      <c r="AB1" s="106"/>
      <c r="AC1" s="106"/>
      <c r="AD1" s="106"/>
      <c r="AE1" s="106"/>
      <c r="AF1" s="106"/>
      <c r="AG1" s="106"/>
      <c r="AH1" s="4"/>
      <c r="AI1" s="4"/>
      <c r="AJ1" s="4"/>
      <c r="AK1" s="4"/>
      <c r="AL1" s="4"/>
    </row>
    <row r="2" spans="1:38" ht="14" outlineLevel="1">
      <c r="A2" s="107" t="s">
        <v>89</v>
      </c>
      <c r="B2" s="108" t="s">
        <v>4</v>
      </c>
      <c r="C2" s="109" t="s">
        <v>90</v>
      </c>
      <c r="D2" s="109"/>
      <c r="E2" s="280" t="s">
        <v>5</v>
      </c>
      <c r="F2" s="261"/>
      <c r="G2" s="261"/>
      <c r="H2" s="261"/>
      <c r="I2" s="272"/>
      <c r="J2" s="281" t="s">
        <v>91</v>
      </c>
      <c r="K2" s="274"/>
      <c r="L2" s="275"/>
      <c r="M2" s="282" t="s">
        <v>7</v>
      </c>
      <c r="N2" s="274"/>
      <c r="O2" s="274"/>
      <c r="P2" s="274"/>
      <c r="Q2" s="275"/>
      <c r="R2" s="283" t="s">
        <v>8</v>
      </c>
      <c r="S2" s="261"/>
      <c r="T2" s="261"/>
      <c r="U2" s="261"/>
      <c r="V2" s="261"/>
      <c r="W2" s="262"/>
      <c r="X2" s="277" t="s">
        <v>9</v>
      </c>
      <c r="Y2" s="261"/>
      <c r="Z2" s="261"/>
      <c r="AA2" s="261"/>
      <c r="AB2" s="261"/>
      <c r="AC2" s="262"/>
      <c r="AD2" s="278" t="s">
        <v>10</v>
      </c>
      <c r="AE2" s="261"/>
      <c r="AF2" s="261"/>
      <c r="AG2" s="262"/>
      <c r="AH2" s="11"/>
      <c r="AI2" s="11"/>
      <c r="AJ2" s="11"/>
      <c r="AK2" s="11"/>
      <c r="AL2" s="11"/>
    </row>
    <row r="3" spans="1:38" ht="56" outlineLevel="1">
      <c r="A3" s="110"/>
      <c r="B3" s="111"/>
      <c r="C3" s="112"/>
      <c r="D3" s="112" t="s">
        <v>92</v>
      </c>
      <c r="E3" s="113" t="s">
        <v>11</v>
      </c>
      <c r="F3" s="113" t="s">
        <v>93</v>
      </c>
      <c r="G3" s="114" t="s">
        <v>94</v>
      </c>
      <c r="H3" s="115" t="s">
        <v>13</v>
      </c>
      <c r="I3" s="116" t="s">
        <v>14</v>
      </c>
      <c r="J3" s="117" t="s">
        <v>15</v>
      </c>
      <c r="K3" s="117" t="s">
        <v>16</v>
      </c>
      <c r="L3" s="117" t="s">
        <v>95</v>
      </c>
      <c r="M3" s="118" t="s">
        <v>17</v>
      </c>
      <c r="N3" s="119" t="s">
        <v>96</v>
      </c>
      <c r="O3" s="119" t="s">
        <v>19</v>
      </c>
      <c r="P3" s="119" t="s">
        <v>20</v>
      </c>
      <c r="Q3" s="120" t="s">
        <v>21</v>
      </c>
      <c r="R3" s="121" t="s">
        <v>97</v>
      </c>
      <c r="S3" s="122" t="s">
        <v>98</v>
      </c>
      <c r="T3" s="123" t="s">
        <v>99</v>
      </c>
      <c r="U3" s="122" t="s">
        <v>100</v>
      </c>
      <c r="V3" s="122" t="s">
        <v>101</v>
      </c>
      <c r="W3" s="124" t="s">
        <v>102</v>
      </c>
      <c r="X3" s="125" t="s">
        <v>103</v>
      </c>
      <c r="Y3" s="126" t="s">
        <v>30</v>
      </c>
      <c r="Z3" s="126" t="s">
        <v>104</v>
      </c>
      <c r="AA3" s="126" t="s">
        <v>32</v>
      </c>
      <c r="AB3" s="126" t="s">
        <v>33</v>
      </c>
      <c r="AC3" s="127" t="s">
        <v>105</v>
      </c>
      <c r="AD3" s="128" t="s">
        <v>106</v>
      </c>
      <c r="AE3" s="129" t="s">
        <v>107</v>
      </c>
      <c r="AF3" s="129" t="s">
        <v>37</v>
      </c>
      <c r="AG3" s="130" t="s">
        <v>38</v>
      </c>
      <c r="AH3" s="11"/>
      <c r="AI3" s="11"/>
      <c r="AJ3" s="11"/>
      <c r="AK3" s="11"/>
      <c r="AL3" s="11"/>
    </row>
    <row r="4" spans="1:38" ht="126.75" customHeight="1" outlineLevel="1">
      <c r="A4" s="131"/>
      <c r="B4" s="132"/>
      <c r="C4" s="133"/>
      <c r="D4" s="133"/>
      <c r="E4" s="133"/>
      <c r="F4" s="134"/>
      <c r="G4" s="135"/>
      <c r="H4" s="136"/>
      <c r="I4" s="137" t="s">
        <v>108</v>
      </c>
      <c r="J4" s="138" t="s">
        <v>109</v>
      </c>
      <c r="K4" s="139" t="s">
        <v>110</v>
      </c>
      <c r="L4" s="140" t="s">
        <v>111</v>
      </c>
      <c r="M4" s="141" t="s">
        <v>112</v>
      </c>
      <c r="N4" s="142" t="s">
        <v>113</v>
      </c>
      <c r="O4" s="142" t="s">
        <v>114</v>
      </c>
      <c r="P4" s="143" t="s">
        <v>115</v>
      </c>
      <c r="Q4" s="144" t="s">
        <v>116</v>
      </c>
      <c r="R4" s="145" t="s">
        <v>117</v>
      </c>
      <c r="S4" s="146" t="s">
        <v>118</v>
      </c>
      <c r="T4" s="147" t="s">
        <v>119</v>
      </c>
      <c r="U4" s="147" t="s">
        <v>120</v>
      </c>
      <c r="V4" s="147" t="s">
        <v>121</v>
      </c>
      <c r="W4" s="148" t="s">
        <v>122</v>
      </c>
      <c r="X4" s="149" t="s">
        <v>123</v>
      </c>
      <c r="Y4" s="150" t="s">
        <v>124</v>
      </c>
      <c r="Z4" s="150" t="s">
        <v>125</v>
      </c>
      <c r="AA4" s="150" t="s">
        <v>126</v>
      </c>
      <c r="AB4" s="150" t="s">
        <v>127</v>
      </c>
      <c r="AC4" s="151" t="s">
        <v>128</v>
      </c>
      <c r="AD4" s="152" t="s">
        <v>129</v>
      </c>
      <c r="AE4" s="153" t="s">
        <v>130</v>
      </c>
      <c r="AF4" s="153" t="s">
        <v>131</v>
      </c>
      <c r="AG4" s="154" t="s">
        <v>132</v>
      </c>
      <c r="AH4" s="48"/>
      <c r="AI4" s="48"/>
      <c r="AJ4" s="48"/>
      <c r="AK4" s="48"/>
      <c r="AL4" s="48"/>
    </row>
    <row r="5" spans="1:38" ht="16.5" customHeight="1">
      <c r="A5" s="65" t="s">
        <v>133</v>
      </c>
      <c r="B5" s="65" t="s">
        <v>73</v>
      </c>
      <c r="C5" s="155"/>
      <c r="D5" s="155" t="s">
        <v>134</v>
      </c>
      <c r="E5" s="156" t="s">
        <v>135</v>
      </c>
      <c r="F5" s="157" t="str">
        <f ca="1">IFERROR(__xludf.DUMMYFUNCTION("INDEX(SPLIT(E5,""/""),,COUNTA(SPLIT(E5,""/"")))"),"1701278887978692899")</f>
        <v>1701278887978692899</v>
      </c>
      <c r="G5" s="158" t="s">
        <v>136</v>
      </c>
      <c r="H5" s="159" t="s">
        <v>137</v>
      </c>
      <c r="I5" s="159" t="s">
        <v>70</v>
      </c>
      <c r="J5" s="106" t="s">
        <v>138</v>
      </c>
      <c r="K5" s="106" t="s">
        <v>138</v>
      </c>
      <c r="L5" s="159">
        <v>1</v>
      </c>
      <c r="M5" s="159">
        <v>1</v>
      </c>
      <c r="N5" s="159">
        <v>1</v>
      </c>
      <c r="O5" s="159">
        <v>1</v>
      </c>
      <c r="P5" s="159">
        <v>2</v>
      </c>
      <c r="Q5" s="159">
        <v>1</v>
      </c>
      <c r="R5" s="159">
        <v>1</v>
      </c>
      <c r="S5" s="159">
        <v>1</v>
      </c>
      <c r="T5" s="159">
        <v>1</v>
      </c>
      <c r="U5" s="159">
        <v>3</v>
      </c>
      <c r="V5" s="159">
        <v>1</v>
      </c>
      <c r="W5" s="159">
        <v>1</v>
      </c>
      <c r="X5" s="159">
        <v>1</v>
      </c>
      <c r="Y5" s="159">
        <v>1</v>
      </c>
      <c r="Z5" s="159">
        <v>1</v>
      </c>
      <c r="AA5" s="159">
        <v>1</v>
      </c>
      <c r="AB5" s="159">
        <v>1</v>
      </c>
      <c r="AC5" s="159">
        <v>1</v>
      </c>
      <c r="AD5" s="159">
        <v>1</v>
      </c>
      <c r="AE5" s="159">
        <v>1</v>
      </c>
      <c r="AF5" s="159">
        <v>3</v>
      </c>
      <c r="AG5" s="159">
        <v>1</v>
      </c>
      <c r="AH5" s="11"/>
      <c r="AI5" s="11"/>
      <c r="AJ5" s="11"/>
      <c r="AK5" s="11"/>
      <c r="AL5" s="11"/>
    </row>
    <row r="6" spans="1:38" ht="16.5" customHeight="1">
      <c r="A6" s="65" t="s">
        <v>133</v>
      </c>
      <c r="B6" s="65" t="s">
        <v>73</v>
      </c>
      <c r="C6" s="160"/>
      <c r="D6" s="155" t="s">
        <v>139</v>
      </c>
      <c r="E6" s="161" t="s">
        <v>140</v>
      </c>
      <c r="F6" s="157" t="str">
        <f ca="1">IFERROR(__xludf.DUMMYFUNCTION("INDEX(SPLIT(E6,""/""),,COUNTA(SPLIT(E6,""/"")))"),"1714179012723867752")</f>
        <v>1714179012723867752</v>
      </c>
      <c r="G6" s="158" t="s">
        <v>141</v>
      </c>
      <c r="H6" s="162" t="s">
        <v>142</v>
      </c>
      <c r="I6" s="163" t="s">
        <v>81</v>
      </c>
      <c r="J6" s="106" t="s">
        <v>138</v>
      </c>
      <c r="K6" s="106" t="s">
        <v>138</v>
      </c>
      <c r="L6" s="159">
        <v>1</v>
      </c>
      <c r="M6" s="162">
        <v>1</v>
      </c>
      <c r="N6" s="162">
        <v>1</v>
      </c>
      <c r="O6" s="162">
        <v>1</v>
      </c>
      <c r="P6" s="162">
        <v>1</v>
      </c>
      <c r="Q6" s="162">
        <v>1</v>
      </c>
      <c r="R6" s="162">
        <v>1</v>
      </c>
      <c r="S6" s="162">
        <v>2</v>
      </c>
      <c r="T6" s="162">
        <v>1</v>
      </c>
      <c r="U6" s="162">
        <v>2</v>
      </c>
      <c r="V6" s="162">
        <v>1</v>
      </c>
      <c r="W6" s="159">
        <v>1</v>
      </c>
      <c r="X6" s="162">
        <v>1</v>
      </c>
      <c r="Y6" s="162">
        <v>1</v>
      </c>
      <c r="Z6" s="162">
        <v>1</v>
      </c>
      <c r="AA6" s="162">
        <v>1</v>
      </c>
      <c r="AB6" s="162">
        <v>1</v>
      </c>
      <c r="AC6" s="162">
        <v>1</v>
      </c>
      <c r="AD6" s="162">
        <v>1</v>
      </c>
      <c r="AE6" s="162">
        <v>1</v>
      </c>
      <c r="AF6" s="162">
        <v>1</v>
      </c>
      <c r="AG6" s="162">
        <v>1</v>
      </c>
      <c r="AH6" s="11"/>
      <c r="AI6" s="11"/>
      <c r="AJ6" s="11"/>
      <c r="AK6" s="11"/>
      <c r="AL6" s="11"/>
    </row>
    <row r="7" spans="1:38" ht="16.5" customHeight="1">
      <c r="A7" s="65" t="s">
        <v>133</v>
      </c>
      <c r="B7" s="65" t="s">
        <v>77</v>
      </c>
      <c r="C7" s="70"/>
      <c r="D7" s="155" t="s">
        <v>143</v>
      </c>
      <c r="E7" s="164" t="s">
        <v>144</v>
      </c>
      <c r="F7" s="157" t="str">
        <f ca="1">IFERROR(__xludf.DUMMYFUNCTION("INDEX(SPLIT(E7,""/""),,COUNTA(SPLIT(E7,""/"")))"),"1681325307863728129")</f>
        <v>1681325307863728129</v>
      </c>
      <c r="G7" s="165" t="s">
        <v>145</v>
      </c>
      <c r="H7" s="65" t="s">
        <v>80</v>
      </c>
      <c r="I7" s="65" t="s">
        <v>70</v>
      </c>
      <c r="J7" s="106" t="s">
        <v>138</v>
      </c>
      <c r="K7" s="106" t="s">
        <v>146</v>
      </c>
      <c r="L7" s="159">
        <v>3</v>
      </c>
      <c r="M7" s="65">
        <v>3</v>
      </c>
      <c r="N7" s="65">
        <v>3</v>
      </c>
      <c r="O7" s="65">
        <v>3</v>
      </c>
      <c r="P7" s="65">
        <v>3</v>
      </c>
      <c r="Q7" s="65">
        <v>3</v>
      </c>
      <c r="R7" s="65">
        <v>3</v>
      </c>
      <c r="S7" s="65">
        <v>3</v>
      </c>
      <c r="T7" s="65">
        <v>2</v>
      </c>
      <c r="U7" s="65">
        <v>3</v>
      </c>
      <c r="V7" s="65">
        <v>3</v>
      </c>
      <c r="W7" s="159">
        <v>1</v>
      </c>
      <c r="X7" s="65">
        <v>1</v>
      </c>
      <c r="Y7" s="65">
        <v>2</v>
      </c>
      <c r="Z7" s="65">
        <v>3</v>
      </c>
      <c r="AA7" s="65">
        <v>1</v>
      </c>
      <c r="AB7" s="65">
        <v>1</v>
      </c>
      <c r="AC7" s="65">
        <v>3</v>
      </c>
      <c r="AD7" s="65">
        <v>3</v>
      </c>
      <c r="AE7" s="65">
        <v>3</v>
      </c>
      <c r="AF7" s="65">
        <v>3</v>
      </c>
      <c r="AG7" s="65">
        <v>1</v>
      </c>
      <c r="AH7" s="11"/>
      <c r="AI7" s="11"/>
      <c r="AJ7" s="11"/>
      <c r="AK7" s="11"/>
      <c r="AL7" s="11"/>
    </row>
    <row r="8" spans="1:38" ht="16.5" customHeight="1">
      <c r="A8" s="65" t="s">
        <v>133</v>
      </c>
      <c r="B8" s="65" t="s">
        <v>77</v>
      </c>
      <c r="C8" s="70"/>
      <c r="D8" s="155" t="s">
        <v>147</v>
      </c>
      <c r="E8" s="164" t="s">
        <v>67</v>
      </c>
      <c r="F8" s="157" t="str">
        <f ca="1">IFERROR(__xludf.DUMMYFUNCTION("INDEX(SPLIT(E8,""/""),,COUNTA(SPLIT(E8,""/"")))"),"1681096634854436865")</f>
        <v>1681096634854436865</v>
      </c>
      <c r="G8" s="164" t="s">
        <v>67</v>
      </c>
      <c r="H8" s="65" t="s">
        <v>80</v>
      </c>
      <c r="I8" s="76" t="s">
        <v>70</v>
      </c>
      <c r="J8" s="106" t="s">
        <v>138</v>
      </c>
      <c r="K8" s="106" t="s">
        <v>146</v>
      </c>
      <c r="L8" s="76">
        <v>3</v>
      </c>
      <c r="M8" s="76">
        <v>3</v>
      </c>
      <c r="N8" s="76">
        <v>3</v>
      </c>
      <c r="O8" s="76">
        <v>3</v>
      </c>
      <c r="P8" s="76">
        <v>2</v>
      </c>
      <c r="Q8" s="76">
        <v>3</v>
      </c>
      <c r="R8" s="76">
        <v>3</v>
      </c>
      <c r="S8" s="76">
        <v>3</v>
      </c>
      <c r="T8" s="76">
        <v>3</v>
      </c>
      <c r="U8" s="76">
        <v>3</v>
      </c>
      <c r="V8" s="76">
        <v>3</v>
      </c>
      <c r="W8" s="76">
        <v>1</v>
      </c>
      <c r="X8" s="76">
        <v>1</v>
      </c>
      <c r="Y8" s="76">
        <v>1</v>
      </c>
      <c r="Z8" s="76">
        <v>1</v>
      </c>
      <c r="AA8" s="76">
        <v>2</v>
      </c>
      <c r="AB8" s="76">
        <v>1</v>
      </c>
      <c r="AC8" s="76">
        <v>3</v>
      </c>
      <c r="AD8" s="76">
        <v>3</v>
      </c>
      <c r="AE8" s="76">
        <v>3</v>
      </c>
      <c r="AF8" s="76">
        <v>3</v>
      </c>
      <c r="AG8" s="76">
        <v>1</v>
      </c>
      <c r="AH8" s="11"/>
      <c r="AI8" s="11"/>
      <c r="AJ8" s="11"/>
      <c r="AK8" s="11"/>
      <c r="AL8" s="11"/>
    </row>
    <row r="9" spans="1:38" ht="16.5" customHeight="1">
      <c r="A9" s="65" t="s">
        <v>133</v>
      </c>
      <c r="B9" s="65" t="s">
        <v>77</v>
      </c>
      <c r="C9" s="70"/>
      <c r="D9" s="155" t="s">
        <v>148</v>
      </c>
      <c r="E9" s="164" t="s">
        <v>149</v>
      </c>
      <c r="F9" s="157" t="str">
        <f ca="1">IFERROR(__xludf.DUMMYFUNCTION("INDEX(SPLIT(E9,""/""),,COUNTA(SPLIT(E9,""/"")))"),"1695781931240091721")</f>
        <v>1695781931240091721</v>
      </c>
      <c r="G9" s="164" t="s">
        <v>149</v>
      </c>
      <c r="H9" s="65" t="s">
        <v>80</v>
      </c>
      <c r="I9" s="65" t="s">
        <v>70</v>
      </c>
      <c r="J9" s="106" t="s">
        <v>138</v>
      </c>
      <c r="K9" s="106" t="s">
        <v>138</v>
      </c>
      <c r="L9" s="159">
        <v>1</v>
      </c>
      <c r="M9" s="65">
        <v>1</v>
      </c>
      <c r="N9" s="65">
        <v>1</v>
      </c>
      <c r="O9" s="65">
        <v>1</v>
      </c>
      <c r="P9" s="65">
        <v>1</v>
      </c>
      <c r="Q9" s="65">
        <v>3</v>
      </c>
      <c r="R9" s="65">
        <v>3</v>
      </c>
      <c r="S9" s="65">
        <v>3</v>
      </c>
      <c r="T9" s="65">
        <v>1</v>
      </c>
      <c r="U9" s="65">
        <v>3</v>
      </c>
      <c r="V9" s="65">
        <v>1</v>
      </c>
      <c r="W9" s="159">
        <v>3</v>
      </c>
      <c r="X9" s="65">
        <v>1</v>
      </c>
      <c r="Y9" s="65">
        <v>1</v>
      </c>
      <c r="Z9" s="65">
        <v>3</v>
      </c>
      <c r="AA9" s="65">
        <v>1</v>
      </c>
      <c r="AB9" s="65">
        <v>1</v>
      </c>
      <c r="AC9" s="65">
        <v>1</v>
      </c>
      <c r="AD9" s="65">
        <v>3</v>
      </c>
      <c r="AE9" s="65">
        <v>3</v>
      </c>
      <c r="AF9" s="65">
        <v>1</v>
      </c>
      <c r="AG9" s="65">
        <v>1</v>
      </c>
      <c r="AH9" s="11"/>
      <c r="AI9" s="11"/>
      <c r="AJ9" s="11"/>
      <c r="AK9" s="11"/>
      <c r="AL9" s="11"/>
    </row>
    <row r="10" spans="1:38" ht="16.5" customHeight="1">
      <c r="A10" s="65" t="s">
        <v>133</v>
      </c>
      <c r="B10" s="65" t="s">
        <v>77</v>
      </c>
      <c r="C10" s="70" t="s">
        <v>66</v>
      </c>
      <c r="D10" s="155" t="s">
        <v>150</v>
      </c>
      <c r="E10" s="164" t="s">
        <v>151</v>
      </c>
      <c r="F10" s="157" t="str">
        <f ca="1">IFERROR(__xludf.DUMMYFUNCTION("INDEX(SPLIT(E10,""/""),,COUNTA(SPLIT(E10,""/"")))"),"1685451792258351104")</f>
        <v>1685451792258351104</v>
      </c>
      <c r="G10" s="164" t="s">
        <v>151</v>
      </c>
      <c r="H10" s="65" t="s">
        <v>80</v>
      </c>
      <c r="I10" s="65" t="s">
        <v>70</v>
      </c>
      <c r="J10" s="106" t="s">
        <v>146</v>
      </c>
      <c r="K10" s="106" t="s">
        <v>146</v>
      </c>
      <c r="L10" s="159">
        <v>3</v>
      </c>
      <c r="M10" s="65">
        <v>2</v>
      </c>
      <c r="N10" s="65">
        <v>2</v>
      </c>
      <c r="O10" s="65">
        <v>1</v>
      </c>
      <c r="P10" s="65">
        <v>2</v>
      </c>
      <c r="Q10" s="65">
        <v>2</v>
      </c>
      <c r="R10" s="65">
        <v>1</v>
      </c>
      <c r="S10" s="65">
        <v>3</v>
      </c>
      <c r="T10" s="65">
        <v>3</v>
      </c>
      <c r="U10" s="65">
        <v>2</v>
      </c>
      <c r="V10" s="65">
        <v>2</v>
      </c>
      <c r="W10" s="159">
        <v>1</v>
      </c>
      <c r="X10" s="65">
        <v>1</v>
      </c>
      <c r="Y10" s="65">
        <v>1</v>
      </c>
      <c r="Z10" s="65">
        <v>1</v>
      </c>
      <c r="AA10" s="65">
        <v>1</v>
      </c>
      <c r="AB10" s="65">
        <v>1</v>
      </c>
      <c r="AC10" s="65">
        <v>1</v>
      </c>
      <c r="AD10" s="65">
        <v>2</v>
      </c>
      <c r="AE10" s="65">
        <v>1</v>
      </c>
      <c r="AF10" s="65">
        <v>1</v>
      </c>
      <c r="AG10" s="65">
        <v>1</v>
      </c>
      <c r="AH10" s="11"/>
      <c r="AI10" s="11"/>
      <c r="AJ10" s="11"/>
      <c r="AK10" s="11"/>
      <c r="AL10" s="11"/>
    </row>
    <row r="11" spans="1:38" ht="16.5" customHeight="1">
      <c r="A11" s="65"/>
      <c r="B11" s="65" t="s">
        <v>77</v>
      </c>
      <c r="C11" s="70"/>
      <c r="D11" s="155" t="s">
        <v>152</v>
      </c>
      <c r="E11" s="164" t="s">
        <v>153</v>
      </c>
      <c r="F11" s="157" t="str">
        <f ca="1">IFERROR(__xludf.DUMMYFUNCTION("INDEX(SPLIT(E11,""/""),,COUNTA(SPLIT(E11,""/"")))"),"1720179582123254009")</f>
        <v>1720179582123254009</v>
      </c>
      <c r="G11" s="165" t="s">
        <v>154</v>
      </c>
      <c r="H11" s="65" t="s">
        <v>80</v>
      </c>
      <c r="I11" s="76" t="s">
        <v>70</v>
      </c>
      <c r="J11" s="106" t="s">
        <v>138</v>
      </c>
      <c r="K11" s="106" t="s">
        <v>138</v>
      </c>
      <c r="L11" s="159">
        <v>2</v>
      </c>
      <c r="M11" s="76">
        <v>3</v>
      </c>
      <c r="N11" s="76">
        <v>2</v>
      </c>
      <c r="O11" s="76">
        <v>3</v>
      </c>
      <c r="P11" s="76">
        <v>3</v>
      </c>
      <c r="Q11" s="76">
        <v>3</v>
      </c>
      <c r="R11" s="76">
        <v>3</v>
      </c>
      <c r="S11" s="76">
        <v>3</v>
      </c>
      <c r="T11" s="76">
        <v>3</v>
      </c>
      <c r="U11" s="76">
        <v>3</v>
      </c>
      <c r="V11" s="76">
        <v>3</v>
      </c>
      <c r="W11" s="159">
        <v>1</v>
      </c>
      <c r="X11" s="76">
        <v>3</v>
      </c>
      <c r="Y11" s="76">
        <v>2</v>
      </c>
      <c r="Z11" s="76">
        <v>1</v>
      </c>
      <c r="AA11" s="76">
        <v>1</v>
      </c>
      <c r="AB11" s="76">
        <v>1</v>
      </c>
      <c r="AC11" s="76">
        <v>1</v>
      </c>
      <c r="AD11" s="76">
        <v>3</v>
      </c>
      <c r="AE11" s="76">
        <v>1</v>
      </c>
      <c r="AF11" s="76">
        <v>3</v>
      </c>
      <c r="AG11" s="76">
        <v>1</v>
      </c>
      <c r="AH11" s="11"/>
      <c r="AI11" s="11"/>
      <c r="AJ11" s="11"/>
      <c r="AK11" s="11"/>
      <c r="AL11" s="11"/>
    </row>
    <row r="12" spans="1:38" ht="16.5" customHeight="1">
      <c r="A12" s="65"/>
      <c r="B12" s="65" t="s">
        <v>77</v>
      </c>
      <c r="C12" s="70"/>
      <c r="D12" s="155" t="s">
        <v>155</v>
      </c>
      <c r="E12" s="164" t="s">
        <v>156</v>
      </c>
      <c r="F12" s="157" t="str">
        <f ca="1">IFERROR(__xludf.DUMMYFUNCTION("INDEX(SPLIT(E12,""/""),,COUNTA(SPLIT(E12,""/"")))"),"1683253882397552641")</f>
        <v>1683253882397552641</v>
      </c>
      <c r="G12" s="165" t="s">
        <v>157</v>
      </c>
      <c r="H12" s="76" t="s">
        <v>80</v>
      </c>
      <c r="I12" s="76" t="s">
        <v>81</v>
      </c>
      <c r="J12" s="106" t="s">
        <v>138</v>
      </c>
      <c r="K12" s="106" t="s">
        <v>138</v>
      </c>
      <c r="L12" s="159">
        <v>1</v>
      </c>
      <c r="M12" s="76">
        <v>3</v>
      </c>
      <c r="N12" s="76">
        <v>2</v>
      </c>
      <c r="O12" s="76">
        <v>1</v>
      </c>
      <c r="P12" s="76">
        <v>1</v>
      </c>
      <c r="Q12" s="76">
        <v>1</v>
      </c>
      <c r="R12" s="76">
        <v>3</v>
      </c>
      <c r="S12" s="76">
        <v>3</v>
      </c>
      <c r="T12" s="76">
        <v>2</v>
      </c>
      <c r="U12" s="76">
        <v>1</v>
      </c>
      <c r="V12" s="76">
        <v>1</v>
      </c>
      <c r="W12" s="159">
        <v>1</v>
      </c>
      <c r="X12" s="76">
        <v>1</v>
      </c>
      <c r="Y12" s="76">
        <v>1</v>
      </c>
      <c r="Z12" s="76">
        <v>2</v>
      </c>
      <c r="AA12" s="76">
        <v>3</v>
      </c>
      <c r="AB12" s="76">
        <v>2</v>
      </c>
      <c r="AC12" s="76">
        <v>1</v>
      </c>
      <c r="AD12" s="76">
        <v>3</v>
      </c>
      <c r="AE12" s="76">
        <v>3</v>
      </c>
      <c r="AF12" s="76">
        <v>1</v>
      </c>
      <c r="AG12" s="76">
        <v>1</v>
      </c>
      <c r="AH12" s="69"/>
      <c r="AI12" s="11"/>
      <c r="AJ12" s="69"/>
      <c r="AK12" s="11"/>
      <c r="AL12" s="69"/>
    </row>
    <row r="13" spans="1:38" ht="16.5" customHeight="1">
      <c r="A13" s="65"/>
      <c r="B13" s="65" t="s">
        <v>73</v>
      </c>
      <c r="C13" s="70"/>
      <c r="D13" s="155" t="s">
        <v>158</v>
      </c>
      <c r="E13" s="166" t="s">
        <v>159</v>
      </c>
      <c r="F13" s="157" t="str">
        <f ca="1">IFERROR(__xludf.DUMMYFUNCTION("INDEX(SPLIT(E13,""/""),,COUNTA(SPLIT(E13,""/"")))"),"1703401067944214675")</f>
        <v>1703401067944214675</v>
      </c>
      <c r="G13" s="165" t="s">
        <v>160</v>
      </c>
      <c r="H13" s="65" t="s">
        <v>137</v>
      </c>
      <c r="I13" s="167" t="s">
        <v>70</v>
      </c>
      <c r="J13" s="106" t="s">
        <v>138</v>
      </c>
      <c r="K13" s="106" t="s">
        <v>146</v>
      </c>
      <c r="L13" s="159">
        <v>3</v>
      </c>
      <c r="M13" s="65">
        <v>3</v>
      </c>
      <c r="N13" s="65">
        <v>3</v>
      </c>
      <c r="O13" s="65">
        <v>2</v>
      </c>
      <c r="P13" s="65">
        <v>2</v>
      </c>
      <c r="Q13" s="65">
        <v>2</v>
      </c>
      <c r="R13" s="65">
        <v>2</v>
      </c>
      <c r="S13" s="65">
        <v>3</v>
      </c>
      <c r="T13" s="65">
        <v>3</v>
      </c>
      <c r="U13" s="65">
        <v>3</v>
      </c>
      <c r="V13" s="159">
        <v>2</v>
      </c>
      <c r="W13" s="159">
        <v>1</v>
      </c>
      <c r="X13" s="65">
        <v>3</v>
      </c>
      <c r="Y13" s="65">
        <v>2</v>
      </c>
      <c r="Z13" s="65">
        <v>3</v>
      </c>
      <c r="AA13" s="65">
        <v>1</v>
      </c>
      <c r="AB13" s="65">
        <v>1</v>
      </c>
      <c r="AC13" s="65">
        <v>1</v>
      </c>
      <c r="AD13" s="65">
        <v>3</v>
      </c>
      <c r="AE13" s="65">
        <v>3</v>
      </c>
      <c r="AF13" s="65">
        <v>3</v>
      </c>
      <c r="AG13" s="65">
        <v>1</v>
      </c>
      <c r="AH13" s="11"/>
      <c r="AI13" s="11"/>
      <c r="AJ13" s="11"/>
      <c r="AK13" s="11"/>
      <c r="AL13" s="11"/>
    </row>
    <row r="14" spans="1:38" ht="14">
      <c r="A14" s="76" t="s">
        <v>161</v>
      </c>
      <c r="B14" s="65" t="s">
        <v>73</v>
      </c>
      <c r="C14" s="70"/>
      <c r="D14" s="155" t="s">
        <v>162</v>
      </c>
      <c r="E14" s="166" t="s">
        <v>163</v>
      </c>
      <c r="F14" s="157" t="str">
        <f ca="1">IFERROR(__xludf.DUMMYFUNCTION("INDEX(SPLIT(E14,""/""),,COUNTA(SPLIT(E14,""/"")))"),"1640432067543441420")</f>
        <v>1640432067543441420</v>
      </c>
      <c r="G14" s="165" t="s">
        <v>164</v>
      </c>
      <c r="H14" s="65" t="s">
        <v>137</v>
      </c>
      <c r="I14" s="167" t="s">
        <v>70</v>
      </c>
      <c r="J14" s="106" t="s">
        <v>138</v>
      </c>
      <c r="K14" s="106" t="s">
        <v>146</v>
      </c>
      <c r="L14" s="159">
        <v>3</v>
      </c>
      <c r="M14" s="167"/>
      <c r="N14" s="167"/>
      <c r="O14" s="167"/>
      <c r="P14" s="167"/>
      <c r="Q14" s="167"/>
      <c r="R14" s="167"/>
      <c r="S14" s="167"/>
      <c r="T14" s="167"/>
      <c r="U14" s="167"/>
      <c r="V14" s="162"/>
      <c r="W14" s="159"/>
      <c r="X14" s="167"/>
      <c r="Y14" s="167"/>
      <c r="Z14" s="167"/>
      <c r="AA14" s="167"/>
      <c r="AB14" s="167"/>
      <c r="AC14" s="167"/>
      <c r="AD14" s="167"/>
      <c r="AE14" s="167"/>
      <c r="AF14" s="167"/>
      <c r="AG14" s="167"/>
      <c r="AH14" s="69"/>
      <c r="AI14" s="11"/>
      <c r="AJ14" s="69"/>
      <c r="AK14" s="69"/>
      <c r="AL14" s="69"/>
    </row>
    <row r="15" spans="1:38" ht="16.5" customHeight="1">
      <c r="A15" s="65" t="s">
        <v>133</v>
      </c>
      <c r="B15" s="65" t="s">
        <v>73</v>
      </c>
      <c r="C15" s="70"/>
      <c r="D15" s="155" t="s">
        <v>165</v>
      </c>
      <c r="E15" s="166" t="s">
        <v>166</v>
      </c>
      <c r="F15" s="157" t="str">
        <f ca="1">IFERROR(__xludf.DUMMYFUNCTION("INDEX(SPLIT(E15,""/""),,COUNTA(SPLIT(E15,""/"")))"),"1597216249670692864")</f>
        <v>1597216249670692864</v>
      </c>
      <c r="G15" s="165" t="s">
        <v>167</v>
      </c>
      <c r="H15" s="65" t="s">
        <v>137</v>
      </c>
      <c r="I15" s="65" t="s">
        <v>70</v>
      </c>
      <c r="J15" s="106" t="s">
        <v>138</v>
      </c>
      <c r="K15" s="106" t="s">
        <v>138</v>
      </c>
      <c r="L15" s="159">
        <v>1</v>
      </c>
      <c r="M15" s="65">
        <v>3</v>
      </c>
      <c r="N15" s="65">
        <v>2</v>
      </c>
      <c r="O15" s="65">
        <v>2</v>
      </c>
      <c r="P15" s="65">
        <v>1</v>
      </c>
      <c r="Q15" s="65">
        <v>1</v>
      </c>
      <c r="R15" s="65">
        <v>1</v>
      </c>
      <c r="S15" s="65">
        <v>2</v>
      </c>
      <c r="T15" s="65">
        <v>2</v>
      </c>
      <c r="U15" s="65">
        <v>3</v>
      </c>
      <c r="V15" s="65">
        <v>1</v>
      </c>
      <c r="W15" s="159">
        <v>1</v>
      </c>
      <c r="X15" s="65">
        <v>1</v>
      </c>
      <c r="Y15" s="65">
        <v>2</v>
      </c>
      <c r="Z15" s="65">
        <v>1</v>
      </c>
      <c r="AA15" s="65">
        <v>1</v>
      </c>
      <c r="AB15" s="65">
        <v>1</v>
      </c>
      <c r="AC15" s="65">
        <v>1</v>
      </c>
      <c r="AD15" s="65">
        <v>2</v>
      </c>
      <c r="AE15" s="65">
        <v>3</v>
      </c>
      <c r="AF15" s="65">
        <v>3</v>
      </c>
      <c r="AG15" s="65">
        <v>2</v>
      </c>
      <c r="AH15" s="11"/>
      <c r="AI15" s="11"/>
      <c r="AJ15" s="11"/>
      <c r="AK15" s="11"/>
      <c r="AL15" s="11"/>
    </row>
    <row r="16" spans="1:38" ht="14">
      <c r="A16" s="65" t="s">
        <v>133</v>
      </c>
      <c r="B16" s="65" t="s">
        <v>73</v>
      </c>
      <c r="C16" s="70"/>
      <c r="D16" s="155" t="s">
        <v>168</v>
      </c>
      <c r="E16" s="166" t="s">
        <v>169</v>
      </c>
      <c r="F16" s="157" t="str">
        <f ca="1">IFERROR(__xludf.DUMMYFUNCTION("INDEX(SPLIT(E16,""/""),,COUNTA(SPLIT(E16,""/"")))"),"1739023982970438103")</f>
        <v>1739023982970438103</v>
      </c>
      <c r="G16" s="165" t="s">
        <v>170</v>
      </c>
      <c r="H16" s="168" t="s">
        <v>137</v>
      </c>
      <c r="I16" s="65" t="s">
        <v>81</v>
      </c>
      <c r="J16" s="106" t="s">
        <v>138</v>
      </c>
      <c r="K16" s="106" t="s">
        <v>138</v>
      </c>
      <c r="L16" s="159">
        <v>2</v>
      </c>
      <c r="M16" s="65">
        <v>3</v>
      </c>
      <c r="N16" s="65">
        <v>2</v>
      </c>
      <c r="O16" s="65">
        <v>3</v>
      </c>
      <c r="P16" s="65">
        <v>1</v>
      </c>
      <c r="Q16" s="65">
        <v>1</v>
      </c>
      <c r="R16" s="65">
        <v>2</v>
      </c>
      <c r="S16" s="65">
        <v>3</v>
      </c>
      <c r="T16" s="65">
        <v>2</v>
      </c>
      <c r="U16" s="65">
        <v>2</v>
      </c>
      <c r="V16" s="65">
        <v>1</v>
      </c>
      <c r="W16" s="159">
        <v>2</v>
      </c>
      <c r="X16" s="65">
        <v>1</v>
      </c>
      <c r="Y16" s="65">
        <v>1</v>
      </c>
      <c r="Z16" s="65">
        <v>1</v>
      </c>
      <c r="AA16" s="65">
        <v>1</v>
      </c>
      <c r="AB16" s="65">
        <v>1</v>
      </c>
      <c r="AC16" s="65">
        <v>1</v>
      </c>
      <c r="AD16" s="65">
        <v>3</v>
      </c>
      <c r="AE16" s="65">
        <v>3</v>
      </c>
      <c r="AF16" s="65">
        <v>3</v>
      </c>
      <c r="AG16" s="65">
        <v>1</v>
      </c>
      <c r="AH16" s="95"/>
      <c r="AI16" s="95"/>
      <c r="AJ16" s="95"/>
      <c r="AK16" s="95"/>
      <c r="AL16" s="95"/>
    </row>
    <row r="17" spans="1:38" ht="14">
      <c r="A17" s="65" t="s">
        <v>133</v>
      </c>
      <c r="B17" s="65" t="s">
        <v>77</v>
      </c>
      <c r="C17" s="169"/>
      <c r="D17" s="155" t="s">
        <v>171</v>
      </c>
      <c r="E17" s="170" t="s">
        <v>172</v>
      </c>
      <c r="F17" s="157" t="str">
        <f ca="1">IFERROR(__xludf.DUMMYFUNCTION("INDEX(SPLIT(E17,""/""),,COUNTA(SPLIT(E17,""/"")))"),"1731358374183276761")</f>
        <v>1731358374183276761</v>
      </c>
      <c r="G17" s="171" t="s">
        <v>173</v>
      </c>
      <c r="H17" s="168" t="s">
        <v>174</v>
      </c>
      <c r="I17" s="65" t="s">
        <v>81</v>
      </c>
      <c r="J17" s="106" t="s">
        <v>138</v>
      </c>
      <c r="K17" s="106" t="s">
        <v>138</v>
      </c>
      <c r="L17" s="159">
        <v>1</v>
      </c>
      <c r="M17" s="65">
        <v>1</v>
      </c>
      <c r="N17" s="65">
        <v>1</v>
      </c>
      <c r="O17" s="65">
        <v>1</v>
      </c>
      <c r="P17" s="65">
        <v>2</v>
      </c>
      <c r="Q17" s="65">
        <v>1</v>
      </c>
      <c r="R17" s="65">
        <v>2</v>
      </c>
      <c r="S17" s="65">
        <v>1</v>
      </c>
      <c r="T17" s="65">
        <v>1</v>
      </c>
      <c r="U17" s="65">
        <v>1</v>
      </c>
      <c r="V17" s="65">
        <v>1</v>
      </c>
      <c r="W17" s="159">
        <v>1</v>
      </c>
      <c r="X17" s="65">
        <v>1</v>
      </c>
      <c r="Y17" s="65">
        <v>1</v>
      </c>
      <c r="Z17" s="65">
        <v>1</v>
      </c>
      <c r="AA17" s="65">
        <v>1</v>
      </c>
      <c r="AB17" s="65">
        <v>1</v>
      </c>
      <c r="AC17" s="65">
        <v>1</v>
      </c>
      <c r="AD17" s="65">
        <v>1</v>
      </c>
      <c r="AE17" s="65">
        <v>1</v>
      </c>
      <c r="AF17" s="65">
        <v>1</v>
      </c>
      <c r="AG17" s="65">
        <v>1</v>
      </c>
    </row>
    <row r="18" spans="1:38" ht="14">
      <c r="A18" s="65"/>
      <c r="B18" s="65" t="s">
        <v>77</v>
      </c>
      <c r="C18" s="169"/>
      <c r="D18" s="155" t="s">
        <v>175</v>
      </c>
      <c r="E18" s="170" t="s">
        <v>176</v>
      </c>
      <c r="F18" s="157" t="str">
        <f ca="1">IFERROR(__xludf.DUMMYFUNCTION("INDEX(SPLIT(E18,""/""),,COUNTA(SPLIT(E18,""/"")))"),"1724014055705227380")</f>
        <v>1724014055705227380</v>
      </c>
      <c r="G18" s="165" t="s">
        <v>177</v>
      </c>
      <c r="H18" s="168" t="s">
        <v>174</v>
      </c>
      <c r="I18" s="65" t="s">
        <v>81</v>
      </c>
      <c r="J18" s="106" t="s">
        <v>138</v>
      </c>
      <c r="K18" s="106" t="s">
        <v>138</v>
      </c>
      <c r="L18" s="159">
        <v>1</v>
      </c>
      <c r="M18" s="65">
        <v>3</v>
      </c>
      <c r="N18" s="65">
        <v>3</v>
      </c>
      <c r="O18" s="65">
        <v>1</v>
      </c>
      <c r="P18" s="65">
        <v>2</v>
      </c>
      <c r="Q18" s="65">
        <v>1</v>
      </c>
      <c r="R18" s="65">
        <v>1</v>
      </c>
      <c r="S18" s="65">
        <v>2</v>
      </c>
      <c r="T18" s="65">
        <v>1</v>
      </c>
      <c r="U18" s="65">
        <v>2</v>
      </c>
      <c r="V18" s="65">
        <v>1</v>
      </c>
      <c r="W18" s="159">
        <v>1</v>
      </c>
      <c r="X18" s="65">
        <v>1</v>
      </c>
      <c r="Y18" s="65">
        <v>1</v>
      </c>
      <c r="Z18" s="65">
        <v>1</v>
      </c>
      <c r="AA18" s="65">
        <v>1</v>
      </c>
      <c r="AB18" s="65">
        <v>1</v>
      </c>
      <c r="AC18" s="65">
        <v>1</v>
      </c>
      <c r="AD18" s="65">
        <v>2</v>
      </c>
      <c r="AE18" s="65">
        <v>1</v>
      </c>
      <c r="AF18" s="65">
        <v>1</v>
      </c>
      <c r="AG18" s="65">
        <v>1</v>
      </c>
      <c r="AH18" s="48"/>
      <c r="AI18" s="48"/>
      <c r="AJ18" s="48"/>
      <c r="AK18" s="48"/>
      <c r="AL18" s="48"/>
    </row>
    <row r="19" spans="1:38" ht="14">
      <c r="A19" s="65"/>
      <c r="B19" s="65" t="s">
        <v>77</v>
      </c>
      <c r="C19" s="169"/>
      <c r="D19" s="155" t="s">
        <v>178</v>
      </c>
      <c r="E19" s="170" t="s">
        <v>179</v>
      </c>
      <c r="F19" s="157" t="str">
        <f ca="1">IFERROR(__xludf.DUMMYFUNCTION("INDEX(SPLIT(E19,""/""),,COUNTA(SPLIT(E19,""/"")))"),"1719287930286375233")</f>
        <v>1719287930286375233</v>
      </c>
      <c r="G19" s="165" t="s">
        <v>177</v>
      </c>
      <c r="H19" s="172" t="s">
        <v>174</v>
      </c>
      <c r="I19" s="76" t="s">
        <v>81</v>
      </c>
      <c r="J19" s="106" t="s">
        <v>138</v>
      </c>
      <c r="K19" s="106" t="s">
        <v>138</v>
      </c>
      <c r="L19" s="159">
        <v>1</v>
      </c>
      <c r="M19" s="76">
        <v>1</v>
      </c>
      <c r="N19" s="76">
        <v>3</v>
      </c>
      <c r="O19" s="76">
        <v>1</v>
      </c>
      <c r="P19" s="76">
        <v>1</v>
      </c>
      <c r="Q19" s="76">
        <v>2</v>
      </c>
      <c r="R19" s="76">
        <v>1</v>
      </c>
      <c r="S19" s="76">
        <v>2</v>
      </c>
      <c r="T19" s="76">
        <v>1</v>
      </c>
      <c r="U19" s="76">
        <v>2</v>
      </c>
      <c r="V19" s="76">
        <v>1</v>
      </c>
      <c r="W19" s="159">
        <v>1</v>
      </c>
      <c r="X19" s="76">
        <v>1</v>
      </c>
      <c r="Y19" s="76">
        <v>1</v>
      </c>
      <c r="Z19" s="76">
        <v>1</v>
      </c>
      <c r="AA19" s="76">
        <v>1</v>
      </c>
      <c r="AB19" s="76">
        <v>1</v>
      </c>
      <c r="AC19" s="76">
        <v>1</v>
      </c>
      <c r="AD19" s="76">
        <v>2</v>
      </c>
      <c r="AE19" s="76">
        <v>1</v>
      </c>
      <c r="AF19" s="76">
        <v>1</v>
      </c>
      <c r="AG19" s="76">
        <v>1</v>
      </c>
      <c r="AH19" s="69"/>
      <c r="AI19" s="69"/>
      <c r="AJ19" s="69"/>
      <c r="AK19" s="69"/>
      <c r="AL19" s="69"/>
    </row>
    <row r="20" spans="1:38" ht="14">
      <c r="A20" s="65"/>
      <c r="B20" s="65" t="s">
        <v>77</v>
      </c>
      <c r="C20" s="70"/>
      <c r="D20" s="155" t="s">
        <v>180</v>
      </c>
      <c r="E20" s="173" t="s">
        <v>181</v>
      </c>
      <c r="F20" s="157" t="str">
        <f ca="1">IFERROR(__xludf.DUMMYFUNCTION("INDEX(SPLIT(E20,""/""),,COUNTA(SPLIT(E20,""/"")))"),"1724065501750452561")</f>
        <v>1724065501750452561</v>
      </c>
      <c r="G20" s="165" t="s">
        <v>177</v>
      </c>
      <c r="H20" s="172" t="s">
        <v>174</v>
      </c>
      <c r="I20" s="65" t="s">
        <v>81</v>
      </c>
      <c r="J20" s="106" t="s">
        <v>138</v>
      </c>
      <c r="K20" s="106" t="s">
        <v>138</v>
      </c>
      <c r="L20" s="159">
        <v>1</v>
      </c>
      <c r="M20" s="65">
        <v>1</v>
      </c>
      <c r="N20" s="65">
        <v>3</v>
      </c>
      <c r="O20" s="65">
        <v>1</v>
      </c>
      <c r="P20" s="65">
        <v>1</v>
      </c>
      <c r="Q20" s="65">
        <v>1</v>
      </c>
      <c r="R20" s="65">
        <v>1</v>
      </c>
      <c r="S20" s="65">
        <v>2</v>
      </c>
      <c r="T20" s="65">
        <v>1</v>
      </c>
      <c r="U20" s="65">
        <v>2</v>
      </c>
      <c r="V20" s="76">
        <v>1</v>
      </c>
      <c r="W20" s="159">
        <v>1</v>
      </c>
      <c r="X20" s="65">
        <v>1</v>
      </c>
      <c r="Y20" s="65">
        <v>1</v>
      </c>
      <c r="Z20" s="65">
        <v>1</v>
      </c>
      <c r="AA20" s="65">
        <v>1</v>
      </c>
      <c r="AB20" s="65">
        <v>1</v>
      </c>
      <c r="AC20" s="65">
        <v>1</v>
      </c>
      <c r="AD20" s="65">
        <v>2</v>
      </c>
      <c r="AE20" s="65">
        <v>1</v>
      </c>
      <c r="AF20" s="65">
        <v>1</v>
      </c>
      <c r="AG20" s="65">
        <v>1</v>
      </c>
      <c r="AH20" s="4"/>
      <c r="AI20" s="4"/>
      <c r="AJ20" s="4"/>
      <c r="AK20" s="4"/>
      <c r="AL20" s="4"/>
    </row>
    <row r="21" spans="1:38" ht="14">
      <c r="A21" s="106"/>
      <c r="B21" s="65" t="s">
        <v>77</v>
      </c>
      <c r="C21" s="169"/>
      <c r="D21" s="155" t="s">
        <v>182</v>
      </c>
      <c r="E21" s="170" t="s">
        <v>183</v>
      </c>
      <c r="F21" s="157" t="str">
        <f ca="1">IFERROR(__xludf.DUMMYFUNCTION("INDEX(SPLIT(E21,""/""),,COUNTA(SPLIT(E21,""/"")))"),"1715389024230166698")</f>
        <v>1715389024230166698</v>
      </c>
      <c r="G21" s="70" t="s">
        <v>184</v>
      </c>
      <c r="H21" s="106" t="s">
        <v>174</v>
      </c>
      <c r="I21" s="65" t="s">
        <v>81</v>
      </c>
      <c r="J21" s="106" t="s">
        <v>138</v>
      </c>
      <c r="K21" s="106" t="s">
        <v>138</v>
      </c>
      <c r="L21" s="159">
        <v>1</v>
      </c>
      <c r="M21" s="76">
        <v>1</v>
      </c>
      <c r="N21" s="76">
        <v>1</v>
      </c>
      <c r="O21" s="76">
        <v>1</v>
      </c>
      <c r="P21" s="76">
        <v>1</v>
      </c>
      <c r="Q21" s="76">
        <v>1</v>
      </c>
      <c r="R21" s="76">
        <v>2</v>
      </c>
      <c r="S21" s="76">
        <v>2</v>
      </c>
      <c r="T21" s="76">
        <v>1</v>
      </c>
      <c r="U21" s="76">
        <v>2</v>
      </c>
      <c r="V21" s="162">
        <v>1</v>
      </c>
      <c r="W21" s="159">
        <v>1</v>
      </c>
      <c r="X21" s="76">
        <v>3</v>
      </c>
      <c r="Y21" s="76">
        <v>1</v>
      </c>
      <c r="Z21" s="76">
        <v>2</v>
      </c>
      <c r="AA21" s="76">
        <v>2</v>
      </c>
      <c r="AB21" s="76">
        <v>1</v>
      </c>
      <c r="AC21" s="76">
        <v>1</v>
      </c>
      <c r="AD21" s="76">
        <v>3</v>
      </c>
      <c r="AE21" s="76">
        <v>2</v>
      </c>
      <c r="AF21" s="76">
        <v>1</v>
      </c>
      <c r="AG21" s="76">
        <v>1</v>
      </c>
      <c r="AH21" s="4"/>
      <c r="AI21" s="4"/>
      <c r="AJ21" s="4"/>
      <c r="AK21" s="4"/>
      <c r="AL21" s="4"/>
    </row>
    <row r="22" spans="1:38" ht="14">
      <c r="A22" s="106"/>
      <c r="B22" s="65" t="s">
        <v>77</v>
      </c>
      <c r="C22" s="169"/>
      <c r="D22" s="155" t="s">
        <v>185</v>
      </c>
      <c r="E22" s="170" t="s">
        <v>186</v>
      </c>
      <c r="F22" s="157" t="str">
        <f ca="1">IFERROR(__xludf.DUMMYFUNCTION("INDEX(SPLIT(E22,""/""),,COUNTA(SPLIT(E22,""/"")))"),"1723986697929531399")</f>
        <v>1723986697929531399</v>
      </c>
      <c r="G22" s="70" t="s">
        <v>187</v>
      </c>
      <c r="H22" s="106" t="s">
        <v>174</v>
      </c>
      <c r="I22" s="65" t="s">
        <v>81</v>
      </c>
      <c r="J22" s="106" t="s">
        <v>138</v>
      </c>
      <c r="K22" s="106" t="s">
        <v>138</v>
      </c>
      <c r="L22" s="159">
        <v>1</v>
      </c>
      <c r="M22" s="76">
        <v>1</v>
      </c>
      <c r="N22" s="76">
        <v>2</v>
      </c>
      <c r="O22" s="76">
        <v>2</v>
      </c>
      <c r="P22" s="76">
        <v>1</v>
      </c>
      <c r="Q22" s="76">
        <v>1</v>
      </c>
      <c r="R22" s="76">
        <v>2</v>
      </c>
      <c r="S22" s="76">
        <v>3</v>
      </c>
      <c r="T22" s="76">
        <v>2</v>
      </c>
      <c r="U22" s="76">
        <v>2</v>
      </c>
      <c r="V22" s="162">
        <v>2</v>
      </c>
      <c r="W22" s="159">
        <v>1</v>
      </c>
      <c r="X22" s="76">
        <v>3</v>
      </c>
      <c r="Y22" s="76">
        <v>1</v>
      </c>
      <c r="Z22" s="76">
        <v>3</v>
      </c>
      <c r="AA22" s="76">
        <v>2</v>
      </c>
      <c r="AB22" s="76">
        <v>1</v>
      </c>
      <c r="AC22" s="76">
        <v>3</v>
      </c>
      <c r="AD22" s="76">
        <v>3</v>
      </c>
      <c r="AE22" s="76">
        <v>3</v>
      </c>
      <c r="AF22" s="76">
        <v>3</v>
      </c>
      <c r="AG22" s="76">
        <v>1</v>
      </c>
      <c r="AH22" s="4"/>
      <c r="AI22" s="4"/>
      <c r="AJ22" s="4"/>
      <c r="AK22" s="4"/>
      <c r="AL22" s="4"/>
    </row>
    <row r="23" spans="1:38" ht="14">
      <c r="A23" s="106" t="s">
        <v>188</v>
      </c>
      <c r="B23" s="65" t="s">
        <v>77</v>
      </c>
      <c r="C23" s="169"/>
      <c r="D23" s="155" t="s">
        <v>189</v>
      </c>
      <c r="E23" s="170" t="s">
        <v>190</v>
      </c>
      <c r="F23" s="157" t="str">
        <f ca="1">IFERROR(__xludf.DUMMYFUNCTION("INDEX(SPLIT(E23,""/""),,COUNTA(SPLIT(E23,""/"")))"),"1714720877017760165")</f>
        <v>1714720877017760165</v>
      </c>
      <c r="G23" s="70" t="s">
        <v>191</v>
      </c>
      <c r="H23" s="106" t="s">
        <v>174</v>
      </c>
      <c r="I23" s="76" t="s">
        <v>70</v>
      </c>
      <c r="J23" s="106" t="s">
        <v>138</v>
      </c>
      <c r="K23" s="106" t="s">
        <v>146</v>
      </c>
      <c r="L23" s="159">
        <v>3</v>
      </c>
      <c r="M23" s="76"/>
      <c r="N23" s="76"/>
      <c r="O23" s="76"/>
      <c r="P23" s="76"/>
      <c r="Q23" s="76"/>
      <c r="R23" s="76"/>
      <c r="S23" s="76"/>
      <c r="T23" s="76"/>
      <c r="U23" s="76"/>
      <c r="V23" s="162"/>
      <c r="W23" s="159"/>
      <c r="X23" s="76"/>
      <c r="Y23" s="76"/>
      <c r="Z23" s="76"/>
      <c r="AA23" s="76"/>
      <c r="AB23" s="76"/>
      <c r="AC23" s="76"/>
      <c r="AD23" s="76"/>
      <c r="AE23" s="76"/>
      <c r="AF23" s="76"/>
      <c r="AG23" s="76"/>
      <c r="AH23" s="4"/>
      <c r="AI23" s="4"/>
      <c r="AJ23" s="4"/>
      <c r="AK23" s="4"/>
      <c r="AL23" s="4"/>
    </row>
    <row r="24" spans="1:38" ht="14">
      <c r="A24" s="65"/>
      <c r="B24" s="65" t="s">
        <v>66</v>
      </c>
      <c r="C24" s="70" t="s">
        <v>76</v>
      </c>
      <c r="D24" s="155" t="s">
        <v>192</v>
      </c>
      <c r="E24" s="173" t="s">
        <v>193</v>
      </c>
      <c r="F24" s="157">
        <f ca="1">IFERROR(__xludf.DUMMYFUNCTION("INDEX(SPLIT(E24,""/""),,COUNTA(SPLIT(E24,""/"")))"),1)</f>
        <v>1</v>
      </c>
      <c r="G24" s="165" t="s">
        <v>194</v>
      </c>
      <c r="H24" s="76" t="s">
        <v>80</v>
      </c>
      <c r="I24" s="76" t="s">
        <v>81</v>
      </c>
      <c r="J24" s="106" t="s">
        <v>138</v>
      </c>
      <c r="K24" s="106" t="s">
        <v>138</v>
      </c>
      <c r="L24" s="159">
        <v>1</v>
      </c>
      <c r="M24" s="76">
        <v>3</v>
      </c>
      <c r="N24" s="76">
        <v>2</v>
      </c>
      <c r="O24" s="76">
        <v>1</v>
      </c>
      <c r="P24" s="76">
        <v>1</v>
      </c>
      <c r="Q24" s="76">
        <v>1</v>
      </c>
      <c r="R24" s="76">
        <v>1</v>
      </c>
      <c r="S24" s="76">
        <v>3</v>
      </c>
      <c r="T24" s="76">
        <v>3</v>
      </c>
      <c r="U24" s="76">
        <v>3</v>
      </c>
      <c r="V24" s="159">
        <v>3</v>
      </c>
      <c r="W24" s="159">
        <v>1</v>
      </c>
      <c r="X24" s="76">
        <v>1</v>
      </c>
      <c r="Y24" s="76">
        <v>3</v>
      </c>
      <c r="Z24" s="76">
        <v>1</v>
      </c>
      <c r="AA24" s="76">
        <v>1</v>
      </c>
      <c r="AB24" s="76">
        <v>1</v>
      </c>
      <c r="AC24" s="76">
        <v>1</v>
      </c>
      <c r="AD24" s="76">
        <v>3</v>
      </c>
      <c r="AE24" s="76">
        <v>1</v>
      </c>
      <c r="AF24" s="76">
        <v>1</v>
      </c>
      <c r="AG24" s="76">
        <v>1</v>
      </c>
      <c r="AH24" s="69"/>
      <c r="AI24" s="69"/>
      <c r="AJ24" s="69"/>
      <c r="AK24" s="69"/>
      <c r="AL24" s="69"/>
    </row>
    <row r="25" spans="1:38" ht="14">
      <c r="A25" s="65"/>
      <c r="B25" s="65" t="s">
        <v>66</v>
      </c>
      <c r="C25" s="70" t="s">
        <v>76</v>
      </c>
      <c r="D25" s="155" t="s">
        <v>195</v>
      </c>
      <c r="E25" s="174" t="s">
        <v>196</v>
      </c>
      <c r="F25" s="157" t="str">
        <f ca="1">IFERROR(__xludf.DUMMYFUNCTION("INDEX(SPLIT(E25,""/""),,COUNTA(SPLIT(E25,""/"")))"),"1497689664530042880")</f>
        <v>1497689664530042880</v>
      </c>
      <c r="G25" s="165" t="s">
        <v>197</v>
      </c>
      <c r="H25" s="175" t="s">
        <v>80</v>
      </c>
      <c r="I25" s="76" t="s">
        <v>70</v>
      </c>
      <c r="J25" s="106" t="s">
        <v>138</v>
      </c>
      <c r="K25" s="106" t="s">
        <v>138</v>
      </c>
      <c r="L25" s="159">
        <v>1</v>
      </c>
      <c r="M25" s="76">
        <v>3</v>
      </c>
      <c r="N25" s="76">
        <v>3</v>
      </c>
      <c r="O25" s="76">
        <v>3</v>
      </c>
      <c r="P25" s="76">
        <v>1</v>
      </c>
      <c r="Q25" s="76">
        <v>1</v>
      </c>
      <c r="R25" s="76">
        <v>3</v>
      </c>
      <c r="S25" s="76">
        <v>3</v>
      </c>
      <c r="T25" s="76">
        <v>3</v>
      </c>
      <c r="U25" s="76">
        <v>3</v>
      </c>
      <c r="V25" s="162">
        <v>3</v>
      </c>
      <c r="W25" s="159">
        <v>1</v>
      </c>
      <c r="X25" s="76">
        <v>1</v>
      </c>
      <c r="Y25" s="76">
        <v>2</v>
      </c>
      <c r="Z25" s="76">
        <v>1</v>
      </c>
      <c r="AA25" s="76">
        <v>1</v>
      </c>
      <c r="AB25" s="76">
        <v>1</v>
      </c>
      <c r="AC25" s="76">
        <v>1</v>
      </c>
      <c r="AD25" s="76">
        <v>3</v>
      </c>
      <c r="AE25" s="76">
        <v>2</v>
      </c>
      <c r="AF25" s="76">
        <v>3</v>
      </c>
      <c r="AG25" s="76">
        <v>2</v>
      </c>
      <c r="AH25" s="4"/>
      <c r="AI25" s="4"/>
      <c r="AJ25" s="4"/>
      <c r="AK25" s="4"/>
      <c r="AL25" s="4"/>
    </row>
    <row r="26" spans="1:38" ht="14">
      <c r="A26" s="65"/>
      <c r="B26" s="65" t="s">
        <v>66</v>
      </c>
      <c r="C26" s="70" t="s">
        <v>76</v>
      </c>
      <c r="D26" s="155" t="s">
        <v>198</v>
      </c>
      <c r="E26" s="173" t="s">
        <v>199</v>
      </c>
      <c r="F26" s="157" t="str">
        <f ca="1">IFERROR(__xludf.DUMMYFUNCTION("INDEX(SPLIT(E26,""/""),,COUNTA(SPLIT(E26,""/"")))"),"1555721053938253829")</f>
        <v>1555721053938253829</v>
      </c>
      <c r="G26" s="165" t="s">
        <v>200</v>
      </c>
      <c r="H26" s="76" t="s">
        <v>80</v>
      </c>
      <c r="I26" s="76" t="s">
        <v>70</v>
      </c>
      <c r="J26" s="106" t="s">
        <v>138</v>
      </c>
      <c r="K26" s="106" t="s">
        <v>138</v>
      </c>
      <c r="L26" s="159">
        <v>3</v>
      </c>
      <c r="M26" s="76"/>
      <c r="N26" s="76"/>
      <c r="O26" s="76"/>
      <c r="P26" s="76"/>
      <c r="Q26" s="76"/>
      <c r="R26" s="76"/>
      <c r="S26" s="76"/>
      <c r="T26" s="76"/>
      <c r="U26" s="76"/>
      <c r="V26" s="162"/>
      <c r="W26" s="159"/>
      <c r="X26" s="76"/>
      <c r="Y26" s="76"/>
      <c r="Z26" s="76"/>
      <c r="AA26" s="76"/>
      <c r="AB26" s="76"/>
      <c r="AC26" s="76"/>
      <c r="AD26" s="76"/>
      <c r="AE26" s="76"/>
      <c r="AF26" s="76"/>
      <c r="AG26" s="76"/>
      <c r="AH26" s="4"/>
      <c r="AI26" s="4"/>
      <c r="AJ26" s="4"/>
      <c r="AK26" s="4"/>
      <c r="AL26" s="4"/>
    </row>
    <row r="27" spans="1:38" ht="14">
      <c r="A27" s="65"/>
      <c r="B27" s="65" t="s">
        <v>66</v>
      </c>
      <c r="C27" s="70" t="s">
        <v>76</v>
      </c>
      <c r="D27" s="155" t="s">
        <v>201</v>
      </c>
      <c r="E27" s="173" t="s">
        <v>202</v>
      </c>
      <c r="F27" s="157" t="str">
        <f ca="1">IFERROR(__xludf.DUMMYFUNCTION("INDEX(SPLIT(E27,""/""),,COUNTA(SPLIT(E27,""/"")))"),"1576409629147660288")</f>
        <v>1576409629147660288</v>
      </c>
      <c r="G27" s="165" t="s">
        <v>203</v>
      </c>
      <c r="H27" s="175" t="s">
        <v>80</v>
      </c>
      <c r="I27" s="65" t="s">
        <v>70</v>
      </c>
      <c r="J27" s="106" t="s">
        <v>138</v>
      </c>
      <c r="K27" s="106" t="s">
        <v>146</v>
      </c>
      <c r="L27" s="159">
        <v>3</v>
      </c>
      <c r="M27" s="76"/>
      <c r="N27" s="76"/>
      <c r="O27" s="76"/>
      <c r="P27" s="76"/>
      <c r="Q27" s="76"/>
      <c r="R27" s="76"/>
      <c r="S27" s="76"/>
      <c r="T27" s="76"/>
      <c r="U27" s="76"/>
      <c r="V27" s="162"/>
      <c r="W27" s="159"/>
      <c r="X27" s="76"/>
      <c r="Y27" s="76"/>
      <c r="Z27" s="76"/>
      <c r="AA27" s="76"/>
      <c r="AB27" s="76"/>
      <c r="AC27" s="76"/>
      <c r="AD27" s="76"/>
      <c r="AE27" s="76"/>
      <c r="AF27" s="76"/>
      <c r="AG27" s="76"/>
      <c r="AH27" s="4"/>
      <c r="AI27" s="4"/>
      <c r="AJ27" s="4"/>
      <c r="AK27" s="4"/>
      <c r="AL27" s="4"/>
    </row>
    <row r="28" spans="1:38" ht="14">
      <c r="A28" s="65" t="s">
        <v>133</v>
      </c>
      <c r="B28" s="65" t="s">
        <v>66</v>
      </c>
      <c r="C28" s="70" t="s">
        <v>76</v>
      </c>
      <c r="D28" s="155" t="s">
        <v>204</v>
      </c>
      <c r="E28" s="170" t="s">
        <v>205</v>
      </c>
      <c r="F28" s="157" t="str">
        <f ca="1">IFERROR(__xludf.DUMMYFUNCTION("INDEX(SPLIT(E28,""/""),,COUNTA(SPLIT(E28,""/"")))"),"1565807467765932033")</f>
        <v>1565807467765932033</v>
      </c>
      <c r="G28" s="165" t="s">
        <v>206</v>
      </c>
      <c r="H28" s="106" t="s">
        <v>80</v>
      </c>
      <c r="I28" s="159" t="s">
        <v>81</v>
      </c>
      <c r="J28" s="106" t="s">
        <v>138</v>
      </c>
      <c r="K28" s="106" t="s">
        <v>138</v>
      </c>
      <c r="L28" s="159">
        <v>1</v>
      </c>
      <c r="M28" s="76">
        <v>1</v>
      </c>
      <c r="N28" s="76">
        <v>1</v>
      </c>
      <c r="O28" s="76">
        <v>1</v>
      </c>
      <c r="P28" s="76">
        <v>1</v>
      </c>
      <c r="Q28" s="76">
        <v>1</v>
      </c>
      <c r="R28" s="76">
        <v>1</v>
      </c>
      <c r="S28" s="76">
        <v>1</v>
      </c>
      <c r="T28" s="76">
        <v>1</v>
      </c>
      <c r="U28" s="76">
        <v>1</v>
      </c>
      <c r="V28" s="162">
        <v>1</v>
      </c>
      <c r="W28" s="159">
        <v>1</v>
      </c>
      <c r="X28" s="76">
        <v>1</v>
      </c>
      <c r="Y28" s="76">
        <v>1</v>
      </c>
      <c r="Z28" s="76">
        <v>1</v>
      </c>
      <c r="AA28" s="76">
        <v>1</v>
      </c>
      <c r="AB28" s="76">
        <v>1</v>
      </c>
      <c r="AC28" s="76">
        <v>1</v>
      </c>
      <c r="AD28" s="76">
        <v>1</v>
      </c>
      <c r="AE28" s="76">
        <v>1</v>
      </c>
      <c r="AF28" s="76">
        <v>1</v>
      </c>
      <c r="AG28" s="76">
        <v>1</v>
      </c>
      <c r="AH28" s="4"/>
      <c r="AI28" s="4"/>
      <c r="AJ28" s="4"/>
      <c r="AK28" s="4"/>
      <c r="AL28" s="4"/>
    </row>
    <row r="29" spans="1:38" ht="14">
      <c r="A29" s="65" t="s">
        <v>133</v>
      </c>
      <c r="B29" s="65" t="s">
        <v>66</v>
      </c>
      <c r="C29" s="70" t="s">
        <v>76</v>
      </c>
      <c r="D29" s="155" t="s">
        <v>207</v>
      </c>
      <c r="E29" s="170" t="s">
        <v>208</v>
      </c>
      <c r="F29" s="157" t="str">
        <f ca="1">IFERROR(__xludf.DUMMYFUNCTION("INDEX(SPLIT(E29,""/""),,COUNTA(SPLIT(E29,""/"")))"),"1605199916519018497")</f>
        <v>1605199916519018497</v>
      </c>
      <c r="G29" s="165" t="s">
        <v>206</v>
      </c>
      <c r="H29" s="106" t="s">
        <v>80</v>
      </c>
      <c r="I29" s="163" t="s">
        <v>81</v>
      </c>
      <c r="J29" s="106" t="s">
        <v>138</v>
      </c>
      <c r="K29" s="106" t="s">
        <v>138</v>
      </c>
      <c r="L29" s="159">
        <v>1</v>
      </c>
      <c r="M29" s="76">
        <v>2</v>
      </c>
      <c r="N29" s="76">
        <v>2</v>
      </c>
      <c r="O29" s="76">
        <v>1</v>
      </c>
      <c r="P29" s="76">
        <v>1</v>
      </c>
      <c r="Q29" s="76">
        <v>1</v>
      </c>
      <c r="R29" s="76">
        <v>1</v>
      </c>
      <c r="S29" s="76">
        <v>2</v>
      </c>
      <c r="T29" s="76">
        <v>2</v>
      </c>
      <c r="U29" s="76">
        <v>1</v>
      </c>
      <c r="V29" s="162">
        <v>2</v>
      </c>
      <c r="W29" s="159">
        <v>1</v>
      </c>
      <c r="X29" s="76">
        <v>1</v>
      </c>
      <c r="Y29" s="76">
        <v>1</v>
      </c>
      <c r="Z29" s="76">
        <v>1</v>
      </c>
      <c r="AA29" s="76">
        <v>1</v>
      </c>
      <c r="AB29" s="76">
        <v>1</v>
      </c>
      <c r="AC29" s="76">
        <v>1</v>
      </c>
      <c r="AD29" s="76">
        <v>2</v>
      </c>
      <c r="AE29" s="76">
        <v>1</v>
      </c>
      <c r="AF29" s="76">
        <v>2</v>
      </c>
      <c r="AG29" s="76">
        <v>1</v>
      </c>
      <c r="AH29" s="4"/>
      <c r="AI29" s="4"/>
      <c r="AJ29" s="4"/>
      <c r="AK29" s="4"/>
      <c r="AL29" s="4"/>
    </row>
    <row r="30" spans="1:38" ht="14">
      <c r="A30" s="65" t="s">
        <v>133</v>
      </c>
      <c r="B30" s="65" t="s">
        <v>66</v>
      </c>
      <c r="C30" s="176" t="s">
        <v>76</v>
      </c>
      <c r="D30" s="155" t="s">
        <v>209</v>
      </c>
      <c r="E30" s="164" t="s">
        <v>210</v>
      </c>
      <c r="F30" s="157" t="str">
        <f ca="1">IFERROR(__xludf.DUMMYFUNCTION("INDEX(SPLIT(E30,""/""),,COUNTA(SPLIT(E30,""/"")))"),"1743715113859739833")</f>
        <v>1743715113859739833</v>
      </c>
      <c r="G30" s="165" t="s">
        <v>85</v>
      </c>
      <c r="H30" s="106" t="s">
        <v>80</v>
      </c>
      <c r="I30" s="65" t="s">
        <v>81</v>
      </c>
      <c r="J30" s="106" t="s">
        <v>138</v>
      </c>
      <c r="K30" s="106" t="s">
        <v>138</v>
      </c>
      <c r="L30" s="159">
        <v>1</v>
      </c>
      <c r="M30" s="76">
        <v>1</v>
      </c>
      <c r="N30" s="76">
        <v>3</v>
      </c>
      <c r="O30" s="76">
        <v>2</v>
      </c>
      <c r="P30" s="76">
        <v>2</v>
      </c>
      <c r="Q30" s="76">
        <v>3</v>
      </c>
      <c r="R30" s="76">
        <v>1</v>
      </c>
      <c r="S30" s="76">
        <v>3</v>
      </c>
      <c r="T30" s="76">
        <v>3</v>
      </c>
      <c r="U30" s="76">
        <v>3</v>
      </c>
      <c r="V30" s="162">
        <v>3</v>
      </c>
      <c r="W30" s="159">
        <v>2</v>
      </c>
      <c r="X30" s="76">
        <v>1</v>
      </c>
      <c r="Y30" s="76">
        <v>1</v>
      </c>
      <c r="Z30" s="76">
        <v>1</v>
      </c>
      <c r="AA30" s="76">
        <v>1</v>
      </c>
      <c r="AB30" s="76">
        <v>1</v>
      </c>
      <c r="AC30" s="76">
        <v>1</v>
      </c>
      <c r="AD30" s="76">
        <v>3</v>
      </c>
      <c r="AE30" s="76">
        <v>1</v>
      </c>
      <c r="AF30" s="76">
        <v>3</v>
      </c>
      <c r="AG30" s="76">
        <v>1</v>
      </c>
      <c r="AH30" s="4"/>
      <c r="AI30" s="4"/>
      <c r="AJ30" s="4"/>
      <c r="AK30" s="4"/>
      <c r="AL30" s="4"/>
    </row>
    <row r="31" spans="1:38" ht="14">
      <c r="A31" s="65" t="s">
        <v>133</v>
      </c>
      <c r="B31" s="65" t="s">
        <v>66</v>
      </c>
      <c r="C31" s="176" t="s">
        <v>76</v>
      </c>
      <c r="D31" s="155" t="s">
        <v>211</v>
      </c>
      <c r="E31" s="164" t="s">
        <v>212</v>
      </c>
      <c r="F31" s="157" t="str">
        <f ca="1">IFERROR(__xludf.DUMMYFUNCTION("INDEX(SPLIT(E31,""/""),,COUNTA(SPLIT(E31,""/"")))"),"1743701090569208244")</f>
        <v>1743701090569208244</v>
      </c>
      <c r="G31" s="165" t="s">
        <v>85</v>
      </c>
      <c r="H31" s="106" t="s">
        <v>80</v>
      </c>
      <c r="I31" s="65" t="s">
        <v>70</v>
      </c>
      <c r="J31" s="106" t="s">
        <v>138</v>
      </c>
      <c r="K31" s="106" t="s">
        <v>138</v>
      </c>
      <c r="L31" s="159">
        <v>1</v>
      </c>
      <c r="M31" s="76">
        <v>3</v>
      </c>
      <c r="N31" s="76">
        <v>3</v>
      </c>
      <c r="O31" s="76">
        <v>2</v>
      </c>
      <c r="P31" s="76">
        <v>1</v>
      </c>
      <c r="Q31" s="76">
        <v>1</v>
      </c>
      <c r="R31" s="76">
        <v>1</v>
      </c>
      <c r="S31" s="76">
        <v>3</v>
      </c>
      <c r="T31" s="76">
        <v>3</v>
      </c>
      <c r="U31" s="76">
        <v>2</v>
      </c>
      <c r="V31" s="162">
        <v>3</v>
      </c>
      <c r="W31" s="159">
        <v>2</v>
      </c>
      <c r="X31" s="76">
        <v>1</v>
      </c>
      <c r="Y31" s="76">
        <v>1</v>
      </c>
      <c r="Z31" s="76">
        <v>1</v>
      </c>
      <c r="AA31" s="76">
        <v>1</v>
      </c>
      <c r="AB31" s="76">
        <v>1</v>
      </c>
      <c r="AC31" s="76">
        <v>1</v>
      </c>
      <c r="AD31" s="76">
        <v>3</v>
      </c>
      <c r="AE31" s="76">
        <v>3</v>
      </c>
      <c r="AF31" s="76">
        <v>3</v>
      </c>
      <c r="AG31" s="76">
        <v>1</v>
      </c>
      <c r="AH31" s="4"/>
      <c r="AI31" s="4"/>
      <c r="AJ31" s="4"/>
      <c r="AK31" s="4"/>
      <c r="AL31" s="4"/>
    </row>
    <row r="32" spans="1:38" ht="14">
      <c r="A32" s="106"/>
      <c r="B32" s="65" t="s">
        <v>66</v>
      </c>
      <c r="C32" s="176" t="s">
        <v>76</v>
      </c>
      <c r="D32" s="155" t="s">
        <v>213</v>
      </c>
      <c r="E32" s="164" t="s">
        <v>214</v>
      </c>
      <c r="F32" s="157" t="str">
        <f ca="1">IFERROR(__xludf.DUMMYFUNCTION("INDEX(SPLIT(E32,""/""),,COUNTA(SPLIT(E32,""/"")))"),"1563780511604117504")</f>
        <v>1563780511604117504</v>
      </c>
      <c r="G32" s="165" t="s">
        <v>194</v>
      </c>
      <c r="H32" s="76" t="s">
        <v>80</v>
      </c>
      <c r="I32" s="65" t="s">
        <v>70</v>
      </c>
      <c r="J32" s="106" t="s">
        <v>146</v>
      </c>
      <c r="K32" s="106" t="s">
        <v>146</v>
      </c>
      <c r="L32" s="159">
        <v>3</v>
      </c>
      <c r="M32" s="76"/>
      <c r="N32" s="76"/>
      <c r="O32" s="76"/>
      <c r="P32" s="76"/>
      <c r="Q32" s="76"/>
      <c r="R32" s="76"/>
      <c r="S32" s="76"/>
      <c r="T32" s="76"/>
      <c r="U32" s="76"/>
      <c r="V32" s="162"/>
      <c r="W32" s="159"/>
      <c r="X32" s="76"/>
      <c r="Y32" s="76"/>
      <c r="Z32" s="76"/>
      <c r="AA32" s="76"/>
      <c r="AB32" s="76"/>
      <c r="AC32" s="76"/>
      <c r="AD32" s="76"/>
      <c r="AE32" s="76"/>
      <c r="AF32" s="76"/>
      <c r="AG32" s="76"/>
      <c r="AH32" s="4"/>
      <c r="AI32" s="4"/>
      <c r="AJ32" s="4"/>
      <c r="AK32" s="4"/>
      <c r="AL32" s="4"/>
    </row>
    <row r="33" spans="1:38" ht="14">
      <c r="A33" s="65" t="s">
        <v>133</v>
      </c>
      <c r="B33" s="65" t="s">
        <v>66</v>
      </c>
      <c r="C33" s="176" t="s">
        <v>76</v>
      </c>
      <c r="D33" s="155" t="s">
        <v>215</v>
      </c>
      <c r="E33" s="164" t="s">
        <v>216</v>
      </c>
      <c r="F33" s="157" t="str">
        <f ca="1">IFERROR(__xludf.DUMMYFUNCTION("INDEX(SPLIT(E33,""/""),,COUNTA(SPLIT(E33,""/"")))"),"1496254107660738568")</f>
        <v>1496254107660738568</v>
      </c>
      <c r="G33" s="165" t="s">
        <v>217</v>
      </c>
      <c r="H33" s="106" t="s">
        <v>80</v>
      </c>
      <c r="I33" s="65" t="s">
        <v>81</v>
      </c>
      <c r="J33" s="106" t="s">
        <v>138</v>
      </c>
      <c r="K33" s="106" t="s">
        <v>138</v>
      </c>
      <c r="L33" s="159">
        <v>1</v>
      </c>
      <c r="M33" s="76">
        <v>3</v>
      </c>
      <c r="N33" s="76">
        <v>3</v>
      </c>
      <c r="O33" s="76">
        <v>1</v>
      </c>
      <c r="P33" s="76">
        <v>1</v>
      </c>
      <c r="Q33" s="76">
        <v>1</v>
      </c>
      <c r="R33" s="76">
        <v>1</v>
      </c>
      <c r="S33" s="76">
        <v>2</v>
      </c>
      <c r="T33" s="76">
        <v>2</v>
      </c>
      <c r="U33" s="76">
        <v>2</v>
      </c>
      <c r="V33" s="162">
        <v>1</v>
      </c>
      <c r="W33" s="159">
        <v>1</v>
      </c>
      <c r="X33" s="76">
        <v>2</v>
      </c>
      <c r="Y33" s="76">
        <v>1</v>
      </c>
      <c r="Z33" s="76">
        <v>1</v>
      </c>
      <c r="AA33" s="76">
        <v>1</v>
      </c>
      <c r="AB33" s="76">
        <v>1</v>
      </c>
      <c r="AC33" s="76">
        <v>1</v>
      </c>
      <c r="AD33" s="76">
        <v>2</v>
      </c>
      <c r="AE33" s="76">
        <v>1</v>
      </c>
      <c r="AF33" s="76">
        <v>3</v>
      </c>
      <c r="AG33" s="76">
        <v>1</v>
      </c>
      <c r="AH33" s="4"/>
      <c r="AI33" s="4"/>
      <c r="AJ33" s="4"/>
      <c r="AK33" s="4"/>
      <c r="AL33" s="4"/>
    </row>
    <row r="34" spans="1:38" ht="14">
      <c r="A34" s="65" t="s">
        <v>133</v>
      </c>
      <c r="B34" s="106" t="s">
        <v>75</v>
      </c>
      <c r="C34" s="70" t="s">
        <v>73</v>
      </c>
      <c r="D34" s="155" t="s">
        <v>218</v>
      </c>
      <c r="E34" s="164" t="s">
        <v>219</v>
      </c>
      <c r="F34" s="157" t="str">
        <f ca="1">IFERROR(__xludf.DUMMYFUNCTION("INDEX(SPLIT(E34,""/""),,COUNTA(SPLIT(E34,""/"")))"),"1496824540466401287")</f>
        <v>1496824540466401287</v>
      </c>
      <c r="G34" s="70" t="s">
        <v>220</v>
      </c>
      <c r="H34" s="106" t="s">
        <v>80</v>
      </c>
      <c r="I34" s="76" t="s">
        <v>70</v>
      </c>
      <c r="J34" s="106" t="s">
        <v>138</v>
      </c>
      <c r="K34" s="106" t="s">
        <v>138</v>
      </c>
      <c r="L34" s="159">
        <v>1</v>
      </c>
      <c r="M34" s="76">
        <v>3</v>
      </c>
      <c r="N34" s="76">
        <v>3</v>
      </c>
      <c r="O34" s="76">
        <v>1</v>
      </c>
      <c r="P34" s="76">
        <v>3</v>
      </c>
      <c r="Q34" s="76">
        <v>1</v>
      </c>
      <c r="R34" s="76">
        <v>1</v>
      </c>
      <c r="S34" s="76">
        <v>3</v>
      </c>
      <c r="T34" s="76">
        <v>3</v>
      </c>
      <c r="U34" s="76">
        <v>3</v>
      </c>
      <c r="V34" s="162">
        <v>2</v>
      </c>
      <c r="W34" s="159">
        <v>1</v>
      </c>
      <c r="X34" s="76">
        <v>1</v>
      </c>
      <c r="Y34" s="76">
        <v>2</v>
      </c>
      <c r="Z34" s="76">
        <v>1</v>
      </c>
      <c r="AA34" s="76">
        <v>1</v>
      </c>
      <c r="AB34" s="76">
        <v>1</v>
      </c>
      <c r="AC34" s="76">
        <v>1</v>
      </c>
      <c r="AD34" s="76">
        <v>3</v>
      </c>
      <c r="AE34" s="76">
        <v>3</v>
      </c>
      <c r="AF34" s="76">
        <v>3</v>
      </c>
      <c r="AG34" s="76">
        <v>1</v>
      </c>
      <c r="AH34" s="4"/>
      <c r="AI34" s="4"/>
      <c r="AJ34" s="4"/>
      <c r="AK34" s="4"/>
      <c r="AL34" s="4"/>
    </row>
    <row r="35" spans="1:38" ht="14">
      <c r="A35" s="65" t="s">
        <v>133</v>
      </c>
      <c r="B35" s="106" t="s">
        <v>75</v>
      </c>
      <c r="C35" s="70" t="s">
        <v>73</v>
      </c>
      <c r="D35" s="155" t="s">
        <v>221</v>
      </c>
      <c r="E35" s="164" t="s">
        <v>222</v>
      </c>
      <c r="F35" s="157" t="str">
        <f ca="1">IFERROR(__xludf.DUMMYFUNCTION("INDEX(SPLIT(E35,""/""),,COUNTA(SPLIT(E35,""/"")))"),"1744478209054310874")</f>
        <v>1744478209054310874</v>
      </c>
      <c r="G35" s="165" t="s">
        <v>85</v>
      </c>
      <c r="H35" s="106" t="s">
        <v>80</v>
      </c>
      <c r="I35" s="167" t="s">
        <v>81</v>
      </c>
      <c r="J35" s="106" t="s">
        <v>138</v>
      </c>
      <c r="K35" s="106" t="s">
        <v>138</v>
      </c>
      <c r="L35" s="159">
        <v>1</v>
      </c>
      <c r="M35" s="76">
        <v>1</v>
      </c>
      <c r="N35" s="76">
        <v>3</v>
      </c>
      <c r="O35" s="76">
        <v>1</v>
      </c>
      <c r="P35" s="76">
        <v>2</v>
      </c>
      <c r="Q35" s="76">
        <v>3</v>
      </c>
      <c r="R35" s="76">
        <v>1</v>
      </c>
      <c r="S35" s="76">
        <v>3</v>
      </c>
      <c r="T35" s="76">
        <v>2</v>
      </c>
      <c r="U35" s="76">
        <v>3</v>
      </c>
      <c r="V35" s="162">
        <v>1</v>
      </c>
      <c r="W35" s="159">
        <v>1</v>
      </c>
      <c r="X35" s="76">
        <v>1</v>
      </c>
      <c r="Y35" s="76">
        <v>1</v>
      </c>
      <c r="Z35" s="76">
        <v>2</v>
      </c>
      <c r="AA35" s="76">
        <v>1</v>
      </c>
      <c r="AB35" s="76">
        <v>1</v>
      </c>
      <c r="AC35" s="76">
        <v>1</v>
      </c>
      <c r="AD35" s="76">
        <v>3</v>
      </c>
      <c r="AE35" s="76">
        <v>1</v>
      </c>
      <c r="AF35" s="76">
        <v>3</v>
      </c>
      <c r="AG35" s="76">
        <v>1</v>
      </c>
      <c r="AH35" s="4"/>
      <c r="AI35" s="4"/>
      <c r="AJ35" s="4"/>
      <c r="AK35" s="4"/>
      <c r="AL35" s="4"/>
    </row>
    <row r="36" spans="1:38" ht="14">
      <c r="A36" s="65" t="s">
        <v>133</v>
      </c>
      <c r="B36" s="106" t="s">
        <v>75</v>
      </c>
      <c r="C36" s="70" t="s">
        <v>73</v>
      </c>
      <c r="D36" s="155" t="s">
        <v>223</v>
      </c>
      <c r="E36" s="164" t="s">
        <v>79</v>
      </c>
      <c r="F36" s="157" t="str">
        <f ca="1">IFERROR(__xludf.DUMMYFUNCTION("INDEX(SPLIT(E36,""/""),,COUNTA(SPLIT(E36,""/"")))"),"1743934358673649996")</f>
        <v>1743934358673649996</v>
      </c>
      <c r="G36" s="165" t="s">
        <v>85</v>
      </c>
      <c r="H36" s="106" t="s">
        <v>80</v>
      </c>
      <c r="I36" s="167" t="s">
        <v>81</v>
      </c>
      <c r="J36" s="106" t="s">
        <v>138</v>
      </c>
      <c r="K36" s="106" t="s">
        <v>138</v>
      </c>
      <c r="L36" s="159">
        <v>1</v>
      </c>
      <c r="M36" s="76">
        <v>1</v>
      </c>
      <c r="N36" s="76">
        <v>3</v>
      </c>
      <c r="O36" s="76">
        <v>1</v>
      </c>
      <c r="P36" s="76">
        <v>2</v>
      </c>
      <c r="Q36" s="76">
        <v>3</v>
      </c>
      <c r="R36" s="76">
        <v>1</v>
      </c>
      <c r="S36" s="76">
        <v>3</v>
      </c>
      <c r="T36" s="76">
        <v>2</v>
      </c>
      <c r="U36" s="76">
        <v>3</v>
      </c>
      <c r="V36" s="162">
        <v>1</v>
      </c>
      <c r="W36" s="159">
        <v>1</v>
      </c>
      <c r="X36" s="76">
        <v>1</v>
      </c>
      <c r="Y36" s="76">
        <v>1</v>
      </c>
      <c r="Z36" s="76">
        <v>2</v>
      </c>
      <c r="AA36" s="76">
        <v>1</v>
      </c>
      <c r="AB36" s="76">
        <v>1</v>
      </c>
      <c r="AC36" s="76">
        <v>1</v>
      </c>
      <c r="AD36" s="76">
        <v>3</v>
      </c>
      <c r="AE36" s="76">
        <v>1</v>
      </c>
      <c r="AF36" s="76">
        <v>3</v>
      </c>
      <c r="AG36" s="76">
        <v>1</v>
      </c>
      <c r="AH36" s="4"/>
      <c r="AI36" s="4"/>
      <c r="AJ36" s="4"/>
      <c r="AK36" s="4"/>
      <c r="AL36" s="4"/>
    </row>
    <row r="37" spans="1:38" ht="14">
      <c r="A37" s="65" t="s">
        <v>133</v>
      </c>
      <c r="B37" s="106" t="s">
        <v>75</v>
      </c>
      <c r="C37" s="70" t="s">
        <v>73</v>
      </c>
      <c r="D37" s="155" t="s">
        <v>224</v>
      </c>
      <c r="E37" s="177" t="s">
        <v>225</v>
      </c>
      <c r="F37" s="157" t="str">
        <f ca="1">IFERROR(__xludf.DUMMYFUNCTION("INDEX(SPLIT(E37,""/""),,COUNTA(SPLIT(E37,""/"")))"),"1744000869182435383")</f>
        <v>1744000869182435383</v>
      </c>
      <c r="G37" s="178" t="s">
        <v>226</v>
      </c>
      <c r="H37" s="106" t="s">
        <v>80</v>
      </c>
      <c r="I37" s="65" t="s">
        <v>70</v>
      </c>
      <c r="J37" s="106" t="s">
        <v>138</v>
      </c>
      <c r="K37" s="106" t="s">
        <v>138</v>
      </c>
      <c r="L37" s="159" t="s">
        <v>72</v>
      </c>
      <c r="M37" s="76">
        <v>1</v>
      </c>
      <c r="N37" s="76">
        <v>2</v>
      </c>
      <c r="O37" s="76">
        <v>3</v>
      </c>
      <c r="P37" s="76">
        <v>1</v>
      </c>
      <c r="Q37" s="76">
        <v>1</v>
      </c>
      <c r="R37" s="76">
        <v>3</v>
      </c>
      <c r="S37" s="76">
        <v>1</v>
      </c>
      <c r="T37" s="76">
        <v>1</v>
      </c>
      <c r="U37" s="76">
        <v>1</v>
      </c>
      <c r="V37" s="162">
        <v>1</v>
      </c>
      <c r="W37" s="159">
        <v>2</v>
      </c>
      <c r="X37" s="76">
        <v>1</v>
      </c>
      <c r="Y37" s="76">
        <v>1</v>
      </c>
      <c r="Z37" s="76">
        <v>1</v>
      </c>
      <c r="AA37" s="76">
        <v>1</v>
      </c>
      <c r="AB37" s="76">
        <v>1</v>
      </c>
      <c r="AC37" s="76">
        <v>1</v>
      </c>
      <c r="AD37" s="76">
        <v>3</v>
      </c>
      <c r="AE37" s="76">
        <v>3</v>
      </c>
      <c r="AF37" s="76">
        <v>3</v>
      </c>
      <c r="AG37" s="76">
        <v>1</v>
      </c>
      <c r="AH37" s="4"/>
      <c r="AI37" s="4"/>
      <c r="AJ37" s="4"/>
      <c r="AK37" s="4"/>
      <c r="AL37" s="4"/>
    </row>
    <row r="38" spans="1:38" ht="14">
      <c r="A38" s="65" t="s">
        <v>133</v>
      </c>
      <c r="B38" s="106" t="s">
        <v>75</v>
      </c>
      <c r="C38" s="70"/>
      <c r="D38" s="155" t="s">
        <v>227</v>
      </c>
      <c r="E38" s="177" t="s">
        <v>228</v>
      </c>
      <c r="F38" s="157" t="str">
        <f ca="1">IFERROR(__xludf.DUMMYFUNCTION("INDEX(SPLIT(E38,""/""),,COUNTA(SPLIT(E38,""/"")))"),"1744291196313182515")</f>
        <v>1744291196313182515</v>
      </c>
      <c r="G38" s="178" t="s">
        <v>229</v>
      </c>
      <c r="H38" s="106" t="s">
        <v>80</v>
      </c>
      <c r="I38" s="65" t="s">
        <v>81</v>
      </c>
      <c r="J38" s="106" t="s">
        <v>138</v>
      </c>
      <c r="K38" s="106" t="s">
        <v>138</v>
      </c>
      <c r="L38" s="159">
        <v>1</v>
      </c>
      <c r="M38" s="76">
        <v>1</v>
      </c>
      <c r="N38" s="76">
        <v>2</v>
      </c>
      <c r="O38" s="76">
        <v>1</v>
      </c>
      <c r="P38" s="76">
        <v>1</v>
      </c>
      <c r="Q38" s="76">
        <v>1</v>
      </c>
      <c r="R38" s="76">
        <v>2</v>
      </c>
      <c r="S38" s="76">
        <v>2</v>
      </c>
      <c r="T38" s="76">
        <v>1</v>
      </c>
      <c r="U38" s="76">
        <v>2</v>
      </c>
      <c r="V38" s="162">
        <v>2</v>
      </c>
      <c r="W38" s="159">
        <v>1</v>
      </c>
      <c r="X38" s="76">
        <v>1</v>
      </c>
      <c r="Y38" s="76">
        <v>1</v>
      </c>
      <c r="Z38" s="76">
        <v>1</v>
      </c>
      <c r="AA38" s="76">
        <v>1</v>
      </c>
      <c r="AB38" s="76">
        <v>1</v>
      </c>
      <c r="AC38" s="76">
        <v>1</v>
      </c>
      <c r="AD38" s="76">
        <v>3</v>
      </c>
      <c r="AE38" s="76">
        <v>1</v>
      </c>
      <c r="AF38" s="76">
        <v>3</v>
      </c>
      <c r="AG38" s="76">
        <v>1</v>
      </c>
      <c r="AH38" s="4"/>
      <c r="AI38" s="4"/>
      <c r="AJ38" s="4"/>
      <c r="AK38" s="4"/>
      <c r="AL38" s="4"/>
    </row>
    <row r="39" spans="1:38" ht="14">
      <c r="A39" s="65" t="s">
        <v>133</v>
      </c>
      <c r="B39" s="106" t="s">
        <v>75</v>
      </c>
      <c r="C39" s="70"/>
      <c r="D39" s="155" t="s">
        <v>230</v>
      </c>
      <c r="E39" s="70" t="s">
        <v>231</v>
      </c>
      <c r="F39" s="157" t="str">
        <f ca="1">IFERROR(__xludf.DUMMYFUNCTION("INDEX(SPLIT(E39,""/""),,COUNTA(SPLIT(E39,""/"")))"),"1725397839650459719")</f>
        <v>1725397839650459719</v>
      </c>
      <c r="G39" s="70" t="s">
        <v>232</v>
      </c>
      <c r="H39" s="106" t="s">
        <v>80</v>
      </c>
      <c r="I39" s="65" t="s">
        <v>81</v>
      </c>
      <c r="J39" s="106" t="s">
        <v>138</v>
      </c>
      <c r="K39" s="106" t="s">
        <v>138</v>
      </c>
      <c r="L39" s="159">
        <v>1</v>
      </c>
      <c r="M39" s="76">
        <v>1</v>
      </c>
      <c r="N39" s="76">
        <v>1</v>
      </c>
      <c r="O39" s="76">
        <v>1</v>
      </c>
      <c r="P39" s="76">
        <v>1</v>
      </c>
      <c r="Q39" s="76">
        <v>1</v>
      </c>
      <c r="R39" s="76">
        <v>1</v>
      </c>
      <c r="S39" s="76">
        <v>1</v>
      </c>
      <c r="T39" s="76">
        <v>2</v>
      </c>
      <c r="U39" s="76">
        <v>3</v>
      </c>
      <c r="V39" s="162">
        <v>1</v>
      </c>
      <c r="W39" s="159">
        <v>1</v>
      </c>
      <c r="X39" s="76">
        <v>1</v>
      </c>
      <c r="Y39" s="76">
        <v>2</v>
      </c>
      <c r="Z39" s="76">
        <v>1</v>
      </c>
      <c r="AA39" s="76">
        <v>1</v>
      </c>
      <c r="AB39" s="76">
        <v>1</v>
      </c>
      <c r="AC39" s="76">
        <v>1</v>
      </c>
      <c r="AD39" s="76">
        <v>3</v>
      </c>
      <c r="AE39" s="76">
        <v>1</v>
      </c>
      <c r="AF39" s="76">
        <v>1</v>
      </c>
      <c r="AG39" s="76">
        <v>1</v>
      </c>
      <c r="AH39" s="4"/>
      <c r="AI39" s="4"/>
      <c r="AJ39" s="4"/>
      <c r="AK39" s="4"/>
      <c r="AL39" s="4"/>
    </row>
    <row r="40" spans="1:38" ht="14">
      <c r="A40" s="65" t="s">
        <v>133</v>
      </c>
      <c r="B40" s="106" t="s">
        <v>75</v>
      </c>
      <c r="C40" s="70"/>
      <c r="D40" s="155" t="s">
        <v>233</v>
      </c>
      <c r="E40" s="166" t="s">
        <v>234</v>
      </c>
      <c r="F40" s="157" t="str">
        <f ca="1">IFERROR(__xludf.DUMMYFUNCTION("INDEX(SPLIT(E40,""/""),,COUNTA(SPLIT(E40,""/"")))"),"1742863600685908176")</f>
        <v>1742863600685908176</v>
      </c>
      <c r="G40" s="70" t="s">
        <v>160</v>
      </c>
      <c r="H40" s="106" t="s">
        <v>80</v>
      </c>
      <c r="I40" s="65" t="s">
        <v>70</v>
      </c>
      <c r="J40" s="106" t="s">
        <v>138</v>
      </c>
      <c r="K40" s="106" t="s">
        <v>138</v>
      </c>
      <c r="L40" s="159">
        <v>1</v>
      </c>
      <c r="M40" s="76">
        <v>3</v>
      </c>
      <c r="N40" s="76">
        <v>3</v>
      </c>
      <c r="O40" s="76">
        <v>2</v>
      </c>
      <c r="P40" s="76">
        <v>1</v>
      </c>
      <c r="Q40" s="76">
        <v>1</v>
      </c>
      <c r="R40" s="76">
        <v>3</v>
      </c>
      <c r="S40" s="76">
        <v>3</v>
      </c>
      <c r="T40" s="76">
        <v>2</v>
      </c>
      <c r="U40" s="76">
        <v>3</v>
      </c>
      <c r="V40" s="162">
        <v>3</v>
      </c>
      <c r="W40" s="159">
        <v>1</v>
      </c>
      <c r="X40" s="76">
        <v>2</v>
      </c>
      <c r="Y40" s="76">
        <v>1</v>
      </c>
      <c r="Z40" s="76">
        <v>2</v>
      </c>
      <c r="AA40" s="76">
        <v>2</v>
      </c>
      <c r="AB40" s="76">
        <v>1</v>
      </c>
      <c r="AC40" s="76">
        <v>3</v>
      </c>
      <c r="AD40" s="76">
        <v>3</v>
      </c>
      <c r="AE40" s="76">
        <v>1</v>
      </c>
      <c r="AF40" s="76">
        <v>3</v>
      </c>
      <c r="AG40" s="76">
        <v>1</v>
      </c>
      <c r="AH40" s="4"/>
      <c r="AI40" s="4"/>
      <c r="AJ40" s="4"/>
      <c r="AK40" s="4"/>
      <c r="AL40" s="4"/>
    </row>
    <row r="41" spans="1:38" ht="14">
      <c r="A41" s="65" t="s">
        <v>133</v>
      </c>
      <c r="B41" s="106" t="s">
        <v>75</v>
      </c>
      <c r="C41" s="160"/>
      <c r="D41" s="155" t="s">
        <v>235</v>
      </c>
      <c r="E41" s="179" t="s">
        <v>236</v>
      </c>
      <c r="F41" s="157" t="str">
        <f ca="1">IFERROR(__xludf.DUMMYFUNCTION("INDEX(SPLIT(E41,""/""),,COUNTA(SPLIT(E41,""/"")))"),"1733026025150222482")</f>
        <v>1733026025150222482</v>
      </c>
      <c r="G41" s="70" t="s">
        <v>237</v>
      </c>
      <c r="H41" s="106" t="s">
        <v>80</v>
      </c>
      <c r="I41" s="76" t="s">
        <v>81</v>
      </c>
      <c r="J41" s="106" t="s">
        <v>138</v>
      </c>
      <c r="K41" s="106" t="s">
        <v>138</v>
      </c>
      <c r="L41" s="159">
        <v>1</v>
      </c>
      <c r="M41" s="76">
        <v>3</v>
      </c>
      <c r="N41" s="76">
        <v>2</v>
      </c>
      <c r="O41" s="76">
        <v>1</v>
      </c>
      <c r="P41" s="76">
        <v>2</v>
      </c>
      <c r="Q41" s="76">
        <v>1</v>
      </c>
      <c r="R41" s="76">
        <v>3</v>
      </c>
      <c r="S41" s="76">
        <v>3</v>
      </c>
      <c r="T41" s="76">
        <v>1</v>
      </c>
      <c r="U41" s="76">
        <v>3</v>
      </c>
      <c r="V41" s="162">
        <v>3</v>
      </c>
      <c r="W41" s="159">
        <v>2</v>
      </c>
      <c r="X41" s="76">
        <v>1</v>
      </c>
      <c r="Y41" s="76">
        <v>1</v>
      </c>
      <c r="Z41" s="76">
        <v>2</v>
      </c>
      <c r="AA41" s="76">
        <v>3</v>
      </c>
      <c r="AB41" s="76">
        <v>2</v>
      </c>
      <c r="AC41" s="76">
        <v>1</v>
      </c>
      <c r="AD41" s="76">
        <v>3</v>
      </c>
      <c r="AE41" s="76">
        <v>2</v>
      </c>
      <c r="AF41" s="76">
        <v>3</v>
      </c>
      <c r="AG41" s="76">
        <v>1</v>
      </c>
      <c r="AH41" s="4"/>
      <c r="AI41" s="4"/>
      <c r="AJ41" s="4"/>
      <c r="AK41" s="4"/>
      <c r="AL41" s="4"/>
    </row>
    <row r="42" spans="1:38" ht="14">
      <c r="A42" s="65" t="s">
        <v>133</v>
      </c>
      <c r="B42" s="106" t="s">
        <v>75</v>
      </c>
      <c r="C42" s="70"/>
      <c r="D42" s="155" t="s">
        <v>238</v>
      </c>
      <c r="E42" s="164" t="s">
        <v>239</v>
      </c>
      <c r="F42" s="157" t="str">
        <f ca="1">IFERROR(__xludf.DUMMYFUNCTION("INDEX(SPLIT(E42,""/""),,COUNTA(SPLIT(E42,""/"")))"),"1744478270328860865")</f>
        <v>1744478270328860865</v>
      </c>
      <c r="G42" s="70" t="s">
        <v>226</v>
      </c>
      <c r="H42" s="106" t="s">
        <v>80</v>
      </c>
      <c r="I42" s="65" t="s">
        <v>70</v>
      </c>
      <c r="J42" s="106" t="s">
        <v>138</v>
      </c>
      <c r="K42" s="106" t="s">
        <v>138</v>
      </c>
      <c r="L42" s="159">
        <v>1</v>
      </c>
      <c r="M42" s="76">
        <v>3</v>
      </c>
      <c r="N42" s="76">
        <v>3</v>
      </c>
      <c r="O42" s="76">
        <v>1</v>
      </c>
      <c r="P42" s="76">
        <v>1</v>
      </c>
      <c r="Q42" s="76">
        <v>2</v>
      </c>
      <c r="R42" s="76">
        <v>3</v>
      </c>
      <c r="S42" s="76">
        <v>3</v>
      </c>
      <c r="T42" s="76">
        <v>1</v>
      </c>
      <c r="U42" s="76">
        <v>3</v>
      </c>
      <c r="V42" s="162">
        <v>1</v>
      </c>
      <c r="W42" s="159">
        <v>1</v>
      </c>
      <c r="X42" s="76">
        <v>2</v>
      </c>
      <c r="Y42" s="76">
        <v>2</v>
      </c>
      <c r="Z42" s="76">
        <v>1</v>
      </c>
      <c r="AA42" s="76">
        <v>1</v>
      </c>
      <c r="AB42" s="76">
        <v>1</v>
      </c>
      <c r="AC42" s="76">
        <v>1</v>
      </c>
      <c r="AD42" s="76">
        <v>3</v>
      </c>
      <c r="AE42" s="76">
        <v>3</v>
      </c>
      <c r="AF42" s="76">
        <v>3</v>
      </c>
      <c r="AG42" s="76">
        <v>1</v>
      </c>
      <c r="AH42" s="4"/>
      <c r="AI42" s="4"/>
      <c r="AJ42" s="4"/>
      <c r="AK42" s="4"/>
      <c r="AL42" s="4"/>
    </row>
    <row r="43" spans="1:38" ht="14">
      <c r="A43" s="106"/>
      <c r="B43" s="106" t="s">
        <v>75</v>
      </c>
      <c r="C43" s="70"/>
      <c r="D43" s="155" t="s">
        <v>240</v>
      </c>
      <c r="E43" s="180" t="s">
        <v>241</v>
      </c>
      <c r="F43" s="157" t="str">
        <f ca="1">IFERROR(__xludf.DUMMYFUNCTION("INDEX(SPLIT(E43,""/""),,COUNTA(SPLIT(E43,""/"")))"),"1743013959681351869")</f>
        <v>1743013959681351869</v>
      </c>
      <c r="G43" s="70" t="s">
        <v>242</v>
      </c>
      <c r="H43" s="106" t="s">
        <v>80</v>
      </c>
      <c r="I43" s="65" t="s">
        <v>70</v>
      </c>
      <c r="J43" s="106" t="s">
        <v>146</v>
      </c>
      <c r="K43" s="106" t="s">
        <v>146</v>
      </c>
      <c r="L43" s="159">
        <v>3</v>
      </c>
      <c r="M43" s="76"/>
      <c r="N43" s="76"/>
      <c r="O43" s="76"/>
      <c r="P43" s="76"/>
      <c r="Q43" s="76"/>
      <c r="R43" s="76"/>
      <c r="S43" s="76"/>
      <c r="T43" s="76"/>
      <c r="U43" s="76"/>
      <c r="V43" s="162"/>
      <c r="W43" s="159"/>
      <c r="X43" s="76"/>
      <c r="Y43" s="76"/>
      <c r="Z43" s="76"/>
      <c r="AA43" s="76"/>
      <c r="AB43" s="76"/>
      <c r="AC43" s="76"/>
      <c r="AD43" s="76"/>
      <c r="AE43" s="76"/>
      <c r="AF43" s="76"/>
      <c r="AG43" s="76"/>
      <c r="AH43" s="4"/>
      <c r="AI43" s="4"/>
      <c r="AJ43" s="4"/>
      <c r="AK43" s="4"/>
      <c r="AL43" s="4"/>
    </row>
    <row r="44" spans="1:38" ht="14">
      <c r="A44" s="65" t="s">
        <v>133</v>
      </c>
      <c r="B44" s="106" t="s">
        <v>76</v>
      </c>
      <c r="C44" s="70" t="s">
        <v>66</v>
      </c>
      <c r="D44" s="155" t="s">
        <v>243</v>
      </c>
      <c r="E44" s="180" t="s">
        <v>244</v>
      </c>
      <c r="F44" s="157" t="str">
        <f ca="1">IFERROR(__xludf.DUMMYFUNCTION("INDEX(SPLIT(E44,""/""),,COUNTA(SPLIT(E44,""/"")))"),"1743590019116265868")</f>
        <v>1743590019116265868</v>
      </c>
      <c r="G44" s="70" t="s">
        <v>160</v>
      </c>
      <c r="H44" s="106" t="s">
        <v>80</v>
      </c>
      <c r="I44" s="76" t="s">
        <v>70</v>
      </c>
      <c r="J44" s="106" t="s">
        <v>138</v>
      </c>
      <c r="K44" s="106" t="s">
        <v>138</v>
      </c>
      <c r="L44" s="159">
        <v>1</v>
      </c>
      <c r="M44" s="76">
        <v>3</v>
      </c>
      <c r="N44" s="76">
        <v>3</v>
      </c>
      <c r="O44" s="76">
        <v>2</v>
      </c>
      <c r="P44" s="76">
        <v>2</v>
      </c>
      <c r="Q44" s="76">
        <v>2</v>
      </c>
      <c r="R44" s="76">
        <v>1</v>
      </c>
      <c r="S44" s="76">
        <v>3</v>
      </c>
      <c r="T44" s="76">
        <v>3</v>
      </c>
      <c r="U44" s="76">
        <v>3</v>
      </c>
      <c r="V44" s="162">
        <v>3</v>
      </c>
      <c r="W44" s="159">
        <v>2</v>
      </c>
      <c r="X44" s="76">
        <v>3</v>
      </c>
      <c r="Y44" s="76">
        <v>1</v>
      </c>
      <c r="Z44" s="76">
        <v>1</v>
      </c>
      <c r="AA44" s="76">
        <v>1</v>
      </c>
      <c r="AB44" s="76">
        <v>1</v>
      </c>
      <c r="AC44" s="76">
        <v>1</v>
      </c>
      <c r="AD44" s="76">
        <v>3</v>
      </c>
      <c r="AE44" s="76">
        <v>3</v>
      </c>
      <c r="AF44" s="76">
        <v>3</v>
      </c>
      <c r="AG44" s="76">
        <v>1</v>
      </c>
      <c r="AH44" s="4"/>
      <c r="AI44" s="4"/>
      <c r="AJ44" s="4"/>
      <c r="AK44" s="4"/>
      <c r="AL44" s="4"/>
    </row>
    <row r="45" spans="1:38" ht="14">
      <c r="A45" s="65" t="s">
        <v>133</v>
      </c>
      <c r="B45" s="106" t="s">
        <v>76</v>
      </c>
      <c r="C45" s="70" t="s">
        <v>66</v>
      </c>
      <c r="D45" s="155" t="s">
        <v>245</v>
      </c>
      <c r="E45" s="180" t="s">
        <v>246</v>
      </c>
      <c r="F45" s="157" t="str">
        <f ca="1">IFERROR(__xludf.DUMMYFUNCTION("INDEX(SPLIT(E45,""/""),,COUNTA(SPLIT(E45,""/"")))"),"1744015340294586654")</f>
        <v>1744015340294586654</v>
      </c>
      <c r="G45" s="70" t="s">
        <v>160</v>
      </c>
      <c r="H45" s="106" t="s">
        <v>80</v>
      </c>
      <c r="I45" s="76" t="s">
        <v>70</v>
      </c>
      <c r="J45" s="106" t="s">
        <v>138</v>
      </c>
      <c r="K45" s="106" t="s">
        <v>138</v>
      </c>
      <c r="L45" s="159">
        <v>1</v>
      </c>
      <c r="M45" s="76">
        <v>3</v>
      </c>
      <c r="N45" s="76">
        <v>3</v>
      </c>
      <c r="O45" s="76">
        <v>2</v>
      </c>
      <c r="P45" s="76">
        <v>1</v>
      </c>
      <c r="Q45" s="76">
        <v>1</v>
      </c>
      <c r="R45" s="76">
        <v>1</v>
      </c>
      <c r="S45" s="76">
        <v>3</v>
      </c>
      <c r="T45" s="76">
        <v>3</v>
      </c>
      <c r="U45" s="76">
        <v>3</v>
      </c>
      <c r="V45" s="162">
        <v>3</v>
      </c>
      <c r="W45" s="159">
        <v>1</v>
      </c>
      <c r="X45" s="76">
        <v>3</v>
      </c>
      <c r="Y45" s="76">
        <v>1</v>
      </c>
      <c r="Z45" s="76">
        <v>1</v>
      </c>
      <c r="AA45" s="76">
        <v>1</v>
      </c>
      <c r="AB45" s="76">
        <v>1</v>
      </c>
      <c r="AC45" s="76">
        <v>1</v>
      </c>
      <c r="AD45" s="76">
        <v>3</v>
      </c>
      <c r="AE45" s="76">
        <v>3</v>
      </c>
      <c r="AF45" s="76">
        <v>3</v>
      </c>
      <c r="AG45" s="76">
        <v>1</v>
      </c>
      <c r="AH45" s="4"/>
      <c r="AI45" s="4"/>
      <c r="AJ45" s="4"/>
      <c r="AK45" s="4"/>
      <c r="AL45" s="4"/>
    </row>
    <row r="46" spans="1:38" ht="14">
      <c r="A46" s="65" t="s">
        <v>133</v>
      </c>
      <c r="B46" s="106" t="s">
        <v>76</v>
      </c>
      <c r="C46" s="70" t="s">
        <v>66</v>
      </c>
      <c r="D46" s="155" t="s">
        <v>247</v>
      </c>
      <c r="E46" s="180" t="s">
        <v>248</v>
      </c>
      <c r="F46" s="157" t="str">
        <f ca="1">IFERROR(__xludf.DUMMYFUNCTION("INDEX(SPLIT(E46,""/""),,COUNTA(SPLIT(E46,""/"")))"),"1744373861074759753")</f>
        <v>1744373861074759753</v>
      </c>
      <c r="G46" s="171" t="s">
        <v>249</v>
      </c>
      <c r="H46" s="106" t="s">
        <v>80</v>
      </c>
      <c r="I46" s="76" t="s">
        <v>70</v>
      </c>
      <c r="J46" s="106" t="s">
        <v>138</v>
      </c>
      <c r="K46" s="106" t="s">
        <v>138</v>
      </c>
      <c r="L46" s="159">
        <v>1</v>
      </c>
      <c r="M46" s="76">
        <v>1</v>
      </c>
      <c r="N46" s="76">
        <v>1</v>
      </c>
      <c r="O46" s="76">
        <v>1</v>
      </c>
      <c r="P46" s="76">
        <v>2</v>
      </c>
      <c r="Q46" s="76">
        <v>2</v>
      </c>
      <c r="R46" s="76">
        <v>3</v>
      </c>
      <c r="S46" s="76">
        <v>2</v>
      </c>
      <c r="T46" s="76">
        <v>3</v>
      </c>
      <c r="U46" s="76">
        <v>3</v>
      </c>
      <c r="V46" s="162">
        <v>2</v>
      </c>
      <c r="W46" s="159">
        <v>3</v>
      </c>
      <c r="X46" s="76">
        <v>1</v>
      </c>
      <c r="Y46" s="76">
        <v>1</v>
      </c>
      <c r="Z46" s="76">
        <v>1</v>
      </c>
      <c r="AA46" s="76">
        <v>1</v>
      </c>
      <c r="AB46" s="76">
        <v>1</v>
      </c>
      <c r="AC46" s="76">
        <v>1</v>
      </c>
      <c r="AD46" s="76">
        <v>3</v>
      </c>
      <c r="AE46" s="76">
        <v>3</v>
      </c>
      <c r="AF46" s="76">
        <v>1</v>
      </c>
      <c r="AG46" s="76">
        <v>1</v>
      </c>
      <c r="AH46" s="4"/>
      <c r="AI46" s="4"/>
      <c r="AJ46" s="4"/>
      <c r="AK46" s="4"/>
      <c r="AL46" s="4"/>
    </row>
    <row r="47" spans="1:38" ht="14">
      <c r="A47" s="65" t="s">
        <v>133</v>
      </c>
      <c r="B47" s="106" t="s">
        <v>76</v>
      </c>
      <c r="C47" s="70"/>
      <c r="D47" s="155" t="s">
        <v>250</v>
      </c>
      <c r="E47" s="180" t="s">
        <v>251</v>
      </c>
      <c r="F47" s="157" t="str">
        <f ca="1">IFERROR(__xludf.DUMMYFUNCTION("INDEX(SPLIT(E47,""/""),,COUNTA(SPLIT(E47,""/"")))"),"1735052613970702480")</f>
        <v>1735052613970702480</v>
      </c>
      <c r="G47" s="171" t="s">
        <v>249</v>
      </c>
      <c r="H47" s="106" t="s">
        <v>80</v>
      </c>
      <c r="I47" s="65" t="s">
        <v>81</v>
      </c>
      <c r="J47" s="106" t="s">
        <v>138</v>
      </c>
      <c r="K47" s="106" t="s">
        <v>138</v>
      </c>
      <c r="L47" s="159">
        <v>1</v>
      </c>
      <c r="M47" s="76">
        <v>1</v>
      </c>
      <c r="N47" s="76">
        <v>1</v>
      </c>
      <c r="O47" s="76">
        <v>1</v>
      </c>
      <c r="P47" s="76">
        <v>1</v>
      </c>
      <c r="Q47" s="76">
        <v>1</v>
      </c>
      <c r="R47" s="76">
        <v>1</v>
      </c>
      <c r="S47" s="76">
        <v>2</v>
      </c>
      <c r="T47" s="76">
        <v>2</v>
      </c>
      <c r="U47" s="76">
        <v>3</v>
      </c>
      <c r="V47" s="162">
        <v>1</v>
      </c>
      <c r="W47" s="159">
        <v>2</v>
      </c>
      <c r="X47" s="76">
        <v>1</v>
      </c>
      <c r="Y47" s="76">
        <v>1</v>
      </c>
      <c r="Z47" s="76">
        <v>2</v>
      </c>
      <c r="AA47" s="76">
        <v>2</v>
      </c>
      <c r="AB47" s="76">
        <v>1</v>
      </c>
      <c r="AC47" s="76">
        <v>1</v>
      </c>
      <c r="AD47" s="76">
        <v>3</v>
      </c>
      <c r="AE47" s="76">
        <v>3</v>
      </c>
      <c r="AF47" s="76">
        <v>3</v>
      </c>
      <c r="AG47" s="76">
        <v>1</v>
      </c>
      <c r="AH47" s="4"/>
      <c r="AI47" s="4"/>
      <c r="AJ47" s="4"/>
      <c r="AK47" s="4"/>
      <c r="AL47" s="4"/>
    </row>
    <row r="48" spans="1:38" ht="14">
      <c r="A48" s="65" t="s">
        <v>133</v>
      </c>
      <c r="B48" s="106" t="s">
        <v>76</v>
      </c>
      <c r="C48" s="70"/>
      <c r="D48" s="155" t="s">
        <v>252</v>
      </c>
      <c r="E48" s="180" t="s">
        <v>253</v>
      </c>
      <c r="F48" s="157" t="str">
        <f ca="1">IFERROR(__xludf.DUMMYFUNCTION("INDEX(SPLIT(E48,""/""),,COUNTA(SPLIT(E48,""/"")))"),"1745449465195159853")</f>
        <v>1745449465195159853</v>
      </c>
      <c r="G48" s="70" t="s">
        <v>254</v>
      </c>
      <c r="H48" s="106" t="s">
        <v>80</v>
      </c>
      <c r="I48" s="159" t="s">
        <v>70</v>
      </c>
      <c r="J48" s="106" t="s">
        <v>138</v>
      </c>
      <c r="K48" s="106" t="s">
        <v>138</v>
      </c>
      <c r="L48" s="159">
        <v>1</v>
      </c>
      <c r="M48" s="76">
        <v>3</v>
      </c>
      <c r="N48" s="76">
        <v>3</v>
      </c>
      <c r="O48" s="76">
        <v>1</v>
      </c>
      <c r="P48" s="76">
        <v>2</v>
      </c>
      <c r="Q48" s="76">
        <v>1</v>
      </c>
      <c r="R48" s="76">
        <v>2</v>
      </c>
      <c r="S48" s="76">
        <v>3</v>
      </c>
      <c r="T48" s="76">
        <v>3</v>
      </c>
      <c r="U48" s="76">
        <v>3</v>
      </c>
      <c r="V48" s="162">
        <v>3</v>
      </c>
      <c r="W48" s="159">
        <v>2</v>
      </c>
      <c r="X48" s="76">
        <v>1</v>
      </c>
      <c r="Y48" s="76">
        <v>2</v>
      </c>
      <c r="Z48" s="76">
        <v>1</v>
      </c>
      <c r="AA48" s="76">
        <v>1</v>
      </c>
      <c r="AB48" s="76">
        <v>1</v>
      </c>
      <c r="AC48" s="76">
        <v>1</v>
      </c>
      <c r="AD48" s="76">
        <v>3</v>
      </c>
      <c r="AE48" s="76">
        <v>3</v>
      </c>
      <c r="AF48" s="76">
        <v>3</v>
      </c>
      <c r="AG48" s="76">
        <v>1</v>
      </c>
      <c r="AH48" s="4"/>
      <c r="AI48" s="4"/>
      <c r="AJ48" s="4"/>
      <c r="AK48" s="4"/>
      <c r="AL48" s="4"/>
    </row>
    <row r="49" spans="1:38" ht="14">
      <c r="A49" s="65" t="s">
        <v>133</v>
      </c>
      <c r="B49" s="106" t="s">
        <v>76</v>
      </c>
      <c r="C49" s="70"/>
      <c r="D49" s="155" t="s">
        <v>255</v>
      </c>
      <c r="E49" s="166" t="s">
        <v>256</v>
      </c>
      <c r="F49" s="157" t="str">
        <f ca="1">IFERROR(__xludf.DUMMYFUNCTION("INDEX(SPLIT(E49,""/""),,COUNTA(SPLIT(E49,""/"")))"),"1744741761107579198")</f>
        <v>1744741761107579198</v>
      </c>
      <c r="G49" s="70" t="s">
        <v>254</v>
      </c>
      <c r="H49" s="106" t="s">
        <v>80</v>
      </c>
      <c r="I49" s="163" t="s">
        <v>70</v>
      </c>
      <c r="J49" s="106" t="s">
        <v>138</v>
      </c>
      <c r="K49" s="106" t="s">
        <v>138</v>
      </c>
      <c r="L49" s="159">
        <v>1</v>
      </c>
      <c r="M49" s="76">
        <v>3</v>
      </c>
      <c r="N49" s="76">
        <v>3</v>
      </c>
      <c r="O49" s="76">
        <v>1</v>
      </c>
      <c r="P49" s="76">
        <v>1</v>
      </c>
      <c r="Q49" s="76">
        <v>1</v>
      </c>
      <c r="R49" s="76">
        <v>3</v>
      </c>
      <c r="S49" s="76">
        <v>3</v>
      </c>
      <c r="T49" s="76">
        <v>1</v>
      </c>
      <c r="U49" s="76">
        <v>3</v>
      </c>
      <c r="V49" s="162">
        <v>2</v>
      </c>
      <c r="W49" s="159">
        <v>2</v>
      </c>
      <c r="X49" s="76">
        <v>1</v>
      </c>
      <c r="Y49" s="76">
        <v>1</v>
      </c>
      <c r="Z49" s="76">
        <v>1</v>
      </c>
      <c r="AA49" s="76">
        <v>1</v>
      </c>
      <c r="AB49" s="76">
        <v>1</v>
      </c>
      <c r="AC49" s="76">
        <v>1</v>
      </c>
      <c r="AD49" s="76">
        <v>3</v>
      </c>
      <c r="AE49" s="76">
        <v>3</v>
      </c>
      <c r="AF49" s="76">
        <v>3</v>
      </c>
      <c r="AG49" s="76">
        <v>1</v>
      </c>
      <c r="AH49" s="4"/>
      <c r="AI49" s="4"/>
      <c r="AJ49" s="4"/>
      <c r="AK49" s="4"/>
      <c r="AL49" s="4"/>
    </row>
    <row r="50" spans="1:38" ht="14">
      <c r="A50" s="65" t="s">
        <v>133</v>
      </c>
      <c r="B50" s="106" t="s">
        <v>76</v>
      </c>
      <c r="C50" s="70"/>
      <c r="D50" s="155" t="s">
        <v>257</v>
      </c>
      <c r="E50" s="177" t="s">
        <v>179</v>
      </c>
      <c r="F50" s="157" t="str">
        <f ca="1">IFERROR(__xludf.DUMMYFUNCTION("INDEX(SPLIT(E50,""/""),,COUNTA(SPLIT(E50,""/"")))"),"1719287930286375233")</f>
        <v>1719287930286375233</v>
      </c>
      <c r="G50" s="70" t="s">
        <v>258</v>
      </c>
      <c r="H50" s="106" t="s">
        <v>174</v>
      </c>
      <c r="I50" s="65" t="s">
        <v>81</v>
      </c>
      <c r="J50" s="106" t="s">
        <v>138</v>
      </c>
      <c r="K50" s="106" t="s">
        <v>138</v>
      </c>
      <c r="L50" s="159">
        <v>1</v>
      </c>
      <c r="M50" s="76">
        <v>1</v>
      </c>
      <c r="N50" s="76">
        <v>3</v>
      </c>
      <c r="O50" s="76">
        <v>1</v>
      </c>
      <c r="P50" s="76">
        <v>1</v>
      </c>
      <c r="Q50" s="76">
        <v>1</v>
      </c>
      <c r="R50" s="76">
        <v>1</v>
      </c>
      <c r="S50" s="76">
        <v>1</v>
      </c>
      <c r="T50" s="76">
        <v>1</v>
      </c>
      <c r="U50" s="76">
        <v>3</v>
      </c>
      <c r="V50" s="162">
        <v>2</v>
      </c>
      <c r="W50" s="159">
        <v>1</v>
      </c>
      <c r="X50" s="76">
        <v>1</v>
      </c>
      <c r="Y50" s="76">
        <v>1</v>
      </c>
      <c r="Z50" s="76">
        <v>1</v>
      </c>
      <c r="AA50" s="76">
        <v>1</v>
      </c>
      <c r="AB50" s="76">
        <v>1</v>
      </c>
      <c r="AC50" s="76">
        <v>1</v>
      </c>
      <c r="AD50" s="76">
        <v>3</v>
      </c>
      <c r="AE50" s="76">
        <v>1</v>
      </c>
      <c r="AF50" s="76">
        <v>1</v>
      </c>
      <c r="AG50" s="76">
        <v>1</v>
      </c>
      <c r="AH50" s="4"/>
      <c r="AI50" s="4"/>
      <c r="AJ50" s="4"/>
      <c r="AK50" s="4"/>
      <c r="AL50" s="4"/>
    </row>
    <row r="51" spans="1:38" ht="14">
      <c r="A51" s="65" t="s">
        <v>133</v>
      </c>
      <c r="B51" s="106" t="s">
        <v>76</v>
      </c>
      <c r="C51" s="70"/>
      <c r="D51" s="155" t="s">
        <v>259</v>
      </c>
      <c r="E51" s="174" t="s">
        <v>260</v>
      </c>
      <c r="F51" s="157" t="str">
        <f ca="1">IFERROR(__xludf.DUMMYFUNCTION("INDEX(SPLIT(E51,""/""),,COUNTA(SPLIT(E51,""/"")))"),"1744848220457439335")</f>
        <v>1744848220457439335</v>
      </c>
      <c r="G51" s="70" t="s">
        <v>261</v>
      </c>
      <c r="H51" s="106" t="s">
        <v>262</v>
      </c>
      <c r="I51" s="65" t="s">
        <v>70</v>
      </c>
      <c r="J51" s="106" t="s">
        <v>138</v>
      </c>
      <c r="K51" s="106" t="s">
        <v>138</v>
      </c>
      <c r="L51" s="159">
        <v>1</v>
      </c>
      <c r="M51" s="76">
        <v>3</v>
      </c>
      <c r="N51" s="76">
        <v>3</v>
      </c>
      <c r="O51" s="76">
        <v>1</v>
      </c>
      <c r="P51" s="76">
        <v>1</v>
      </c>
      <c r="Q51" s="76">
        <v>1</v>
      </c>
      <c r="R51" s="76">
        <v>3</v>
      </c>
      <c r="S51" s="76">
        <v>3</v>
      </c>
      <c r="T51" s="76">
        <v>3</v>
      </c>
      <c r="U51" s="76">
        <v>3</v>
      </c>
      <c r="V51" s="162">
        <v>2</v>
      </c>
      <c r="W51" s="159">
        <v>3</v>
      </c>
      <c r="X51" s="76">
        <v>1</v>
      </c>
      <c r="Y51" s="76">
        <v>1</v>
      </c>
      <c r="Z51" s="76">
        <v>1</v>
      </c>
      <c r="AA51" s="76">
        <v>1</v>
      </c>
      <c r="AB51" s="76">
        <v>2</v>
      </c>
      <c r="AC51" s="76">
        <v>1</v>
      </c>
      <c r="AD51" s="76">
        <v>3</v>
      </c>
      <c r="AE51" s="76">
        <v>3</v>
      </c>
      <c r="AF51" s="76">
        <v>3</v>
      </c>
      <c r="AG51" s="76">
        <v>1</v>
      </c>
      <c r="AH51" s="4"/>
      <c r="AI51" s="4"/>
      <c r="AJ51" s="4"/>
      <c r="AK51" s="4"/>
      <c r="AL51" s="4"/>
    </row>
    <row r="52" spans="1:38" ht="14">
      <c r="A52" s="65" t="s">
        <v>133</v>
      </c>
      <c r="B52" s="106" t="s">
        <v>76</v>
      </c>
      <c r="C52" s="70"/>
      <c r="D52" s="155" t="s">
        <v>263</v>
      </c>
      <c r="E52" s="164" t="s">
        <v>264</v>
      </c>
      <c r="F52" s="157" t="str">
        <f ca="1">IFERROR(__xludf.DUMMYFUNCTION("INDEX(SPLIT(E52,""/""),,COUNTA(SPLIT(E52,""/"")))"),"1587039251484614656")</f>
        <v>1587039251484614656</v>
      </c>
      <c r="G52" s="70" t="s">
        <v>197</v>
      </c>
      <c r="H52" s="106" t="s">
        <v>80</v>
      </c>
      <c r="I52" s="65" t="s">
        <v>70</v>
      </c>
      <c r="J52" s="106" t="s">
        <v>146</v>
      </c>
      <c r="K52" s="106" t="s">
        <v>138</v>
      </c>
      <c r="L52" s="159">
        <v>3</v>
      </c>
      <c r="M52" s="76">
        <v>1</v>
      </c>
      <c r="N52" s="76">
        <v>3</v>
      </c>
      <c r="O52" s="76">
        <v>3</v>
      </c>
      <c r="P52" s="76">
        <v>1</v>
      </c>
      <c r="Q52" s="76">
        <v>1</v>
      </c>
      <c r="R52" s="76">
        <v>3</v>
      </c>
      <c r="S52" s="76">
        <v>3</v>
      </c>
      <c r="T52" s="76">
        <v>3</v>
      </c>
      <c r="U52" s="76">
        <v>3</v>
      </c>
      <c r="V52" s="162">
        <v>1</v>
      </c>
      <c r="W52" s="159">
        <v>1</v>
      </c>
      <c r="X52" s="76">
        <v>3</v>
      </c>
      <c r="Y52" s="76">
        <v>1</v>
      </c>
      <c r="Z52" s="76">
        <v>1</v>
      </c>
      <c r="AA52" s="76">
        <v>1</v>
      </c>
      <c r="AB52" s="76">
        <v>1</v>
      </c>
      <c r="AC52" s="76">
        <v>1</v>
      </c>
      <c r="AD52" s="76">
        <v>3</v>
      </c>
      <c r="AE52" s="76">
        <v>3</v>
      </c>
      <c r="AF52" s="76">
        <v>1</v>
      </c>
      <c r="AG52" s="76">
        <v>1</v>
      </c>
      <c r="AH52" s="4"/>
      <c r="AI52" s="4"/>
      <c r="AJ52" s="4"/>
      <c r="AK52" s="4"/>
      <c r="AL52" s="4"/>
    </row>
    <row r="53" spans="1:38" ht="14">
      <c r="A53" s="65" t="s">
        <v>133</v>
      </c>
      <c r="B53" s="106" t="s">
        <v>76</v>
      </c>
      <c r="C53" s="70"/>
      <c r="D53" s="155" t="s">
        <v>265</v>
      </c>
      <c r="E53" s="164" t="s">
        <v>266</v>
      </c>
      <c r="F53" s="157" t="str">
        <f ca="1">IFERROR(__xludf.DUMMYFUNCTION("INDEX(SPLIT(E53,""/""),,COUNTA(SPLIT(E53,""/"")))"),"1584909435348074508")</f>
        <v>1584909435348074508</v>
      </c>
      <c r="G53" s="70" t="s">
        <v>141</v>
      </c>
      <c r="H53" s="106" t="s">
        <v>80</v>
      </c>
      <c r="I53" s="65" t="s">
        <v>81</v>
      </c>
      <c r="J53" s="106" t="s">
        <v>138</v>
      </c>
      <c r="K53" s="106" t="s">
        <v>138</v>
      </c>
      <c r="L53" s="159">
        <v>1</v>
      </c>
      <c r="M53" s="76">
        <v>3</v>
      </c>
      <c r="N53" s="76">
        <v>3</v>
      </c>
      <c r="O53" s="76">
        <v>1</v>
      </c>
      <c r="P53" s="76">
        <v>2</v>
      </c>
      <c r="Q53" s="76">
        <v>1</v>
      </c>
      <c r="R53" s="76">
        <v>2</v>
      </c>
      <c r="S53" s="76">
        <v>3</v>
      </c>
      <c r="T53" s="76">
        <v>1</v>
      </c>
      <c r="U53" s="76">
        <v>2</v>
      </c>
      <c r="V53" s="162">
        <v>3</v>
      </c>
      <c r="W53" s="159">
        <v>1</v>
      </c>
      <c r="X53" s="76">
        <v>1</v>
      </c>
      <c r="Y53" s="76">
        <v>1</v>
      </c>
      <c r="Z53" s="76">
        <v>1</v>
      </c>
      <c r="AA53" s="76">
        <v>1</v>
      </c>
      <c r="AB53" s="76">
        <v>1</v>
      </c>
      <c r="AC53" s="76">
        <v>1</v>
      </c>
      <c r="AD53" s="76">
        <v>3</v>
      </c>
      <c r="AE53" s="76">
        <v>3</v>
      </c>
      <c r="AF53" s="76">
        <v>3</v>
      </c>
      <c r="AG53" s="76">
        <v>1</v>
      </c>
      <c r="AH53" s="4"/>
      <c r="AI53" s="4"/>
      <c r="AJ53" s="4"/>
      <c r="AK53" s="4"/>
      <c r="AL53" s="4"/>
    </row>
    <row r="54" spans="1:38" ht="14">
      <c r="A54" s="106" t="s">
        <v>267</v>
      </c>
      <c r="B54" s="106" t="s">
        <v>66</v>
      </c>
      <c r="C54" s="169"/>
      <c r="D54" s="155" t="s">
        <v>268</v>
      </c>
      <c r="E54" s="181" t="s">
        <v>269</v>
      </c>
      <c r="F54" s="157" t="str">
        <f ca="1">IFERROR(__xludf.DUMMYFUNCTION("INDEX(SPLIT(E54,""/""),,COUNTA(SPLIT(E54,""/"")))"),"1581903839137239040")</f>
        <v>1581903839137239040</v>
      </c>
      <c r="G54" s="70" t="s">
        <v>270</v>
      </c>
      <c r="H54" s="106" t="s">
        <v>80</v>
      </c>
      <c r="I54" s="76" t="s">
        <v>70</v>
      </c>
      <c r="J54" s="106" t="s">
        <v>138</v>
      </c>
      <c r="K54" s="106" t="s">
        <v>146</v>
      </c>
      <c r="L54" s="159">
        <v>3</v>
      </c>
      <c r="M54" s="76"/>
      <c r="N54" s="76"/>
      <c r="O54" s="76"/>
      <c r="P54" s="76"/>
      <c r="Q54" s="76"/>
      <c r="R54" s="76"/>
      <c r="S54" s="76"/>
      <c r="T54" s="76"/>
      <c r="U54" s="76"/>
      <c r="V54" s="162"/>
      <c r="W54" s="159"/>
      <c r="X54" s="76"/>
      <c r="Y54" s="76"/>
      <c r="Z54" s="76"/>
      <c r="AA54" s="76"/>
      <c r="AB54" s="76"/>
      <c r="AC54" s="76"/>
      <c r="AD54" s="76"/>
      <c r="AE54" s="76"/>
      <c r="AF54" s="76"/>
      <c r="AG54" s="76"/>
      <c r="AH54" s="4"/>
      <c r="AI54" s="4"/>
      <c r="AJ54" s="4"/>
      <c r="AK54" s="4"/>
      <c r="AL54" s="4"/>
    </row>
    <row r="55" spans="1:38" ht="14">
      <c r="A55" s="106" t="s">
        <v>267</v>
      </c>
      <c r="B55" s="106" t="s">
        <v>66</v>
      </c>
      <c r="C55" s="169"/>
      <c r="D55" s="155" t="s">
        <v>271</v>
      </c>
      <c r="E55" s="170" t="s">
        <v>272</v>
      </c>
      <c r="F55" s="157" t="str">
        <f ca="1">IFERROR(__xludf.DUMMYFUNCTION("INDEX(SPLIT(E55,""/""),,COUNTA(SPLIT(E55,""/"")))"),"1577455925690249216")</f>
        <v>1577455925690249216</v>
      </c>
      <c r="G55" s="70" t="s">
        <v>273</v>
      </c>
      <c r="H55" s="106" t="s">
        <v>80</v>
      </c>
      <c r="I55" s="76" t="s">
        <v>81</v>
      </c>
      <c r="J55" s="106" t="s">
        <v>138</v>
      </c>
      <c r="K55" s="106" t="s">
        <v>138</v>
      </c>
      <c r="L55" s="159">
        <v>3</v>
      </c>
      <c r="M55" s="76"/>
      <c r="N55" s="76"/>
      <c r="O55" s="76"/>
      <c r="P55" s="76"/>
      <c r="Q55" s="76"/>
      <c r="R55" s="76"/>
      <c r="S55" s="76"/>
      <c r="T55" s="76"/>
      <c r="U55" s="76"/>
      <c r="V55" s="162"/>
      <c r="W55" s="159"/>
      <c r="X55" s="76"/>
      <c r="Y55" s="76"/>
      <c r="Z55" s="76"/>
      <c r="AA55" s="76"/>
      <c r="AB55" s="76"/>
      <c r="AC55" s="76"/>
      <c r="AD55" s="76"/>
      <c r="AE55" s="76"/>
      <c r="AF55" s="76"/>
      <c r="AG55" s="76"/>
      <c r="AH55" s="4"/>
      <c r="AI55" s="4"/>
      <c r="AJ55" s="4"/>
      <c r="AK55" s="4"/>
      <c r="AL55" s="4"/>
    </row>
    <row r="56" spans="1:38" ht="14">
      <c r="A56" s="106" t="s">
        <v>267</v>
      </c>
      <c r="B56" s="106" t="s">
        <v>66</v>
      </c>
      <c r="C56" s="169"/>
      <c r="D56" s="155" t="s">
        <v>274</v>
      </c>
      <c r="E56" s="170" t="s">
        <v>275</v>
      </c>
      <c r="F56" s="157" t="str">
        <f ca="1">IFERROR(__xludf.DUMMYFUNCTION("INDEX(SPLIT(E56,""/""),,COUNTA(SPLIT(E56,""/"")))"),"1576242968700264448")</f>
        <v>1576242968700264448</v>
      </c>
      <c r="G56" s="70" t="s">
        <v>276</v>
      </c>
      <c r="H56" s="106" t="s">
        <v>80</v>
      </c>
      <c r="I56" s="167" t="s">
        <v>70</v>
      </c>
      <c r="J56" s="106" t="s">
        <v>138</v>
      </c>
      <c r="K56" s="106" t="s">
        <v>138</v>
      </c>
      <c r="L56" s="159">
        <v>3</v>
      </c>
      <c r="M56" s="76"/>
      <c r="N56" s="76"/>
      <c r="O56" s="76"/>
      <c r="P56" s="76"/>
      <c r="Q56" s="76"/>
      <c r="R56" s="76"/>
      <c r="S56" s="76"/>
      <c r="T56" s="76"/>
      <c r="U56" s="76"/>
      <c r="V56" s="162"/>
      <c r="W56" s="159"/>
      <c r="X56" s="76"/>
      <c r="Y56" s="76"/>
      <c r="Z56" s="76"/>
      <c r="AA56" s="76"/>
      <c r="AB56" s="76"/>
      <c r="AC56" s="76"/>
      <c r="AD56" s="76"/>
      <c r="AE56" s="76"/>
      <c r="AF56" s="76"/>
      <c r="AG56" s="76"/>
      <c r="AH56" s="4"/>
      <c r="AI56" s="4"/>
      <c r="AJ56" s="4"/>
      <c r="AK56" s="4"/>
      <c r="AL56" s="4"/>
    </row>
    <row r="57" spans="1:38" ht="14">
      <c r="A57" s="106" t="s">
        <v>267</v>
      </c>
      <c r="B57" s="106" t="s">
        <v>66</v>
      </c>
      <c r="C57" s="169"/>
      <c r="D57" s="155" t="s">
        <v>277</v>
      </c>
      <c r="E57" s="170" t="s">
        <v>278</v>
      </c>
      <c r="F57" s="157" t="str">
        <f ca="1">IFERROR(__xludf.DUMMYFUNCTION("INDEX(SPLIT(E57,""/""),,COUNTA(SPLIT(E57,""/"")))"),"1576234829753950208")</f>
        <v>1576234829753950208</v>
      </c>
      <c r="G57" s="70" t="s">
        <v>279</v>
      </c>
      <c r="H57" s="106" t="s">
        <v>80</v>
      </c>
      <c r="I57" s="167" t="s">
        <v>70</v>
      </c>
      <c r="J57" s="106" t="s">
        <v>138</v>
      </c>
      <c r="K57" s="106" t="s">
        <v>138</v>
      </c>
      <c r="L57" s="159">
        <v>3</v>
      </c>
      <c r="M57" s="76"/>
      <c r="N57" s="76"/>
      <c r="O57" s="76"/>
      <c r="P57" s="76"/>
      <c r="Q57" s="76"/>
      <c r="R57" s="76"/>
      <c r="S57" s="76"/>
      <c r="T57" s="76"/>
      <c r="U57" s="76"/>
      <c r="V57" s="162"/>
      <c r="W57" s="159"/>
      <c r="X57" s="76"/>
      <c r="Y57" s="76"/>
      <c r="Z57" s="76"/>
      <c r="AA57" s="76"/>
      <c r="AB57" s="76"/>
      <c r="AC57" s="76"/>
      <c r="AD57" s="76"/>
      <c r="AE57" s="76"/>
      <c r="AF57" s="76"/>
      <c r="AG57" s="76"/>
      <c r="AH57" s="4"/>
      <c r="AI57" s="4"/>
      <c r="AJ57" s="4"/>
      <c r="AK57" s="4"/>
      <c r="AL57" s="4"/>
    </row>
    <row r="58" spans="1:38" ht="14">
      <c r="A58" s="106" t="s">
        <v>267</v>
      </c>
      <c r="B58" s="106" t="s">
        <v>66</v>
      </c>
      <c r="C58" s="169"/>
      <c r="D58" s="155" t="s">
        <v>280</v>
      </c>
      <c r="E58" s="170" t="s">
        <v>281</v>
      </c>
      <c r="F58" s="157" t="str">
        <f ca="1">IFERROR(__xludf.DUMMYFUNCTION("INDEX(SPLIT(E58,""/""),,COUNTA(SPLIT(E58,""/"")))"),"1555972455210033154")</f>
        <v>1555972455210033154</v>
      </c>
      <c r="G58" s="70" t="s">
        <v>141</v>
      </c>
      <c r="H58" s="106" t="s">
        <v>80</v>
      </c>
      <c r="I58" s="65" t="s">
        <v>70</v>
      </c>
      <c r="J58" s="106" t="s">
        <v>146</v>
      </c>
      <c r="K58" s="106" t="s">
        <v>138</v>
      </c>
      <c r="L58" s="159">
        <v>3</v>
      </c>
      <c r="M58" s="76"/>
      <c r="N58" s="76"/>
      <c r="O58" s="76"/>
      <c r="P58" s="76"/>
      <c r="Q58" s="76"/>
      <c r="R58" s="76"/>
      <c r="S58" s="76"/>
      <c r="T58" s="76"/>
      <c r="U58" s="76"/>
      <c r="V58" s="162"/>
      <c r="W58" s="159"/>
      <c r="X58" s="76"/>
      <c r="Y58" s="76"/>
      <c r="Z58" s="76"/>
      <c r="AA58" s="76"/>
      <c r="AB58" s="76"/>
      <c r="AC58" s="76"/>
      <c r="AD58" s="76"/>
      <c r="AE58" s="76"/>
      <c r="AF58" s="76"/>
      <c r="AG58" s="76"/>
      <c r="AH58" s="4"/>
      <c r="AI58" s="4"/>
      <c r="AJ58" s="4"/>
      <c r="AK58" s="4"/>
      <c r="AL58" s="4"/>
    </row>
    <row r="59" spans="1:38" ht="14">
      <c r="A59" s="106" t="s">
        <v>267</v>
      </c>
      <c r="B59" s="106" t="s">
        <v>66</v>
      </c>
      <c r="C59" s="169"/>
      <c r="D59" s="155" t="s">
        <v>282</v>
      </c>
      <c r="E59" s="170" t="s">
        <v>283</v>
      </c>
      <c r="F59" s="157" t="str">
        <f ca="1">IFERROR(__xludf.DUMMYFUNCTION("INDEX(SPLIT(E59,""/""),,COUNTA(SPLIT(E59,""/"")))"),"1540808820796010496")</f>
        <v>1540808820796010496</v>
      </c>
      <c r="G59" s="70" t="s">
        <v>284</v>
      </c>
      <c r="H59" s="106" t="s">
        <v>80</v>
      </c>
      <c r="I59" s="65" t="s">
        <v>70</v>
      </c>
      <c r="J59" s="106" t="s">
        <v>138</v>
      </c>
      <c r="K59" s="106" t="s">
        <v>138</v>
      </c>
      <c r="L59" s="159">
        <v>3</v>
      </c>
      <c r="M59" s="76"/>
      <c r="N59" s="76"/>
      <c r="O59" s="76"/>
      <c r="P59" s="76"/>
      <c r="Q59" s="76"/>
      <c r="R59" s="76"/>
      <c r="S59" s="76"/>
      <c r="T59" s="76"/>
      <c r="U59" s="76"/>
      <c r="V59" s="162"/>
      <c r="W59" s="159"/>
      <c r="X59" s="76"/>
      <c r="Y59" s="76"/>
      <c r="Z59" s="76"/>
      <c r="AA59" s="76"/>
      <c r="AB59" s="76"/>
      <c r="AC59" s="76"/>
      <c r="AD59" s="76"/>
      <c r="AE59" s="76"/>
      <c r="AF59" s="76"/>
      <c r="AG59" s="76"/>
      <c r="AH59" s="4"/>
      <c r="AI59" s="4"/>
      <c r="AJ59" s="4"/>
      <c r="AK59" s="4"/>
      <c r="AL59" s="4"/>
    </row>
    <row r="60" spans="1:38" ht="14">
      <c r="A60" s="65" t="s">
        <v>133</v>
      </c>
      <c r="B60" s="106" t="s">
        <v>73</v>
      </c>
      <c r="C60" s="169"/>
      <c r="D60" s="155" t="s">
        <v>285</v>
      </c>
      <c r="E60" s="181" t="s">
        <v>286</v>
      </c>
      <c r="F60" s="157" t="str">
        <f ca="1">IFERROR(__xludf.DUMMYFUNCTION("INDEX(SPLIT(E60,""/""),,COUNTA(SPLIT(E60,""/"")))"),"1744514052670345639")</f>
        <v>1744514052670345639</v>
      </c>
      <c r="G60" s="70" t="s">
        <v>85</v>
      </c>
      <c r="H60" s="106" t="s">
        <v>80</v>
      </c>
      <c r="I60" s="65" t="s">
        <v>81</v>
      </c>
      <c r="J60" s="106" t="s">
        <v>138</v>
      </c>
      <c r="K60" s="106" t="s">
        <v>138</v>
      </c>
      <c r="L60" s="159">
        <v>1</v>
      </c>
      <c r="M60" s="76">
        <v>1</v>
      </c>
      <c r="N60" s="76">
        <v>1</v>
      </c>
      <c r="O60" s="76">
        <v>1</v>
      </c>
      <c r="P60" s="76">
        <v>1</v>
      </c>
      <c r="Q60" s="76">
        <v>1</v>
      </c>
      <c r="R60" s="76">
        <v>1</v>
      </c>
      <c r="S60" s="76">
        <v>1</v>
      </c>
      <c r="T60" s="76">
        <v>1</v>
      </c>
      <c r="U60" s="76">
        <v>3</v>
      </c>
      <c r="V60" s="162">
        <v>1</v>
      </c>
      <c r="W60" s="159">
        <v>3</v>
      </c>
      <c r="X60" s="76">
        <v>1</v>
      </c>
      <c r="Y60" s="76">
        <v>1</v>
      </c>
      <c r="Z60" s="76">
        <v>1</v>
      </c>
      <c r="AA60" s="76">
        <v>1</v>
      </c>
      <c r="AB60" s="76">
        <v>1</v>
      </c>
      <c r="AC60" s="76">
        <v>1</v>
      </c>
      <c r="AD60" s="76">
        <v>1</v>
      </c>
      <c r="AE60" s="76">
        <v>1</v>
      </c>
      <c r="AF60" s="76">
        <v>1</v>
      </c>
      <c r="AG60" s="76">
        <v>1</v>
      </c>
      <c r="AH60" s="4"/>
      <c r="AI60" s="4"/>
      <c r="AJ60" s="4"/>
      <c r="AK60" s="4"/>
      <c r="AL60" s="4"/>
    </row>
    <row r="61" spans="1:38" ht="14">
      <c r="A61" s="65" t="s">
        <v>133</v>
      </c>
      <c r="B61" s="106" t="s">
        <v>73</v>
      </c>
      <c r="C61" s="70"/>
      <c r="D61" s="155" t="s">
        <v>287</v>
      </c>
      <c r="E61" s="164" t="s">
        <v>288</v>
      </c>
      <c r="F61" s="157" t="str">
        <f ca="1">IFERROR(__xludf.DUMMYFUNCTION("INDEX(SPLIT(E61,""/""),,COUNTA(SPLIT(E61,""/"")))"),"1592594788444172288")</f>
        <v>1592594788444172288</v>
      </c>
      <c r="G61" s="182" t="s">
        <v>289</v>
      </c>
      <c r="H61" s="106" t="s">
        <v>80</v>
      </c>
      <c r="I61" s="76" t="s">
        <v>70</v>
      </c>
      <c r="J61" s="106" t="s">
        <v>138</v>
      </c>
      <c r="K61" s="106" t="s">
        <v>138</v>
      </c>
      <c r="L61" s="159">
        <v>1</v>
      </c>
      <c r="M61" s="76">
        <v>3</v>
      </c>
      <c r="N61" s="76">
        <v>3</v>
      </c>
      <c r="O61" s="76">
        <v>2</v>
      </c>
      <c r="P61" s="76">
        <v>2</v>
      </c>
      <c r="Q61" s="76">
        <v>2</v>
      </c>
      <c r="R61" s="76">
        <v>3</v>
      </c>
      <c r="S61" s="76">
        <v>3</v>
      </c>
      <c r="T61" s="76">
        <v>3</v>
      </c>
      <c r="U61" s="76">
        <v>3</v>
      </c>
      <c r="V61" s="162">
        <v>2</v>
      </c>
      <c r="W61" s="159">
        <v>3</v>
      </c>
      <c r="X61" s="76">
        <v>1</v>
      </c>
      <c r="Y61" s="76">
        <v>1</v>
      </c>
      <c r="Z61" s="76">
        <v>1</v>
      </c>
      <c r="AA61" s="76">
        <v>1</v>
      </c>
      <c r="AB61" s="76">
        <v>1</v>
      </c>
      <c r="AC61" s="76">
        <v>1</v>
      </c>
      <c r="AD61" s="76">
        <v>3</v>
      </c>
      <c r="AE61" s="76">
        <v>3</v>
      </c>
      <c r="AF61" s="76">
        <v>3</v>
      </c>
      <c r="AG61" s="76">
        <v>2</v>
      </c>
      <c r="AH61" s="4"/>
      <c r="AI61" s="4"/>
      <c r="AJ61" s="4"/>
      <c r="AK61" s="4"/>
      <c r="AL61" s="4"/>
    </row>
    <row r="62" spans="1:38" ht="14">
      <c r="A62" s="65" t="s">
        <v>133</v>
      </c>
      <c r="B62" s="106" t="s">
        <v>73</v>
      </c>
      <c r="C62" s="70"/>
      <c r="D62" s="155" t="s">
        <v>290</v>
      </c>
      <c r="E62" s="174" t="s">
        <v>291</v>
      </c>
      <c r="F62" s="157" t="str">
        <f ca="1">IFERROR(__xludf.DUMMYFUNCTION("INDEX(SPLIT(E62,""/""),,COUNTA(SPLIT(E62,""/"")))"),"1744494071618367548")</f>
        <v>1744494071618367548</v>
      </c>
      <c r="G62" s="70" t="s">
        <v>292</v>
      </c>
      <c r="H62" s="106" t="s">
        <v>80</v>
      </c>
      <c r="I62" s="76" t="s">
        <v>86</v>
      </c>
      <c r="J62" s="106" t="s">
        <v>138</v>
      </c>
      <c r="K62" s="106" t="s">
        <v>138</v>
      </c>
      <c r="L62" s="159">
        <v>1</v>
      </c>
      <c r="M62" s="76">
        <v>3</v>
      </c>
      <c r="N62" s="76">
        <v>2</v>
      </c>
      <c r="O62" s="76">
        <v>2</v>
      </c>
      <c r="P62" s="76">
        <v>1</v>
      </c>
      <c r="Q62" s="76">
        <v>1</v>
      </c>
      <c r="R62" s="76">
        <v>3</v>
      </c>
      <c r="S62" s="76">
        <v>3</v>
      </c>
      <c r="T62" s="76">
        <v>2</v>
      </c>
      <c r="U62" s="76">
        <v>3</v>
      </c>
      <c r="V62" s="162">
        <v>1</v>
      </c>
      <c r="W62" s="159">
        <v>3</v>
      </c>
      <c r="X62" s="76">
        <v>1</v>
      </c>
      <c r="Y62" s="76">
        <v>2</v>
      </c>
      <c r="Z62" s="76"/>
      <c r="AA62" s="76"/>
      <c r="AB62" s="76"/>
      <c r="AC62" s="76"/>
      <c r="AD62" s="76"/>
      <c r="AE62" s="76"/>
      <c r="AF62" s="76"/>
      <c r="AG62" s="76"/>
      <c r="AH62" s="4"/>
      <c r="AI62" s="4"/>
      <c r="AJ62" s="4"/>
      <c r="AK62" s="4"/>
      <c r="AL62" s="4"/>
    </row>
    <row r="63" spans="1:38" ht="14">
      <c r="A63" s="183"/>
      <c r="B63" s="106" t="s">
        <v>73</v>
      </c>
      <c r="C63" s="70"/>
      <c r="D63" s="155" t="s">
        <v>293</v>
      </c>
      <c r="E63" s="164" t="s">
        <v>294</v>
      </c>
      <c r="F63" s="157" t="str">
        <f ca="1">IFERROR(__xludf.DUMMYFUNCTION("INDEX(SPLIT(E63,""/""),,COUNTA(SPLIT(E63,""/"")))"),"1744714373996892349")</f>
        <v>1744714373996892349</v>
      </c>
      <c r="G63" s="70" t="s">
        <v>295</v>
      </c>
      <c r="H63" s="106" t="s">
        <v>80</v>
      </c>
      <c r="I63" s="76"/>
      <c r="J63" s="106"/>
      <c r="K63" s="106"/>
      <c r="L63" s="159"/>
      <c r="M63" s="76"/>
      <c r="N63" s="76"/>
      <c r="O63" s="76"/>
      <c r="P63" s="76"/>
      <c r="Q63" s="76"/>
      <c r="R63" s="76"/>
      <c r="S63" s="76"/>
      <c r="T63" s="76"/>
      <c r="U63" s="76"/>
      <c r="V63" s="162"/>
      <c r="W63" s="159"/>
      <c r="X63" s="76"/>
      <c r="Y63" s="76"/>
      <c r="Z63" s="76"/>
      <c r="AA63" s="76"/>
      <c r="AB63" s="76"/>
      <c r="AC63" s="76"/>
      <c r="AD63" s="76"/>
      <c r="AE63" s="76"/>
      <c r="AF63" s="76"/>
      <c r="AG63" s="76"/>
      <c r="AH63" s="4"/>
      <c r="AI63" s="4"/>
      <c r="AJ63" s="4"/>
      <c r="AK63" s="4"/>
      <c r="AL63" s="4"/>
    </row>
    <row r="64" spans="1:38" ht="14">
      <c r="A64" s="183"/>
      <c r="B64" s="106" t="s">
        <v>73</v>
      </c>
      <c r="C64" s="70"/>
      <c r="D64" s="155" t="s">
        <v>296</v>
      </c>
      <c r="E64" s="174" t="s">
        <v>297</v>
      </c>
      <c r="F64" s="157" t="str">
        <f ca="1">IFERROR(__xludf.DUMMYFUNCTION("INDEX(SPLIT(E64,""/""),,COUNTA(SPLIT(E64,""/"")))"),"1744663250438852685")</f>
        <v>1744663250438852685</v>
      </c>
      <c r="G64" s="70" t="s">
        <v>298</v>
      </c>
      <c r="H64" s="106" t="s">
        <v>80</v>
      </c>
      <c r="I64" s="65"/>
      <c r="J64" s="106"/>
      <c r="K64" s="106"/>
      <c r="L64" s="159"/>
      <c r="M64" s="76"/>
      <c r="N64" s="76"/>
      <c r="O64" s="76"/>
      <c r="P64" s="76"/>
      <c r="Q64" s="76"/>
      <c r="R64" s="76"/>
      <c r="S64" s="76"/>
      <c r="T64" s="76"/>
      <c r="U64" s="76"/>
      <c r="V64" s="162"/>
      <c r="W64" s="159"/>
      <c r="X64" s="76"/>
      <c r="Y64" s="76"/>
      <c r="Z64" s="76"/>
      <c r="AA64" s="76"/>
      <c r="AB64" s="76"/>
      <c r="AC64" s="76"/>
      <c r="AD64" s="76"/>
      <c r="AE64" s="76"/>
      <c r="AF64" s="76"/>
      <c r="AG64" s="76"/>
      <c r="AH64" s="4"/>
      <c r="AI64" s="4"/>
      <c r="AJ64" s="4"/>
      <c r="AK64" s="4"/>
      <c r="AL64" s="4"/>
    </row>
    <row r="65" spans="1:38" ht="14">
      <c r="A65" s="183"/>
      <c r="B65" s="106" t="s">
        <v>73</v>
      </c>
      <c r="C65" s="70"/>
      <c r="D65" s="155" t="s">
        <v>299</v>
      </c>
      <c r="E65" s="164" t="s">
        <v>300</v>
      </c>
      <c r="F65" s="157" t="str">
        <f ca="1">IFERROR(__xludf.DUMMYFUNCTION("INDEX(SPLIT(E65,""/""),,COUNTA(SPLIT(E65,""/"")))"),"1744338502005710853")</f>
        <v>1744338502005710853</v>
      </c>
      <c r="G65" s="70" t="s">
        <v>160</v>
      </c>
      <c r="H65" s="106" t="s">
        <v>80</v>
      </c>
      <c r="I65" s="163"/>
      <c r="J65" s="167"/>
      <c r="K65" s="167"/>
      <c r="L65" s="159"/>
      <c r="M65" s="76"/>
      <c r="N65" s="76"/>
      <c r="O65" s="76"/>
      <c r="P65" s="76"/>
      <c r="Q65" s="76"/>
      <c r="R65" s="76"/>
      <c r="S65" s="76"/>
      <c r="T65" s="76"/>
      <c r="U65" s="76"/>
      <c r="V65" s="162"/>
      <c r="W65" s="159"/>
      <c r="X65" s="76"/>
      <c r="Y65" s="76"/>
      <c r="Z65" s="76"/>
      <c r="AA65" s="76"/>
      <c r="AB65" s="76"/>
      <c r="AC65" s="76"/>
      <c r="AD65" s="76"/>
      <c r="AE65" s="76"/>
      <c r="AF65" s="76"/>
      <c r="AG65" s="76"/>
      <c r="AH65" s="4"/>
      <c r="AI65" s="4"/>
      <c r="AJ65" s="4"/>
      <c r="AK65" s="4"/>
      <c r="AL65" s="4"/>
    </row>
    <row r="66" spans="1:38" ht="14">
      <c r="A66" s="65" t="s">
        <v>133</v>
      </c>
      <c r="B66" s="106" t="s">
        <v>71</v>
      </c>
      <c r="C66" s="70"/>
      <c r="D66" s="155" t="s">
        <v>301</v>
      </c>
      <c r="E66" s="166" t="s">
        <v>302</v>
      </c>
      <c r="F66" s="157" t="str">
        <f ca="1">IFERROR(__xludf.DUMMYFUNCTION("INDEX(SPLIT(E66,""/""),,COUNTA(SPLIT(E66,""/"")))"),"1744000766845559189")</f>
        <v>1744000766845559189</v>
      </c>
      <c r="G66" s="70" t="s">
        <v>160</v>
      </c>
      <c r="H66" s="106" t="s">
        <v>80</v>
      </c>
      <c r="I66" s="65" t="s">
        <v>70</v>
      </c>
      <c r="J66" s="167">
        <v>1</v>
      </c>
      <c r="K66" s="167">
        <v>1</v>
      </c>
      <c r="L66" s="159">
        <v>1</v>
      </c>
      <c r="M66" s="76">
        <v>3</v>
      </c>
      <c r="N66" s="76">
        <v>3</v>
      </c>
      <c r="O66" s="76">
        <v>1</v>
      </c>
      <c r="P66" s="76">
        <v>2</v>
      </c>
      <c r="Q66" s="76">
        <v>2</v>
      </c>
      <c r="R66" s="76">
        <v>1</v>
      </c>
      <c r="S66" s="76">
        <v>3</v>
      </c>
      <c r="T66" s="76">
        <v>2</v>
      </c>
      <c r="U66" s="76">
        <v>3</v>
      </c>
      <c r="V66" s="162">
        <v>2</v>
      </c>
      <c r="W66" s="159">
        <v>1</v>
      </c>
      <c r="X66" s="76">
        <v>1</v>
      </c>
      <c r="Y66" s="76">
        <v>1</v>
      </c>
      <c r="Z66" s="76">
        <v>1</v>
      </c>
      <c r="AA66" s="76">
        <v>1</v>
      </c>
      <c r="AB66" s="76">
        <v>1</v>
      </c>
      <c r="AC66" s="76">
        <v>1</v>
      </c>
      <c r="AD66" s="76">
        <v>3</v>
      </c>
      <c r="AE66" s="76">
        <v>3</v>
      </c>
      <c r="AF66" s="76">
        <v>3</v>
      </c>
      <c r="AG66" s="76">
        <v>1</v>
      </c>
      <c r="AH66" s="4"/>
      <c r="AI66" s="4"/>
      <c r="AJ66" s="4"/>
      <c r="AK66" s="4"/>
      <c r="AL66" s="4"/>
    </row>
    <row r="67" spans="1:38" ht="14">
      <c r="A67" s="65" t="s">
        <v>133</v>
      </c>
      <c r="B67" s="106" t="s">
        <v>71</v>
      </c>
      <c r="C67" s="70"/>
      <c r="D67" s="155" t="s">
        <v>303</v>
      </c>
      <c r="E67" s="166" t="s">
        <v>304</v>
      </c>
      <c r="F67" s="157" t="str">
        <f ca="1">IFERROR(__xludf.DUMMYFUNCTION("INDEX(SPLIT(E67,""/""),,COUNTA(SPLIT(E67,""/"")))"),"1743281978038788252")</f>
        <v>1743281978038788252</v>
      </c>
      <c r="G67" s="171" t="s">
        <v>305</v>
      </c>
      <c r="H67" s="106" t="s">
        <v>80</v>
      </c>
      <c r="I67" s="65" t="s">
        <v>81</v>
      </c>
      <c r="J67" s="167">
        <v>1</v>
      </c>
      <c r="K67" s="167">
        <v>1</v>
      </c>
      <c r="L67" s="159">
        <v>1</v>
      </c>
      <c r="M67" s="76">
        <v>3</v>
      </c>
      <c r="N67" s="76">
        <v>1</v>
      </c>
      <c r="O67" s="76">
        <v>2</v>
      </c>
      <c r="P67" s="76">
        <v>1</v>
      </c>
      <c r="Q67" s="76">
        <v>1</v>
      </c>
      <c r="R67" s="76">
        <v>1</v>
      </c>
      <c r="S67" s="76">
        <v>2</v>
      </c>
      <c r="T67" s="76">
        <v>1</v>
      </c>
      <c r="U67" s="76">
        <v>3</v>
      </c>
      <c r="V67" s="162">
        <v>2</v>
      </c>
      <c r="W67" s="159">
        <v>1</v>
      </c>
      <c r="X67" s="76">
        <v>1</v>
      </c>
      <c r="Y67" s="76">
        <v>1</v>
      </c>
      <c r="Z67" s="76">
        <v>1</v>
      </c>
      <c r="AA67" s="76">
        <v>1</v>
      </c>
      <c r="AB67" s="76">
        <v>1</v>
      </c>
      <c r="AC67" s="76">
        <v>1</v>
      </c>
      <c r="AD67" s="76">
        <v>2</v>
      </c>
      <c r="AE67" s="76">
        <v>2</v>
      </c>
      <c r="AF67" s="76">
        <v>1</v>
      </c>
      <c r="AG67" s="76">
        <v>1</v>
      </c>
      <c r="AH67" s="4"/>
      <c r="AI67" s="4"/>
      <c r="AJ67" s="4"/>
      <c r="AK67" s="4"/>
      <c r="AL67" s="4"/>
    </row>
    <row r="68" spans="1:38" ht="14">
      <c r="A68" s="106"/>
      <c r="B68" s="106" t="s">
        <v>71</v>
      </c>
      <c r="C68" s="70"/>
      <c r="D68" s="155" t="s">
        <v>306</v>
      </c>
      <c r="E68" s="166" t="s">
        <v>307</v>
      </c>
      <c r="F68" s="157" t="str">
        <f ca="1">IFERROR(__xludf.DUMMYFUNCTION("INDEX(SPLIT(E68,""/""),,COUNTA(SPLIT(E68,""/"")))"),"1743552123852247315")</f>
        <v>1743552123852247315</v>
      </c>
      <c r="G68" s="171" t="s">
        <v>308</v>
      </c>
      <c r="H68" s="106" t="s">
        <v>80</v>
      </c>
      <c r="I68" s="76"/>
      <c r="J68" s="167"/>
      <c r="K68" s="167"/>
      <c r="L68" s="159"/>
      <c r="M68" s="76"/>
      <c r="N68" s="76"/>
      <c r="O68" s="76"/>
      <c r="P68" s="76"/>
      <c r="Q68" s="76"/>
      <c r="R68" s="76"/>
      <c r="S68" s="76"/>
      <c r="T68" s="76"/>
      <c r="U68" s="76"/>
      <c r="V68" s="162"/>
      <c r="W68" s="159"/>
      <c r="X68" s="76"/>
      <c r="Y68" s="76"/>
      <c r="Z68" s="76"/>
      <c r="AA68" s="76"/>
      <c r="AB68" s="76"/>
      <c r="AC68" s="76"/>
      <c r="AD68" s="76"/>
      <c r="AE68" s="76"/>
      <c r="AF68" s="76"/>
      <c r="AG68" s="76"/>
      <c r="AH68" s="4"/>
      <c r="AI68" s="4"/>
      <c r="AJ68" s="4"/>
      <c r="AK68" s="4"/>
      <c r="AL68" s="4"/>
    </row>
    <row r="69" spans="1:38" ht="14">
      <c r="A69" s="106"/>
      <c r="B69" s="106"/>
      <c r="C69" s="70"/>
      <c r="D69" s="155" t="s">
        <v>309</v>
      </c>
      <c r="E69" s="180" t="s">
        <v>310</v>
      </c>
      <c r="F69" s="157" t="str">
        <f ca="1">IFERROR(__xludf.DUMMYFUNCTION("INDEX(SPLIT(E69,""/""),,COUNTA(SPLIT(E69,""/"")))"),"1742278065147801929")</f>
        <v>1742278065147801929</v>
      </c>
      <c r="G69" s="171" t="s">
        <v>305</v>
      </c>
      <c r="H69" s="106" t="s">
        <v>80</v>
      </c>
      <c r="I69" s="76"/>
      <c r="J69" s="106"/>
      <c r="K69" s="106"/>
      <c r="L69" s="159"/>
      <c r="M69" s="76"/>
      <c r="N69" s="76"/>
      <c r="O69" s="76"/>
      <c r="P69" s="76"/>
      <c r="Q69" s="76"/>
      <c r="R69" s="76"/>
      <c r="S69" s="76"/>
      <c r="T69" s="76"/>
      <c r="U69" s="76"/>
      <c r="V69" s="162"/>
      <c r="W69" s="159"/>
      <c r="X69" s="76"/>
      <c r="Y69" s="76"/>
      <c r="Z69" s="76"/>
      <c r="AA69" s="76"/>
      <c r="AB69" s="76"/>
      <c r="AC69" s="76"/>
      <c r="AD69" s="76"/>
      <c r="AE69" s="76"/>
      <c r="AF69" s="76"/>
      <c r="AG69" s="76"/>
      <c r="AH69" s="4"/>
      <c r="AI69" s="4"/>
      <c r="AJ69" s="4"/>
      <c r="AK69" s="4"/>
      <c r="AL69" s="4"/>
    </row>
    <row r="70" spans="1:38" ht="14">
      <c r="A70" s="106"/>
      <c r="B70" s="106"/>
      <c r="C70" s="70"/>
      <c r="D70" s="155" t="s">
        <v>311</v>
      </c>
      <c r="E70" s="166" t="s">
        <v>312</v>
      </c>
      <c r="F70" s="157" t="str">
        <f ca="1">IFERROR(__xludf.DUMMYFUNCTION("INDEX(SPLIT(E70,""/""),,COUNTA(SPLIT(E70,""/"")))"),"1743553833241038989")</f>
        <v>1743553833241038989</v>
      </c>
      <c r="G70" s="70" t="s">
        <v>313</v>
      </c>
      <c r="H70" s="106" t="s">
        <v>80</v>
      </c>
      <c r="I70" s="167"/>
      <c r="J70" s="106"/>
      <c r="K70" s="106"/>
      <c r="L70" s="159"/>
      <c r="M70" s="76"/>
      <c r="N70" s="76"/>
      <c r="O70" s="76"/>
      <c r="P70" s="76"/>
      <c r="Q70" s="76"/>
      <c r="R70" s="76"/>
      <c r="S70" s="76"/>
      <c r="T70" s="76"/>
      <c r="U70" s="76"/>
      <c r="V70" s="162"/>
      <c r="W70" s="159"/>
      <c r="X70" s="76"/>
      <c r="Y70" s="76"/>
      <c r="Z70" s="76"/>
      <c r="AA70" s="76"/>
      <c r="AB70" s="76"/>
      <c r="AC70" s="76"/>
      <c r="AD70" s="76"/>
      <c r="AE70" s="76"/>
      <c r="AF70" s="76"/>
      <c r="AG70" s="76"/>
      <c r="AH70" s="4"/>
      <c r="AI70" s="4"/>
      <c r="AJ70" s="4"/>
      <c r="AK70" s="4"/>
      <c r="AL70" s="4"/>
    </row>
    <row r="71" spans="1:38" ht="14">
      <c r="A71" s="106"/>
      <c r="B71" s="106"/>
      <c r="C71" s="70"/>
      <c r="D71" s="155" t="s">
        <v>314</v>
      </c>
      <c r="E71" s="166" t="s">
        <v>315</v>
      </c>
      <c r="F71" s="157" t="str">
        <f ca="1">IFERROR(__xludf.DUMMYFUNCTION("INDEX(SPLIT(E71,""/""),,COUNTA(SPLIT(E71,""/"")))"),"1742731787204210956")</f>
        <v>1742731787204210956</v>
      </c>
      <c r="G71" s="70" t="s">
        <v>316</v>
      </c>
      <c r="H71" s="106" t="s">
        <v>317</v>
      </c>
      <c r="I71" s="65"/>
      <c r="J71" s="106"/>
      <c r="K71" s="106"/>
      <c r="L71" s="159"/>
      <c r="M71" s="76"/>
      <c r="N71" s="76"/>
      <c r="O71" s="76"/>
      <c r="P71" s="76"/>
      <c r="Q71" s="76"/>
      <c r="R71" s="76"/>
      <c r="S71" s="76"/>
      <c r="T71" s="76"/>
      <c r="U71" s="76"/>
      <c r="V71" s="162"/>
      <c r="W71" s="159"/>
      <c r="X71" s="76"/>
      <c r="Y71" s="76"/>
      <c r="Z71" s="76"/>
      <c r="AA71" s="76"/>
      <c r="AB71" s="76"/>
      <c r="AC71" s="76"/>
      <c r="AD71" s="76"/>
      <c r="AE71" s="76"/>
      <c r="AF71" s="76"/>
      <c r="AG71" s="76"/>
      <c r="AH71" s="4"/>
      <c r="AI71" s="4"/>
      <c r="AJ71" s="4"/>
      <c r="AK71" s="4"/>
      <c r="AL71" s="4"/>
    </row>
    <row r="72" spans="1:38" ht="14">
      <c r="A72" s="65" t="s">
        <v>133</v>
      </c>
      <c r="B72" s="106" t="s">
        <v>78</v>
      </c>
      <c r="C72" s="70"/>
      <c r="D72" s="155" t="s">
        <v>318</v>
      </c>
      <c r="E72" s="166" t="s">
        <v>319</v>
      </c>
      <c r="F72" s="157" t="str">
        <f ca="1">IFERROR(__xludf.DUMMYFUNCTION("INDEX(SPLIT(E72,""/""),,COUNTA(SPLIT(E72,""/"")))"),"1739802241312211184")</f>
        <v>1739802241312211184</v>
      </c>
      <c r="G72" s="70" t="s">
        <v>320</v>
      </c>
      <c r="H72" s="106" t="s">
        <v>80</v>
      </c>
      <c r="I72" s="167" t="s">
        <v>70</v>
      </c>
      <c r="J72" s="106" t="s">
        <v>138</v>
      </c>
      <c r="K72" s="106" t="s">
        <v>138</v>
      </c>
      <c r="L72" s="159">
        <v>1</v>
      </c>
      <c r="M72" s="76">
        <v>3</v>
      </c>
      <c r="N72" s="76">
        <v>1</v>
      </c>
      <c r="O72" s="76">
        <v>1</v>
      </c>
      <c r="P72" s="76">
        <v>1</v>
      </c>
      <c r="Q72" s="76">
        <v>1</v>
      </c>
      <c r="R72" s="76">
        <v>2</v>
      </c>
      <c r="S72" s="76">
        <v>3</v>
      </c>
      <c r="T72" s="76">
        <v>2</v>
      </c>
      <c r="U72" s="76">
        <v>2</v>
      </c>
      <c r="V72" s="162">
        <v>2</v>
      </c>
      <c r="W72" s="159">
        <v>2</v>
      </c>
      <c r="X72" s="76">
        <v>1</v>
      </c>
      <c r="Y72" s="76">
        <v>3</v>
      </c>
      <c r="Z72" s="76">
        <v>1</v>
      </c>
      <c r="AA72" s="76">
        <v>1</v>
      </c>
      <c r="AB72" s="76">
        <v>1</v>
      </c>
      <c r="AC72" s="76">
        <v>1</v>
      </c>
      <c r="AD72" s="76">
        <v>3</v>
      </c>
      <c r="AE72" s="76">
        <v>3</v>
      </c>
      <c r="AF72" s="76">
        <v>3</v>
      </c>
      <c r="AG72" s="76">
        <v>1</v>
      </c>
      <c r="AH72" s="4"/>
      <c r="AI72" s="4"/>
      <c r="AJ72" s="4"/>
      <c r="AK72" s="4"/>
      <c r="AL72" s="4"/>
    </row>
    <row r="73" spans="1:38" ht="14">
      <c r="A73" s="65" t="s">
        <v>133</v>
      </c>
      <c r="B73" s="106" t="s">
        <v>78</v>
      </c>
      <c r="C73" s="70"/>
      <c r="D73" s="155" t="s">
        <v>321</v>
      </c>
      <c r="E73" s="166" t="s">
        <v>322</v>
      </c>
      <c r="F73" s="157" t="str">
        <f ca="1">IFERROR(__xludf.DUMMYFUNCTION("INDEX(SPLIT(E73,""/""),,COUNTA(SPLIT(E73,""/"")))"),"1743771126214320533")</f>
        <v>1743771126214320533</v>
      </c>
      <c r="G73" s="70" t="s">
        <v>160</v>
      </c>
      <c r="H73" s="106" t="s">
        <v>80</v>
      </c>
      <c r="I73" s="65" t="s">
        <v>70</v>
      </c>
      <c r="J73" s="106" t="s">
        <v>138</v>
      </c>
      <c r="K73" s="106" t="s">
        <v>138</v>
      </c>
      <c r="L73" s="159">
        <v>1</v>
      </c>
      <c r="M73" s="76">
        <v>3</v>
      </c>
      <c r="N73" s="76">
        <v>3</v>
      </c>
      <c r="O73" s="76">
        <v>3</v>
      </c>
      <c r="P73" s="76">
        <v>1</v>
      </c>
      <c r="Q73" s="76">
        <v>1</v>
      </c>
      <c r="R73" s="76">
        <v>3</v>
      </c>
      <c r="S73" s="76">
        <v>3</v>
      </c>
      <c r="T73" s="76">
        <v>2</v>
      </c>
      <c r="U73" s="76">
        <v>1</v>
      </c>
      <c r="V73" s="162">
        <v>3</v>
      </c>
      <c r="W73" s="159">
        <v>1</v>
      </c>
      <c r="X73" s="76">
        <v>3</v>
      </c>
      <c r="Y73" s="76">
        <v>1</v>
      </c>
      <c r="Z73" s="76">
        <v>1</v>
      </c>
      <c r="AA73" s="76">
        <v>1</v>
      </c>
      <c r="AB73" s="76">
        <v>1</v>
      </c>
      <c r="AC73" s="76">
        <v>1</v>
      </c>
      <c r="AD73" s="76">
        <v>3</v>
      </c>
      <c r="AE73" s="76">
        <v>3</v>
      </c>
      <c r="AF73" s="76">
        <v>3</v>
      </c>
      <c r="AG73" s="76">
        <v>1</v>
      </c>
      <c r="AH73" s="4"/>
      <c r="AI73" s="4"/>
      <c r="AJ73" s="4"/>
      <c r="AK73" s="4"/>
      <c r="AL73" s="4"/>
    </row>
    <row r="74" spans="1:38" ht="14">
      <c r="A74" s="65" t="s">
        <v>133</v>
      </c>
      <c r="B74" s="106" t="s">
        <v>78</v>
      </c>
      <c r="C74" s="70"/>
      <c r="D74" s="155" t="s">
        <v>323</v>
      </c>
      <c r="E74" s="166" t="s">
        <v>324</v>
      </c>
      <c r="F74" s="157" t="str">
        <f ca="1">IFERROR(__xludf.DUMMYFUNCTION("INDEX(SPLIT(E74,""/""),,COUNTA(SPLIT(E74,""/"")))"),"1744148861533278685")</f>
        <v>1744148861533278685</v>
      </c>
      <c r="G74" s="171" t="s">
        <v>325</v>
      </c>
      <c r="H74" s="106" t="s">
        <v>80</v>
      </c>
      <c r="I74" s="65" t="s">
        <v>70</v>
      </c>
      <c r="J74" s="106" t="s">
        <v>138</v>
      </c>
      <c r="K74" s="106" t="s">
        <v>138</v>
      </c>
      <c r="L74" s="159">
        <v>1</v>
      </c>
      <c r="M74" s="76">
        <v>3</v>
      </c>
      <c r="N74" s="76">
        <v>3</v>
      </c>
      <c r="O74" s="76">
        <v>1</v>
      </c>
      <c r="P74" s="76">
        <v>1</v>
      </c>
      <c r="Q74" s="76">
        <v>1</v>
      </c>
      <c r="R74" s="76">
        <v>1</v>
      </c>
      <c r="S74" s="76">
        <v>3</v>
      </c>
      <c r="T74" s="76">
        <v>1</v>
      </c>
      <c r="U74" s="76">
        <v>1</v>
      </c>
      <c r="V74" s="162">
        <v>2</v>
      </c>
      <c r="W74" s="159">
        <v>1</v>
      </c>
      <c r="X74" s="76">
        <v>2</v>
      </c>
      <c r="Y74" s="76">
        <v>3</v>
      </c>
      <c r="Z74" s="76">
        <v>1</v>
      </c>
      <c r="AA74" s="76">
        <v>1</v>
      </c>
      <c r="AB74" s="76">
        <v>1</v>
      </c>
      <c r="AC74" s="76">
        <v>1</v>
      </c>
      <c r="AD74" s="76">
        <v>3</v>
      </c>
      <c r="AE74" s="76">
        <v>3</v>
      </c>
      <c r="AF74" s="76">
        <v>3</v>
      </c>
      <c r="AG74" s="76">
        <v>1</v>
      </c>
      <c r="AH74" s="4"/>
      <c r="AI74" s="4"/>
      <c r="AJ74" s="4"/>
      <c r="AK74" s="4"/>
      <c r="AL74" s="4"/>
    </row>
    <row r="75" spans="1:38" ht="14">
      <c r="A75" s="65" t="s">
        <v>133</v>
      </c>
      <c r="B75" s="106" t="s">
        <v>78</v>
      </c>
      <c r="C75" s="70"/>
      <c r="D75" s="155" t="s">
        <v>326</v>
      </c>
      <c r="E75" s="166" t="s">
        <v>327</v>
      </c>
      <c r="F75" s="157" t="str">
        <f ca="1">IFERROR(__xludf.DUMMYFUNCTION("INDEX(SPLIT(E75,""/""),,COUNTA(SPLIT(E75,""/"")))"),"1743401785560084825")</f>
        <v>1743401785560084825</v>
      </c>
      <c r="G75" s="171" t="s">
        <v>328</v>
      </c>
      <c r="H75" s="106" t="s">
        <v>80</v>
      </c>
      <c r="I75" s="65" t="s">
        <v>81</v>
      </c>
      <c r="J75" s="106" t="s">
        <v>138</v>
      </c>
      <c r="K75" s="106" t="s">
        <v>138</v>
      </c>
      <c r="L75" s="159">
        <v>1</v>
      </c>
      <c r="M75" s="76">
        <v>3</v>
      </c>
      <c r="N75" s="76">
        <v>1</v>
      </c>
      <c r="O75" s="76">
        <v>1</v>
      </c>
      <c r="P75" s="76">
        <v>1</v>
      </c>
      <c r="Q75" s="76">
        <v>1</v>
      </c>
      <c r="R75" s="76">
        <v>1</v>
      </c>
      <c r="S75" s="76">
        <v>1</v>
      </c>
      <c r="T75" s="76">
        <v>1</v>
      </c>
      <c r="U75" s="76">
        <v>1</v>
      </c>
      <c r="V75" s="162">
        <v>1</v>
      </c>
      <c r="W75" s="159">
        <v>1</v>
      </c>
      <c r="X75" s="76">
        <v>1</v>
      </c>
      <c r="Y75" s="76">
        <v>1</v>
      </c>
      <c r="Z75" s="76">
        <v>1</v>
      </c>
      <c r="AA75" s="76">
        <v>1</v>
      </c>
      <c r="AB75" s="76">
        <v>1</v>
      </c>
      <c r="AC75" s="76">
        <v>1</v>
      </c>
      <c r="AD75" s="76">
        <v>3</v>
      </c>
      <c r="AE75" s="76">
        <v>3</v>
      </c>
      <c r="AF75" s="76">
        <v>1</v>
      </c>
      <c r="AG75" s="76">
        <v>1</v>
      </c>
      <c r="AH75" s="4"/>
      <c r="AI75" s="4"/>
      <c r="AJ75" s="4"/>
      <c r="AK75" s="4"/>
      <c r="AL75" s="4"/>
    </row>
    <row r="76" spans="1:38" ht="14">
      <c r="A76" s="65" t="s">
        <v>133</v>
      </c>
      <c r="B76" s="106" t="s">
        <v>78</v>
      </c>
      <c r="C76" s="70"/>
      <c r="D76" s="155" t="s">
        <v>329</v>
      </c>
      <c r="E76" s="180" t="s">
        <v>330</v>
      </c>
      <c r="F76" s="157" t="str">
        <f ca="1">IFERROR(__xludf.DUMMYFUNCTION("INDEX(SPLIT(E76,""/""),,COUNTA(SPLIT(E76,""/"")))"),"1742993745732124991")</f>
        <v>1742993745732124991</v>
      </c>
      <c r="G76" s="171" t="s">
        <v>331</v>
      </c>
      <c r="H76" s="106" t="s">
        <v>80</v>
      </c>
      <c r="I76" s="65" t="s">
        <v>70</v>
      </c>
      <c r="J76" s="106" t="s">
        <v>138</v>
      </c>
      <c r="K76" s="106" t="s">
        <v>146</v>
      </c>
      <c r="L76" s="159">
        <v>3</v>
      </c>
      <c r="M76" s="76">
        <v>3</v>
      </c>
      <c r="N76" s="76">
        <v>3</v>
      </c>
      <c r="O76" s="76">
        <v>3</v>
      </c>
      <c r="P76" s="76">
        <v>1</v>
      </c>
      <c r="Q76" s="76">
        <v>1</v>
      </c>
      <c r="R76" s="76">
        <v>2</v>
      </c>
      <c r="S76" s="76">
        <v>3</v>
      </c>
      <c r="T76" s="76">
        <v>1</v>
      </c>
      <c r="U76" s="76">
        <v>3</v>
      </c>
      <c r="V76" s="162">
        <v>3</v>
      </c>
      <c r="W76" s="159">
        <v>2</v>
      </c>
      <c r="X76" s="76">
        <v>1</v>
      </c>
      <c r="Y76" s="76">
        <v>1</v>
      </c>
      <c r="Z76" s="76">
        <v>1</v>
      </c>
      <c r="AA76" s="76">
        <v>2</v>
      </c>
      <c r="AB76" s="76">
        <v>1</v>
      </c>
      <c r="AC76" s="76">
        <v>2</v>
      </c>
      <c r="AD76" s="76">
        <v>3</v>
      </c>
      <c r="AE76" s="76">
        <v>3</v>
      </c>
      <c r="AF76" s="76">
        <v>3</v>
      </c>
      <c r="AG76" s="76">
        <v>1</v>
      </c>
      <c r="AH76" s="4"/>
      <c r="AI76" s="4"/>
      <c r="AJ76" s="4"/>
      <c r="AK76" s="4"/>
      <c r="AL76" s="4"/>
    </row>
    <row r="77" spans="1:38" ht="14">
      <c r="A77" s="65" t="s">
        <v>133</v>
      </c>
      <c r="B77" s="106" t="s">
        <v>78</v>
      </c>
      <c r="C77" s="70"/>
      <c r="D77" s="155" t="s">
        <v>332</v>
      </c>
      <c r="E77" s="166" t="s">
        <v>333</v>
      </c>
      <c r="F77" s="157" t="str">
        <f ca="1">IFERROR(__xludf.DUMMYFUNCTION("INDEX(SPLIT(E77,""/""),,COUNTA(SPLIT(E77,""/"")))"),"1710518671855042718")</f>
        <v>1710518671855042718</v>
      </c>
      <c r="G77" s="171" t="s">
        <v>334</v>
      </c>
      <c r="H77" s="106" t="s">
        <v>80</v>
      </c>
      <c r="I77" s="76" t="s">
        <v>70</v>
      </c>
      <c r="J77" s="106" t="s">
        <v>138</v>
      </c>
      <c r="K77" s="106" t="s">
        <v>138</v>
      </c>
      <c r="L77" s="159">
        <v>1</v>
      </c>
      <c r="M77" s="76">
        <v>1</v>
      </c>
      <c r="N77" s="76">
        <v>2</v>
      </c>
      <c r="O77" s="76">
        <v>1</v>
      </c>
      <c r="P77" s="76">
        <v>1</v>
      </c>
      <c r="Q77" s="76">
        <v>1</v>
      </c>
      <c r="R77" s="76">
        <v>1</v>
      </c>
      <c r="S77" s="76">
        <v>3</v>
      </c>
      <c r="T77" s="76">
        <v>2</v>
      </c>
      <c r="U77" s="76">
        <v>1</v>
      </c>
      <c r="V77" s="162">
        <v>3</v>
      </c>
      <c r="W77" s="159">
        <v>1</v>
      </c>
      <c r="X77" s="76">
        <v>1</v>
      </c>
      <c r="Y77" s="76">
        <v>1</v>
      </c>
      <c r="Z77" s="76">
        <v>1</v>
      </c>
      <c r="AA77" s="76">
        <v>1</v>
      </c>
      <c r="AB77" s="76">
        <v>1</v>
      </c>
      <c r="AC77" s="76">
        <v>3</v>
      </c>
      <c r="AD77" s="76">
        <v>3</v>
      </c>
      <c r="AE77" s="76">
        <v>3</v>
      </c>
      <c r="AF77" s="76">
        <v>3</v>
      </c>
      <c r="AG77" s="76">
        <v>1</v>
      </c>
      <c r="AH77" s="4"/>
      <c r="AI77" s="4"/>
      <c r="AJ77" s="4"/>
      <c r="AK77" s="4"/>
      <c r="AL77" s="4"/>
    </row>
    <row r="78" spans="1:38" ht="14">
      <c r="A78" s="65" t="s">
        <v>133</v>
      </c>
      <c r="B78" s="106" t="s">
        <v>78</v>
      </c>
      <c r="C78" s="70"/>
      <c r="D78" s="155" t="s">
        <v>335</v>
      </c>
      <c r="E78" s="166" t="s">
        <v>336</v>
      </c>
      <c r="F78" s="157" t="str">
        <f ca="1">IFERROR(__xludf.DUMMYFUNCTION("INDEX(SPLIT(E78,""/""),,COUNTA(SPLIT(E78,""/"")))"),"1740021446997368846")</f>
        <v>1740021446997368846</v>
      </c>
      <c r="G78" s="171" t="s">
        <v>337</v>
      </c>
      <c r="H78" s="106" t="s">
        <v>80</v>
      </c>
      <c r="I78" s="65" t="s">
        <v>70</v>
      </c>
      <c r="J78" s="106" t="s">
        <v>138</v>
      </c>
      <c r="K78" s="106" t="s">
        <v>138</v>
      </c>
      <c r="L78" s="159">
        <v>1</v>
      </c>
      <c r="M78" s="76">
        <v>3</v>
      </c>
      <c r="N78" s="76">
        <v>1</v>
      </c>
      <c r="O78" s="76">
        <v>1</v>
      </c>
      <c r="P78" s="76">
        <v>1</v>
      </c>
      <c r="Q78" s="76">
        <v>1</v>
      </c>
      <c r="R78" s="76">
        <v>1</v>
      </c>
      <c r="S78" s="76">
        <v>3</v>
      </c>
      <c r="T78" s="76">
        <v>1</v>
      </c>
      <c r="U78" s="76">
        <v>2</v>
      </c>
      <c r="V78" s="162">
        <v>1</v>
      </c>
      <c r="W78" s="159">
        <v>1</v>
      </c>
      <c r="X78" s="76">
        <v>1</v>
      </c>
      <c r="Y78" s="76">
        <v>1</v>
      </c>
      <c r="Z78" s="76">
        <v>1</v>
      </c>
      <c r="AA78" s="76">
        <v>1</v>
      </c>
      <c r="AB78" s="76">
        <v>1</v>
      </c>
      <c r="AC78" s="76">
        <v>1</v>
      </c>
      <c r="AD78" s="76">
        <v>3</v>
      </c>
      <c r="AE78" s="76">
        <v>3</v>
      </c>
      <c r="AF78" s="76">
        <v>3</v>
      </c>
      <c r="AG78" s="76">
        <v>1</v>
      </c>
      <c r="AH78" s="4"/>
      <c r="AI78" s="4"/>
      <c r="AJ78" s="4"/>
      <c r="AK78" s="4"/>
      <c r="AL78" s="4"/>
    </row>
    <row r="79" spans="1:38" ht="14">
      <c r="A79" s="65" t="s">
        <v>133</v>
      </c>
      <c r="B79" s="106" t="s">
        <v>78</v>
      </c>
      <c r="C79" s="70"/>
      <c r="D79" s="155" t="s">
        <v>338</v>
      </c>
      <c r="E79" s="166" t="s">
        <v>339</v>
      </c>
      <c r="F79" s="157" t="str">
        <f ca="1">IFERROR(__xludf.DUMMYFUNCTION("INDEX(SPLIT(E79,""/""),,COUNTA(SPLIT(E79,""/"")))"),"1738190439235170378")</f>
        <v>1738190439235170378</v>
      </c>
      <c r="G79" s="171" t="s">
        <v>337</v>
      </c>
      <c r="H79" s="106" t="s">
        <v>80</v>
      </c>
      <c r="I79" s="76" t="s">
        <v>81</v>
      </c>
      <c r="J79" s="106" t="s">
        <v>138</v>
      </c>
      <c r="K79" s="106" t="s">
        <v>138</v>
      </c>
      <c r="L79" s="159">
        <v>1</v>
      </c>
      <c r="M79" s="76">
        <v>1</v>
      </c>
      <c r="N79" s="76">
        <v>1</v>
      </c>
      <c r="O79" s="76">
        <v>1</v>
      </c>
      <c r="P79" s="76">
        <v>1</v>
      </c>
      <c r="Q79" s="76">
        <v>1</v>
      </c>
      <c r="R79" s="76">
        <v>1</v>
      </c>
      <c r="S79" s="76">
        <v>1</v>
      </c>
      <c r="T79" s="76">
        <v>1</v>
      </c>
      <c r="U79" s="76">
        <v>1</v>
      </c>
      <c r="V79" s="162">
        <v>1</v>
      </c>
      <c r="W79" s="159">
        <v>1</v>
      </c>
      <c r="X79" s="76">
        <v>1</v>
      </c>
      <c r="Y79" s="76">
        <v>1</v>
      </c>
      <c r="Z79" s="76">
        <v>1</v>
      </c>
      <c r="AA79" s="76">
        <v>1</v>
      </c>
      <c r="AB79" s="76">
        <v>1</v>
      </c>
      <c r="AC79" s="76">
        <v>1</v>
      </c>
      <c r="AD79" s="76">
        <v>3</v>
      </c>
      <c r="AE79" s="76">
        <v>3</v>
      </c>
      <c r="AF79" s="76">
        <v>1</v>
      </c>
      <c r="AG79" s="76">
        <v>1</v>
      </c>
      <c r="AH79" s="4"/>
      <c r="AI79" s="4"/>
      <c r="AJ79" s="4"/>
      <c r="AK79" s="4"/>
      <c r="AL79" s="4"/>
    </row>
    <row r="80" spans="1:38" ht="14">
      <c r="A80" s="65" t="s">
        <v>133</v>
      </c>
      <c r="B80" s="106" t="s">
        <v>78</v>
      </c>
      <c r="C80" s="70"/>
      <c r="D80" s="155" t="s">
        <v>340</v>
      </c>
      <c r="E80" s="166" t="s">
        <v>341</v>
      </c>
      <c r="F80" s="157" t="str">
        <f ca="1">IFERROR(__xludf.DUMMYFUNCTION("INDEX(SPLIT(E80,""/""),,COUNTA(SPLIT(E80,""/"")))"),"1718196319347442029")</f>
        <v>1718196319347442029</v>
      </c>
      <c r="G80" s="70" t="s">
        <v>342</v>
      </c>
      <c r="H80" s="106" t="s">
        <v>80</v>
      </c>
      <c r="I80" s="76" t="s">
        <v>70</v>
      </c>
      <c r="J80" s="106" t="s">
        <v>138</v>
      </c>
      <c r="K80" s="106" t="s">
        <v>138</v>
      </c>
      <c r="L80" s="159">
        <v>1</v>
      </c>
      <c r="M80" s="76">
        <v>3</v>
      </c>
      <c r="N80" s="76">
        <v>1</v>
      </c>
      <c r="O80" s="76">
        <v>1</v>
      </c>
      <c r="P80" s="76">
        <v>1</v>
      </c>
      <c r="Q80" s="76">
        <v>1</v>
      </c>
      <c r="R80" s="76">
        <v>1</v>
      </c>
      <c r="S80" s="76">
        <v>3</v>
      </c>
      <c r="T80" s="76">
        <v>2</v>
      </c>
      <c r="U80" s="76">
        <v>1</v>
      </c>
      <c r="V80" s="162">
        <v>1</v>
      </c>
      <c r="W80" s="159">
        <v>1</v>
      </c>
      <c r="X80" s="76">
        <v>1</v>
      </c>
      <c r="Y80" s="76">
        <v>3</v>
      </c>
      <c r="Z80" s="76">
        <v>1</v>
      </c>
      <c r="AA80" s="76">
        <v>1</v>
      </c>
      <c r="AB80" s="76">
        <v>1</v>
      </c>
      <c r="AC80" s="76">
        <v>1</v>
      </c>
      <c r="AD80" s="76">
        <v>3</v>
      </c>
      <c r="AE80" s="76">
        <v>3</v>
      </c>
      <c r="AF80" s="76">
        <v>3</v>
      </c>
      <c r="AG80" s="76">
        <v>1</v>
      </c>
      <c r="AH80" s="4"/>
      <c r="AI80" s="4"/>
      <c r="AJ80" s="4"/>
      <c r="AK80" s="4"/>
      <c r="AL80" s="4"/>
    </row>
    <row r="81" spans="1:38" ht="14">
      <c r="A81" s="65" t="s">
        <v>133</v>
      </c>
      <c r="B81" s="106" t="s">
        <v>78</v>
      </c>
      <c r="C81" s="70"/>
      <c r="D81" s="155" t="s">
        <v>343</v>
      </c>
      <c r="E81" s="166" t="s">
        <v>344</v>
      </c>
      <c r="F81" s="157" t="str">
        <f ca="1">IFERROR(__xludf.DUMMYFUNCTION("INDEX(SPLIT(E81,""/""),,COUNTA(SPLIT(E81,""/"")))"),"1734975208367194235")</f>
        <v>1734975208367194235</v>
      </c>
      <c r="G81" s="171" t="s">
        <v>337</v>
      </c>
      <c r="H81" s="106" t="s">
        <v>80</v>
      </c>
      <c r="I81" s="76" t="s">
        <v>70</v>
      </c>
      <c r="J81" s="106" t="s">
        <v>138</v>
      </c>
      <c r="K81" s="106" t="s">
        <v>138</v>
      </c>
      <c r="L81" s="159">
        <v>1</v>
      </c>
      <c r="M81" s="76">
        <v>1</v>
      </c>
      <c r="N81" s="76">
        <v>1</v>
      </c>
      <c r="O81" s="76">
        <v>1</v>
      </c>
      <c r="P81" s="76">
        <v>1</v>
      </c>
      <c r="Q81" s="76">
        <v>1</v>
      </c>
      <c r="R81" s="76">
        <v>1</v>
      </c>
      <c r="S81" s="76">
        <v>2</v>
      </c>
      <c r="T81" s="76">
        <v>1</v>
      </c>
      <c r="U81" s="76">
        <v>1</v>
      </c>
      <c r="V81" s="162">
        <v>1</v>
      </c>
      <c r="W81" s="159">
        <v>1</v>
      </c>
      <c r="X81" s="76">
        <v>1</v>
      </c>
      <c r="Y81" s="76">
        <v>1</v>
      </c>
      <c r="Z81" s="76">
        <v>1</v>
      </c>
      <c r="AA81" s="76">
        <v>1</v>
      </c>
      <c r="AB81" s="76">
        <v>1</v>
      </c>
      <c r="AC81" s="76">
        <v>1</v>
      </c>
      <c r="AD81" s="76">
        <v>3</v>
      </c>
      <c r="AE81" s="76">
        <v>3</v>
      </c>
      <c r="AF81" s="76">
        <v>3</v>
      </c>
      <c r="AG81" s="76">
        <v>1</v>
      </c>
      <c r="AH81" s="4"/>
      <c r="AI81" s="4"/>
      <c r="AJ81" s="4"/>
      <c r="AK81" s="4"/>
      <c r="AL81" s="4"/>
    </row>
    <row r="82" spans="1:38" ht="14">
      <c r="A82" s="106"/>
      <c r="B82" s="106" t="s">
        <v>78</v>
      </c>
      <c r="C82" s="70"/>
      <c r="D82" s="155" t="s">
        <v>345</v>
      </c>
      <c r="E82" s="166" t="s">
        <v>341</v>
      </c>
      <c r="F82" s="157" t="str">
        <f ca="1">IFERROR(__xludf.DUMMYFUNCTION("INDEX(SPLIT(E82,""/""),,COUNTA(SPLIT(E82,""/"")))"),"1718196319347442029")</f>
        <v>1718196319347442029</v>
      </c>
      <c r="G82" s="171" t="s">
        <v>342</v>
      </c>
      <c r="H82" s="106" t="s">
        <v>80</v>
      </c>
      <c r="I82" s="65"/>
      <c r="J82" s="106"/>
      <c r="K82" s="106"/>
      <c r="L82" s="159"/>
      <c r="M82" s="76"/>
      <c r="N82" s="76"/>
      <c r="O82" s="76"/>
      <c r="P82" s="76"/>
      <c r="Q82" s="76"/>
      <c r="R82" s="76"/>
      <c r="S82" s="76"/>
      <c r="T82" s="76"/>
      <c r="U82" s="76"/>
      <c r="V82" s="162"/>
      <c r="W82" s="159"/>
      <c r="X82" s="76"/>
      <c r="Y82" s="76"/>
      <c r="Z82" s="76"/>
      <c r="AA82" s="76"/>
      <c r="AB82" s="76"/>
      <c r="AC82" s="76"/>
      <c r="AD82" s="76"/>
      <c r="AE82" s="76"/>
      <c r="AF82" s="76"/>
      <c r="AG82" s="76"/>
      <c r="AH82" s="4"/>
      <c r="AI82" s="4"/>
      <c r="AJ82" s="4"/>
      <c r="AK82" s="4"/>
      <c r="AL82" s="4"/>
    </row>
    <row r="83" spans="1:38" ht="14">
      <c r="A83" s="106"/>
      <c r="B83" s="106" t="s">
        <v>78</v>
      </c>
      <c r="C83" s="70"/>
      <c r="D83" s="155" t="s">
        <v>346</v>
      </c>
      <c r="E83" s="180" t="s">
        <v>347</v>
      </c>
      <c r="F83" s="157" t="str">
        <f ca="1">IFERROR(__xludf.DUMMYFUNCTION("INDEX(SPLIT(E83,""/""),,COUNTA(SPLIT(E83,""/"")))"),"1744842724988334465")</f>
        <v>1744842724988334465</v>
      </c>
      <c r="G83" s="184" t="s">
        <v>348</v>
      </c>
      <c r="H83" s="106" t="s">
        <v>80</v>
      </c>
      <c r="I83" s="65" t="s">
        <v>70</v>
      </c>
      <c r="J83" s="106" t="s">
        <v>138</v>
      </c>
      <c r="K83" s="106" t="s">
        <v>138</v>
      </c>
      <c r="L83" s="159">
        <v>1</v>
      </c>
      <c r="M83" s="76">
        <v>3</v>
      </c>
      <c r="N83" s="76">
        <v>2</v>
      </c>
      <c r="O83" s="76">
        <v>1</v>
      </c>
      <c r="P83" s="76">
        <v>1</v>
      </c>
      <c r="Q83" s="76">
        <v>1</v>
      </c>
      <c r="R83" s="76">
        <v>3</v>
      </c>
      <c r="S83" s="76">
        <v>3</v>
      </c>
      <c r="T83" s="76">
        <v>2</v>
      </c>
      <c r="U83" s="76">
        <v>2</v>
      </c>
      <c r="V83" s="162">
        <v>2</v>
      </c>
      <c r="W83" s="159">
        <v>1</v>
      </c>
      <c r="X83" s="76">
        <v>1</v>
      </c>
      <c r="Y83" s="76">
        <v>1</v>
      </c>
      <c r="Z83" s="76">
        <v>1</v>
      </c>
      <c r="AA83" s="76">
        <v>1</v>
      </c>
      <c r="AB83" s="76">
        <v>1</v>
      </c>
      <c r="AC83" s="76">
        <v>1</v>
      </c>
      <c r="AD83" s="76">
        <v>3</v>
      </c>
      <c r="AE83" s="76">
        <v>3</v>
      </c>
      <c r="AF83" s="76">
        <v>3</v>
      </c>
      <c r="AG83" s="76">
        <v>1</v>
      </c>
      <c r="AH83" s="4"/>
      <c r="AI83" s="4"/>
      <c r="AJ83" s="4"/>
      <c r="AK83" s="4"/>
      <c r="AL83" s="4"/>
    </row>
    <row r="84" spans="1:38" ht="14">
      <c r="A84" s="65" t="s">
        <v>133</v>
      </c>
      <c r="B84" s="106" t="s">
        <v>71</v>
      </c>
      <c r="C84" s="70"/>
      <c r="D84" s="155" t="s">
        <v>349</v>
      </c>
      <c r="E84" s="166" t="s">
        <v>350</v>
      </c>
      <c r="F84" s="157" t="str">
        <f ca="1">IFERROR(__xludf.DUMMYFUNCTION("INDEX(SPLIT(E84,""/""),,COUNTA(SPLIT(E84,""/"")))"),"1744075778869150091")</f>
        <v>1744075778869150091</v>
      </c>
      <c r="G84" s="171" t="s">
        <v>351</v>
      </c>
      <c r="H84" s="106" t="s">
        <v>80</v>
      </c>
      <c r="I84" s="76" t="s">
        <v>81</v>
      </c>
      <c r="J84" s="106" t="s">
        <v>138</v>
      </c>
      <c r="K84" s="106" t="s">
        <v>138</v>
      </c>
      <c r="L84" s="159">
        <v>1</v>
      </c>
      <c r="M84" s="76">
        <v>1</v>
      </c>
      <c r="N84" s="76">
        <v>2</v>
      </c>
      <c r="O84" s="76">
        <v>1</v>
      </c>
      <c r="P84" s="76">
        <v>1</v>
      </c>
      <c r="Q84" s="76">
        <v>1</v>
      </c>
      <c r="R84" s="76">
        <v>3</v>
      </c>
      <c r="S84" s="76">
        <v>3</v>
      </c>
      <c r="T84" s="76">
        <v>2</v>
      </c>
      <c r="U84" s="76">
        <v>3</v>
      </c>
      <c r="V84" s="162">
        <v>1</v>
      </c>
      <c r="W84" s="159">
        <v>1</v>
      </c>
      <c r="X84" s="76">
        <v>1</v>
      </c>
      <c r="Y84" s="76">
        <v>1</v>
      </c>
      <c r="Z84" s="76">
        <v>1</v>
      </c>
      <c r="AA84" s="76">
        <v>1</v>
      </c>
      <c r="AB84" s="76">
        <v>1</v>
      </c>
      <c r="AC84" s="76">
        <v>1</v>
      </c>
      <c r="AD84" s="76">
        <v>1</v>
      </c>
      <c r="AE84" s="76">
        <v>1</v>
      </c>
      <c r="AF84" s="76">
        <v>1</v>
      </c>
      <c r="AG84" s="76">
        <v>2</v>
      </c>
      <c r="AH84" s="4"/>
      <c r="AI84" s="4"/>
      <c r="AJ84" s="4"/>
      <c r="AK84" s="4"/>
      <c r="AL84" s="4"/>
    </row>
    <row r="85" spans="1:38" ht="14">
      <c r="A85" s="106"/>
      <c r="B85" s="106"/>
      <c r="C85" s="70"/>
      <c r="D85" s="155" t="s">
        <v>352</v>
      </c>
      <c r="E85" s="166" t="s">
        <v>353</v>
      </c>
      <c r="F85" s="157" t="str">
        <f ca="1">IFERROR(__xludf.DUMMYFUNCTION("INDEX(SPLIT(E85,""/""),,COUNTA(SPLIT(E85,""/"")))"),"1727704476125983060")</f>
        <v>1727704476125983060</v>
      </c>
      <c r="G85" s="171" t="s">
        <v>354</v>
      </c>
      <c r="H85" s="106" t="s">
        <v>80</v>
      </c>
      <c r="I85" s="65"/>
      <c r="J85" s="106"/>
      <c r="K85" s="106"/>
      <c r="L85" s="159"/>
      <c r="M85" s="76"/>
      <c r="N85" s="76"/>
      <c r="O85" s="76"/>
      <c r="P85" s="76"/>
      <c r="Q85" s="76"/>
      <c r="R85" s="76"/>
      <c r="S85" s="76"/>
      <c r="T85" s="76"/>
      <c r="U85" s="76"/>
      <c r="V85" s="162"/>
      <c r="W85" s="159"/>
      <c r="X85" s="76"/>
      <c r="Y85" s="76"/>
      <c r="Z85" s="76"/>
      <c r="AA85" s="76"/>
      <c r="AB85" s="76"/>
      <c r="AC85" s="76"/>
      <c r="AD85" s="76"/>
      <c r="AE85" s="76"/>
      <c r="AF85" s="76"/>
      <c r="AG85" s="76"/>
      <c r="AH85" s="4"/>
      <c r="AI85" s="4"/>
      <c r="AJ85" s="4"/>
      <c r="AK85" s="4"/>
      <c r="AL85" s="4"/>
    </row>
    <row r="86" spans="1:38" ht="14">
      <c r="A86" s="106"/>
      <c r="B86" s="106"/>
      <c r="C86" s="70"/>
      <c r="D86" s="155" t="s">
        <v>355</v>
      </c>
      <c r="E86" s="166" t="s">
        <v>356</v>
      </c>
      <c r="F86" s="157" t="str">
        <f ca="1">IFERROR(__xludf.DUMMYFUNCTION("INDEX(SPLIT(E86,""/""),,COUNTA(SPLIT(E86,""/"")))"),"1714337456001085830")</f>
        <v>1714337456001085830</v>
      </c>
      <c r="G86" s="171" t="s">
        <v>357</v>
      </c>
      <c r="H86" s="106" t="s">
        <v>80</v>
      </c>
      <c r="I86" s="76"/>
      <c r="J86" s="106"/>
      <c r="K86" s="106"/>
      <c r="L86" s="159"/>
      <c r="M86" s="76"/>
      <c r="N86" s="76"/>
      <c r="O86" s="76"/>
      <c r="P86" s="76"/>
      <c r="Q86" s="76"/>
      <c r="R86" s="76"/>
      <c r="S86" s="76"/>
      <c r="T86" s="76"/>
      <c r="U86" s="76"/>
      <c r="V86" s="162"/>
      <c r="W86" s="159"/>
      <c r="X86" s="76"/>
      <c r="Y86" s="76"/>
      <c r="Z86" s="76"/>
      <c r="AA86" s="76"/>
      <c r="AB86" s="76"/>
      <c r="AC86" s="76"/>
      <c r="AD86" s="76"/>
      <c r="AE86" s="76"/>
      <c r="AF86" s="76"/>
      <c r="AG86" s="76"/>
      <c r="AH86" s="4"/>
      <c r="AI86" s="4"/>
      <c r="AJ86" s="4"/>
      <c r="AK86" s="4"/>
      <c r="AL86" s="4"/>
    </row>
    <row r="87" spans="1:38" ht="14">
      <c r="A87" s="106"/>
      <c r="B87" s="106"/>
      <c r="C87" s="70"/>
      <c r="D87" s="155" t="s">
        <v>358</v>
      </c>
      <c r="E87" s="180" t="s">
        <v>359</v>
      </c>
      <c r="F87" s="157" t="str">
        <f ca="1">IFERROR(__xludf.DUMMYFUNCTION("INDEX(SPLIT(E87,""/""),,COUNTA(SPLIT(E87,""/"")))"),"1744835013814730792")</f>
        <v>1744835013814730792</v>
      </c>
      <c r="G87" s="70" t="s">
        <v>360</v>
      </c>
      <c r="H87" s="106" t="s">
        <v>80</v>
      </c>
      <c r="I87" s="76"/>
      <c r="J87" s="106"/>
      <c r="K87" s="106"/>
      <c r="L87" s="159"/>
      <c r="M87" s="76"/>
      <c r="N87" s="76"/>
      <c r="O87" s="76"/>
      <c r="P87" s="76"/>
      <c r="Q87" s="76"/>
      <c r="R87" s="76"/>
      <c r="S87" s="76"/>
      <c r="T87" s="76"/>
      <c r="U87" s="76"/>
      <c r="V87" s="162"/>
      <c r="W87" s="159"/>
      <c r="X87" s="76"/>
      <c r="Y87" s="76"/>
      <c r="Z87" s="76"/>
      <c r="AA87" s="76"/>
      <c r="AB87" s="76"/>
      <c r="AC87" s="76"/>
      <c r="AD87" s="76"/>
      <c r="AE87" s="76"/>
      <c r="AF87" s="76"/>
      <c r="AG87" s="76"/>
      <c r="AH87" s="4"/>
      <c r="AI87" s="4"/>
      <c r="AJ87" s="4"/>
      <c r="AK87" s="4"/>
      <c r="AL87" s="4"/>
    </row>
    <row r="88" spans="1:38" ht="14">
      <c r="A88" s="106"/>
      <c r="B88" s="106"/>
      <c r="C88" s="70"/>
      <c r="D88" s="155" t="s">
        <v>361</v>
      </c>
      <c r="E88" s="180" t="s">
        <v>362</v>
      </c>
      <c r="F88" s="157" t="str">
        <f ca="1">IFERROR(__xludf.DUMMYFUNCTION("INDEX(SPLIT(E88,""/""),,COUNTA(SPLIT(E88,""/"")))"),"1730212198725636584")</f>
        <v>1730212198725636584</v>
      </c>
      <c r="G88" s="171" t="s">
        <v>363</v>
      </c>
      <c r="H88" s="106" t="s">
        <v>80</v>
      </c>
      <c r="I88" s="76"/>
      <c r="J88" s="106"/>
      <c r="K88" s="106"/>
      <c r="L88" s="159"/>
      <c r="M88" s="76"/>
      <c r="N88" s="76"/>
      <c r="O88" s="76"/>
      <c r="P88" s="76"/>
      <c r="Q88" s="76"/>
      <c r="R88" s="76"/>
      <c r="S88" s="76"/>
      <c r="T88" s="76"/>
      <c r="U88" s="76"/>
      <c r="V88" s="162"/>
      <c r="W88" s="159"/>
      <c r="X88" s="76"/>
      <c r="Y88" s="76"/>
      <c r="Z88" s="76"/>
      <c r="AA88" s="76"/>
      <c r="AB88" s="76"/>
      <c r="AC88" s="76"/>
      <c r="AD88" s="76"/>
      <c r="AE88" s="76"/>
      <c r="AF88" s="76"/>
      <c r="AG88" s="76"/>
      <c r="AH88" s="4"/>
      <c r="AI88" s="4"/>
      <c r="AJ88" s="4"/>
      <c r="AK88" s="4"/>
      <c r="AL88" s="4"/>
    </row>
    <row r="89" spans="1:38" ht="14">
      <c r="A89" s="106"/>
      <c r="B89" s="106"/>
      <c r="C89" s="70"/>
      <c r="D89" s="155" t="s">
        <v>364</v>
      </c>
      <c r="E89" s="166" t="s">
        <v>365</v>
      </c>
      <c r="F89" s="157" t="str">
        <f ca="1">IFERROR(__xludf.DUMMYFUNCTION("INDEX(SPLIT(E89,""/""),,COUNTA(SPLIT(E89,""/"")))"),"1729973285801034095")</f>
        <v>1729973285801034095</v>
      </c>
      <c r="G89" s="171" t="s">
        <v>366</v>
      </c>
      <c r="H89" s="106" t="s">
        <v>80</v>
      </c>
      <c r="I89" s="65"/>
      <c r="J89" s="106"/>
      <c r="K89" s="106"/>
      <c r="L89" s="159"/>
      <c r="M89" s="76"/>
      <c r="N89" s="76"/>
      <c r="O89" s="76"/>
      <c r="P89" s="76"/>
      <c r="Q89" s="76"/>
      <c r="R89" s="76"/>
      <c r="S89" s="76"/>
      <c r="T89" s="76"/>
      <c r="U89" s="76"/>
      <c r="V89" s="162"/>
      <c r="W89" s="159"/>
      <c r="X89" s="76"/>
      <c r="Y89" s="76"/>
      <c r="Z89" s="76"/>
      <c r="AA89" s="76"/>
      <c r="AB89" s="76"/>
      <c r="AC89" s="76"/>
      <c r="AD89" s="76"/>
      <c r="AE89" s="76"/>
      <c r="AF89" s="76"/>
      <c r="AG89" s="76"/>
      <c r="AH89" s="4"/>
      <c r="AI89" s="4"/>
      <c r="AJ89" s="4"/>
      <c r="AK89" s="4"/>
      <c r="AL89" s="4"/>
    </row>
    <row r="90" spans="1:38" ht="14">
      <c r="A90" s="106"/>
      <c r="B90" s="106"/>
      <c r="C90" s="70"/>
      <c r="D90" s="155" t="s">
        <v>367</v>
      </c>
      <c r="E90" s="176" t="s">
        <v>368</v>
      </c>
      <c r="F90" s="157" t="str">
        <f ca="1">IFERROR(__xludf.DUMMYFUNCTION("INDEX(SPLIT(E90,""/""),,COUNTA(SPLIT(E90,""/"")))"),"1664434008132923392")</f>
        <v>1664434008132923392</v>
      </c>
      <c r="G90" s="70" t="s">
        <v>337</v>
      </c>
      <c r="H90" s="106" t="s">
        <v>80</v>
      </c>
      <c r="I90" s="106"/>
      <c r="J90" s="106"/>
      <c r="K90" s="106"/>
      <c r="L90" s="159"/>
      <c r="M90" s="76"/>
      <c r="N90" s="76"/>
      <c r="O90" s="76"/>
      <c r="P90" s="76"/>
      <c r="Q90" s="76"/>
      <c r="R90" s="76"/>
      <c r="S90" s="76"/>
      <c r="T90" s="76"/>
      <c r="U90" s="76"/>
      <c r="V90" s="162"/>
      <c r="W90" s="159"/>
      <c r="X90" s="76"/>
      <c r="Y90" s="76"/>
      <c r="Z90" s="76"/>
      <c r="AA90" s="76"/>
      <c r="AB90" s="76"/>
      <c r="AC90" s="76"/>
      <c r="AD90" s="76"/>
      <c r="AE90" s="76"/>
      <c r="AF90" s="76"/>
      <c r="AG90" s="76"/>
      <c r="AH90" s="4"/>
      <c r="AI90" s="4"/>
      <c r="AJ90" s="4"/>
      <c r="AK90" s="4"/>
      <c r="AL90" s="4"/>
    </row>
    <row r="91" spans="1:38" ht="14">
      <c r="A91" s="106"/>
      <c r="B91" s="106"/>
      <c r="C91" s="70"/>
      <c r="D91" s="155" t="s">
        <v>369</v>
      </c>
      <c r="E91" s="176" t="s">
        <v>370</v>
      </c>
      <c r="F91" s="157" t="str">
        <f ca="1">IFERROR(__xludf.DUMMYFUNCTION("INDEX(SPLIT(E91,""/""),,COUNTA(SPLIT(E91,""/"")))"),"1744739916842668151")</f>
        <v>1744739916842668151</v>
      </c>
      <c r="G91" s="70" t="s">
        <v>371</v>
      </c>
      <c r="H91" s="106" t="s">
        <v>80</v>
      </c>
      <c r="I91" s="106"/>
      <c r="J91" s="106"/>
      <c r="K91" s="106"/>
      <c r="L91" s="159"/>
      <c r="M91" s="76"/>
      <c r="N91" s="76"/>
      <c r="O91" s="76"/>
      <c r="P91" s="76"/>
      <c r="Q91" s="76"/>
      <c r="R91" s="76"/>
      <c r="S91" s="76"/>
      <c r="T91" s="76"/>
      <c r="U91" s="76"/>
      <c r="V91" s="162"/>
      <c r="W91" s="159"/>
      <c r="X91" s="76"/>
      <c r="Y91" s="76"/>
      <c r="Z91" s="76"/>
      <c r="AA91" s="76"/>
      <c r="AB91" s="76"/>
      <c r="AC91" s="76"/>
      <c r="AD91" s="76"/>
      <c r="AE91" s="76"/>
      <c r="AF91" s="76"/>
      <c r="AG91" s="76"/>
      <c r="AH91" s="4"/>
      <c r="AI91" s="4"/>
      <c r="AJ91" s="4"/>
      <c r="AK91" s="4"/>
      <c r="AL91" s="4"/>
    </row>
    <row r="92" spans="1:38" ht="14">
      <c r="A92" s="106"/>
      <c r="B92" s="106"/>
      <c r="C92" s="70"/>
      <c r="D92" s="155" t="s">
        <v>372</v>
      </c>
      <c r="E92" s="176" t="s">
        <v>373</v>
      </c>
      <c r="F92" s="157" t="str">
        <f ca="1">IFERROR(__xludf.DUMMYFUNCTION("INDEX(SPLIT(E92,""/""),,COUNTA(SPLIT(E92,""/"")))"),"1728112023030907247")</f>
        <v>1728112023030907247</v>
      </c>
      <c r="G92" s="171" t="s">
        <v>374</v>
      </c>
      <c r="H92" s="106" t="s">
        <v>80</v>
      </c>
      <c r="I92" s="106"/>
      <c r="J92" s="106"/>
      <c r="K92" s="106"/>
      <c r="L92" s="159"/>
      <c r="M92" s="76"/>
      <c r="N92" s="76"/>
      <c r="O92" s="76"/>
      <c r="P92" s="76"/>
      <c r="Q92" s="76"/>
      <c r="R92" s="76"/>
      <c r="S92" s="76"/>
      <c r="T92" s="76"/>
      <c r="U92" s="76"/>
      <c r="V92" s="162"/>
      <c r="W92" s="159"/>
      <c r="X92" s="76"/>
      <c r="Y92" s="76"/>
      <c r="Z92" s="76"/>
      <c r="AA92" s="76"/>
      <c r="AB92" s="76"/>
      <c r="AC92" s="76"/>
      <c r="AD92" s="76"/>
      <c r="AE92" s="76"/>
      <c r="AF92" s="76"/>
      <c r="AG92" s="76"/>
      <c r="AH92" s="4"/>
      <c r="AI92" s="4"/>
      <c r="AJ92" s="4"/>
      <c r="AK92" s="4"/>
      <c r="AL92" s="4"/>
    </row>
    <row r="93" spans="1:38" ht="14">
      <c r="A93" s="106"/>
      <c r="B93" s="106" t="s">
        <v>84</v>
      </c>
      <c r="C93" s="70"/>
      <c r="D93" s="155" t="s">
        <v>375</v>
      </c>
      <c r="E93" s="176" t="s">
        <v>376</v>
      </c>
      <c r="F93" s="157" t="str">
        <f ca="1">IFERROR(__xludf.DUMMYFUNCTION("INDEX(SPLIT(E93,""/""),,COUNTA(SPLIT(E93,""/"")))"),"1720557074466128178")</f>
        <v>1720557074466128178</v>
      </c>
      <c r="G93" s="171" t="s">
        <v>357</v>
      </c>
      <c r="H93" s="106" t="s">
        <v>80</v>
      </c>
      <c r="I93" s="106"/>
      <c r="J93" s="106"/>
      <c r="K93" s="106"/>
      <c r="L93" s="159"/>
      <c r="M93" s="76"/>
      <c r="N93" s="76"/>
      <c r="O93" s="76"/>
      <c r="P93" s="76"/>
      <c r="Q93" s="76"/>
      <c r="R93" s="76"/>
      <c r="S93" s="76"/>
      <c r="T93" s="76"/>
      <c r="U93" s="76"/>
      <c r="V93" s="162"/>
      <c r="W93" s="159"/>
      <c r="X93" s="76"/>
      <c r="Y93" s="76"/>
      <c r="Z93" s="76"/>
      <c r="AA93" s="76"/>
      <c r="AB93" s="76"/>
      <c r="AC93" s="76"/>
      <c r="AD93" s="76"/>
      <c r="AE93" s="76"/>
      <c r="AF93" s="76"/>
      <c r="AG93" s="76"/>
      <c r="AH93" s="4"/>
      <c r="AI93" s="4"/>
      <c r="AJ93" s="4"/>
      <c r="AK93" s="4"/>
      <c r="AL93" s="4"/>
    </row>
    <row r="94" spans="1:38" ht="14">
      <c r="A94" s="106"/>
      <c r="B94" s="106" t="s">
        <v>84</v>
      </c>
      <c r="C94" s="70"/>
      <c r="D94" s="155" t="s">
        <v>377</v>
      </c>
      <c r="E94" s="176" t="s">
        <v>378</v>
      </c>
      <c r="F94" s="157" t="str">
        <f ca="1">IFERROR(__xludf.DUMMYFUNCTION("INDEX(SPLIT(E94,""/""),,COUNTA(SPLIT(E94,""/"")))"),"1727086501408977288")</f>
        <v>1727086501408977288</v>
      </c>
      <c r="G94" s="171" t="s">
        <v>379</v>
      </c>
      <c r="H94" s="106" t="s">
        <v>80</v>
      </c>
      <c r="I94" s="106" t="s">
        <v>70</v>
      </c>
      <c r="J94" s="106" t="s">
        <v>138</v>
      </c>
      <c r="K94" s="106" t="s">
        <v>138</v>
      </c>
      <c r="L94" s="159">
        <v>1</v>
      </c>
      <c r="M94" s="76">
        <v>3</v>
      </c>
      <c r="N94" s="76">
        <v>2</v>
      </c>
      <c r="O94" s="76">
        <v>3</v>
      </c>
      <c r="P94" s="76">
        <v>1</v>
      </c>
      <c r="Q94" s="76">
        <v>1</v>
      </c>
      <c r="R94" s="76">
        <v>1</v>
      </c>
      <c r="S94" s="76">
        <v>3</v>
      </c>
      <c r="T94" s="76">
        <v>2</v>
      </c>
      <c r="U94" s="76">
        <v>3</v>
      </c>
      <c r="V94" s="162">
        <v>3</v>
      </c>
      <c r="W94" s="159">
        <v>1</v>
      </c>
      <c r="X94" s="76">
        <v>1</v>
      </c>
      <c r="Y94" s="76">
        <v>1</v>
      </c>
      <c r="Z94" s="76">
        <v>1</v>
      </c>
      <c r="AA94" s="76">
        <v>1</v>
      </c>
      <c r="AB94" s="76">
        <v>1</v>
      </c>
      <c r="AC94" s="76">
        <v>1</v>
      </c>
      <c r="AD94" s="76">
        <v>2</v>
      </c>
      <c r="AE94" s="76">
        <v>1</v>
      </c>
      <c r="AF94" s="76">
        <v>1</v>
      </c>
      <c r="AG94" s="76">
        <v>1</v>
      </c>
      <c r="AH94" s="4"/>
      <c r="AI94" s="4"/>
      <c r="AJ94" s="4"/>
      <c r="AK94" s="4"/>
      <c r="AL94" s="4"/>
    </row>
    <row r="95" spans="1:38" ht="14">
      <c r="A95" s="106"/>
      <c r="B95" s="106" t="s">
        <v>84</v>
      </c>
      <c r="C95" s="70"/>
      <c r="D95" s="155" t="s">
        <v>380</v>
      </c>
      <c r="E95" s="176" t="s">
        <v>381</v>
      </c>
      <c r="F95" s="157" t="str">
        <f ca="1">IFERROR(__xludf.DUMMYFUNCTION("INDEX(SPLIT(E95,""/""),,COUNTA(SPLIT(E95,""/"")))"),"1739009495739646310")</f>
        <v>1739009495739646310</v>
      </c>
      <c r="G95" s="171" t="s">
        <v>160</v>
      </c>
      <c r="H95" s="106" t="s">
        <v>80</v>
      </c>
      <c r="I95" s="106" t="s">
        <v>70</v>
      </c>
      <c r="J95" s="106" t="s">
        <v>138</v>
      </c>
      <c r="K95" s="106" t="s">
        <v>138</v>
      </c>
      <c r="L95" s="159">
        <v>1</v>
      </c>
      <c r="M95" s="76">
        <v>3</v>
      </c>
      <c r="N95" s="76">
        <v>3</v>
      </c>
      <c r="O95" s="76">
        <v>3</v>
      </c>
      <c r="P95" s="76">
        <v>1</v>
      </c>
      <c r="Q95" s="76">
        <v>1</v>
      </c>
      <c r="R95" s="76">
        <v>1</v>
      </c>
      <c r="S95" s="76">
        <v>1</v>
      </c>
      <c r="T95" s="76">
        <v>1</v>
      </c>
      <c r="U95" s="76">
        <v>2</v>
      </c>
      <c r="V95" s="162">
        <v>1</v>
      </c>
      <c r="W95" s="159">
        <v>1</v>
      </c>
      <c r="X95" s="76">
        <v>1</v>
      </c>
      <c r="Y95" s="76">
        <v>1</v>
      </c>
      <c r="Z95" s="76">
        <v>1</v>
      </c>
      <c r="AA95" s="76">
        <v>1</v>
      </c>
      <c r="AB95" s="76">
        <v>1</v>
      </c>
      <c r="AC95" s="76">
        <v>1</v>
      </c>
      <c r="AD95" s="76">
        <v>1</v>
      </c>
      <c r="AE95" s="76">
        <v>1</v>
      </c>
      <c r="AF95" s="76">
        <v>3</v>
      </c>
      <c r="AG95" s="76">
        <v>1</v>
      </c>
      <c r="AH95" s="4"/>
      <c r="AI95" s="4"/>
      <c r="AJ95" s="4"/>
      <c r="AK95" s="4"/>
      <c r="AL95" s="4"/>
    </row>
    <row r="96" spans="1:38" ht="14">
      <c r="A96" s="106"/>
      <c r="B96" s="106" t="s">
        <v>84</v>
      </c>
      <c r="C96" s="70"/>
      <c r="D96" s="155" t="s">
        <v>382</v>
      </c>
      <c r="E96" s="174" t="s">
        <v>383</v>
      </c>
      <c r="F96" s="157" t="str">
        <f ca="1">IFERROR(__xludf.DUMMYFUNCTION("INDEX(SPLIT(E96,""/""),,COUNTA(SPLIT(E96,""/"")))"),"1725566974657249712")</f>
        <v>1725566974657249712</v>
      </c>
      <c r="G96" s="171" t="s">
        <v>337</v>
      </c>
      <c r="H96" s="106" t="s">
        <v>80</v>
      </c>
      <c r="I96" s="106" t="s">
        <v>70</v>
      </c>
      <c r="J96" s="106" t="s">
        <v>138</v>
      </c>
      <c r="K96" s="106" t="s">
        <v>138</v>
      </c>
      <c r="L96" s="159">
        <v>1</v>
      </c>
      <c r="M96" s="76">
        <v>3</v>
      </c>
      <c r="N96" s="76">
        <v>1</v>
      </c>
      <c r="O96" s="76">
        <v>3</v>
      </c>
      <c r="P96" s="76">
        <v>1</v>
      </c>
      <c r="Q96" s="76">
        <v>1</v>
      </c>
      <c r="R96" s="76">
        <v>1</v>
      </c>
      <c r="S96" s="76">
        <v>2</v>
      </c>
      <c r="T96" s="76">
        <v>1</v>
      </c>
      <c r="U96" s="76">
        <v>2</v>
      </c>
      <c r="V96" s="162">
        <v>1</v>
      </c>
      <c r="W96" s="159">
        <v>1</v>
      </c>
      <c r="X96" s="76">
        <v>1</v>
      </c>
      <c r="Y96" s="76">
        <v>1</v>
      </c>
      <c r="Z96" s="76">
        <v>1</v>
      </c>
      <c r="AA96" s="76">
        <v>1</v>
      </c>
      <c r="AB96" s="76">
        <v>1</v>
      </c>
      <c r="AC96" s="76">
        <v>1</v>
      </c>
      <c r="AD96" s="76">
        <v>1</v>
      </c>
      <c r="AE96" s="76">
        <v>2</v>
      </c>
      <c r="AF96" s="76">
        <v>1</v>
      </c>
      <c r="AG96" s="76">
        <v>1</v>
      </c>
      <c r="AH96" s="4"/>
      <c r="AI96" s="4"/>
      <c r="AJ96" s="4"/>
      <c r="AK96" s="4"/>
      <c r="AL96" s="4"/>
    </row>
    <row r="97" spans="1:38" ht="14">
      <c r="A97" s="106"/>
      <c r="B97" s="106" t="s">
        <v>84</v>
      </c>
      <c r="C97" s="70"/>
      <c r="D97" s="155" t="s">
        <v>384</v>
      </c>
      <c r="E97" s="176" t="s">
        <v>385</v>
      </c>
      <c r="F97" s="157" t="str">
        <f ca="1">IFERROR(__xludf.DUMMYFUNCTION("INDEX(SPLIT(E97,""/""),,COUNTA(SPLIT(E97,""/"")))"),"1739045857880883387")</f>
        <v>1739045857880883387</v>
      </c>
      <c r="G97" s="171" t="s">
        <v>351</v>
      </c>
      <c r="H97" s="106" t="s">
        <v>80</v>
      </c>
      <c r="I97" s="106" t="s">
        <v>70</v>
      </c>
      <c r="J97" s="106" t="s">
        <v>138</v>
      </c>
      <c r="K97" s="106" t="s">
        <v>138</v>
      </c>
      <c r="L97" s="159">
        <v>1</v>
      </c>
      <c r="M97" s="76">
        <v>3</v>
      </c>
      <c r="N97" s="76">
        <v>1</v>
      </c>
      <c r="O97" s="76">
        <v>1</v>
      </c>
      <c r="P97" s="76">
        <v>1</v>
      </c>
      <c r="Q97" s="76">
        <v>1</v>
      </c>
      <c r="R97" s="76">
        <v>2</v>
      </c>
      <c r="S97" s="76">
        <v>2</v>
      </c>
      <c r="T97" s="76">
        <v>1</v>
      </c>
      <c r="U97" s="76">
        <v>3</v>
      </c>
      <c r="V97" s="162">
        <v>1</v>
      </c>
      <c r="W97" s="159">
        <v>1</v>
      </c>
      <c r="X97" s="76">
        <v>2</v>
      </c>
      <c r="Y97" s="76">
        <v>1</v>
      </c>
      <c r="Z97" s="76">
        <v>2</v>
      </c>
      <c r="AA97" s="76">
        <v>1</v>
      </c>
      <c r="AB97" s="76">
        <v>1</v>
      </c>
      <c r="AC97" s="76">
        <v>1</v>
      </c>
      <c r="AD97" s="76">
        <v>1</v>
      </c>
      <c r="AE97" s="76">
        <v>2</v>
      </c>
      <c r="AF97" s="76">
        <v>1</v>
      </c>
      <c r="AG97" s="76">
        <v>1</v>
      </c>
      <c r="AH97" s="4"/>
      <c r="AI97" s="4"/>
      <c r="AJ97" s="4"/>
      <c r="AK97" s="4"/>
      <c r="AL97" s="4"/>
    </row>
    <row r="98" spans="1:38" ht="14">
      <c r="A98" s="106"/>
      <c r="B98" s="106"/>
      <c r="C98" s="70"/>
      <c r="D98" s="155" t="s">
        <v>386</v>
      </c>
      <c r="E98" s="174" t="s">
        <v>387</v>
      </c>
      <c r="F98" s="157" t="str">
        <f ca="1">IFERROR(__xludf.DUMMYFUNCTION("INDEX(SPLIT(E98,""/""),,COUNTA(SPLIT(E98,""/"")))"),"1724525717214396464")</f>
        <v>1724525717214396464</v>
      </c>
      <c r="G98" s="171" t="s">
        <v>388</v>
      </c>
      <c r="H98" s="106" t="s">
        <v>80</v>
      </c>
      <c r="I98" s="106" t="s">
        <v>81</v>
      </c>
      <c r="J98" s="106"/>
      <c r="K98" s="106"/>
      <c r="L98" s="159"/>
      <c r="M98" s="76"/>
      <c r="N98" s="76"/>
      <c r="O98" s="76"/>
      <c r="P98" s="76"/>
      <c r="Q98" s="76"/>
      <c r="R98" s="76"/>
      <c r="S98" s="76"/>
      <c r="T98" s="76"/>
      <c r="U98" s="76"/>
      <c r="V98" s="162"/>
      <c r="W98" s="159"/>
      <c r="X98" s="76"/>
      <c r="Y98" s="76"/>
      <c r="Z98" s="76"/>
      <c r="AA98" s="76"/>
      <c r="AB98" s="76"/>
      <c r="AC98" s="76"/>
      <c r="AD98" s="76"/>
      <c r="AE98" s="76"/>
      <c r="AF98" s="76"/>
      <c r="AG98" s="76"/>
      <c r="AH98" s="4"/>
      <c r="AI98" s="4"/>
      <c r="AJ98" s="4"/>
      <c r="AK98" s="4"/>
      <c r="AL98" s="4"/>
    </row>
    <row r="99" spans="1:38" ht="14">
      <c r="A99" s="106"/>
      <c r="B99" s="106"/>
      <c r="C99" s="70"/>
      <c r="D99" s="155" t="s">
        <v>389</v>
      </c>
      <c r="E99" s="176" t="s">
        <v>390</v>
      </c>
      <c r="F99" s="157" t="str">
        <f ca="1">IFERROR(__xludf.DUMMYFUNCTION("INDEX(SPLIT(E99,""/""),,COUNTA(SPLIT(E99,""/"")))"),"1724513414092038348")</f>
        <v>1724513414092038348</v>
      </c>
      <c r="G99" s="184" t="s">
        <v>337</v>
      </c>
      <c r="H99" s="106" t="s">
        <v>80</v>
      </c>
      <c r="I99" s="106" t="s">
        <v>81</v>
      </c>
      <c r="J99" s="106"/>
      <c r="K99" s="106"/>
      <c r="L99" s="159"/>
      <c r="M99" s="76"/>
      <c r="N99" s="76"/>
      <c r="O99" s="76"/>
      <c r="P99" s="76"/>
      <c r="Q99" s="76"/>
      <c r="R99" s="76"/>
      <c r="S99" s="76"/>
      <c r="T99" s="76"/>
      <c r="U99" s="76"/>
      <c r="V99" s="162"/>
      <c r="W99" s="159"/>
      <c r="X99" s="76"/>
      <c r="Y99" s="76"/>
      <c r="Z99" s="76"/>
      <c r="AA99" s="76"/>
      <c r="AB99" s="76"/>
      <c r="AC99" s="76"/>
      <c r="AD99" s="76"/>
      <c r="AE99" s="76"/>
      <c r="AF99" s="76"/>
      <c r="AG99" s="76"/>
      <c r="AH99" s="4"/>
      <c r="AI99" s="4"/>
      <c r="AJ99" s="4"/>
      <c r="AK99" s="4"/>
      <c r="AL99" s="4"/>
    </row>
    <row r="100" spans="1:38" ht="14">
      <c r="A100" s="106"/>
      <c r="B100" s="106"/>
      <c r="C100" s="70"/>
      <c r="D100" s="155" t="s">
        <v>391</v>
      </c>
      <c r="E100" s="174" t="s">
        <v>392</v>
      </c>
      <c r="F100" s="157" t="str">
        <f ca="1">IFERROR(__xludf.DUMMYFUNCTION("INDEX(SPLIT(E100,""/""),,COUNTA(SPLIT(E100,""/"")))"),"1721533312538186061")</f>
        <v>1721533312538186061</v>
      </c>
      <c r="G100" s="171" t="s">
        <v>393</v>
      </c>
      <c r="H100" s="106" t="s">
        <v>80</v>
      </c>
      <c r="I100" s="106" t="s">
        <v>81</v>
      </c>
      <c r="J100" s="106"/>
      <c r="K100" s="106"/>
      <c r="L100" s="159"/>
      <c r="M100" s="76"/>
      <c r="N100" s="76"/>
      <c r="O100" s="76"/>
      <c r="P100" s="76"/>
      <c r="Q100" s="76"/>
      <c r="R100" s="76"/>
      <c r="S100" s="76"/>
      <c r="T100" s="76"/>
      <c r="U100" s="76"/>
      <c r="V100" s="162"/>
      <c r="W100" s="159"/>
      <c r="X100" s="76"/>
      <c r="Y100" s="76"/>
      <c r="Z100" s="76"/>
      <c r="AA100" s="76"/>
      <c r="AB100" s="76"/>
      <c r="AC100" s="76"/>
      <c r="AD100" s="76"/>
      <c r="AE100" s="76"/>
      <c r="AF100" s="76"/>
      <c r="AG100" s="76"/>
      <c r="AH100" s="4"/>
      <c r="AI100" s="4"/>
      <c r="AJ100" s="4"/>
      <c r="AK100" s="4"/>
      <c r="AL100" s="4"/>
    </row>
    <row r="101" spans="1:38" ht="14">
      <c r="A101" s="106"/>
      <c r="B101" s="106"/>
      <c r="C101" s="70"/>
      <c r="D101" s="155" t="s">
        <v>394</v>
      </c>
      <c r="E101" s="176" t="s">
        <v>395</v>
      </c>
      <c r="F101" s="157" t="str">
        <f ca="1">IFERROR(__xludf.DUMMYFUNCTION("INDEX(SPLIT(E101,""/""),,COUNTA(SPLIT(E101,""/"")))"),"1725516162715246880")</f>
        <v>1725516162715246880</v>
      </c>
      <c r="G101" s="171" t="s">
        <v>396</v>
      </c>
      <c r="H101" s="106" t="s">
        <v>80</v>
      </c>
      <c r="I101" s="106" t="s">
        <v>70</v>
      </c>
      <c r="J101" s="106"/>
      <c r="K101" s="106"/>
      <c r="L101" s="159"/>
      <c r="M101" s="76"/>
      <c r="N101" s="76"/>
      <c r="O101" s="76"/>
      <c r="P101" s="76"/>
      <c r="Q101" s="76"/>
      <c r="R101" s="76"/>
      <c r="S101" s="76"/>
      <c r="T101" s="76"/>
      <c r="U101" s="76"/>
      <c r="V101" s="162"/>
      <c r="W101" s="159"/>
      <c r="X101" s="76"/>
      <c r="Y101" s="76"/>
      <c r="Z101" s="76"/>
      <c r="AA101" s="76"/>
      <c r="AB101" s="76"/>
      <c r="AC101" s="76"/>
      <c r="AD101" s="76"/>
      <c r="AE101" s="76"/>
      <c r="AF101" s="76"/>
      <c r="AG101" s="76"/>
      <c r="AH101" s="4"/>
      <c r="AI101" s="4"/>
      <c r="AJ101" s="4"/>
      <c r="AK101" s="4"/>
      <c r="AL101" s="4"/>
    </row>
    <row r="102" spans="1:38" ht="14">
      <c r="A102" s="106"/>
      <c r="B102" s="106"/>
      <c r="C102" s="70"/>
      <c r="D102" s="155" t="s">
        <v>397</v>
      </c>
      <c r="E102" s="176" t="s">
        <v>398</v>
      </c>
      <c r="F102" s="157" t="str">
        <f ca="1">IFERROR(__xludf.DUMMYFUNCTION("INDEX(SPLIT(E102,""/""),,COUNTA(SPLIT(E102,""/"")))"),"1712000443256082534")</f>
        <v>1712000443256082534</v>
      </c>
      <c r="G102" s="171" t="s">
        <v>399</v>
      </c>
      <c r="H102" s="106" t="s">
        <v>80</v>
      </c>
      <c r="I102" s="106" t="s">
        <v>70</v>
      </c>
      <c r="J102" s="106"/>
      <c r="K102" s="106"/>
      <c r="L102" s="159"/>
      <c r="M102" s="76"/>
      <c r="N102" s="76"/>
      <c r="O102" s="76"/>
      <c r="P102" s="76"/>
      <c r="Q102" s="76"/>
      <c r="R102" s="76"/>
      <c r="S102" s="76"/>
      <c r="T102" s="76"/>
      <c r="U102" s="76"/>
      <c r="V102" s="162"/>
      <c r="W102" s="159"/>
      <c r="X102" s="76"/>
      <c r="Y102" s="76"/>
      <c r="Z102" s="76"/>
      <c r="AA102" s="76"/>
      <c r="AB102" s="76"/>
      <c r="AC102" s="76"/>
      <c r="AD102" s="76"/>
      <c r="AE102" s="76"/>
      <c r="AF102" s="76"/>
      <c r="AG102" s="76"/>
      <c r="AH102" s="4"/>
      <c r="AI102" s="4"/>
      <c r="AJ102" s="4"/>
      <c r="AK102" s="4"/>
      <c r="AL102" s="4"/>
    </row>
    <row r="103" spans="1:38" ht="14">
      <c r="A103" s="106"/>
      <c r="B103" s="106"/>
      <c r="C103" s="70"/>
      <c r="D103" s="155" t="s">
        <v>400</v>
      </c>
      <c r="E103" s="176" t="s">
        <v>401</v>
      </c>
      <c r="F103" s="157" t="str">
        <f ca="1">IFERROR(__xludf.DUMMYFUNCTION("INDEX(SPLIT(E103,""/""),,COUNTA(SPLIT(E103,""/"")))"),"1713987691757424994")</f>
        <v>1713987691757424994</v>
      </c>
      <c r="G103" s="171" t="s">
        <v>402</v>
      </c>
      <c r="H103" s="106" t="s">
        <v>80</v>
      </c>
      <c r="I103" s="106" t="s">
        <v>70</v>
      </c>
      <c r="J103" s="106"/>
      <c r="K103" s="106"/>
      <c r="L103" s="159"/>
      <c r="M103" s="76"/>
      <c r="N103" s="76"/>
      <c r="O103" s="76"/>
      <c r="P103" s="76"/>
      <c r="Q103" s="76"/>
      <c r="R103" s="76"/>
      <c r="S103" s="76"/>
      <c r="T103" s="76"/>
      <c r="U103" s="76"/>
      <c r="V103" s="162"/>
      <c r="W103" s="159"/>
      <c r="X103" s="76"/>
      <c r="Y103" s="76"/>
      <c r="Z103" s="76"/>
      <c r="AA103" s="76"/>
      <c r="AB103" s="76"/>
      <c r="AC103" s="76"/>
      <c r="AD103" s="76"/>
      <c r="AE103" s="76"/>
      <c r="AF103" s="76"/>
      <c r="AG103" s="76"/>
      <c r="AH103" s="4"/>
      <c r="AI103" s="4"/>
      <c r="AJ103" s="4"/>
      <c r="AK103" s="4"/>
      <c r="AL103" s="4"/>
    </row>
    <row r="104" spans="1:38" ht="14">
      <c r="A104" s="106"/>
      <c r="B104" s="106" t="s">
        <v>403</v>
      </c>
      <c r="C104" s="70"/>
      <c r="D104" s="155" t="s">
        <v>404</v>
      </c>
      <c r="E104" s="164" t="s">
        <v>405</v>
      </c>
      <c r="F104" s="157" t="str">
        <f ca="1">IFERROR(__xludf.DUMMYFUNCTION("INDEX(SPLIT(E104,""/""),,COUNTA(SPLIT(E104,""/"")))"),"1745266581553246400")</f>
        <v>1745266581553246400</v>
      </c>
      <c r="G104" s="70" t="s">
        <v>406</v>
      </c>
      <c r="H104" s="106" t="s">
        <v>80</v>
      </c>
      <c r="I104" s="106" t="s">
        <v>70</v>
      </c>
      <c r="J104" s="106" t="s">
        <v>138</v>
      </c>
      <c r="K104" s="106" t="s">
        <v>138</v>
      </c>
      <c r="L104" s="159">
        <v>1</v>
      </c>
      <c r="M104" s="76">
        <v>1</v>
      </c>
      <c r="N104" s="76">
        <v>1</v>
      </c>
      <c r="O104" s="76">
        <v>1</v>
      </c>
      <c r="P104" s="76">
        <v>1</v>
      </c>
      <c r="Q104" s="76">
        <v>2</v>
      </c>
      <c r="R104" s="76">
        <v>1</v>
      </c>
      <c r="S104" s="76">
        <v>2</v>
      </c>
      <c r="T104" s="76">
        <v>2</v>
      </c>
      <c r="U104" s="76">
        <v>3</v>
      </c>
      <c r="V104" s="162">
        <v>3</v>
      </c>
      <c r="W104" s="159">
        <v>1</v>
      </c>
      <c r="X104" s="76">
        <v>2</v>
      </c>
      <c r="Y104" s="76">
        <v>1</v>
      </c>
      <c r="Z104" s="76">
        <v>1</v>
      </c>
      <c r="AA104" s="76">
        <v>1</v>
      </c>
      <c r="AB104" s="76">
        <v>1</v>
      </c>
      <c r="AC104" s="76">
        <v>1</v>
      </c>
      <c r="AD104" s="76">
        <v>3</v>
      </c>
      <c r="AE104" s="76">
        <v>1</v>
      </c>
      <c r="AF104" s="76">
        <v>3</v>
      </c>
      <c r="AG104" s="76">
        <v>1</v>
      </c>
      <c r="AH104" s="4"/>
      <c r="AI104" s="4"/>
      <c r="AJ104" s="4"/>
      <c r="AK104" s="4"/>
      <c r="AL104" s="4"/>
    </row>
    <row r="105" spans="1:38" ht="14">
      <c r="A105" s="106"/>
      <c r="B105" s="106" t="s">
        <v>403</v>
      </c>
      <c r="C105" s="70"/>
      <c r="D105" s="155" t="s">
        <v>407</v>
      </c>
      <c r="E105" s="164" t="s">
        <v>408</v>
      </c>
      <c r="F105" s="157" t="str">
        <f ca="1">IFERROR(__xludf.DUMMYFUNCTION("INDEX(SPLIT(E105,""/""),,COUNTA(SPLIT(E105,""/"")))"),"1742989024871285182")</f>
        <v>1742989024871285182</v>
      </c>
      <c r="G105" s="70" t="s">
        <v>409</v>
      </c>
      <c r="H105" s="106" t="s">
        <v>80</v>
      </c>
      <c r="I105" s="106" t="s">
        <v>70</v>
      </c>
      <c r="J105" s="106" t="s">
        <v>138</v>
      </c>
      <c r="K105" s="106" t="s">
        <v>146</v>
      </c>
      <c r="L105" s="159">
        <v>2</v>
      </c>
      <c r="M105" s="76">
        <v>3</v>
      </c>
      <c r="N105" s="76">
        <v>3</v>
      </c>
      <c r="O105" s="76">
        <v>1</v>
      </c>
      <c r="P105" s="76">
        <v>1</v>
      </c>
      <c r="Q105" s="76">
        <v>2</v>
      </c>
      <c r="R105" s="76">
        <v>1</v>
      </c>
      <c r="S105" s="76">
        <v>2</v>
      </c>
      <c r="T105" s="76">
        <v>1</v>
      </c>
      <c r="U105" s="76">
        <v>3</v>
      </c>
      <c r="V105" s="162">
        <v>3</v>
      </c>
      <c r="W105" s="159">
        <v>3</v>
      </c>
      <c r="X105" s="76">
        <v>3</v>
      </c>
      <c r="Y105" s="76">
        <v>1</v>
      </c>
      <c r="Z105" s="76">
        <v>3</v>
      </c>
      <c r="AA105" s="76">
        <v>3</v>
      </c>
      <c r="AB105" s="76">
        <v>3</v>
      </c>
      <c r="AC105" s="76">
        <v>1</v>
      </c>
      <c r="AD105" s="76">
        <v>3</v>
      </c>
      <c r="AE105" s="76">
        <v>2</v>
      </c>
      <c r="AF105" s="76">
        <v>3</v>
      </c>
      <c r="AG105" s="76">
        <v>1</v>
      </c>
      <c r="AH105" s="4"/>
      <c r="AI105" s="4"/>
      <c r="AJ105" s="4"/>
      <c r="AK105" s="4"/>
      <c r="AL105" s="4"/>
    </row>
    <row r="106" spans="1:38" ht="14">
      <c r="A106" s="106"/>
      <c r="B106" s="106" t="s">
        <v>403</v>
      </c>
      <c r="C106" s="70"/>
      <c r="D106" s="155" t="s">
        <v>410</v>
      </c>
      <c r="E106" s="164" t="s">
        <v>411</v>
      </c>
      <c r="F106" s="157" t="str">
        <f ca="1">IFERROR(__xludf.DUMMYFUNCTION("INDEX(SPLIT(E106,""/""),,COUNTA(SPLIT(E106,""/"")))"),"1742952390754468216")</f>
        <v>1742952390754468216</v>
      </c>
      <c r="G106" s="70" t="s">
        <v>412</v>
      </c>
      <c r="H106" s="106" t="s">
        <v>80</v>
      </c>
      <c r="I106" s="106" t="s">
        <v>70</v>
      </c>
      <c r="J106" s="106" t="s">
        <v>138</v>
      </c>
      <c r="K106" s="106" t="s">
        <v>138</v>
      </c>
      <c r="L106" s="159">
        <v>2</v>
      </c>
      <c r="M106" s="76">
        <v>3</v>
      </c>
      <c r="N106" s="76">
        <v>3</v>
      </c>
      <c r="O106" s="76">
        <v>1</v>
      </c>
      <c r="P106" s="76">
        <v>1</v>
      </c>
      <c r="Q106" s="76">
        <v>1</v>
      </c>
      <c r="R106" s="76">
        <v>1</v>
      </c>
      <c r="S106" s="76">
        <v>3</v>
      </c>
      <c r="T106" s="76">
        <v>1</v>
      </c>
      <c r="U106" s="76">
        <v>2</v>
      </c>
      <c r="V106" s="162">
        <v>2</v>
      </c>
      <c r="W106" s="159">
        <v>1</v>
      </c>
      <c r="X106" s="76">
        <v>1</v>
      </c>
      <c r="Y106" s="76">
        <v>1</v>
      </c>
      <c r="Z106" s="76">
        <v>1</v>
      </c>
      <c r="AA106" s="76">
        <v>1</v>
      </c>
      <c r="AB106" s="76">
        <v>1</v>
      </c>
      <c r="AC106" s="76">
        <v>1</v>
      </c>
      <c r="AD106" s="76">
        <v>3</v>
      </c>
      <c r="AE106" s="76">
        <v>2</v>
      </c>
      <c r="AF106" s="76">
        <v>3</v>
      </c>
      <c r="AG106" s="76">
        <v>1</v>
      </c>
      <c r="AH106" s="4"/>
      <c r="AI106" s="4"/>
      <c r="AJ106" s="4"/>
      <c r="AK106" s="4"/>
      <c r="AL106" s="4"/>
    </row>
    <row r="107" spans="1:38" ht="14">
      <c r="A107" s="106"/>
      <c r="B107" s="106" t="s">
        <v>403</v>
      </c>
      <c r="C107" s="70"/>
      <c r="D107" s="155" t="s">
        <v>413</v>
      </c>
      <c r="E107" s="164" t="s">
        <v>414</v>
      </c>
      <c r="F107" s="157" t="str">
        <f ca="1">IFERROR(__xludf.DUMMYFUNCTION("INDEX(SPLIT(E107,""/""),,COUNTA(SPLIT(E107,""/"")))"),"1744594599618785739")</f>
        <v>1744594599618785739</v>
      </c>
      <c r="G107" s="70" t="s">
        <v>415</v>
      </c>
      <c r="H107" s="106" t="s">
        <v>80</v>
      </c>
      <c r="I107" s="106" t="s">
        <v>70</v>
      </c>
      <c r="J107" s="106" t="s">
        <v>138</v>
      </c>
      <c r="K107" s="106" t="s">
        <v>138</v>
      </c>
      <c r="L107" s="159">
        <v>1</v>
      </c>
      <c r="M107" s="76">
        <v>3</v>
      </c>
      <c r="N107" s="76">
        <v>2</v>
      </c>
      <c r="O107" s="76">
        <v>1</v>
      </c>
      <c r="P107" s="76">
        <v>2</v>
      </c>
      <c r="Q107" s="76">
        <v>3</v>
      </c>
      <c r="R107" s="76">
        <v>2</v>
      </c>
      <c r="S107" s="76">
        <v>3</v>
      </c>
      <c r="T107" s="76">
        <v>2</v>
      </c>
      <c r="U107" s="76">
        <v>3</v>
      </c>
      <c r="V107" s="162">
        <v>3</v>
      </c>
      <c r="W107" s="159">
        <v>2</v>
      </c>
      <c r="X107" s="76">
        <v>2</v>
      </c>
      <c r="Y107" s="76">
        <v>3</v>
      </c>
      <c r="Z107" s="76">
        <v>1</v>
      </c>
      <c r="AA107" s="76">
        <v>1</v>
      </c>
      <c r="AB107" s="76">
        <v>3</v>
      </c>
      <c r="AC107" s="76">
        <v>3</v>
      </c>
      <c r="AD107" s="76">
        <v>3</v>
      </c>
      <c r="AE107" s="76">
        <v>3</v>
      </c>
      <c r="AF107" s="76">
        <v>3</v>
      </c>
      <c r="AG107" s="76">
        <v>1</v>
      </c>
      <c r="AH107" s="4"/>
      <c r="AI107" s="4"/>
      <c r="AJ107" s="4"/>
      <c r="AK107" s="4"/>
      <c r="AL107" s="4"/>
    </row>
    <row r="108" spans="1:38" ht="14">
      <c r="A108" s="106"/>
      <c r="B108" s="106" t="s">
        <v>403</v>
      </c>
      <c r="C108" s="70"/>
      <c r="D108" s="155" t="s">
        <v>416</v>
      </c>
      <c r="E108" s="164" t="s">
        <v>417</v>
      </c>
      <c r="F108" s="157" t="str">
        <f ca="1">IFERROR(__xludf.DUMMYFUNCTION("INDEX(SPLIT(E108,""/""),,COUNTA(SPLIT(E108,""/"")))"),"1745112662726279613")</f>
        <v>1745112662726279613</v>
      </c>
      <c r="G108" s="70" t="s">
        <v>160</v>
      </c>
      <c r="H108" s="106" t="s">
        <v>80</v>
      </c>
      <c r="I108" s="106" t="s">
        <v>70</v>
      </c>
      <c r="J108" s="106" t="s">
        <v>138</v>
      </c>
      <c r="K108" s="106" t="s">
        <v>146</v>
      </c>
      <c r="L108" s="159">
        <v>2</v>
      </c>
      <c r="M108" s="76">
        <v>3</v>
      </c>
      <c r="N108" s="76">
        <v>3</v>
      </c>
      <c r="O108" s="76">
        <v>1</v>
      </c>
      <c r="P108" s="76">
        <v>1</v>
      </c>
      <c r="Q108" s="76">
        <v>1</v>
      </c>
      <c r="R108" s="76">
        <v>1</v>
      </c>
      <c r="S108" s="76">
        <v>3</v>
      </c>
      <c r="T108" s="76">
        <v>1</v>
      </c>
      <c r="U108" s="76">
        <v>3</v>
      </c>
      <c r="V108" s="162">
        <v>2</v>
      </c>
      <c r="W108" s="159">
        <v>3</v>
      </c>
      <c r="X108" s="76">
        <v>3</v>
      </c>
      <c r="Y108" s="76">
        <v>1</v>
      </c>
      <c r="Z108" s="76">
        <v>1</v>
      </c>
      <c r="AA108" s="76">
        <v>1</v>
      </c>
      <c r="AB108" s="76">
        <v>1</v>
      </c>
      <c r="AC108" s="76">
        <v>1</v>
      </c>
      <c r="AD108" s="76">
        <v>3</v>
      </c>
      <c r="AE108" s="76">
        <v>2</v>
      </c>
      <c r="AF108" s="76">
        <v>3</v>
      </c>
      <c r="AG108" s="76">
        <v>1</v>
      </c>
      <c r="AH108" s="4"/>
      <c r="AI108" s="4"/>
      <c r="AJ108" s="4"/>
      <c r="AK108" s="4"/>
      <c r="AL108" s="4"/>
    </row>
    <row r="109" spans="1:38" ht="14">
      <c r="A109" s="106"/>
      <c r="B109" s="106" t="s">
        <v>403</v>
      </c>
      <c r="C109" s="70"/>
      <c r="D109" s="155" t="s">
        <v>418</v>
      </c>
      <c r="E109" s="164" t="s">
        <v>419</v>
      </c>
      <c r="F109" s="157" t="str">
        <f ca="1">IFERROR(__xludf.DUMMYFUNCTION("INDEX(SPLIT(E109,""/""),,COUNTA(SPLIT(E109,""/"")))"),"1745159502478127453")</f>
        <v>1745159502478127453</v>
      </c>
      <c r="G109" s="70" t="s">
        <v>409</v>
      </c>
      <c r="H109" s="106" t="s">
        <v>80</v>
      </c>
      <c r="I109" s="106" t="s">
        <v>70</v>
      </c>
      <c r="J109" s="106" t="s">
        <v>138</v>
      </c>
      <c r="K109" s="106" t="s">
        <v>146</v>
      </c>
      <c r="L109" s="159">
        <v>1</v>
      </c>
      <c r="M109" s="76">
        <v>3</v>
      </c>
      <c r="N109" s="76">
        <v>2</v>
      </c>
      <c r="O109" s="76">
        <v>1</v>
      </c>
      <c r="P109" s="76">
        <v>2</v>
      </c>
      <c r="Q109" s="76">
        <v>3</v>
      </c>
      <c r="R109" s="76">
        <v>3</v>
      </c>
      <c r="S109" s="76">
        <v>3</v>
      </c>
      <c r="T109" s="76">
        <v>2</v>
      </c>
      <c r="U109" s="76">
        <v>3</v>
      </c>
      <c r="V109" s="162">
        <v>2</v>
      </c>
      <c r="W109" s="159">
        <v>2</v>
      </c>
      <c r="X109" s="76">
        <v>3</v>
      </c>
      <c r="Y109" s="76">
        <v>2</v>
      </c>
      <c r="Z109" s="76">
        <v>1</v>
      </c>
      <c r="AA109" s="76">
        <v>1</v>
      </c>
      <c r="AB109" s="76">
        <v>1</v>
      </c>
      <c r="AC109" s="76">
        <v>1</v>
      </c>
      <c r="AD109" s="76">
        <v>3</v>
      </c>
      <c r="AE109" s="76">
        <v>3</v>
      </c>
      <c r="AF109" s="76">
        <v>3</v>
      </c>
      <c r="AG109" s="76">
        <v>2</v>
      </c>
      <c r="AH109" s="4"/>
      <c r="AI109" s="4"/>
      <c r="AJ109" s="4"/>
      <c r="AK109" s="4"/>
      <c r="AL109" s="4"/>
    </row>
    <row r="110" spans="1:38" ht="14">
      <c r="A110" s="106"/>
      <c r="B110" s="106" t="s">
        <v>403</v>
      </c>
      <c r="C110" s="70"/>
      <c r="D110" s="155" t="s">
        <v>420</v>
      </c>
      <c r="E110" s="164" t="s">
        <v>421</v>
      </c>
      <c r="F110" s="157" t="str">
        <f ca="1">IFERROR(__xludf.DUMMYFUNCTION("INDEX(SPLIT(E110,""/""),,COUNTA(SPLIT(E110,""/"")))"),"1744478615759143120")</f>
        <v>1744478615759143120</v>
      </c>
      <c r="G110" s="70" t="s">
        <v>422</v>
      </c>
      <c r="H110" s="106" t="s">
        <v>80</v>
      </c>
      <c r="I110" s="106" t="s">
        <v>70</v>
      </c>
      <c r="J110" s="106" t="s">
        <v>138</v>
      </c>
      <c r="K110" s="106" t="s">
        <v>138</v>
      </c>
      <c r="L110" s="159">
        <v>1</v>
      </c>
      <c r="M110" s="76">
        <v>3</v>
      </c>
      <c r="N110" s="76">
        <v>2</v>
      </c>
      <c r="O110" s="76">
        <v>1</v>
      </c>
      <c r="P110" s="76">
        <v>1</v>
      </c>
      <c r="Q110" s="76">
        <v>1</v>
      </c>
      <c r="R110" s="76">
        <v>1</v>
      </c>
      <c r="S110" s="76">
        <v>3</v>
      </c>
      <c r="T110" s="76">
        <v>2</v>
      </c>
      <c r="U110" s="76">
        <v>3</v>
      </c>
      <c r="V110" s="162">
        <v>1</v>
      </c>
      <c r="W110" s="159">
        <v>1</v>
      </c>
      <c r="X110" s="76">
        <v>1</v>
      </c>
      <c r="Y110" s="76">
        <v>2</v>
      </c>
      <c r="Z110" s="76">
        <v>1</v>
      </c>
      <c r="AA110" s="76">
        <v>1</v>
      </c>
      <c r="AB110" s="76">
        <v>1</v>
      </c>
      <c r="AC110" s="76">
        <v>1</v>
      </c>
      <c r="AD110" s="76">
        <v>2</v>
      </c>
      <c r="AE110" s="76">
        <v>1</v>
      </c>
      <c r="AF110" s="76">
        <v>3</v>
      </c>
      <c r="AG110" s="76">
        <v>3</v>
      </c>
      <c r="AH110" s="4"/>
      <c r="AI110" s="4"/>
      <c r="AJ110" s="4"/>
      <c r="AK110" s="4"/>
      <c r="AL110" s="4"/>
    </row>
    <row r="111" spans="1:38" ht="14">
      <c r="A111" s="106"/>
      <c r="B111" s="106" t="s">
        <v>403</v>
      </c>
      <c r="C111" s="70"/>
      <c r="D111" s="155" t="s">
        <v>423</v>
      </c>
      <c r="E111" s="164" t="s">
        <v>424</v>
      </c>
      <c r="F111" s="157" t="str">
        <f ca="1">IFERROR(__xludf.DUMMYFUNCTION("INDEX(SPLIT(E111,""/""),,COUNTA(SPLIT(E111,""/"")))"),"1744670527493382170")</f>
        <v>1744670527493382170</v>
      </c>
      <c r="G111" s="70" t="s">
        <v>422</v>
      </c>
      <c r="H111" s="106" t="s">
        <v>80</v>
      </c>
      <c r="I111" s="106" t="s">
        <v>70</v>
      </c>
      <c r="J111" s="106" t="s">
        <v>138</v>
      </c>
      <c r="K111" s="106" t="s">
        <v>138</v>
      </c>
      <c r="L111" s="159">
        <v>1</v>
      </c>
      <c r="M111" s="76">
        <v>3</v>
      </c>
      <c r="N111" s="76">
        <v>2</v>
      </c>
      <c r="O111" s="76">
        <v>1</v>
      </c>
      <c r="P111" s="76">
        <v>1</v>
      </c>
      <c r="Q111" s="76">
        <v>1</v>
      </c>
      <c r="R111" s="76">
        <v>1</v>
      </c>
      <c r="S111" s="76">
        <v>3</v>
      </c>
      <c r="T111" s="76">
        <v>2</v>
      </c>
      <c r="U111" s="76">
        <v>3</v>
      </c>
      <c r="V111" s="162">
        <v>2</v>
      </c>
      <c r="W111" s="159">
        <v>1</v>
      </c>
      <c r="X111" s="76">
        <v>1</v>
      </c>
      <c r="Y111" s="76">
        <v>2</v>
      </c>
      <c r="Z111" s="76">
        <v>1</v>
      </c>
      <c r="AA111" s="76">
        <v>1</v>
      </c>
      <c r="AB111" s="76">
        <v>1</v>
      </c>
      <c r="AC111" s="76">
        <v>1</v>
      </c>
      <c r="AD111" s="76">
        <v>2</v>
      </c>
      <c r="AE111" s="76">
        <v>1</v>
      </c>
      <c r="AF111" s="76">
        <v>3</v>
      </c>
      <c r="AG111" s="76">
        <v>3</v>
      </c>
      <c r="AH111" s="4"/>
      <c r="AI111" s="4"/>
      <c r="AJ111" s="4"/>
      <c r="AK111" s="4"/>
      <c r="AL111" s="4"/>
    </row>
    <row r="112" spans="1:38" ht="14">
      <c r="A112" s="106"/>
      <c r="B112" s="106" t="s">
        <v>403</v>
      </c>
      <c r="C112" s="70"/>
      <c r="D112" s="155" t="s">
        <v>425</v>
      </c>
      <c r="E112" s="164" t="s">
        <v>426</v>
      </c>
      <c r="F112" s="157" t="str">
        <f ca="1">IFERROR(__xludf.DUMMYFUNCTION("INDEX(SPLIT(E112,""/""),,COUNTA(SPLIT(E112,""/"")))"),"1745138472447353127")</f>
        <v>1745138472447353127</v>
      </c>
      <c r="G112" s="70" t="s">
        <v>427</v>
      </c>
      <c r="H112" s="106" t="s">
        <v>80</v>
      </c>
      <c r="I112" s="106" t="s">
        <v>70</v>
      </c>
      <c r="J112" s="106" t="s">
        <v>138</v>
      </c>
      <c r="K112" s="106" t="s">
        <v>146</v>
      </c>
      <c r="L112" s="159">
        <v>2</v>
      </c>
      <c r="M112" s="76">
        <v>3</v>
      </c>
      <c r="N112" s="76">
        <v>3</v>
      </c>
      <c r="O112" s="76">
        <v>1</v>
      </c>
      <c r="P112" s="76">
        <v>1</v>
      </c>
      <c r="Q112" s="76">
        <v>1</v>
      </c>
      <c r="R112" s="76">
        <v>3</v>
      </c>
      <c r="S112" s="76">
        <v>3</v>
      </c>
      <c r="T112" s="76">
        <v>1</v>
      </c>
      <c r="U112" s="76">
        <v>3</v>
      </c>
      <c r="V112" s="162">
        <v>2</v>
      </c>
      <c r="W112" s="159">
        <v>1</v>
      </c>
      <c r="X112" s="76">
        <v>1</v>
      </c>
      <c r="Y112" s="76">
        <v>1</v>
      </c>
      <c r="Z112" s="76">
        <v>1</v>
      </c>
      <c r="AA112" s="76">
        <v>1</v>
      </c>
      <c r="AB112" s="76">
        <v>1</v>
      </c>
      <c r="AC112" s="76">
        <v>1</v>
      </c>
      <c r="AD112" s="76">
        <v>3</v>
      </c>
      <c r="AE112" s="76">
        <v>3</v>
      </c>
      <c r="AF112" s="76">
        <v>3</v>
      </c>
      <c r="AG112" s="76">
        <v>1</v>
      </c>
      <c r="AH112" s="4"/>
      <c r="AI112" s="4"/>
      <c r="AJ112" s="4"/>
      <c r="AK112" s="4"/>
      <c r="AL112" s="4"/>
    </row>
    <row r="113" spans="1:38" ht="14">
      <c r="A113" s="106"/>
      <c r="B113" s="106" t="s">
        <v>403</v>
      </c>
      <c r="C113" s="70"/>
      <c r="D113" s="155" t="s">
        <v>428</v>
      </c>
      <c r="E113" s="164" t="s">
        <v>429</v>
      </c>
      <c r="F113" s="157" t="str">
        <f ca="1">IFERROR(__xludf.DUMMYFUNCTION("INDEX(SPLIT(E113,""/""),,COUNTA(SPLIT(E113,""/"")))"),"1681265348098633748")</f>
        <v>1681265348098633748</v>
      </c>
      <c r="G113" s="70" t="s">
        <v>430</v>
      </c>
      <c r="H113" s="106" t="s">
        <v>80</v>
      </c>
      <c r="I113" s="106" t="s">
        <v>86</v>
      </c>
      <c r="J113" s="106" t="s">
        <v>138</v>
      </c>
      <c r="K113" s="106" t="s">
        <v>138</v>
      </c>
      <c r="L113" s="159">
        <v>1</v>
      </c>
      <c r="M113" s="76">
        <v>1</v>
      </c>
      <c r="N113" s="76">
        <v>2</v>
      </c>
      <c r="O113" s="76">
        <v>1</v>
      </c>
      <c r="P113" s="76">
        <v>1</v>
      </c>
      <c r="Q113" s="76">
        <v>1</v>
      </c>
      <c r="R113" s="76">
        <v>1</v>
      </c>
      <c r="S113" s="76">
        <v>1</v>
      </c>
      <c r="T113" s="76">
        <v>1</v>
      </c>
      <c r="U113" s="76">
        <v>3</v>
      </c>
      <c r="V113" s="162">
        <v>1</v>
      </c>
      <c r="W113" s="159">
        <v>1</v>
      </c>
      <c r="X113" s="76">
        <v>1</v>
      </c>
      <c r="Y113" s="76">
        <v>1</v>
      </c>
      <c r="Z113" s="76">
        <v>1</v>
      </c>
      <c r="AA113" s="76">
        <v>1</v>
      </c>
      <c r="AB113" s="76">
        <v>1</v>
      </c>
      <c r="AC113" s="76">
        <v>1</v>
      </c>
      <c r="AD113" s="76">
        <v>1</v>
      </c>
      <c r="AE113" s="76">
        <v>1</v>
      </c>
      <c r="AF113" s="76">
        <v>3</v>
      </c>
      <c r="AG113" s="76">
        <v>1</v>
      </c>
      <c r="AH113" s="4"/>
      <c r="AI113" s="4"/>
      <c r="AJ113" s="4"/>
      <c r="AK113" s="4"/>
      <c r="AL113" s="4"/>
    </row>
    <row r="114" spans="1:38" ht="14">
      <c r="A114" s="106"/>
      <c r="B114" s="106"/>
      <c r="C114" s="70"/>
      <c r="D114" s="155" t="s">
        <v>431</v>
      </c>
      <c r="E114" s="164" t="s">
        <v>432</v>
      </c>
      <c r="F114" s="157" t="str">
        <f ca="1">IFERROR(__xludf.DUMMYFUNCTION("INDEX(SPLIT(E114,""/""),,COUNTA(SPLIT(E114,""/"")))"),"1745082085809737968")</f>
        <v>1745082085809737968</v>
      </c>
      <c r="G114" s="70" t="s">
        <v>430</v>
      </c>
      <c r="H114" s="106" t="s">
        <v>80</v>
      </c>
      <c r="I114" s="106" t="s">
        <v>70</v>
      </c>
      <c r="J114" s="106"/>
      <c r="K114" s="106"/>
      <c r="L114" s="159"/>
      <c r="M114" s="76"/>
      <c r="N114" s="76"/>
      <c r="O114" s="76"/>
      <c r="P114" s="76"/>
      <c r="Q114" s="76"/>
      <c r="R114" s="76"/>
      <c r="S114" s="76"/>
      <c r="T114" s="76"/>
      <c r="U114" s="76"/>
      <c r="V114" s="162"/>
      <c r="W114" s="159"/>
      <c r="X114" s="76"/>
      <c r="Y114" s="76"/>
      <c r="Z114" s="76"/>
      <c r="AA114" s="76"/>
      <c r="AB114" s="76"/>
      <c r="AC114" s="76"/>
      <c r="AD114" s="76"/>
      <c r="AE114" s="76"/>
      <c r="AF114" s="76"/>
      <c r="AG114" s="76"/>
      <c r="AH114" s="4"/>
      <c r="AI114" s="4"/>
      <c r="AJ114" s="4"/>
      <c r="AK114" s="4"/>
      <c r="AL114" s="4"/>
    </row>
    <row r="115" spans="1:38" ht="14">
      <c r="A115" s="106"/>
      <c r="B115" s="106"/>
      <c r="C115" s="70"/>
      <c r="D115" s="155" t="s">
        <v>433</v>
      </c>
      <c r="E115" s="164" t="s">
        <v>434</v>
      </c>
      <c r="F115" s="157" t="str">
        <f ca="1">IFERROR(__xludf.DUMMYFUNCTION("INDEX(SPLIT(E115,""/""),,COUNTA(SPLIT(E115,""/"")))"),"1460047675097710592")</f>
        <v>1460047675097710592</v>
      </c>
      <c r="G115" s="70" t="s">
        <v>435</v>
      </c>
      <c r="H115" s="106" t="s">
        <v>80</v>
      </c>
      <c r="I115" s="106" t="s">
        <v>81</v>
      </c>
      <c r="J115" s="106"/>
      <c r="K115" s="106"/>
      <c r="L115" s="159"/>
      <c r="M115" s="76"/>
      <c r="N115" s="76"/>
      <c r="O115" s="76"/>
      <c r="P115" s="76"/>
      <c r="Q115" s="76"/>
      <c r="R115" s="76"/>
      <c r="S115" s="76"/>
      <c r="T115" s="76"/>
      <c r="U115" s="76"/>
      <c r="V115" s="162"/>
      <c r="W115" s="159"/>
      <c r="X115" s="76"/>
      <c r="Y115" s="76"/>
      <c r="Z115" s="76"/>
      <c r="AA115" s="76"/>
      <c r="AB115" s="76"/>
      <c r="AC115" s="76"/>
      <c r="AD115" s="76"/>
      <c r="AE115" s="76"/>
      <c r="AF115" s="76"/>
      <c r="AG115" s="76"/>
      <c r="AH115" s="4"/>
      <c r="AI115" s="4"/>
      <c r="AJ115" s="4"/>
      <c r="AK115" s="4"/>
      <c r="AL115" s="4"/>
    </row>
    <row r="116" spans="1:38" ht="14">
      <c r="A116" s="106"/>
      <c r="B116" s="106"/>
      <c r="C116" s="70"/>
      <c r="D116" s="155" t="s">
        <v>436</v>
      </c>
      <c r="E116" s="164" t="s">
        <v>437</v>
      </c>
      <c r="F116" s="157" t="str">
        <f ca="1">IFERROR(__xludf.DUMMYFUNCTION("INDEX(SPLIT(E116,""/""),,COUNTA(SPLIT(E116,""/"")))"),"1471139015344771081")</f>
        <v>1471139015344771081</v>
      </c>
      <c r="G116" s="70" t="s">
        <v>438</v>
      </c>
      <c r="H116" s="106" t="s">
        <v>80</v>
      </c>
      <c r="I116" s="106" t="s">
        <v>81</v>
      </c>
      <c r="J116" s="106"/>
      <c r="K116" s="106"/>
      <c r="L116" s="159"/>
      <c r="M116" s="76"/>
      <c r="N116" s="76"/>
      <c r="O116" s="76"/>
      <c r="P116" s="76"/>
      <c r="Q116" s="76"/>
      <c r="R116" s="76"/>
      <c r="S116" s="76"/>
      <c r="T116" s="76"/>
      <c r="U116" s="76"/>
      <c r="V116" s="162"/>
      <c r="W116" s="159"/>
      <c r="X116" s="76"/>
      <c r="Y116" s="76"/>
      <c r="Z116" s="76"/>
      <c r="AA116" s="76"/>
      <c r="AB116" s="76"/>
      <c r="AC116" s="76"/>
      <c r="AD116" s="76"/>
      <c r="AE116" s="76"/>
      <c r="AF116" s="76"/>
      <c r="AG116" s="76"/>
      <c r="AH116" s="4"/>
      <c r="AI116" s="4"/>
      <c r="AJ116" s="4"/>
      <c r="AK116" s="4"/>
      <c r="AL116" s="4"/>
    </row>
    <row r="117" spans="1:38" ht="14">
      <c r="A117" s="106"/>
      <c r="B117" s="106"/>
      <c r="C117" s="70"/>
      <c r="D117" s="155" t="s">
        <v>439</v>
      </c>
      <c r="E117" s="164" t="s">
        <v>440</v>
      </c>
      <c r="F117" s="157" t="str">
        <f ca="1">IFERROR(__xludf.DUMMYFUNCTION("INDEX(SPLIT(E117,""/""),,COUNTA(SPLIT(E117,""/"")))"),"1723304805781696883")</f>
        <v>1723304805781696883</v>
      </c>
      <c r="G117" s="70" t="s">
        <v>441</v>
      </c>
      <c r="H117" s="106" t="s">
        <v>80</v>
      </c>
      <c r="I117" s="106" t="s">
        <v>81</v>
      </c>
      <c r="J117" s="106"/>
      <c r="K117" s="106"/>
      <c r="L117" s="159"/>
      <c r="M117" s="76"/>
      <c r="N117" s="76"/>
      <c r="O117" s="76"/>
      <c r="P117" s="76"/>
      <c r="Q117" s="76"/>
      <c r="R117" s="76"/>
      <c r="S117" s="76"/>
      <c r="T117" s="76"/>
      <c r="U117" s="76"/>
      <c r="V117" s="162"/>
      <c r="W117" s="159"/>
      <c r="X117" s="76"/>
      <c r="Y117" s="76"/>
      <c r="Z117" s="76"/>
      <c r="AA117" s="76"/>
      <c r="AB117" s="76"/>
      <c r="AC117" s="76"/>
      <c r="AD117" s="76"/>
      <c r="AE117" s="76"/>
      <c r="AF117" s="76"/>
      <c r="AG117" s="76"/>
      <c r="AH117" s="4"/>
      <c r="AI117" s="4"/>
      <c r="AJ117" s="4"/>
      <c r="AK117" s="4"/>
      <c r="AL117" s="4"/>
    </row>
    <row r="118" spans="1:38" ht="14">
      <c r="A118" s="106"/>
      <c r="B118" s="106"/>
      <c r="C118" s="70"/>
      <c r="D118" s="155" t="s">
        <v>442</v>
      </c>
      <c r="E118" s="176" t="s">
        <v>443</v>
      </c>
      <c r="F118" s="157" t="str">
        <f ca="1">IFERROR(__xludf.DUMMYFUNCTION("INDEX(SPLIT(E118,""/""),,COUNTA(SPLIT(E118,""/"")))"),"1745429937039757617")</f>
        <v>1745429937039757617</v>
      </c>
      <c r="G118" s="70" t="s">
        <v>444</v>
      </c>
      <c r="H118" s="106" t="s">
        <v>80</v>
      </c>
      <c r="I118" s="106" t="s">
        <v>81</v>
      </c>
      <c r="J118" s="106"/>
      <c r="K118" s="106"/>
      <c r="L118" s="159"/>
      <c r="M118" s="76"/>
      <c r="N118" s="76"/>
      <c r="O118" s="76"/>
      <c r="P118" s="76"/>
      <c r="Q118" s="76"/>
      <c r="R118" s="76"/>
      <c r="S118" s="76"/>
      <c r="T118" s="76"/>
      <c r="U118" s="76"/>
      <c r="V118" s="162"/>
      <c r="W118" s="159"/>
      <c r="X118" s="76"/>
      <c r="Y118" s="76"/>
      <c r="Z118" s="76"/>
      <c r="AA118" s="76"/>
      <c r="AB118" s="76"/>
      <c r="AC118" s="76"/>
      <c r="AD118" s="76"/>
      <c r="AE118" s="76"/>
      <c r="AF118" s="76"/>
      <c r="AG118" s="76"/>
      <c r="AH118" s="4"/>
      <c r="AI118" s="4"/>
      <c r="AJ118" s="4"/>
      <c r="AK118" s="4"/>
      <c r="AL118" s="4"/>
    </row>
    <row r="119" spans="1:38" ht="14">
      <c r="A119" s="106"/>
      <c r="B119" s="106"/>
      <c r="C119" s="70"/>
      <c r="D119" s="155" t="s">
        <v>445</v>
      </c>
      <c r="E119" s="176" t="s">
        <v>446</v>
      </c>
      <c r="F119" s="157" t="str">
        <f ca="1">IFERROR(__xludf.DUMMYFUNCTION("INDEX(SPLIT(E119,""/""),,COUNTA(SPLIT(E119,""/"")))"),"1745397612243481083")</f>
        <v>1745397612243481083</v>
      </c>
      <c r="G119" s="70" t="s">
        <v>444</v>
      </c>
      <c r="H119" s="106" t="s">
        <v>80</v>
      </c>
      <c r="I119" s="106" t="s">
        <v>70</v>
      </c>
      <c r="J119" s="106"/>
      <c r="K119" s="106"/>
      <c r="L119" s="159"/>
      <c r="M119" s="76"/>
      <c r="N119" s="76"/>
      <c r="O119" s="76"/>
      <c r="P119" s="76"/>
      <c r="Q119" s="76"/>
      <c r="R119" s="76"/>
      <c r="S119" s="76"/>
      <c r="T119" s="76"/>
      <c r="U119" s="76"/>
      <c r="V119" s="162"/>
      <c r="W119" s="159"/>
      <c r="X119" s="76"/>
      <c r="Y119" s="76"/>
      <c r="Z119" s="76"/>
      <c r="AA119" s="76"/>
      <c r="AB119" s="76"/>
      <c r="AC119" s="76"/>
      <c r="AD119" s="76"/>
      <c r="AE119" s="76"/>
      <c r="AF119" s="76"/>
      <c r="AG119" s="76"/>
      <c r="AH119" s="4"/>
      <c r="AI119" s="4"/>
      <c r="AJ119" s="4"/>
      <c r="AK119" s="4"/>
      <c r="AL119" s="4"/>
    </row>
    <row r="120" spans="1:38" ht="14">
      <c r="A120" s="106"/>
      <c r="B120" s="106"/>
      <c r="C120" s="70"/>
      <c r="D120" s="155" t="s">
        <v>447</v>
      </c>
      <c r="E120" s="176" t="s">
        <v>448</v>
      </c>
      <c r="F120" s="157" t="str">
        <f ca="1">IFERROR(__xludf.DUMMYFUNCTION("INDEX(SPLIT(E120,""/""),,COUNTA(SPLIT(E120,""/"")))"),"1745089441062867059")</f>
        <v>1745089441062867059</v>
      </c>
      <c r="G120" s="70" t="s">
        <v>444</v>
      </c>
      <c r="H120" s="106" t="s">
        <v>80</v>
      </c>
      <c r="I120" s="106" t="s">
        <v>70</v>
      </c>
      <c r="J120" s="106"/>
      <c r="K120" s="106"/>
      <c r="L120" s="159"/>
      <c r="M120" s="76"/>
      <c r="N120" s="76"/>
      <c r="O120" s="76"/>
      <c r="P120" s="76"/>
      <c r="Q120" s="76"/>
      <c r="R120" s="76"/>
      <c r="S120" s="76"/>
      <c r="T120" s="76"/>
      <c r="U120" s="76"/>
      <c r="V120" s="162"/>
      <c r="W120" s="159"/>
      <c r="X120" s="76"/>
      <c r="Y120" s="76"/>
      <c r="Z120" s="76"/>
      <c r="AA120" s="76"/>
      <c r="AB120" s="76"/>
      <c r="AC120" s="76"/>
      <c r="AD120" s="76"/>
      <c r="AE120" s="76"/>
      <c r="AF120" s="76"/>
      <c r="AG120" s="76"/>
      <c r="AH120" s="4"/>
      <c r="AI120" s="4"/>
      <c r="AJ120" s="4"/>
      <c r="AK120" s="4"/>
      <c r="AL120" s="4"/>
    </row>
    <row r="121" spans="1:38" ht="14">
      <c r="A121" s="106"/>
      <c r="B121" s="106"/>
      <c r="C121" s="70"/>
      <c r="D121" s="155" t="s">
        <v>449</v>
      </c>
      <c r="E121" s="174" t="s">
        <v>450</v>
      </c>
      <c r="F121" s="157" t="str">
        <f ca="1">IFERROR(__xludf.DUMMYFUNCTION("INDEX(SPLIT(E121,""/""),,COUNTA(SPLIT(E121,""/"")))"),"1745080336885731388")</f>
        <v>1745080336885731388</v>
      </c>
      <c r="G121" s="70" t="s">
        <v>444</v>
      </c>
      <c r="H121" s="106" t="s">
        <v>80</v>
      </c>
      <c r="I121" s="106" t="s">
        <v>70</v>
      </c>
      <c r="J121" s="106"/>
      <c r="K121" s="106"/>
      <c r="L121" s="159"/>
      <c r="M121" s="76"/>
      <c r="N121" s="76"/>
      <c r="O121" s="76"/>
      <c r="P121" s="76"/>
      <c r="Q121" s="76"/>
      <c r="R121" s="76"/>
      <c r="S121" s="76"/>
      <c r="T121" s="76"/>
      <c r="U121" s="76"/>
      <c r="V121" s="162"/>
      <c r="W121" s="159"/>
      <c r="X121" s="76"/>
      <c r="Y121" s="76"/>
      <c r="Z121" s="76"/>
      <c r="AA121" s="76"/>
      <c r="AB121" s="76"/>
      <c r="AC121" s="76"/>
      <c r="AD121" s="76"/>
      <c r="AE121" s="76"/>
      <c r="AF121" s="76"/>
      <c r="AG121" s="76"/>
      <c r="AH121" s="4"/>
      <c r="AI121" s="4"/>
      <c r="AJ121" s="4"/>
      <c r="AK121" s="4"/>
      <c r="AL121" s="4"/>
    </row>
    <row r="122" spans="1:38" ht="14">
      <c r="A122" s="106"/>
      <c r="B122" s="106"/>
      <c r="C122" s="70"/>
      <c r="D122" s="155" t="s">
        <v>451</v>
      </c>
      <c r="E122" s="176" t="s">
        <v>452</v>
      </c>
      <c r="F122" s="157" t="str">
        <f ca="1">IFERROR(__xludf.DUMMYFUNCTION("INDEX(SPLIT(E122,""/""),,COUNTA(SPLIT(E122,""/"")))"),"1719790323948220429")</f>
        <v>1719790323948220429</v>
      </c>
      <c r="G122" s="70" t="s">
        <v>396</v>
      </c>
      <c r="H122" s="106" t="s">
        <v>80</v>
      </c>
      <c r="I122" s="106" t="s">
        <v>81</v>
      </c>
      <c r="J122" s="106"/>
      <c r="K122" s="106"/>
      <c r="L122" s="159"/>
      <c r="M122" s="76"/>
      <c r="N122" s="76"/>
      <c r="O122" s="76"/>
      <c r="P122" s="76"/>
      <c r="Q122" s="76"/>
      <c r="R122" s="76"/>
      <c r="S122" s="76"/>
      <c r="T122" s="76"/>
      <c r="U122" s="76"/>
      <c r="V122" s="162"/>
      <c r="W122" s="159"/>
      <c r="X122" s="76"/>
      <c r="Y122" s="76"/>
      <c r="Z122" s="76"/>
      <c r="AA122" s="76"/>
      <c r="AB122" s="76"/>
      <c r="AC122" s="76"/>
      <c r="AD122" s="76"/>
      <c r="AE122" s="76"/>
      <c r="AF122" s="76"/>
      <c r="AG122" s="76"/>
      <c r="AH122" s="4"/>
      <c r="AI122" s="4"/>
      <c r="AJ122" s="4"/>
      <c r="AK122" s="4"/>
      <c r="AL122" s="4"/>
    </row>
    <row r="123" spans="1:38" ht="14">
      <c r="A123" s="106"/>
      <c r="B123" s="106"/>
      <c r="C123" s="70"/>
      <c r="D123" s="155" t="s">
        <v>453</v>
      </c>
      <c r="E123" s="174" t="s">
        <v>454</v>
      </c>
      <c r="F123" s="157" t="str">
        <f ca="1">IFERROR(__xludf.DUMMYFUNCTION("INDEX(SPLIT(E123,""/""),,COUNTA(SPLIT(E123,""/"")))"),"1735971615039426701")</f>
        <v>1735971615039426701</v>
      </c>
      <c r="G123" s="70" t="s">
        <v>455</v>
      </c>
      <c r="H123" s="106" t="s">
        <v>80</v>
      </c>
      <c r="I123" s="106" t="s">
        <v>81</v>
      </c>
      <c r="J123" s="106"/>
      <c r="K123" s="106"/>
      <c r="L123" s="159"/>
      <c r="M123" s="76"/>
      <c r="N123" s="76"/>
      <c r="O123" s="76"/>
      <c r="P123" s="76"/>
      <c r="Q123" s="76"/>
      <c r="R123" s="76"/>
      <c r="S123" s="76"/>
      <c r="T123" s="76"/>
      <c r="U123" s="76"/>
      <c r="V123" s="162"/>
      <c r="W123" s="159"/>
      <c r="X123" s="76"/>
      <c r="Y123" s="76"/>
      <c r="Z123" s="76"/>
      <c r="AA123" s="76"/>
      <c r="AB123" s="76"/>
      <c r="AC123" s="76"/>
      <c r="AD123" s="76"/>
      <c r="AE123" s="76"/>
      <c r="AF123" s="76"/>
      <c r="AG123" s="76"/>
      <c r="AH123" s="4"/>
      <c r="AI123" s="4"/>
      <c r="AJ123" s="4"/>
      <c r="AK123" s="4"/>
      <c r="AL123" s="4"/>
    </row>
    <row r="124" spans="1:38" ht="14">
      <c r="A124" s="106"/>
      <c r="B124" s="106"/>
      <c r="C124" s="70"/>
      <c r="D124" s="155" t="s">
        <v>456</v>
      </c>
      <c r="E124" s="176" t="s">
        <v>457</v>
      </c>
      <c r="F124" s="157" t="str">
        <f ca="1">IFERROR(__xludf.DUMMYFUNCTION("INDEX(SPLIT(E124,""/""),,COUNTA(SPLIT(E124,""/"")))"),"1733965871461134846")</f>
        <v>1733965871461134846</v>
      </c>
      <c r="G124" s="70" t="s">
        <v>458</v>
      </c>
      <c r="H124" s="106" t="s">
        <v>80</v>
      </c>
      <c r="I124" s="106" t="s">
        <v>81</v>
      </c>
      <c r="J124" s="106"/>
      <c r="K124" s="106"/>
      <c r="L124" s="159"/>
      <c r="M124" s="76"/>
      <c r="N124" s="76"/>
      <c r="O124" s="76"/>
      <c r="P124" s="76"/>
      <c r="Q124" s="76"/>
      <c r="R124" s="76"/>
      <c r="S124" s="76"/>
      <c r="T124" s="76"/>
      <c r="U124" s="76"/>
      <c r="V124" s="162"/>
      <c r="W124" s="159"/>
      <c r="X124" s="76"/>
      <c r="Y124" s="76"/>
      <c r="Z124" s="76"/>
      <c r="AA124" s="76"/>
      <c r="AB124" s="76"/>
      <c r="AC124" s="76"/>
      <c r="AD124" s="76"/>
      <c r="AE124" s="76"/>
      <c r="AF124" s="76"/>
      <c r="AG124" s="76"/>
      <c r="AH124" s="4"/>
      <c r="AI124" s="4"/>
      <c r="AJ124" s="4"/>
      <c r="AK124" s="4"/>
      <c r="AL124" s="4"/>
    </row>
    <row r="125" spans="1:38" ht="14">
      <c r="A125" s="106"/>
      <c r="B125" s="106"/>
      <c r="C125" s="70"/>
      <c r="D125" s="155" t="s">
        <v>459</v>
      </c>
      <c r="E125" s="176" t="s">
        <v>460</v>
      </c>
      <c r="F125" s="157" t="str">
        <f ca="1">IFERROR(__xludf.DUMMYFUNCTION("INDEX(SPLIT(E125,""/""),,COUNTA(SPLIT(E125,""/"")))"),"1711637964004991142")</f>
        <v>1711637964004991142</v>
      </c>
      <c r="G125" s="171" t="s">
        <v>399</v>
      </c>
      <c r="H125" s="106" t="s">
        <v>80</v>
      </c>
      <c r="I125" s="106" t="s">
        <v>70</v>
      </c>
      <c r="J125" s="106"/>
      <c r="K125" s="106"/>
      <c r="L125" s="159"/>
      <c r="M125" s="76"/>
      <c r="N125" s="76"/>
      <c r="O125" s="76"/>
      <c r="P125" s="76"/>
      <c r="Q125" s="76"/>
      <c r="R125" s="76"/>
      <c r="S125" s="76"/>
      <c r="T125" s="76"/>
      <c r="U125" s="76"/>
      <c r="V125" s="162"/>
      <c r="W125" s="159"/>
      <c r="X125" s="76"/>
      <c r="Y125" s="76"/>
      <c r="Z125" s="76"/>
      <c r="AA125" s="76"/>
      <c r="AB125" s="76"/>
      <c r="AC125" s="76"/>
      <c r="AD125" s="76"/>
      <c r="AE125" s="76"/>
      <c r="AF125" s="76"/>
      <c r="AG125" s="76"/>
      <c r="AH125" s="4"/>
      <c r="AI125" s="4"/>
      <c r="AJ125" s="4"/>
      <c r="AK125" s="4"/>
      <c r="AL125" s="4"/>
    </row>
    <row r="126" spans="1:38" ht="14">
      <c r="A126" s="106"/>
      <c r="B126" s="106"/>
      <c r="C126" s="70"/>
      <c r="D126" s="155" t="s">
        <v>461</v>
      </c>
      <c r="E126" s="176" t="s">
        <v>462</v>
      </c>
      <c r="F126" s="157" t="str">
        <f ca="1">IFERROR(__xludf.DUMMYFUNCTION("INDEX(SPLIT(E126,""/""),,COUNTA(SPLIT(E126,""/"")))"),"1745418194989232536")</f>
        <v>1745418194989232536</v>
      </c>
      <c r="G126" s="171" t="s">
        <v>298</v>
      </c>
      <c r="H126" s="106" t="s">
        <v>80</v>
      </c>
      <c r="I126" s="106" t="s">
        <v>70</v>
      </c>
      <c r="J126" s="106"/>
      <c r="K126" s="106"/>
      <c r="L126" s="159"/>
      <c r="M126" s="76"/>
      <c r="N126" s="76"/>
      <c r="O126" s="76"/>
      <c r="P126" s="76"/>
      <c r="Q126" s="76"/>
      <c r="R126" s="76"/>
      <c r="S126" s="76"/>
      <c r="T126" s="76"/>
      <c r="U126" s="76"/>
      <c r="V126" s="162"/>
      <c r="W126" s="159"/>
      <c r="X126" s="76"/>
      <c r="Y126" s="76"/>
      <c r="Z126" s="76"/>
      <c r="AA126" s="76"/>
      <c r="AB126" s="76"/>
      <c r="AC126" s="76"/>
      <c r="AD126" s="76"/>
      <c r="AE126" s="76"/>
      <c r="AF126" s="76"/>
      <c r="AG126" s="76"/>
      <c r="AH126" s="4"/>
      <c r="AI126" s="4"/>
      <c r="AJ126" s="4"/>
      <c r="AK126" s="4"/>
      <c r="AL126" s="4"/>
    </row>
    <row r="127" spans="1:38" ht="14">
      <c r="A127" s="106"/>
      <c r="B127" s="106"/>
      <c r="C127" s="70"/>
      <c r="D127" s="155" t="s">
        <v>463</v>
      </c>
      <c r="E127" s="174" t="s">
        <v>464</v>
      </c>
      <c r="F127" s="157" t="str">
        <f ca="1">IFERROR(__xludf.DUMMYFUNCTION("INDEX(SPLIT(E127,""/""),,COUNTA(SPLIT(E127,""/"")))"),"1733889619974926438")</f>
        <v>1733889619974926438</v>
      </c>
      <c r="G127" s="70" t="s">
        <v>455</v>
      </c>
      <c r="H127" s="106" t="s">
        <v>80</v>
      </c>
      <c r="I127" s="106"/>
      <c r="J127" s="106"/>
      <c r="K127" s="106"/>
      <c r="L127" s="159"/>
      <c r="M127" s="76"/>
      <c r="N127" s="76"/>
      <c r="O127" s="76"/>
      <c r="P127" s="76"/>
      <c r="Q127" s="76"/>
      <c r="R127" s="76"/>
      <c r="S127" s="76"/>
      <c r="T127" s="76"/>
      <c r="U127" s="76"/>
      <c r="V127" s="162"/>
      <c r="W127" s="159"/>
      <c r="X127" s="76"/>
      <c r="Y127" s="76"/>
      <c r="Z127" s="76"/>
      <c r="AA127" s="76"/>
      <c r="AB127" s="76"/>
      <c r="AC127" s="76"/>
      <c r="AD127" s="76"/>
      <c r="AE127" s="76"/>
      <c r="AF127" s="76"/>
      <c r="AG127" s="76"/>
      <c r="AH127" s="4"/>
      <c r="AI127" s="4"/>
      <c r="AJ127" s="4"/>
      <c r="AK127" s="4"/>
      <c r="AL127" s="4"/>
    </row>
    <row r="128" spans="1:38" ht="14">
      <c r="A128" s="106"/>
      <c r="B128" s="106"/>
      <c r="C128" s="70"/>
      <c r="D128" s="155" t="s">
        <v>465</v>
      </c>
      <c r="E128" s="174" t="s">
        <v>466</v>
      </c>
      <c r="F128" s="157" t="str">
        <f ca="1">IFERROR(__xludf.DUMMYFUNCTION("INDEX(SPLIT(E128,""/""),,COUNTA(SPLIT(E128,""/"")))"),"1745449109723717693")</f>
        <v>1745449109723717693</v>
      </c>
      <c r="G128" s="70" t="s">
        <v>427</v>
      </c>
      <c r="H128" s="106" t="s">
        <v>80</v>
      </c>
      <c r="I128" s="106"/>
      <c r="J128" s="106"/>
      <c r="K128" s="106"/>
      <c r="L128" s="159"/>
      <c r="M128" s="76"/>
      <c r="N128" s="76"/>
      <c r="O128" s="76"/>
      <c r="P128" s="76"/>
      <c r="Q128" s="76"/>
      <c r="R128" s="76"/>
      <c r="S128" s="76"/>
      <c r="T128" s="76"/>
      <c r="U128" s="76"/>
      <c r="V128" s="162"/>
      <c r="W128" s="159"/>
      <c r="X128" s="76"/>
      <c r="Y128" s="76"/>
      <c r="Z128" s="76"/>
      <c r="AA128" s="76"/>
      <c r="AB128" s="76"/>
      <c r="AC128" s="76"/>
      <c r="AD128" s="76"/>
      <c r="AE128" s="76"/>
      <c r="AF128" s="76"/>
      <c r="AG128" s="76"/>
      <c r="AH128" s="4"/>
      <c r="AI128" s="4"/>
      <c r="AJ128" s="4"/>
      <c r="AK128" s="4"/>
      <c r="AL128" s="4"/>
    </row>
    <row r="129" spans="1:38" ht="14">
      <c r="A129" s="106"/>
      <c r="B129" s="106"/>
      <c r="C129" s="70"/>
      <c r="D129" s="155" t="s">
        <v>467</v>
      </c>
      <c r="E129" s="174" t="s">
        <v>468</v>
      </c>
      <c r="F129" s="157" t="str">
        <f ca="1">IFERROR(__xludf.DUMMYFUNCTION("INDEX(SPLIT(E129,""/""),,COUNTA(SPLIT(E129,""/"")))"),"1745053403569377704")</f>
        <v>1745053403569377704</v>
      </c>
      <c r="G129" s="171" t="s">
        <v>298</v>
      </c>
      <c r="H129" s="106" t="s">
        <v>80</v>
      </c>
      <c r="I129" s="106"/>
      <c r="J129" s="106"/>
      <c r="K129" s="106"/>
      <c r="L129" s="159"/>
      <c r="M129" s="76"/>
      <c r="N129" s="76"/>
      <c r="O129" s="76"/>
      <c r="P129" s="76"/>
      <c r="Q129" s="76"/>
      <c r="R129" s="76"/>
      <c r="S129" s="76"/>
      <c r="T129" s="76"/>
      <c r="U129" s="76"/>
      <c r="V129" s="162"/>
      <c r="W129" s="159"/>
      <c r="X129" s="76"/>
      <c r="Y129" s="76"/>
      <c r="Z129" s="76"/>
      <c r="AA129" s="76"/>
      <c r="AB129" s="76"/>
      <c r="AC129" s="76"/>
      <c r="AD129" s="76"/>
      <c r="AE129" s="76"/>
      <c r="AF129" s="76"/>
      <c r="AG129" s="76"/>
      <c r="AH129" s="4"/>
      <c r="AI129" s="4"/>
      <c r="AJ129" s="4"/>
      <c r="AK129" s="4"/>
      <c r="AL129" s="4"/>
    </row>
    <row r="130" spans="1:38" ht="14">
      <c r="A130" s="106"/>
      <c r="B130" s="106"/>
      <c r="C130" s="70"/>
      <c r="D130" s="155" t="s">
        <v>469</v>
      </c>
      <c r="E130" s="176" t="s">
        <v>470</v>
      </c>
      <c r="F130" s="157" t="str">
        <f ca="1">IFERROR(__xludf.DUMMYFUNCTION("INDEX(SPLIT(E130,""/""),,COUNTA(SPLIT(E130,""/"")))"),"1744278032762974690")</f>
        <v>1744278032762974690</v>
      </c>
      <c r="G130" s="70" t="s">
        <v>471</v>
      </c>
      <c r="H130" s="106" t="s">
        <v>80</v>
      </c>
      <c r="I130" s="106"/>
      <c r="J130" s="106"/>
      <c r="K130" s="106"/>
      <c r="L130" s="159"/>
      <c r="M130" s="76"/>
      <c r="N130" s="76"/>
      <c r="O130" s="76"/>
      <c r="P130" s="76"/>
      <c r="Q130" s="76"/>
      <c r="R130" s="76"/>
      <c r="S130" s="76"/>
      <c r="T130" s="76"/>
      <c r="U130" s="76"/>
      <c r="V130" s="162"/>
      <c r="W130" s="159"/>
      <c r="X130" s="76"/>
      <c r="Y130" s="76"/>
      <c r="Z130" s="76"/>
      <c r="AA130" s="76"/>
      <c r="AB130" s="76"/>
      <c r="AC130" s="76"/>
      <c r="AD130" s="76"/>
      <c r="AE130" s="76"/>
      <c r="AF130" s="76"/>
      <c r="AG130" s="76"/>
      <c r="AH130" s="4"/>
      <c r="AI130" s="4"/>
      <c r="AJ130" s="4"/>
      <c r="AK130" s="4"/>
      <c r="AL130" s="4"/>
    </row>
    <row r="131" spans="1:38" ht="14">
      <c r="A131" s="106"/>
      <c r="B131" s="106"/>
      <c r="C131" s="70"/>
      <c r="D131" s="155" t="s">
        <v>472</v>
      </c>
      <c r="E131" s="176" t="s">
        <v>473</v>
      </c>
      <c r="F131" s="157" t="str">
        <f ca="1">IFERROR(__xludf.DUMMYFUNCTION("INDEX(SPLIT(E131,""/""),,COUNTA(SPLIT(E131,""/"")))"),"1718278328811962718")</f>
        <v>1718278328811962718</v>
      </c>
      <c r="G131" s="171" t="s">
        <v>474</v>
      </c>
      <c r="H131" s="106" t="s">
        <v>80</v>
      </c>
      <c r="I131" s="106"/>
      <c r="J131" s="106"/>
      <c r="K131" s="106"/>
      <c r="L131" s="159"/>
      <c r="M131" s="76"/>
      <c r="N131" s="76"/>
      <c r="O131" s="76"/>
      <c r="P131" s="76"/>
      <c r="Q131" s="76"/>
      <c r="R131" s="76"/>
      <c r="S131" s="76"/>
      <c r="T131" s="76"/>
      <c r="U131" s="76"/>
      <c r="V131" s="162"/>
      <c r="W131" s="159"/>
      <c r="X131" s="76"/>
      <c r="Y131" s="76"/>
      <c r="Z131" s="76"/>
      <c r="AA131" s="76"/>
      <c r="AB131" s="76"/>
      <c r="AC131" s="76"/>
      <c r="AD131" s="76"/>
      <c r="AE131" s="76"/>
      <c r="AF131" s="76"/>
      <c r="AG131" s="76"/>
      <c r="AH131" s="4"/>
      <c r="AI131" s="4"/>
      <c r="AJ131" s="4"/>
      <c r="AK131" s="4"/>
      <c r="AL131" s="4"/>
    </row>
    <row r="132" spans="1:38" ht="14">
      <c r="A132" s="106"/>
      <c r="B132" s="106"/>
      <c r="C132" s="70"/>
      <c r="D132" s="155" t="s">
        <v>475</v>
      </c>
      <c r="E132" s="174" t="s">
        <v>476</v>
      </c>
      <c r="F132" s="157" t="str">
        <f ca="1">IFERROR(__xludf.DUMMYFUNCTION("INDEX(SPLIT(E132,""/""),,COUNTA(SPLIT(E132,""/"")))"),"1744843254766415993")</f>
        <v>1744843254766415993</v>
      </c>
      <c r="G132" s="171" t="s">
        <v>298</v>
      </c>
      <c r="H132" s="106" t="s">
        <v>80</v>
      </c>
      <c r="I132" s="106"/>
      <c r="J132" s="106"/>
      <c r="K132" s="106"/>
      <c r="L132" s="159"/>
      <c r="M132" s="76"/>
      <c r="N132" s="76"/>
      <c r="O132" s="76"/>
      <c r="P132" s="76"/>
      <c r="Q132" s="76"/>
      <c r="R132" s="76"/>
      <c r="S132" s="76"/>
      <c r="T132" s="76"/>
      <c r="U132" s="76"/>
      <c r="V132" s="162"/>
      <c r="W132" s="159"/>
      <c r="X132" s="76"/>
      <c r="Y132" s="76"/>
      <c r="Z132" s="76"/>
      <c r="AA132" s="76"/>
      <c r="AB132" s="76"/>
      <c r="AC132" s="76"/>
      <c r="AD132" s="76"/>
      <c r="AE132" s="76"/>
      <c r="AF132" s="76"/>
      <c r="AG132" s="76"/>
      <c r="AH132" s="4"/>
      <c r="AI132" s="4"/>
      <c r="AJ132" s="4"/>
      <c r="AK132" s="4"/>
      <c r="AL132" s="4"/>
    </row>
    <row r="133" spans="1:38" ht="14">
      <c r="A133" s="106"/>
      <c r="B133" s="106"/>
      <c r="C133" s="70"/>
      <c r="D133" s="155" t="s">
        <v>477</v>
      </c>
      <c r="E133" s="174" t="s">
        <v>478</v>
      </c>
      <c r="F133" s="157" t="str">
        <f ca="1">IFERROR(__xludf.DUMMYFUNCTION("INDEX(SPLIT(E133,""/""),,COUNTA(SPLIT(E133,""/"")))"),"1744792969482273110")</f>
        <v>1744792969482273110</v>
      </c>
      <c r="G133" s="171" t="s">
        <v>298</v>
      </c>
      <c r="H133" s="106" t="s">
        <v>80</v>
      </c>
      <c r="I133" s="106"/>
      <c r="J133" s="106"/>
      <c r="K133" s="106"/>
      <c r="L133" s="159"/>
      <c r="M133" s="76"/>
      <c r="N133" s="76"/>
      <c r="O133" s="76"/>
      <c r="P133" s="76"/>
      <c r="Q133" s="76"/>
      <c r="R133" s="76"/>
      <c r="S133" s="76"/>
      <c r="T133" s="76"/>
      <c r="U133" s="76"/>
      <c r="V133" s="162"/>
      <c r="W133" s="159"/>
      <c r="X133" s="76"/>
      <c r="Y133" s="76"/>
      <c r="Z133" s="76"/>
      <c r="AA133" s="76"/>
      <c r="AB133" s="76"/>
      <c r="AC133" s="76"/>
      <c r="AD133" s="76"/>
      <c r="AE133" s="76"/>
      <c r="AF133" s="76"/>
      <c r="AG133" s="76"/>
      <c r="AH133" s="4"/>
      <c r="AI133" s="4"/>
      <c r="AJ133" s="4"/>
      <c r="AK133" s="4"/>
      <c r="AL133" s="4"/>
    </row>
    <row r="134" spans="1:38" ht="14">
      <c r="A134" s="106"/>
      <c r="B134" s="106"/>
      <c r="C134" s="70"/>
      <c r="D134" s="155" t="s">
        <v>479</v>
      </c>
      <c r="E134" s="174" t="s">
        <v>480</v>
      </c>
      <c r="F134" s="157" t="str">
        <f ca="1">IFERROR(__xludf.DUMMYFUNCTION("INDEX(SPLIT(E134,""/""),,COUNTA(SPLIT(E134,""/"")))"),"1743127134728544609")</f>
        <v>1743127134728544609</v>
      </c>
      <c r="G134" s="70" t="s">
        <v>481</v>
      </c>
      <c r="H134" s="106" t="s">
        <v>80</v>
      </c>
      <c r="I134" s="106"/>
      <c r="J134" s="106"/>
      <c r="K134" s="106"/>
      <c r="L134" s="159"/>
      <c r="M134" s="76"/>
      <c r="N134" s="76"/>
      <c r="O134" s="76"/>
      <c r="P134" s="76"/>
      <c r="Q134" s="76"/>
      <c r="R134" s="76"/>
      <c r="S134" s="76"/>
      <c r="T134" s="76"/>
      <c r="U134" s="76"/>
      <c r="V134" s="162"/>
      <c r="W134" s="159"/>
      <c r="X134" s="76"/>
      <c r="Y134" s="76"/>
      <c r="Z134" s="76"/>
      <c r="AA134" s="76"/>
      <c r="AB134" s="76"/>
      <c r="AC134" s="76"/>
      <c r="AD134" s="76"/>
      <c r="AE134" s="76"/>
      <c r="AF134" s="76"/>
      <c r="AG134" s="76"/>
      <c r="AH134" s="4"/>
      <c r="AI134" s="4"/>
      <c r="AJ134" s="4"/>
      <c r="AK134" s="4"/>
      <c r="AL134" s="4"/>
    </row>
    <row r="135" spans="1:38" ht="14">
      <c r="A135" s="106"/>
      <c r="B135" s="106"/>
      <c r="C135" s="70"/>
      <c r="D135" s="155" t="s">
        <v>482</v>
      </c>
      <c r="E135" s="176" t="s">
        <v>483</v>
      </c>
      <c r="F135" s="157" t="str">
        <f ca="1">IFERROR(__xludf.DUMMYFUNCTION("INDEX(SPLIT(E135,""/""),,COUNTA(SPLIT(E135,""/"")))"),"1712775737256640725")</f>
        <v>1712775737256640725</v>
      </c>
      <c r="G135" s="185" t="s">
        <v>399</v>
      </c>
      <c r="H135" s="106" t="s">
        <v>80</v>
      </c>
      <c r="I135" s="106"/>
      <c r="J135" s="106"/>
      <c r="K135" s="106"/>
      <c r="L135" s="159"/>
      <c r="M135" s="76"/>
      <c r="N135" s="76"/>
      <c r="O135" s="76"/>
      <c r="P135" s="76"/>
      <c r="Q135" s="76"/>
      <c r="R135" s="76"/>
      <c r="S135" s="76"/>
      <c r="T135" s="76"/>
      <c r="U135" s="76"/>
      <c r="V135" s="162"/>
      <c r="W135" s="159"/>
      <c r="X135" s="76"/>
      <c r="Y135" s="76"/>
      <c r="Z135" s="76"/>
      <c r="AA135" s="76"/>
      <c r="AB135" s="76"/>
      <c r="AC135" s="76"/>
      <c r="AD135" s="76"/>
      <c r="AE135" s="76"/>
      <c r="AF135" s="76"/>
      <c r="AG135" s="76"/>
      <c r="AH135" s="4"/>
      <c r="AI135" s="4"/>
      <c r="AJ135" s="4"/>
      <c r="AK135" s="4"/>
      <c r="AL135" s="4"/>
    </row>
    <row r="136" spans="1:38" ht="14">
      <c r="A136" s="106"/>
      <c r="B136" s="106"/>
      <c r="C136" s="70"/>
      <c r="D136" s="155" t="s">
        <v>484</v>
      </c>
      <c r="E136" s="174" t="s">
        <v>485</v>
      </c>
      <c r="F136" s="157" t="str">
        <f ca="1">IFERROR(__xludf.DUMMYFUNCTION("INDEX(SPLIT(E136,""/""),,COUNTA(SPLIT(E136,""/"")))"),"1744714855515672666")</f>
        <v>1744714855515672666</v>
      </c>
      <c r="G136" s="171" t="s">
        <v>298</v>
      </c>
      <c r="H136" s="106" t="s">
        <v>80</v>
      </c>
      <c r="I136" s="106"/>
      <c r="J136" s="106"/>
      <c r="K136" s="106"/>
      <c r="L136" s="159"/>
      <c r="M136" s="76"/>
      <c r="N136" s="76"/>
      <c r="O136" s="76"/>
      <c r="P136" s="76"/>
      <c r="Q136" s="76"/>
      <c r="R136" s="76"/>
      <c r="S136" s="76"/>
      <c r="T136" s="76"/>
      <c r="U136" s="76"/>
      <c r="V136" s="162"/>
      <c r="W136" s="159"/>
      <c r="X136" s="76"/>
      <c r="Y136" s="76"/>
      <c r="Z136" s="76"/>
      <c r="AA136" s="76"/>
      <c r="AB136" s="76"/>
      <c r="AC136" s="76"/>
      <c r="AD136" s="76"/>
      <c r="AE136" s="76"/>
      <c r="AF136" s="76"/>
      <c r="AG136" s="76"/>
      <c r="AH136" s="4"/>
      <c r="AI136" s="4"/>
      <c r="AJ136" s="4"/>
      <c r="AK136" s="4"/>
      <c r="AL136" s="4"/>
    </row>
    <row r="137" spans="1:38" ht="14">
      <c r="A137" s="106"/>
      <c r="B137" s="106"/>
      <c r="C137" s="70"/>
      <c r="D137" s="155" t="s">
        <v>486</v>
      </c>
      <c r="E137" s="174" t="s">
        <v>487</v>
      </c>
      <c r="F137" s="157" t="str">
        <f ca="1">IFERROR(__xludf.DUMMYFUNCTION("INDEX(SPLIT(E137,""/""),,COUNTA(SPLIT(E137,""/"")))"),"1744689167970222569")</f>
        <v>1744689167970222569</v>
      </c>
      <c r="G137" s="171" t="s">
        <v>298</v>
      </c>
      <c r="H137" s="106" t="s">
        <v>80</v>
      </c>
      <c r="I137" s="106"/>
      <c r="J137" s="106"/>
      <c r="K137" s="106"/>
      <c r="L137" s="159"/>
      <c r="M137" s="76"/>
      <c r="N137" s="76"/>
      <c r="O137" s="76"/>
      <c r="P137" s="76"/>
      <c r="Q137" s="76"/>
      <c r="R137" s="76"/>
      <c r="S137" s="76"/>
      <c r="T137" s="76"/>
      <c r="U137" s="76"/>
      <c r="V137" s="162"/>
      <c r="W137" s="159"/>
      <c r="X137" s="76"/>
      <c r="Y137" s="76"/>
      <c r="Z137" s="76"/>
      <c r="AA137" s="76"/>
      <c r="AB137" s="76"/>
      <c r="AC137" s="76"/>
      <c r="AD137" s="76"/>
      <c r="AE137" s="76"/>
      <c r="AF137" s="76"/>
      <c r="AG137" s="76"/>
      <c r="AH137" s="4"/>
      <c r="AI137" s="4"/>
      <c r="AJ137" s="4"/>
      <c r="AK137" s="4"/>
      <c r="AL137" s="4"/>
    </row>
    <row r="138" spans="1:38" ht="14">
      <c r="A138" s="106"/>
      <c r="B138" s="106"/>
      <c r="C138" s="70"/>
      <c r="D138" s="155" t="s">
        <v>488</v>
      </c>
      <c r="E138" s="176" t="s">
        <v>489</v>
      </c>
      <c r="F138" s="157" t="str">
        <f ca="1">IFERROR(__xludf.DUMMYFUNCTION("INDEX(SPLIT(E138,""/""),,COUNTA(SPLIT(E138,""/"")))"),"1744671475263779180")</f>
        <v>1744671475263779180</v>
      </c>
      <c r="G138" s="171" t="s">
        <v>298</v>
      </c>
      <c r="H138" s="106" t="s">
        <v>80</v>
      </c>
      <c r="I138" s="106"/>
      <c r="J138" s="106"/>
      <c r="K138" s="106"/>
      <c r="L138" s="159"/>
      <c r="M138" s="76"/>
      <c r="N138" s="76"/>
      <c r="O138" s="76"/>
      <c r="P138" s="76"/>
      <c r="Q138" s="76"/>
      <c r="R138" s="76"/>
      <c r="S138" s="76"/>
      <c r="T138" s="76"/>
      <c r="U138" s="76"/>
      <c r="V138" s="162"/>
      <c r="W138" s="159"/>
      <c r="X138" s="76"/>
      <c r="Y138" s="76"/>
      <c r="Z138" s="76"/>
      <c r="AA138" s="76"/>
      <c r="AB138" s="76"/>
      <c r="AC138" s="76"/>
      <c r="AD138" s="76"/>
      <c r="AE138" s="76"/>
      <c r="AF138" s="76"/>
      <c r="AG138" s="76"/>
      <c r="AH138" s="4"/>
      <c r="AI138" s="4"/>
      <c r="AJ138" s="4"/>
      <c r="AK138" s="4"/>
      <c r="AL138" s="4"/>
    </row>
    <row r="139" spans="1:38" ht="14">
      <c r="A139" s="106"/>
      <c r="B139" s="106"/>
      <c r="C139" s="70"/>
      <c r="D139" s="155" t="s">
        <v>490</v>
      </c>
      <c r="E139" s="176" t="s">
        <v>491</v>
      </c>
      <c r="F139" s="157" t="str">
        <f ca="1">IFERROR(__xludf.DUMMYFUNCTION("INDEX(SPLIT(E139,""/""),,COUNTA(SPLIT(E139,""/"")))"),"1714667666634612842")</f>
        <v>1714667666634612842</v>
      </c>
      <c r="G139" s="171" t="s">
        <v>492</v>
      </c>
      <c r="H139" s="106" t="s">
        <v>80</v>
      </c>
      <c r="I139" s="106"/>
      <c r="J139" s="106"/>
      <c r="K139" s="106"/>
      <c r="L139" s="159"/>
      <c r="M139" s="76"/>
      <c r="N139" s="76"/>
      <c r="O139" s="76"/>
      <c r="P139" s="76"/>
      <c r="Q139" s="76"/>
      <c r="R139" s="76"/>
      <c r="S139" s="76"/>
      <c r="T139" s="76"/>
      <c r="U139" s="76"/>
      <c r="V139" s="162"/>
      <c r="W139" s="159"/>
      <c r="X139" s="76"/>
      <c r="Y139" s="76"/>
      <c r="Z139" s="76"/>
      <c r="AA139" s="76"/>
      <c r="AB139" s="76"/>
      <c r="AC139" s="76"/>
      <c r="AD139" s="76"/>
      <c r="AE139" s="76"/>
      <c r="AF139" s="76"/>
      <c r="AG139" s="76"/>
      <c r="AH139" s="4"/>
      <c r="AI139" s="4"/>
      <c r="AJ139" s="4"/>
      <c r="AK139" s="4"/>
      <c r="AL139" s="4"/>
    </row>
    <row r="140" spans="1:38" ht="14">
      <c r="A140" s="106"/>
      <c r="B140" s="106"/>
      <c r="C140" s="70"/>
      <c r="D140" s="155" t="s">
        <v>493</v>
      </c>
      <c r="E140" s="176" t="s">
        <v>494</v>
      </c>
      <c r="F140" s="157" t="str">
        <f ca="1">IFERROR(__xludf.DUMMYFUNCTION("INDEX(SPLIT(E140,""/""),,COUNTA(SPLIT(E140,""/"")))"),"1744385276795896011")</f>
        <v>1744385276795896011</v>
      </c>
      <c r="G140" s="171" t="s">
        <v>298</v>
      </c>
      <c r="H140" s="106" t="s">
        <v>80</v>
      </c>
      <c r="I140" s="106"/>
      <c r="J140" s="106"/>
      <c r="K140" s="106"/>
      <c r="L140" s="159"/>
      <c r="M140" s="76"/>
      <c r="N140" s="76"/>
      <c r="O140" s="76"/>
      <c r="P140" s="76"/>
      <c r="Q140" s="76"/>
      <c r="R140" s="76"/>
      <c r="S140" s="76"/>
      <c r="T140" s="76"/>
      <c r="U140" s="76"/>
      <c r="V140" s="162"/>
      <c r="W140" s="159"/>
      <c r="X140" s="76"/>
      <c r="Y140" s="76"/>
      <c r="Z140" s="76"/>
      <c r="AA140" s="76"/>
      <c r="AB140" s="76"/>
      <c r="AC140" s="76"/>
      <c r="AD140" s="76"/>
      <c r="AE140" s="76"/>
      <c r="AF140" s="76"/>
      <c r="AG140" s="76"/>
      <c r="AH140" s="4"/>
      <c r="AI140" s="4"/>
      <c r="AJ140" s="4"/>
      <c r="AK140" s="4"/>
      <c r="AL140" s="4"/>
    </row>
    <row r="141" spans="1:38" ht="14">
      <c r="A141" s="106"/>
      <c r="B141" s="106"/>
      <c r="C141" s="70"/>
      <c r="D141" s="155" t="s">
        <v>495</v>
      </c>
      <c r="E141" s="176" t="s">
        <v>496</v>
      </c>
      <c r="F141" s="157" t="str">
        <f ca="1">IFERROR(__xludf.DUMMYFUNCTION("INDEX(SPLIT(E141,""/""),,COUNTA(SPLIT(E141,""/"")))"),"1744033616680599674")</f>
        <v>1744033616680599674</v>
      </c>
      <c r="G141" s="171" t="s">
        <v>298</v>
      </c>
      <c r="H141" s="106" t="s">
        <v>80</v>
      </c>
      <c r="I141" s="106"/>
      <c r="J141" s="106"/>
      <c r="K141" s="106"/>
      <c r="L141" s="159"/>
      <c r="M141" s="76"/>
      <c r="N141" s="76"/>
      <c r="O141" s="76"/>
      <c r="P141" s="76"/>
      <c r="Q141" s="76"/>
      <c r="R141" s="76"/>
      <c r="S141" s="76"/>
      <c r="T141" s="76"/>
      <c r="U141" s="76"/>
      <c r="V141" s="162"/>
      <c r="W141" s="159"/>
      <c r="X141" s="76"/>
      <c r="Y141" s="76"/>
      <c r="Z141" s="76"/>
      <c r="AA141" s="76"/>
      <c r="AB141" s="76"/>
      <c r="AC141" s="76"/>
      <c r="AD141" s="76"/>
      <c r="AE141" s="76"/>
      <c r="AF141" s="76"/>
      <c r="AG141" s="76"/>
      <c r="AH141" s="4"/>
      <c r="AI141" s="4"/>
      <c r="AJ141" s="4"/>
      <c r="AK141" s="4"/>
      <c r="AL141" s="4"/>
    </row>
    <row r="142" spans="1:38" ht="14">
      <c r="A142" s="106"/>
      <c r="B142" s="106"/>
      <c r="C142" s="70"/>
      <c r="D142" s="155" t="s">
        <v>497</v>
      </c>
      <c r="E142" s="174" t="s">
        <v>498</v>
      </c>
      <c r="F142" s="157" t="str">
        <f ca="1">IFERROR(__xludf.DUMMYFUNCTION("INDEX(SPLIT(E142,""/""),,COUNTA(SPLIT(E142,""/"")))"),"1744001939824673095")</f>
        <v>1744001939824673095</v>
      </c>
      <c r="G142" s="171" t="s">
        <v>298</v>
      </c>
      <c r="H142" s="106" t="s">
        <v>80</v>
      </c>
      <c r="I142" s="106"/>
      <c r="J142" s="106"/>
      <c r="K142" s="106"/>
      <c r="L142" s="159"/>
      <c r="M142" s="76"/>
      <c r="N142" s="76"/>
      <c r="O142" s="76"/>
      <c r="P142" s="76"/>
      <c r="Q142" s="76"/>
      <c r="R142" s="76"/>
      <c r="S142" s="76"/>
      <c r="T142" s="76"/>
      <c r="U142" s="76"/>
      <c r="V142" s="162"/>
      <c r="W142" s="159"/>
      <c r="X142" s="76"/>
      <c r="Y142" s="76"/>
      <c r="Z142" s="76"/>
      <c r="AA142" s="76"/>
      <c r="AB142" s="76"/>
      <c r="AC142" s="76"/>
      <c r="AD142" s="76"/>
      <c r="AE142" s="76"/>
      <c r="AF142" s="76"/>
      <c r="AG142" s="76"/>
      <c r="AH142" s="4"/>
      <c r="AI142" s="4"/>
      <c r="AJ142" s="4"/>
      <c r="AK142" s="4"/>
      <c r="AL142" s="4"/>
    </row>
    <row r="143" spans="1:38" ht="14">
      <c r="A143" s="106"/>
      <c r="B143" s="106"/>
      <c r="C143" s="70"/>
      <c r="D143" s="155" t="s">
        <v>499</v>
      </c>
      <c r="E143" s="176" t="s">
        <v>500</v>
      </c>
      <c r="F143" s="157" t="str">
        <f ca="1">IFERROR(__xludf.DUMMYFUNCTION("INDEX(SPLIT(E143,""/""),,COUNTA(SPLIT(E143,""/"")))"),"1743797638523203926")</f>
        <v>1743797638523203926</v>
      </c>
      <c r="G143" s="171" t="s">
        <v>298</v>
      </c>
      <c r="H143" s="106" t="s">
        <v>80</v>
      </c>
      <c r="I143" s="106"/>
      <c r="J143" s="106"/>
      <c r="K143" s="106"/>
      <c r="L143" s="159"/>
      <c r="M143" s="76"/>
      <c r="N143" s="76"/>
      <c r="O143" s="76"/>
      <c r="P143" s="76"/>
      <c r="Q143" s="76"/>
      <c r="R143" s="76"/>
      <c r="S143" s="76"/>
      <c r="T143" s="76"/>
      <c r="U143" s="76"/>
      <c r="V143" s="162"/>
      <c r="W143" s="159"/>
      <c r="X143" s="76"/>
      <c r="Y143" s="76"/>
      <c r="Z143" s="76"/>
      <c r="AA143" s="76"/>
      <c r="AB143" s="76"/>
      <c r="AC143" s="76"/>
      <c r="AD143" s="76"/>
      <c r="AE143" s="76"/>
      <c r="AF143" s="76"/>
      <c r="AG143" s="76"/>
      <c r="AH143" s="4"/>
      <c r="AI143" s="4"/>
      <c r="AJ143" s="4"/>
      <c r="AK143" s="4"/>
      <c r="AL143" s="4"/>
    </row>
    <row r="144" spans="1:38" ht="14">
      <c r="A144" s="106"/>
      <c r="B144" s="106"/>
      <c r="C144" s="70"/>
      <c r="D144" s="155" t="s">
        <v>501</v>
      </c>
      <c r="E144" s="176" t="s">
        <v>502</v>
      </c>
      <c r="F144" s="157" t="str">
        <f ca="1">IFERROR(__xludf.DUMMYFUNCTION("INDEX(SPLIT(E144,""/""),,COUNTA(SPLIT(E144,""/"")))"),"1743677607147610175")</f>
        <v>1743677607147610175</v>
      </c>
      <c r="G144" s="171" t="s">
        <v>298</v>
      </c>
      <c r="H144" s="106" t="s">
        <v>80</v>
      </c>
      <c r="I144" s="106"/>
      <c r="J144" s="106"/>
      <c r="K144" s="106"/>
      <c r="L144" s="159"/>
      <c r="M144" s="76"/>
      <c r="N144" s="76"/>
      <c r="O144" s="76"/>
      <c r="P144" s="76"/>
      <c r="Q144" s="76"/>
      <c r="R144" s="76"/>
      <c r="S144" s="76"/>
      <c r="T144" s="76"/>
      <c r="U144" s="76"/>
      <c r="V144" s="162"/>
      <c r="W144" s="159"/>
      <c r="X144" s="76"/>
      <c r="Y144" s="76"/>
      <c r="Z144" s="76"/>
      <c r="AA144" s="76"/>
      <c r="AB144" s="76"/>
      <c r="AC144" s="76"/>
      <c r="AD144" s="76"/>
      <c r="AE144" s="76"/>
      <c r="AF144" s="76"/>
      <c r="AG144" s="76"/>
      <c r="AH144" s="4"/>
      <c r="AI144" s="4"/>
      <c r="AJ144" s="4"/>
      <c r="AK144" s="4"/>
      <c r="AL144" s="4"/>
    </row>
    <row r="145" spans="1:38" ht="14">
      <c r="A145" s="106"/>
      <c r="B145" s="106"/>
      <c r="C145" s="70"/>
      <c r="D145" s="155" t="s">
        <v>503</v>
      </c>
      <c r="E145" s="176" t="s">
        <v>504</v>
      </c>
      <c r="F145" s="157" t="str">
        <f ca="1">IFERROR(__xludf.DUMMYFUNCTION("INDEX(SPLIT(E145,""/""),,COUNTA(SPLIT(E145,""/"")))"),"1745441834506338475")</f>
        <v>1745441834506338475</v>
      </c>
      <c r="G145" s="171" t="s">
        <v>505</v>
      </c>
      <c r="H145" s="106" t="s">
        <v>80</v>
      </c>
      <c r="I145" s="106"/>
      <c r="J145" s="106"/>
      <c r="K145" s="106"/>
      <c r="L145" s="159"/>
      <c r="M145" s="76"/>
      <c r="N145" s="76"/>
      <c r="O145" s="76"/>
      <c r="P145" s="76"/>
      <c r="Q145" s="76"/>
      <c r="R145" s="76"/>
      <c r="S145" s="76"/>
      <c r="T145" s="76"/>
      <c r="U145" s="76"/>
      <c r="V145" s="162"/>
      <c r="W145" s="159"/>
      <c r="X145" s="76"/>
      <c r="Y145" s="76"/>
      <c r="Z145" s="76"/>
      <c r="AA145" s="76"/>
      <c r="AB145" s="76"/>
      <c r="AC145" s="76"/>
      <c r="AD145" s="76"/>
      <c r="AE145" s="76"/>
      <c r="AF145" s="76"/>
      <c r="AG145" s="76"/>
      <c r="AH145" s="4"/>
      <c r="AI145" s="4"/>
      <c r="AJ145" s="4"/>
      <c r="AK145" s="4"/>
      <c r="AL145" s="4"/>
    </row>
    <row r="146" spans="1:38" ht="14">
      <c r="A146" s="106"/>
      <c r="B146" s="106"/>
      <c r="C146" s="70"/>
      <c r="D146" s="155" t="s">
        <v>506</v>
      </c>
      <c r="E146" s="176" t="s">
        <v>507</v>
      </c>
      <c r="F146" s="157" t="str">
        <f ca="1">IFERROR(__xludf.DUMMYFUNCTION("INDEX(SPLIT(E146,""/""),,COUNTA(SPLIT(E146,""/"")))"),"1745064458588766229")</f>
        <v>1745064458588766229</v>
      </c>
      <c r="G146" s="171" t="s">
        <v>505</v>
      </c>
      <c r="H146" s="106" t="s">
        <v>80</v>
      </c>
      <c r="I146" s="106"/>
      <c r="J146" s="106"/>
      <c r="K146" s="106"/>
      <c r="L146" s="159"/>
      <c r="M146" s="76"/>
      <c r="N146" s="76"/>
      <c r="O146" s="76"/>
      <c r="P146" s="76"/>
      <c r="Q146" s="76"/>
      <c r="R146" s="76"/>
      <c r="S146" s="76"/>
      <c r="T146" s="76"/>
      <c r="U146" s="76"/>
      <c r="V146" s="162"/>
      <c r="W146" s="159"/>
      <c r="X146" s="76"/>
      <c r="Y146" s="76"/>
      <c r="Z146" s="76"/>
      <c r="AA146" s="76"/>
      <c r="AB146" s="76"/>
      <c r="AC146" s="76"/>
      <c r="AD146" s="76"/>
      <c r="AE146" s="76"/>
      <c r="AF146" s="76"/>
      <c r="AG146" s="76"/>
      <c r="AH146" s="4"/>
      <c r="AI146" s="4"/>
      <c r="AJ146" s="4"/>
      <c r="AK146" s="4"/>
      <c r="AL146" s="4"/>
    </row>
    <row r="147" spans="1:38" ht="14">
      <c r="A147" s="106"/>
      <c r="B147" s="106"/>
      <c r="C147" s="70"/>
      <c r="D147" s="155" t="s">
        <v>508</v>
      </c>
      <c r="E147" s="176" t="s">
        <v>509</v>
      </c>
      <c r="F147" s="157" t="str">
        <f ca="1">IFERROR(__xludf.DUMMYFUNCTION("INDEX(SPLIT(E147,""/""),,COUNTA(SPLIT(E147,""/"")))"),"1744758278507106585")</f>
        <v>1744758278507106585</v>
      </c>
      <c r="G147" s="70" t="s">
        <v>510</v>
      </c>
      <c r="H147" s="106" t="s">
        <v>80</v>
      </c>
      <c r="I147" s="106"/>
      <c r="J147" s="106"/>
      <c r="K147" s="106"/>
      <c r="L147" s="159"/>
      <c r="M147" s="76"/>
      <c r="N147" s="76"/>
      <c r="O147" s="76"/>
      <c r="P147" s="76"/>
      <c r="Q147" s="76"/>
      <c r="R147" s="76"/>
      <c r="S147" s="76"/>
      <c r="T147" s="76"/>
      <c r="U147" s="76"/>
      <c r="V147" s="162"/>
      <c r="W147" s="159"/>
      <c r="X147" s="76"/>
      <c r="Y147" s="76"/>
      <c r="Z147" s="76"/>
      <c r="AA147" s="76"/>
      <c r="AB147" s="76"/>
      <c r="AC147" s="76"/>
      <c r="AD147" s="76"/>
      <c r="AE147" s="76"/>
      <c r="AF147" s="76"/>
      <c r="AG147" s="76"/>
      <c r="AH147" s="4"/>
      <c r="AI147" s="4"/>
      <c r="AJ147" s="4"/>
      <c r="AK147" s="4"/>
      <c r="AL147" s="4"/>
    </row>
    <row r="148" spans="1:38" ht="14">
      <c r="A148" s="106"/>
      <c r="B148" s="106"/>
      <c r="C148" s="70"/>
      <c r="D148" s="155" t="s">
        <v>511</v>
      </c>
      <c r="E148" s="176" t="s">
        <v>483</v>
      </c>
      <c r="F148" s="157" t="str">
        <f ca="1">IFERROR(__xludf.DUMMYFUNCTION("INDEX(SPLIT(E148,""/""),,COUNTA(SPLIT(E148,""/"")))"),"1712775737256640725")</f>
        <v>1712775737256640725</v>
      </c>
      <c r="G148" s="185" t="s">
        <v>399</v>
      </c>
      <c r="H148" s="106" t="s">
        <v>80</v>
      </c>
      <c r="I148" s="106"/>
      <c r="J148" s="106"/>
      <c r="K148" s="106"/>
      <c r="L148" s="159"/>
      <c r="M148" s="76"/>
      <c r="N148" s="76"/>
      <c r="O148" s="76"/>
      <c r="P148" s="76"/>
      <c r="Q148" s="76"/>
      <c r="R148" s="76"/>
      <c r="S148" s="76"/>
      <c r="T148" s="76"/>
      <c r="U148" s="76"/>
      <c r="V148" s="162"/>
      <c r="W148" s="159"/>
      <c r="X148" s="76"/>
      <c r="Y148" s="76"/>
      <c r="Z148" s="76"/>
      <c r="AA148" s="76"/>
      <c r="AB148" s="76"/>
      <c r="AC148" s="76"/>
      <c r="AD148" s="76"/>
      <c r="AE148" s="76"/>
      <c r="AF148" s="76"/>
      <c r="AG148" s="76"/>
      <c r="AH148" s="4"/>
      <c r="AI148" s="4"/>
      <c r="AJ148" s="4"/>
      <c r="AK148" s="4"/>
      <c r="AL148" s="4"/>
    </row>
    <row r="149" spans="1:38" ht="14">
      <c r="A149" s="106"/>
      <c r="B149" s="106"/>
      <c r="C149" s="70"/>
      <c r="D149" s="155" t="s">
        <v>512</v>
      </c>
      <c r="E149" s="174" t="s">
        <v>513</v>
      </c>
      <c r="F149" s="157" t="str">
        <f ca="1">IFERROR(__xludf.DUMMYFUNCTION("INDEX(SPLIT(E149,""/""),,COUNTA(SPLIT(E149,""/"")))"),"1745350865681080380")</f>
        <v>1745350865681080380</v>
      </c>
      <c r="G149" s="171" t="s">
        <v>505</v>
      </c>
      <c r="H149" s="106" t="s">
        <v>80</v>
      </c>
      <c r="I149" s="106"/>
      <c r="J149" s="106"/>
      <c r="K149" s="106"/>
      <c r="L149" s="159"/>
      <c r="M149" s="76"/>
      <c r="N149" s="76"/>
      <c r="O149" s="76"/>
      <c r="P149" s="76"/>
      <c r="Q149" s="76"/>
      <c r="R149" s="76"/>
      <c r="S149" s="76"/>
      <c r="T149" s="76"/>
      <c r="U149" s="76"/>
      <c r="V149" s="162"/>
      <c r="W149" s="159"/>
      <c r="X149" s="76"/>
      <c r="Y149" s="76"/>
      <c r="Z149" s="76"/>
      <c r="AA149" s="76"/>
      <c r="AB149" s="76"/>
      <c r="AC149" s="76"/>
      <c r="AD149" s="76"/>
      <c r="AE149" s="76"/>
      <c r="AF149" s="76"/>
      <c r="AG149" s="76"/>
      <c r="AH149" s="4"/>
      <c r="AI149" s="4"/>
      <c r="AJ149" s="4"/>
      <c r="AK149" s="4"/>
      <c r="AL149" s="4"/>
    </row>
    <row r="150" spans="1:38" ht="14">
      <c r="A150" s="106"/>
      <c r="B150" s="106"/>
      <c r="C150" s="70"/>
      <c r="D150" s="155" t="s">
        <v>514</v>
      </c>
      <c r="E150" s="176" t="s">
        <v>515</v>
      </c>
      <c r="F150" s="157" t="str">
        <f ca="1">IFERROR(__xludf.DUMMYFUNCTION("INDEX(SPLIT(E150,""/""),,COUNTA(SPLIT(E150,""/"")))"),"1745182457639424159")</f>
        <v>1745182457639424159</v>
      </c>
      <c r="G150" s="171" t="s">
        <v>505</v>
      </c>
      <c r="H150" s="106" t="s">
        <v>80</v>
      </c>
      <c r="I150" s="106"/>
      <c r="J150" s="106"/>
      <c r="K150" s="106"/>
      <c r="L150" s="159"/>
      <c r="M150" s="76"/>
      <c r="N150" s="76"/>
      <c r="O150" s="76"/>
      <c r="P150" s="76"/>
      <c r="Q150" s="76"/>
      <c r="R150" s="76"/>
      <c r="S150" s="76"/>
      <c r="T150" s="76"/>
      <c r="U150" s="76"/>
      <c r="V150" s="162"/>
      <c r="W150" s="159"/>
      <c r="X150" s="76"/>
      <c r="Y150" s="76"/>
      <c r="Z150" s="76"/>
      <c r="AA150" s="76"/>
      <c r="AB150" s="76"/>
      <c r="AC150" s="76"/>
      <c r="AD150" s="76"/>
      <c r="AE150" s="76"/>
      <c r="AF150" s="76"/>
      <c r="AG150" s="76"/>
      <c r="AH150" s="4"/>
      <c r="AI150" s="4"/>
      <c r="AJ150" s="4"/>
      <c r="AK150" s="4"/>
      <c r="AL150" s="4"/>
    </row>
    <row r="151" spans="1:38" ht="14">
      <c r="A151" s="106"/>
      <c r="B151" s="106"/>
      <c r="C151" s="70"/>
      <c r="D151" s="155" t="s">
        <v>516</v>
      </c>
      <c r="E151" s="176" t="s">
        <v>517</v>
      </c>
      <c r="F151" s="157" t="str">
        <f ca="1">IFERROR(__xludf.DUMMYFUNCTION("INDEX(SPLIT(E151,""/""),,COUNTA(SPLIT(E151,""/"")))"),"1745099859277795401")</f>
        <v>1745099859277795401</v>
      </c>
      <c r="G151" s="171" t="s">
        <v>505</v>
      </c>
      <c r="H151" s="106" t="s">
        <v>80</v>
      </c>
      <c r="I151" s="106"/>
      <c r="J151" s="106"/>
      <c r="K151" s="106"/>
      <c r="L151" s="159"/>
      <c r="M151" s="76"/>
      <c r="N151" s="76"/>
      <c r="O151" s="76"/>
      <c r="P151" s="76"/>
      <c r="Q151" s="76"/>
      <c r="R151" s="76"/>
      <c r="S151" s="76"/>
      <c r="T151" s="76"/>
      <c r="U151" s="76"/>
      <c r="V151" s="162"/>
      <c r="W151" s="159"/>
      <c r="X151" s="76"/>
      <c r="Y151" s="76"/>
      <c r="Z151" s="76"/>
      <c r="AA151" s="76"/>
      <c r="AB151" s="76"/>
      <c r="AC151" s="76"/>
      <c r="AD151" s="76"/>
      <c r="AE151" s="76"/>
      <c r="AF151" s="76"/>
      <c r="AG151" s="76"/>
      <c r="AH151" s="4"/>
      <c r="AI151" s="4"/>
      <c r="AJ151" s="4"/>
      <c r="AK151" s="4"/>
      <c r="AL151" s="4"/>
    </row>
    <row r="152" spans="1:38" ht="14">
      <c r="A152" s="106"/>
      <c r="B152" s="106"/>
      <c r="C152" s="70"/>
      <c r="D152" s="155" t="s">
        <v>518</v>
      </c>
      <c r="E152" s="176" t="s">
        <v>519</v>
      </c>
      <c r="F152" s="157" t="str">
        <f ca="1">IFERROR(__xludf.DUMMYFUNCTION("INDEX(SPLIT(E152,""/""),,COUNTA(SPLIT(E152,""/"")))"),"1744630302352547902")</f>
        <v>1744630302352547902</v>
      </c>
      <c r="G152" s="70" t="s">
        <v>520</v>
      </c>
      <c r="H152" s="106" t="s">
        <v>80</v>
      </c>
      <c r="I152" s="106"/>
      <c r="J152" s="106"/>
      <c r="K152" s="106"/>
      <c r="L152" s="159"/>
      <c r="M152" s="76"/>
      <c r="N152" s="76"/>
      <c r="O152" s="76"/>
      <c r="P152" s="76"/>
      <c r="Q152" s="76"/>
      <c r="R152" s="76"/>
      <c r="S152" s="76"/>
      <c r="T152" s="76"/>
      <c r="U152" s="76"/>
      <c r="V152" s="162"/>
      <c r="W152" s="159"/>
      <c r="X152" s="76"/>
      <c r="Y152" s="76"/>
      <c r="Z152" s="76"/>
      <c r="AA152" s="76"/>
      <c r="AB152" s="76"/>
      <c r="AC152" s="76"/>
      <c r="AD152" s="76"/>
      <c r="AE152" s="76"/>
      <c r="AF152" s="76"/>
      <c r="AG152" s="76"/>
      <c r="AH152" s="4"/>
      <c r="AI152" s="4"/>
      <c r="AJ152" s="4"/>
      <c r="AK152" s="4"/>
      <c r="AL152" s="4"/>
    </row>
    <row r="153" spans="1:38" ht="14">
      <c r="A153" s="106"/>
      <c r="B153" s="106"/>
      <c r="C153" s="70"/>
      <c r="D153" s="155" t="s">
        <v>521</v>
      </c>
      <c r="E153" s="176" t="s">
        <v>522</v>
      </c>
      <c r="F153" s="157" t="str">
        <f ca="1">IFERROR(__xludf.DUMMYFUNCTION("INDEX(SPLIT(E153,""/""),,COUNTA(SPLIT(E153,""/"")))"),"1744816128583479704")</f>
        <v>1744816128583479704</v>
      </c>
      <c r="G153" s="171" t="s">
        <v>505</v>
      </c>
      <c r="H153" s="106" t="s">
        <v>80</v>
      </c>
      <c r="I153" s="106"/>
      <c r="J153" s="106"/>
      <c r="K153" s="106"/>
      <c r="L153" s="159"/>
      <c r="M153" s="76"/>
      <c r="N153" s="76"/>
      <c r="O153" s="76"/>
      <c r="P153" s="76"/>
      <c r="Q153" s="76"/>
      <c r="R153" s="76"/>
      <c r="S153" s="76"/>
      <c r="T153" s="76"/>
      <c r="U153" s="76"/>
      <c r="V153" s="162"/>
      <c r="W153" s="159"/>
      <c r="X153" s="76"/>
      <c r="Y153" s="76"/>
      <c r="Z153" s="76"/>
      <c r="AA153" s="76"/>
      <c r="AB153" s="76"/>
      <c r="AC153" s="76"/>
      <c r="AD153" s="76"/>
      <c r="AE153" s="76"/>
      <c r="AF153" s="76"/>
      <c r="AG153" s="76"/>
      <c r="AH153" s="4"/>
      <c r="AI153" s="4"/>
      <c r="AJ153" s="4"/>
      <c r="AK153" s="4"/>
      <c r="AL153" s="4"/>
    </row>
    <row r="154" spans="1:38" ht="14">
      <c r="A154" s="106"/>
      <c r="B154" s="106"/>
      <c r="C154" s="70"/>
      <c r="D154" s="155" t="s">
        <v>523</v>
      </c>
      <c r="E154" s="176" t="s">
        <v>524</v>
      </c>
      <c r="F154" s="157" t="str">
        <f ca="1">IFERROR(__xludf.DUMMYFUNCTION("INDEX(SPLIT(E154,""/""),,COUNTA(SPLIT(E154,""/"")))"),"1711831307351724166")</f>
        <v>1711831307351724166</v>
      </c>
      <c r="G154" s="171" t="s">
        <v>396</v>
      </c>
      <c r="H154" s="106" t="s">
        <v>80</v>
      </c>
      <c r="I154" s="106"/>
      <c r="J154" s="106"/>
      <c r="K154" s="106"/>
      <c r="L154" s="159"/>
      <c r="M154" s="76"/>
      <c r="N154" s="76"/>
      <c r="O154" s="76"/>
      <c r="P154" s="76"/>
      <c r="Q154" s="76"/>
      <c r="R154" s="76"/>
      <c r="S154" s="76"/>
      <c r="T154" s="76"/>
      <c r="U154" s="76"/>
      <c r="V154" s="162"/>
      <c r="W154" s="159"/>
      <c r="X154" s="76"/>
      <c r="Y154" s="76"/>
      <c r="Z154" s="76"/>
      <c r="AA154" s="76"/>
      <c r="AB154" s="76"/>
      <c r="AC154" s="76"/>
      <c r="AD154" s="76"/>
      <c r="AE154" s="76"/>
      <c r="AF154" s="76"/>
      <c r="AG154" s="76"/>
      <c r="AH154" s="4"/>
      <c r="AI154" s="4"/>
      <c r="AJ154" s="4"/>
      <c r="AK154" s="4"/>
      <c r="AL154" s="4"/>
    </row>
    <row r="155" spans="1:38" ht="14">
      <c r="A155" s="106"/>
      <c r="B155" s="106"/>
      <c r="C155" s="70"/>
      <c r="D155" s="155" t="s">
        <v>525</v>
      </c>
      <c r="E155" s="176" t="s">
        <v>526</v>
      </c>
      <c r="F155" s="157" t="str">
        <f ca="1">IFERROR(__xludf.DUMMYFUNCTION("INDEX(SPLIT(E155,""/""),,COUNTA(SPLIT(E155,""/"")))"),"1711329534786654668")</f>
        <v>1711329534786654668</v>
      </c>
      <c r="G155" s="171" t="s">
        <v>396</v>
      </c>
      <c r="H155" s="106" t="s">
        <v>80</v>
      </c>
      <c r="I155" s="106"/>
      <c r="J155" s="106"/>
      <c r="K155" s="106"/>
      <c r="L155" s="159"/>
      <c r="M155" s="76"/>
      <c r="N155" s="76"/>
      <c r="O155" s="76"/>
      <c r="P155" s="76"/>
      <c r="Q155" s="76"/>
      <c r="R155" s="76"/>
      <c r="S155" s="76"/>
      <c r="T155" s="76"/>
      <c r="U155" s="76"/>
      <c r="V155" s="162"/>
      <c r="W155" s="159"/>
      <c r="X155" s="76"/>
      <c r="Y155" s="76"/>
      <c r="Z155" s="76"/>
      <c r="AA155" s="76"/>
      <c r="AB155" s="76"/>
      <c r="AC155" s="76"/>
      <c r="AD155" s="76"/>
      <c r="AE155" s="76"/>
      <c r="AF155" s="76"/>
      <c r="AG155" s="76"/>
      <c r="AH155" s="4"/>
      <c r="AI155" s="4"/>
      <c r="AJ155" s="4"/>
      <c r="AK155" s="4"/>
      <c r="AL155" s="4"/>
    </row>
    <row r="156" spans="1:38" ht="14">
      <c r="A156" s="106"/>
      <c r="B156" s="106"/>
      <c r="C156" s="70"/>
      <c r="D156" s="155" t="s">
        <v>527</v>
      </c>
      <c r="E156" s="176" t="s">
        <v>528</v>
      </c>
      <c r="F156" s="157" t="str">
        <f ca="1">IFERROR(__xludf.DUMMYFUNCTION("INDEX(SPLIT(E156,""/""),,COUNTA(SPLIT(E156,""/"")))"),"1710550777037488240")</f>
        <v>1710550777037488240</v>
      </c>
      <c r="G156" s="171" t="s">
        <v>399</v>
      </c>
      <c r="H156" s="106" t="s">
        <v>80</v>
      </c>
      <c r="I156" s="106"/>
      <c r="J156" s="106"/>
      <c r="K156" s="106"/>
      <c r="L156" s="159"/>
      <c r="M156" s="76"/>
      <c r="N156" s="76"/>
      <c r="O156" s="76"/>
      <c r="P156" s="76"/>
      <c r="Q156" s="76"/>
      <c r="R156" s="76"/>
      <c r="S156" s="76"/>
      <c r="T156" s="76"/>
      <c r="U156" s="76"/>
      <c r="V156" s="162"/>
      <c r="W156" s="159"/>
      <c r="X156" s="76"/>
      <c r="Y156" s="76"/>
      <c r="Z156" s="76"/>
      <c r="AA156" s="76"/>
      <c r="AB156" s="76"/>
      <c r="AC156" s="76"/>
      <c r="AD156" s="76"/>
      <c r="AE156" s="76"/>
      <c r="AF156" s="76"/>
      <c r="AG156" s="76"/>
      <c r="AH156" s="4"/>
      <c r="AI156" s="4"/>
      <c r="AJ156" s="4"/>
      <c r="AK156" s="4"/>
      <c r="AL156" s="4"/>
    </row>
    <row r="157" spans="1:38" ht="14">
      <c r="A157" s="106"/>
      <c r="B157" s="106"/>
      <c r="C157" s="70"/>
      <c r="D157" s="155" t="s">
        <v>529</v>
      </c>
      <c r="E157" s="176" t="s">
        <v>530</v>
      </c>
      <c r="F157" s="157" t="str">
        <f ca="1">IFERROR(__xludf.DUMMYFUNCTION("INDEX(SPLIT(E157,""/""),,COUNTA(SPLIT(E157,""/"")))"),"1743272912914685982")</f>
        <v>1743272912914685982</v>
      </c>
      <c r="G157" s="70" t="s">
        <v>531</v>
      </c>
      <c r="H157" s="106" t="s">
        <v>80</v>
      </c>
      <c r="I157" s="106"/>
      <c r="J157" s="106"/>
      <c r="K157" s="106"/>
      <c r="L157" s="159"/>
      <c r="M157" s="76"/>
      <c r="N157" s="76"/>
      <c r="O157" s="76"/>
      <c r="P157" s="76"/>
      <c r="Q157" s="76"/>
      <c r="R157" s="76"/>
      <c r="S157" s="76"/>
      <c r="T157" s="76"/>
      <c r="U157" s="76"/>
      <c r="V157" s="162"/>
      <c r="W157" s="159"/>
      <c r="X157" s="76"/>
      <c r="Y157" s="76"/>
      <c r="Z157" s="76"/>
      <c r="AA157" s="76"/>
      <c r="AB157" s="76"/>
      <c r="AC157" s="76"/>
      <c r="AD157" s="76"/>
      <c r="AE157" s="76"/>
      <c r="AF157" s="76"/>
      <c r="AG157" s="76"/>
      <c r="AH157" s="4"/>
      <c r="AI157" s="4"/>
      <c r="AJ157" s="4"/>
      <c r="AK157" s="4"/>
      <c r="AL157" s="4"/>
    </row>
    <row r="158" spans="1:38" ht="14">
      <c r="A158" s="106"/>
      <c r="B158" s="106"/>
      <c r="C158" s="70"/>
      <c r="D158" s="155" t="s">
        <v>532</v>
      </c>
      <c r="E158" s="176" t="s">
        <v>533</v>
      </c>
      <c r="F158" s="157" t="str">
        <f ca="1">IFERROR(__xludf.DUMMYFUNCTION("INDEX(SPLIT(E158,""/""),,COUNTA(SPLIT(E158,""/"")))"),"1744032110803919272")</f>
        <v>1744032110803919272</v>
      </c>
      <c r="G158" s="70" t="s">
        <v>534</v>
      </c>
      <c r="H158" s="106" t="s">
        <v>80</v>
      </c>
      <c r="I158" s="106"/>
      <c r="J158" s="106"/>
      <c r="K158" s="106"/>
      <c r="L158" s="159"/>
      <c r="M158" s="76"/>
      <c r="N158" s="76"/>
      <c r="O158" s="76"/>
      <c r="P158" s="76"/>
      <c r="Q158" s="76"/>
      <c r="R158" s="76"/>
      <c r="S158" s="76"/>
      <c r="T158" s="76"/>
      <c r="U158" s="76"/>
      <c r="V158" s="162"/>
      <c r="W158" s="159"/>
      <c r="X158" s="76"/>
      <c r="Y158" s="76"/>
      <c r="Z158" s="76"/>
      <c r="AA158" s="76"/>
      <c r="AB158" s="76"/>
      <c r="AC158" s="76"/>
      <c r="AD158" s="76"/>
      <c r="AE158" s="76"/>
      <c r="AF158" s="76"/>
      <c r="AG158" s="76"/>
      <c r="AH158" s="4"/>
      <c r="AI158" s="4"/>
      <c r="AJ158" s="4"/>
      <c r="AK158" s="4"/>
      <c r="AL158" s="4"/>
    </row>
    <row r="159" spans="1:38" ht="14">
      <c r="A159" s="106"/>
      <c r="B159" s="106"/>
      <c r="C159" s="70"/>
      <c r="D159" s="155" t="s">
        <v>535</v>
      </c>
      <c r="E159" s="174" t="s">
        <v>536</v>
      </c>
      <c r="F159" s="157" t="str">
        <f ca="1">IFERROR(__xludf.DUMMYFUNCTION("INDEX(SPLIT(E159,""/""),,COUNTA(SPLIT(E159,""/"")))"),"1743658475110969829")</f>
        <v>1743658475110969829</v>
      </c>
      <c r="G159" s="70" t="s">
        <v>537</v>
      </c>
      <c r="H159" s="106" t="s">
        <v>80</v>
      </c>
      <c r="I159" s="106"/>
      <c r="J159" s="106"/>
      <c r="K159" s="106"/>
      <c r="L159" s="159"/>
      <c r="M159" s="76"/>
      <c r="N159" s="76"/>
      <c r="O159" s="76"/>
      <c r="P159" s="76"/>
      <c r="Q159" s="76"/>
      <c r="R159" s="76"/>
      <c r="S159" s="76"/>
      <c r="T159" s="76"/>
      <c r="U159" s="76"/>
      <c r="V159" s="162"/>
      <c r="W159" s="159"/>
      <c r="X159" s="76"/>
      <c r="Y159" s="76"/>
      <c r="Z159" s="76"/>
      <c r="AA159" s="76"/>
      <c r="AB159" s="76"/>
      <c r="AC159" s="76"/>
      <c r="AD159" s="76"/>
      <c r="AE159" s="76"/>
      <c r="AF159" s="76"/>
      <c r="AG159" s="76"/>
      <c r="AH159" s="4"/>
      <c r="AI159" s="4"/>
      <c r="AJ159" s="4"/>
      <c r="AK159" s="4"/>
      <c r="AL159" s="4"/>
    </row>
    <row r="160" spans="1:38" ht="14">
      <c r="A160" s="106"/>
      <c r="B160" s="106"/>
      <c r="C160" s="70"/>
      <c r="D160" s="155" t="s">
        <v>538</v>
      </c>
      <c r="E160" s="176" t="s">
        <v>539</v>
      </c>
      <c r="F160" s="157" t="str">
        <f ca="1">IFERROR(__xludf.DUMMYFUNCTION("INDEX(SPLIT(E160,""/""),,COUNTA(SPLIT(E160,""/"")))"),"1744611681056051268")</f>
        <v>1744611681056051268</v>
      </c>
      <c r="G160" s="171" t="s">
        <v>505</v>
      </c>
      <c r="H160" s="106" t="s">
        <v>80</v>
      </c>
      <c r="I160" s="106"/>
      <c r="J160" s="106"/>
      <c r="K160" s="106"/>
      <c r="L160" s="159"/>
      <c r="M160" s="76"/>
      <c r="N160" s="76"/>
      <c r="O160" s="76"/>
      <c r="P160" s="76"/>
      <c r="Q160" s="76"/>
      <c r="R160" s="76"/>
      <c r="S160" s="76"/>
      <c r="T160" s="76"/>
      <c r="U160" s="76"/>
      <c r="V160" s="162"/>
      <c r="W160" s="159"/>
      <c r="X160" s="76"/>
      <c r="Y160" s="76"/>
      <c r="Z160" s="76"/>
      <c r="AA160" s="76"/>
      <c r="AB160" s="76"/>
      <c r="AC160" s="76"/>
      <c r="AD160" s="76"/>
      <c r="AE160" s="76"/>
      <c r="AF160" s="76"/>
      <c r="AG160" s="76"/>
      <c r="AH160" s="4"/>
      <c r="AI160" s="4"/>
      <c r="AJ160" s="4"/>
      <c r="AK160" s="4"/>
      <c r="AL160" s="4"/>
    </row>
    <row r="161" spans="1:38" ht="14">
      <c r="A161" s="106"/>
      <c r="B161" s="106"/>
      <c r="C161" s="70"/>
      <c r="D161" s="155" t="s">
        <v>540</v>
      </c>
      <c r="E161" s="176" t="s">
        <v>541</v>
      </c>
      <c r="F161" s="157" t="str">
        <f ca="1">IFERROR(__xludf.DUMMYFUNCTION("INDEX(SPLIT(E161,""/""),,COUNTA(SPLIT(E161,""/"")))"),"1744450386126094710")</f>
        <v>1744450386126094710</v>
      </c>
      <c r="G161" s="171" t="s">
        <v>505</v>
      </c>
      <c r="H161" s="106" t="s">
        <v>80</v>
      </c>
      <c r="I161" s="106"/>
      <c r="J161" s="106"/>
      <c r="K161" s="106"/>
      <c r="L161" s="159"/>
      <c r="M161" s="76"/>
      <c r="N161" s="76"/>
      <c r="O161" s="76"/>
      <c r="P161" s="76"/>
      <c r="Q161" s="76"/>
      <c r="R161" s="76"/>
      <c r="S161" s="76"/>
      <c r="T161" s="76"/>
      <c r="U161" s="76"/>
      <c r="V161" s="162"/>
      <c r="W161" s="159"/>
      <c r="X161" s="76"/>
      <c r="Y161" s="76"/>
      <c r="Z161" s="76"/>
      <c r="AA161" s="76"/>
      <c r="AB161" s="76"/>
      <c r="AC161" s="76"/>
      <c r="AD161" s="76"/>
      <c r="AE161" s="76"/>
      <c r="AF161" s="76"/>
      <c r="AG161" s="76"/>
      <c r="AH161" s="4"/>
      <c r="AI161" s="4"/>
      <c r="AJ161" s="4"/>
      <c r="AK161" s="4"/>
      <c r="AL161" s="4"/>
    </row>
    <row r="162" spans="1:38" ht="14">
      <c r="A162" s="106"/>
      <c r="B162" s="106"/>
      <c r="C162" s="70"/>
      <c r="D162" s="155" t="s">
        <v>542</v>
      </c>
      <c r="E162" s="174" t="s">
        <v>543</v>
      </c>
      <c r="F162" s="157" t="str">
        <f ca="1">IFERROR(__xludf.DUMMYFUNCTION("INDEX(SPLIT(E162,""/""),,COUNTA(SPLIT(E162,""/"")))"),"1744446661307314590")</f>
        <v>1744446661307314590</v>
      </c>
      <c r="G162" s="171" t="s">
        <v>505</v>
      </c>
      <c r="H162" s="106" t="s">
        <v>80</v>
      </c>
      <c r="I162" s="106"/>
      <c r="J162" s="106"/>
      <c r="K162" s="106"/>
      <c r="L162" s="159"/>
      <c r="M162" s="76"/>
      <c r="N162" s="76"/>
      <c r="O162" s="76"/>
      <c r="P162" s="76"/>
      <c r="Q162" s="76"/>
      <c r="R162" s="76"/>
      <c r="S162" s="76"/>
      <c r="T162" s="76"/>
      <c r="U162" s="76"/>
      <c r="V162" s="162"/>
      <c r="W162" s="159"/>
      <c r="X162" s="76"/>
      <c r="Y162" s="76"/>
      <c r="Z162" s="76"/>
      <c r="AA162" s="76"/>
      <c r="AB162" s="76"/>
      <c r="AC162" s="76"/>
      <c r="AD162" s="76"/>
      <c r="AE162" s="76"/>
      <c r="AF162" s="76"/>
      <c r="AG162" s="76"/>
      <c r="AH162" s="4"/>
      <c r="AI162" s="4"/>
      <c r="AJ162" s="4"/>
      <c r="AK162" s="4"/>
      <c r="AL162" s="4"/>
    </row>
    <row r="163" spans="1:38" ht="14">
      <c r="A163" s="106"/>
      <c r="B163" s="106"/>
      <c r="C163" s="70"/>
      <c r="D163" s="155" t="s">
        <v>544</v>
      </c>
      <c r="E163" s="174" t="s">
        <v>545</v>
      </c>
      <c r="F163" s="157" t="str">
        <f ca="1">IFERROR(__xludf.DUMMYFUNCTION("INDEX(SPLIT(E163,""/""),,COUNTA(SPLIT(E163,""/"")))"),"1741532032323277222")</f>
        <v>1741532032323277222</v>
      </c>
      <c r="G163" s="171" t="s">
        <v>546</v>
      </c>
      <c r="H163" s="106" t="s">
        <v>80</v>
      </c>
      <c r="I163" s="106"/>
      <c r="J163" s="106"/>
      <c r="K163" s="106"/>
      <c r="L163" s="159"/>
      <c r="M163" s="76"/>
      <c r="N163" s="76"/>
      <c r="O163" s="76"/>
      <c r="P163" s="76"/>
      <c r="Q163" s="76"/>
      <c r="R163" s="76"/>
      <c r="S163" s="76"/>
      <c r="T163" s="76"/>
      <c r="U163" s="76"/>
      <c r="V163" s="162"/>
      <c r="W163" s="159"/>
      <c r="X163" s="76"/>
      <c r="Y163" s="76"/>
      <c r="Z163" s="76"/>
      <c r="AA163" s="76"/>
      <c r="AB163" s="76"/>
      <c r="AC163" s="76"/>
      <c r="AD163" s="76"/>
      <c r="AE163" s="76"/>
      <c r="AF163" s="76"/>
      <c r="AG163" s="76"/>
      <c r="AH163" s="4"/>
      <c r="AI163" s="4"/>
      <c r="AJ163" s="4"/>
      <c r="AK163" s="4"/>
      <c r="AL163" s="4"/>
    </row>
    <row r="164" spans="1:38" ht="14">
      <c r="A164" s="106"/>
      <c r="B164" s="106"/>
      <c r="C164" s="70"/>
      <c r="D164" s="155" t="s">
        <v>547</v>
      </c>
      <c r="E164" s="174" t="s">
        <v>548</v>
      </c>
      <c r="F164" s="157" t="str">
        <f ca="1">IFERROR(__xludf.DUMMYFUNCTION("INDEX(SPLIT(E164,""/""),,COUNTA(SPLIT(E164,""/"")))"),"1744283969011544397")</f>
        <v>1744283969011544397</v>
      </c>
      <c r="G164" s="171" t="s">
        <v>505</v>
      </c>
      <c r="H164" s="106" t="s">
        <v>80</v>
      </c>
      <c r="I164" s="106"/>
      <c r="J164" s="106"/>
      <c r="K164" s="106"/>
      <c r="L164" s="159"/>
      <c r="M164" s="76"/>
      <c r="N164" s="76"/>
      <c r="O164" s="76"/>
      <c r="P164" s="76"/>
      <c r="Q164" s="76"/>
      <c r="R164" s="76"/>
      <c r="S164" s="76"/>
      <c r="T164" s="76"/>
      <c r="U164" s="76"/>
      <c r="V164" s="162"/>
      <c r="W164" s="159"/>
      <c r="X164" s="76"/>
      <c r="Y164" s="76"/>
      <c r="Z164" s="76"/>
      <c r="AA164" s="76"/>
      <c r="AB164" s="76"/>
      <c r="AC164" s="76"/>
      <c r="AD164" s="76"/>
      <c r="AE164" s="76"/>
      <c r="AF164" s="76"/>
      <c r="AG164" s="76"/>
      <c r="AH164" s="4"/>
      <c r="AI164" s="4"/>
      <c r="AJ164" s="4"/>
      <c r="AK164" s="4"/>
      <c r="AL164" s="4"/>
    </row>
    <row r="165" spans="1:38" ht="14">
      <c r="A165" s="106"/>
      <c r="B165" s="106"/>
      <c r="C165" s="70"/>
      <c r="D165" s="155" t="s">
        <v>549</v>
      </c>
      <c r="E165" s="174" t="s">
        <v>550</v>
      </c>
      <c r="F165" s="157" t="str">
        <f ca="1">IFERROR(__xludf.DUMMYFUNCTION("INDEX(SPLIT(E165,""/""),,COUNTA(SPLIT(E165,""/"")))"),"1742755378603909525")</f>
        <v>1742755378603909525</v>
      </c>
      <c r="G165" s="70" t="s">
        <v>422</v>
      </c>
      <c r="H165" s="106" t="s">
        <v>80</v>
      </c>
      <c r="I165" s="106"/>
      <c r="J165" s="106"/>
      <c r="K165" s="106"/>
      <c r="L165" s="159"/>
      <c r="M165" s="76"/>
      <c r="N165" s="76"/>
      <c r="O165" s="76"/>
      <c r="P165" s="76"/>
      <c r="Q165" s="76"/>
      <c r="R165" s="76"/>
      <c r="S165" s="76"/>
      <c r="T165" s="76"/>
      <c r="U165" s="76"/>
      <c r="V165" s="162"/>
      <c r="W165" s="159"/>
      <c r="X165" s="76"/>
      <c r="Y165" s="76"/>
      <c r="Z165" s="76"/>
      <c r="AA165" s="76"/>
      <c r="AB165" s="76"/>
      <c r="AC165" s="76"/>
      <c r="AD165" s="76"/>
      <c r="AE165" s="76"/>
      <c r="AF165" s="76"/>
      <c r="AG165" s="76"/>
      <c r="AH165" s="4"/>
      <c r="AI165" s="4"/>
      <c r="AJ165" s="4"/>
      <c r="AK165" s="4"/>
      <c r="AL165" s="4"/>
    </row>
    <row r="166" spans="1:38" ht="14">
      <c r="A166" s="106"/>
      <c r="B166" s="106"/>
      <c r="C166" s="70"/>
      <c r="D166" s="155" t="s">
        <v>551</v>
      </c>
      <c r="E166" s="176" t="s">
        <v>552</v>
      </c>
      <c r="F166" s="157" t="str">
        <f ca="1">IFERROR(__xludf.DUMMYFUNCTION("INDEX(SPLIT(E166,""/""),,COUNTA(SPLIT(E166,""/"")))"),"1744265184137372081")</f>
        <v>1744265184137372081</v>
      </c>
      <c r="G166" s="171" t="s">
        <v>505</v>
      </c>
      <c r="H166" s="106" t="s">
        <v>80</v>
      </c>
      <c r="I166" s="106"/>
      <c r="J166" s="106"/>
      <c r="K166" s="106"/>
      <c r="L166" s="159"/>
      <c r="M166" s="76"/>
      <c r="N166" s="76"/>
      <c r="O166" s="76"/>
      <c r="P166" s="76"/>
      <c r="Q166" s="76"/>
      <c r="R166" s="76"/>
      <c r="S166" s="76"/>
      <c r="T166" s="76"/>
      <c r="U166" s="76"/>
      <c r="V166" s="162"/>
      <c r="W166" s="159"/>
      <c r="X166" s="76"/>
      <c r="Y166" s="76"/>
      <c r="Z166" s="76"/>
      <c r="AA166" s="76"/>
      <c r="AB166" s="76"/>
      <c r="AC166" s="76"/>
      <c r="AD166" s="76"/>
      <c r="AE166" s="76"/>
      <c r="AF166" s="76"/>
      <c r="AG166" s="76"/>
      <c r="AH166" s="4"/>
      <c r="AI166" s="4"/>
      <c r="AJ166" s="4"/>
      <c r="AK166" s="4"/>
      <c r="AL166" s="4"/>
    </row>
    <row r="167" spans="1:38" ht="14">
      <c r="A167" s="106"/>
      <c r="B167" s="106"/>
      <c r="C167" s="70"/>
      <c r="D167" s="155" t="s">
        <v>553</v>
      </c>
      <c r="E167" s="176" t="s">
        <v>554</v>
      </c>
      <c r="F167" s="157" t="str">
        <f ca="1">IFERROR(__xludf.DUMMYFUNCTION("INDEX(SPLIT(E167,""/""),,COUNTA(SPLIT(E167,""/"")))"),"1743228213579391479")</f>
        <v>1743228213579391479</v>
      </c>
      <c r="G167" s="171" t="s">
        <v>226</v>
      </c>
      <c r="H167" s="106" t="s">
        <v>80</v>
      </c>
      <c r="I167" s="106"/>
      <c r="J167" s="106"/>
      <c r="K167" s="106"/>
      <c r="L167" s="159"/>
      <c r="M167" s="76"/>
      <c r="N167" s="76"/>
      <c r="O167" s="76"/>
      <c r="P167" s="76"/>
      <c r="Q167" s="76"/>
      <c r="R167" s="76"/>
      <c r="S167" s="76"/>
      <c r="T167" s="76"/>
      <c r="U167" s="76"/>
      <c r="V167" s="162"/>
      <c r="W167" s="159"/>
      <c r="X167" s="76"/>
      <c r="Y167" s="76"/>
      <c r="Z167" s="76"/>
      <c r="AA167" s="76"/>
      <c r="AB167" s="76"/>
      <c r="AC167" s="76"/>
      <c r="AD167" s="76"/>
      <c r="AE167" s="76"/>
      <c r="AF167" s="76"/>
      <c r="AG167" s="76"/>
      <c r="AH167" s="4"/>
      <c r="AI167" s="4"/>
      <c r="AJ167" s="4"/>
      <c r="AK167" s="4"/>
      <c r="AL167" s="4"/>
    </row>
    <row r="168" spans="1:38" ht="14">
      <c r="A168" s="106"/>
      <c r="B168" s="106"/>
      <c r="C168" s="70"/>
      <c r="D168" s="155" t="s">
        <v>555</v>
      </c>
      <c r="E168" s="176" t="s">
        <v>556</v>
      </c>
      <c r="F168" s="157" t="str">
        <f ca="1">IFERROR(__xludf.DUMMYFUNCTION("INDEX(SPLIT(E168,""/""),,COUNTA(SPLIT(E168,""/"")))"),"1744257511778119704")</f>
        <v>1744257511778119704</v>
      </c>
      <c r="G168" s="171" t="s">
        <v>505</v>
      </c>
      <c r="H168" s="106" t="s">
        <v>80</v>
      </c>
      <c r="I168" s="106"/>
      <c r="J168" s="106"/>
      <c r="K168" s="106"/>
      <c r="L168" s="159"/>
      <c r="M168" s="76"/>
      <c r="N168" s="76"/>
      <c r="O168" s="76"/>
      <c r="P168" s="76"/>
      <c r="Q168" s="76"/>
      <c r="R168" s="76"/>
      <c r="S168" s="76"/>
      <c r="T168" s="76"/>
      <c r="U168" s="76"/>
      <c r="V168" s="162"/>
      <c r="W168" s="159"/>
      <c r="X168" s="76"/>
      <c r="Y168" s="76"/>
      <c r="Z168" s="76"/>
      <c r="AA168" s="76"/>
      <c r="AB168" s="76"/>
      <c r="AC168" s="76"/>
      <c r="AD168" s="76"/>
      <c r="AE168" s="76"/>
      <c r="AF168" s="76"/>
      <c r="AG168" s="76"/>
      <c r="AH168" s="4"/>
      <c r="AI168" s="4"/>
      <c r="AJ168" s="4"/>
      <c r="AK168" s="4"/>
      <c r="AL168" s="4"/>
    </row>
    <row r="169" spans="1:38" ht="14">
      <c r="A169" s="106"/>
      <c r="B169" s="106"/>
      <c r="C169" s="70"/>
      <c r="D169" s="155" t="s">
        <v>557</v>
      </c>
      <c r="E169" s="174" t="s">
        <v>558</v>
      </c>
      <c r="F169" s="157" t="str">
        <f ca="1">IFERROR(__xludf.DUMMYFUNCTION("INDEX(SPLIT(E169,""/""),,COUNTA(SPLIT(E169,""/"")))"),"1742880753992536272")</f>
        <v>1742880753992536272</v>
      </c>
      <c r="G169" s="70" t="s">
        <v>559</v>
      </c>
      <c r="H169" s="106" t="s">
        <v>80</v>
      </c>
      <c r="I169" s="106"/>
      <c r="J169" s="106"/>
      <c r="K169" s="106"/>
      <c r="L169" s="159"/>
      <c r="M169" s="76"/>
      <c r="N169" s="76"/>
      <c r="O169" s="76"/>
      <c r="P169" s="76"/>
      <c r="Q169" s="76"/>
      <c r="R169" s="76"/>
      <c r="S169" s="76"/>
      <c r="T169" s="76"/>
      <c r="U169" s="76"/>
      <c r="V169" s="162"/>
      <c r="W169" s="159"/>
      <c r="X169" s="76"/>
      <c r="Y169" s="76"/>
      <c r="Z169" s="76"/>
      <c r="AA169" s="76"/>
      <c r="AB169" s="76"/>
      <c r="AC169" s="76"/>
      <c r="AD169" s="76"/>
      <c r="AE169" s="76"/>
      <c r="AF169" s="76"/>
      <c r="AG169" s="76"/>
      <c r="AH169" s="4"/>
      <c r="AI169" s="4"/>
      <c r="AJ169" s="4"/>
      <c r="AK169" s="4"/>
      <c r="AL169" s="4"/>
    </row>
    <row r="170" spans="1:38" ht="14">
      <c r="A170" s="106"/>
      <c r="B170" s="106"/>
      <c r="C170" s="70"/>
      <c r="D170" s="155" t="s">
        <v>560</v>
      </c>
      <c r="E170" s="176" t="s">
        <v>561</v>
      </c>
      <c r="F170" s="157" t="str">
        <f ca="1">IFERROR(__xludf.DUMMYFUNCTION("INDEX(SPLIT(E170,""/""),,COUNTA(SPLIT(E170,""/"")))"),"1744361364208947625")</f>
        <v>1744361364208947625</v>
      </c>
      <c r="G170" s="171" t="s">
        <v>226</v>
      </c>
      <c r="H170" s="106" t="s">
        <v>80</v>
      </c>
      <c r="I170" s="106"/>
      <c r="J170" s="106"/>
      <c r="K170" s="106"/>
      <c r="L170" s="159"/>
      <c r="M170" s="76"/>
      <c r="N170" s="76"/>
      <c r="O170" s="76"/>
      <c r="P170" s="76"/>
      <c r="Q170" s="76"/>
      <c r="R170" s="76"/>
      <c r="S170" s="76"/>
      <c r="T170" s="76"/>
      <c r="U170" s="76"/>
      <c r="V170" s="162"/>
      <c r="W170" s="159"/>
      <c r="X170" s="76"/>
      <c r="Y170" s="76"/>
      <c r="Z170" s="76"/>
      <c r="AA170" s="76"/>
      <c r="AB170" s="76"/>
      <c r="AC170" s="76"/>
      <c r="AD170" s="76"/>
      <c r="AE170" s="76"/>
      <c r="AF170" s="76"/>
      <c r="AG170" s="76"/>
      <c r="AH170" s="4"/>
      <c r="AI170" s="4"/>
      <c r="AJ170" s="4"/>
      <c r="AK170" s="4"/>
      <c r="AL170" s="4"/>
    </row>
    <row r="171" spans="1:38" ht="14">
      <c r="A171" s="106"/>
      <c r="B171" s="106"/>
      <c r="C171" s="70"/>
      <c r="D171" s="155" t="s">
        <v>562</v>
      </c>
      <c r="E171" s="176" t="s">
        <v>563</v>
      </c>
      <c r="F171" s="157" t="str">
        <f ca="1">IFERROR(__xludf.DUMMYFUNCTION("INDEX(SPLIT(E171,""/""),,COUNTA(SPLIT(E171,""/"")))"),"1743981616198750439")</f>
        <v>1743981616198750439</v>
      </c>
      <c r="G171" s="171" t="s">
        <v>226</v>
      </c>
      <c r="H171" s="106" t="s">
        <v>80</v>
      </c>
      <c r="I171" s="106"/>
      <c r="J171" s="106"/>
      <c r="K171" s="106"/>
      <c r="L171" s="159"/>
      <c r="M171" s="76"/>
      <c r="N171" s="76"/>
      <c r="O171" s="76"/>
      <c r="P171" s="76"/>
      <c r="Q171" s="76"/>
      <c r="R171" s="76"/>
      <c r="S171" s="76"/>
      <c r="T171" s="76"/>
      <c r="U171" s="76"/>
      <c r="V171" s="162"/>
      <c r="W171" s="159"/>
      <c r="X171" s="76"/>
      <c r="Y171" s="76"/>
      <c r="Z171" s="76"/>
      <c r="AA171" s="76"/>
      <c r="AB171" s="76"/>
      <c r="AC171" s="76"/>
      <c r="AD171" s="76"/>
      <c r="AE171" s="76"/>
      <c r="AF171" s="76"/>
      <c r="AG171" s="76"/>
      <c r="AH171" s="4"/>
      <c r="AI171" s="4"/>
      <c r="AJ171" s="4"/>
      <c r="AK171" s="4"/>
      <c r="AL171" s="4"/>
    </row>
    <row r="172" spans="1:38" ht="14">
      <c r="A172" s="106"/>
      <c r="B172" s="106"/>
      <c r="C172" s="70"/>
      <c r="D172" s="155" t="s">
        <v>564</v>
      </c>
      <c r="E172" s="176" t="s">
        <v>565</v>
      </c>
      <c r="F172" s="157" t="str">
        <f ca="1">IFERROR(__xludf.DUMMYFUNCTION("INDEX(SPLIT(E172,""/""),,COUNTA(SPLIT(E172,""/"")))"),"1742985407245979951")</f>
        <v>1742985407245979951</v>
      </c>
      <c r="G172" s="171" t="s">
        <v>226</v>
      </c>
      <c r="H172" s="106" t="s">
        <v>80</v>
      </c>
      <c r="I172" s="106"/>
      <c r="J172" s="106"/>
      <c r="K172" s="106"/>
      <c r="L172" s="159"/>
      <c r="M172" s="76"/>
      <c r="N172" s="76"/>
      <c r="O172" s="76"/>
      <c r="P172" s="76"/>
      <c r="Q172" s="76"/>
      <c r="R172" s="76"/>
      <c r="S172" s="76"/>
      <c r="T172" s="76"/>
      <c r="U172" s="76"/>
      <c r="V172" s="162"/>
      <c r="W172" s="159"/>
      <c r="X172" s="76"/>
      <c r="Y172" s="76"/>
      <c r="Z172" s="76"/>
      <c r="AA172" s="76"/>
      <c r="AB172" s="76"/>
      <c r="AC172" s="76"/>
      <c r="AD172" s="76"/>
      <c r="AE172" s="76"/>
      <c r="AF172" s="76"/>
      <c r="AG172" s="76"/>
      <c r="AH172" s="4"/>
      <c r="AI172" s="4"/>
      <c r="AJ172" s="4"/>
      <c r="AK172" s="4"/>
      <c r="AL172" s="4"/>
    </row>
    <row r="173" spans="1:38" ht="14">
      <c r="A173" s="106"/>
      <c r="B173" s="106"/>
      <c r="C173" s="70"/>
      <c r="D173" s="155" t="s">
        <v>566</v>
      </c>
      <c r="E173" s="174" t="s">
        <v>567</v>
      </c>
      <c r="F173" s="157" t="str">
        <f ca="1">IFERROR(__xludf.DUMMYFUNCTION("INDEX(SPLIT(E173,""/""),,COUNTA(SPLIT(E173,""/"")))"),"1742945368168452134")</f>
        <v>1742945368168452134</v>
      </c>
      <c r="G173" s="70" t="s">
        <v>537</v>
      </c>
      <c r="H173" s="106" t="s">
        <v>80</v>
      </c>
      <c r="I173" s="106"/>
      <c r="J173" s="106"/>
      <c r="K173" s="106"/>
      <c r="L173" s="159"/>
      <c r="M173" s="76"/>
      <c r="N173" s="76"/>
      <c r="O173" s="76"/>
      <c r="P173" s="76"/>
      <c r="Q173" s="76"/>
      <c r="R173" s="76"/>
      <c r="S173" s="76"/>
      <c r="T173" s="76"/>
      <c r="U173" s="76"/>
      <c r="V173" s="162"/>
      <c r="W173" s="159"/>
      <c r="X173" s="76"/>
      <c r="Y173" s="76"/>
      <c r="Z173" s="76"/>
      <c r="AA173" s="76"/>
      <c r="AB173" s="76"/>
      <c r="AC173" s="76"/>
      <c r="AD173" s="76"/>
      <c r="AE173" s="76"/>
      <c r="AF173" s="76"/>
      <c r="AG173" s="76"/>
      <c r="AH173" s="4"/>
      <c r="AI173" s="4"/>
      <c r="AJ173" s="4"/>
      <c r="AK173" s="4"/>
      <c r="AL173" s="4"/>
    </row>
    <row r="174" spans="1:38" ht="14">
      <c r="A174" s="106"/>
      <c r="B174" s="106"/>
      <c r="C174" s="70"/>
      <c r="D174" s="155" t="s">
        <v>568</v>
      </c>
      <c r="E174" s="176" t="s">
        <v>569</v>
      </c>
      <c r="F174" s="157" t="str">
        <f ca="1">IFERROR(__xludf.DUMMYFUNCTION("INDEX(SPLIT(E174,""/""),,COUNTA(SPLIT(E174,""/"")))"),"1742497910510538907")</f>
        <v>1742497910510538907</v>
      </c>
      <c r="G174" s="171" t="s">
        <v>226</v>
      </c>
      <c r="H174" s="106" t="s">
        <v>80</v>
      </c>
      <c r="I174" s="106"/>
      <c r="J174" s="106"/>
      <c r="K174" s="106"/>
      <c r="L174" s="159"/>
      <c r="M174" s="76"/>
      <c r="N174" s="76"/>
      <c r="O174" s="76"/>
      <c r="P174" s="76"/>
      <c r="Q174" s="76"/>
      <c r="R174" s="76"/>
      <c r="S174" s="76"/>
      <c r="T174" s="76"/>
      <c r="U174" s="76"/>
      <c r="V174" s="162"/>
      <c r="W174" s="159"/>
      <c r="X174" s="76"/>
      <c r="Y174" s="76"/>
      <c r="Z174" s="76"/>
      <c r="AA174" s="76"/>
      <c r="AB174" s="76"/>
      <c r="AC174" s="76"/>
      <c r="AD174" s="76"/>
      <c r="AE174" s="76"/>
      <c r="AF174" s="76"/>
      <c r="AG174" s="76"/>
      <c r="AH174" s="4"/>
      <c r="AI174" s="4"/>
      <c r="AJ174" s="4"/>
      <c r="AK174" s="4"/>
      <c r="AL174" s="4"/>
    </row>
    <row r="175" spans="1:38" ht="14">
      <c r="A175" s="106"/>
      <c r="B175" s="106"/>
      <c r="C175" s="70"/>
      <c r="D175" s="70"/>
      <c r="E175" s="176" t="s">
        <v>570</v>
      </c>
      <c r="F175" s="157" t="str">
        <f ca="1">IFERROR(__xludf.DUMMYFUNCTION("INDEX(SPLIT(E175,""/""),,COUNTA(SPLIT(E175,""/"")))"),"1742845353622118907")</f>
        <v>1742845353622118907</v>
      </c>
      <c r="G175" s="171" t="s">
        <v>226</v>
      </c>
      <c r="H175" s="106" t="s">
        <v>80</v>
      </c>
      <c r="I175" s="106"/>
      <c r="J175" s="106"/>
      <c r="K175" s="106"/>
      <c r="L175" s="159"/>
      <c r="M175" s="76"/>
      <c r="N175" s="76"/>
      <c r="O175" s="76"/>
      <c r="P175" s="76"/>
      <c r="Q175" s="76"/>
      <c r="R175" s="76"/>
      <c r="S175" s="76"/>
      <c r="T175" s="76"/>
      <c r="U175" s="76"/>
      <c r="V175" s="162"/>
      <c r="W175" s="159"/>
      <c r="X175" s="76"/>
      <c r="Y175" s="76"/>
      <c r="Z175" s="76"/>
      <c r="AA175" s="76"/>
      <c r="AB175" s="76"/>
      <c r="AC175" s="76"/>
      <c r="AD175" s="76"/>
      <c r="AE175" s="76"/>
      <c r="AF175" s="76"/>
      <c r="AG175" s="76"/>
      <c r="AH175" s="4"/>
      <c r="AI175" s="4"/>
      <c r="AJ175" s="4"/>
      <c r="AK175" s="4"/>
      <c r="AL175" s="4"/>
    </row>
    <row r="176" spans="1:38" ht="14">
      <c r="A176" s="106"/>
      <c r="B176" s="106"/>
      <c r="C176" s="70"/>
      <c r="D176" s="70"/>
      <c r="E176" s="176" t="s">
        <v>571</v>
      </c>
      <c r="F176" s="157" t="str">
        <f ca="1">IFERROR(__xludf.DUMMYFUNCTION("INDEX(SPLIT(E176,""/""),,COUNTA(SPLIT(E176,""/"")))"),"1726647206286152004")</f>
        <v>1726647206286152004</v>
      </c>
      <c r="G176" s="171" t="s">
        <v>572</v>
      </c>
      <c r="H176" s="106" t="s">
        <v>80</v>
      </c>
      <c r="I176" s="106"/>
      <c r="J176" s="106"/>
      <c r="K176" s="106"/>
      <c r="L176" s="159"/>
      <c r="M176" s="76"/>
      <c r="N176" s="76"/>
      <c r="O176" s="76"/>
      <c r="P176" s="76"/>
      <c r="Q176" s="76"/>
      <c r="R176" s="76"/>
      <c r="S176" s="76"/>
      <c r="T176" s="76"/>
      <c r="U176" s="76"/>
      <c r="V176" s="162"/>
      <c r="W176" s="159"/>
      <c r="X176" s="76"/>
      <c r="Y176" s="76"/>
      <c r="Z176" s="76"/>
      <c r="AA176" s="76"/>
      <c r="AB176" s="76"/>
      <c r="AC176" s="76"/>
      <c r="AD176" s="76"/>
      <c r="AE176" s="76"/>
      <c r="AF176" s="76"/>
      <c r="AG176" s="76"/>
      <c r="AH176" s="4"/>
      <c r="AI176" s="4"/>
      <c r="AJ176" s="4"/>
      <c r="AK176" s="4"/>
      <c r="AL176" s="4"/>
    </row>
    <row r="177" spans="1:38" ht="14">
      <c r="A177" s="106"/>
      <c r="B177" s="106"/>
      <c r="C177" s="70"/>
      <c r="D177" s="70"/>
      <c r="E177" s="176" t="s">
        <v>573</v>
      </c>
      <c r="F177" s="157" t="str">
        <f ca="1">IFERROR(__xludf.DUMMYFUNCTION("INDEX(SPLIT(E177,""/""),,COUNTA(SPLIT(E177,""/"")))"),"1742102182608945652")</f>
        <v>1742102182608945652</v>
      </c>
      <c r="G177" s="171" t="s">
        <v>226</v>
      </c>
      <c r="H177" s="106" t="s">
        <v>80</v>
      </c>
      <c r="I177" s="106"/>
      <c r="J177" s="106"/>
      <c r="K177" s="106"/>
      <c r="L177" s="159"/>
      <c r="M177" s="76"/>
      <c r="N177" s="76"/>
      <c r="O177" s="76"/>
      <c r="P177" s="76"/>
      <c r="Q177" s="76"/>
      <c r="R177" s="76"/>
      <c r="S177" s="76"/>
      <c r="T177" s="76"/>
      <c r="U177" s="76"/>
      <c r="V177" s="162"/>
      <c r="W177" s="159"/>
      <c r="X177" s="76"/>
      <c r="Y177" s="76"/>
      <c r="Z177" s="76"/>
      <c r="AA177" s="76"/>
      <c r="AB177" s="76"/>
      <c r="AC177" s="76"/>
      <c r="AD177" s="76"/>
      <c r="AE177" s="76"/>
      <c r="AF177" s="76"/>
      <c r="AG177" s="76"/>
      <c r="AH177" s="4"/>
      <c r="AI177" s="4"/>
      <c r="AJ177" s="4"/>
      <c r="AK177" s="4"/>
      <c r="AL177" s="4"/>
    </row>
    <row r="178" spans="1:38" ht="14">
      <c r="A178" s="106"/>
      <c r="B178" s="106"/>
      <c r="C178" s="70"/>
      <c r="D178" s="70"/>
      <c r="E178" s="176" t="s">
        <v>574</v>
      </c>
      <c r="F178" s="157" t="str">
        <f ca="1">IFERROR(__xludf.DUMMYFUNCTION("INDEX(SPLIT(E178,""/""),,COUNTA(SPLIT(E178,""/"")))"),"1742159236807729336")</f>
        <v>1742159236807729336</v>
      </c>
      <c r="G178" s="171" t="s">
        <v>226</v>
      </c>
      <c r="H178" s="106" t="s">
        <v>80</v>
      </c>
      <c r="I178" s="106"/>
      <c r="J178" s="106"/>
      <c r="K178" s="106"/>
      <c r="L178" s="159"/>
      <c r="M178" s="76"/>
      <c r="N178" s="76"/>
      <c r="O178" s="76"/>
      <c r="P178" s="76"/>
      <c r="Q178" s="76"/>
      <c r="R178" s="76"/>
      <c r="S178" s="76"/>
      <c r="T178" s="76"/>
      <c r="U178" s="76"/>
      <c r="V178" s="162"/>
      <c r="W178" s="159"/>
      <c r="X178" s="76"/>
      <c r="Y178" s="76"/>
      <c r="Z178" s="76"/>
      <c r="AA178" s="76"/>
      <c r="AB178" s="76"/>
      <c r="AC178" s="76"/>
      <c r="AD178" s="76"/>
      <c r="AE178" s="76"/>
      <c r="AF178" s="76"/>
      <c r="AG178" s="76"/>
      <c r="AH178" s="4"/>
      <c r="AI178" s="4"/>
      <c r="AJ178" s="4"/>
      <c r="AK178" s="4"/>
      <c r="AL178" s="4"/>
    </row>
    <row r="179" spans="1:38" ht="14">
      <c r="A179" s="106"/>
      <c r="B179" s="106"/>
      <c r="C179" s="70"/>
      <c r="D179" s="70"/>
      <c r="E179" s="176" t="s">
        <v>575</v>
      </c>
      <c r="F179" s="157" t="str">
        <f ca="1">IFERROR(__xludf.DUMMYFUNCTION("INDEX(SPLIT(E179,""/""),,COUNTA(SPLIT(E179,""/"")))"),"1741836278927065587")</f>
        <v>1741836278927065587</v>
      </c>
      <c r="G179" s="171" t="s">
        <v>226</v>
      </c>
      <c r="H179" s="106" t="s">
        <v>80</v>
      </c>
      <c r="I179" s="106"/>
      <c r="J179" s="106"/>
      <c r="K179" s="106"/>
      <c r="L179" s="159"/>
      <c r="M179" s="76"/>
      <c r="N179" s="76"/>
      <c r="O179" s="76"/>
      <c r="P179" s="76"/>
      <c r="Q179" s="76"/>
      <c r="R179" s="76"/>
      <c r="S179" s="76"/>
      <c r="T179" s="76"/>
      <c r="U179" s="76"/>
      <c r="V179" s="162"/>
      <c r="W179" s="159"/>
      <c r="X179" s="76"/>
      <c r="Y179" s="76"/>
      <c r="Z179" s="76"/>
      <c r="AA179" s="76"/>
      <c r="AB179" s="76"/>
      <c r="AC179" s="76"/>
      <c r="AD179" s="76"/>
      <c r="AE179" s="76"/>
      <c r="AF179" s="76"/>
      <c r="AG179" s="76"/>
      <c r="AH179" s="4"/>
      <c r="AI179" s="4"/>
      <c r="AJ179" s="4"/>
      <c r="AK179" s="4"/>
      <c r="AL179" s="4"/>
    </row>
    <row r="180" spans="1:38" ht="14">
      <c r="A180" s="106"/>
      <c r="B180" s="106"/>
      <c r="C180" s="70"/>
      <c r="D180" s="70"/>
      <c r="E180" s="176" t="s">
        <v>576</v>
      </c>
      <c r="F180" s="157" t="str">
        <f ca="1">IFERROR(__xludf.DUMMYFUNCTION("INDEX(SPLIT(E180,""/""),,COUNTA(SPLIT(E180,""/"")))"),"1741447925996143098")</f>
        <v>1741447925996143098</v>
      </c>
      <c r="G180" s="171" t="s">
        <v>226</v>
      </c>
      <c r="H180" s="106" t="s">
        <v>80</v>
      </c>
      <c r="I180" s="106"/>
      <c r="J180" s="106"/>
      <c r="K180" s="106"/>
      <c r="L180" s="159"/>
      <c r="M180" s="76"/>
      <c r="N180" s="76"/>
      <c r="O180" s="76"/>
      <c r="P180" s="76"/>
      <c r="Q180" s="76"/>
      <c r="R180" s="76"/>
      <c r="S180" s="76"/>
      <c r="T180" s="76"/>
      <c r="U180" s="76"/>
      <c r="V180" s="162"/>
      <c r="W180" s="159"/>
      <c r="X180" s="76"/>
      <c r="Y180" s="76"/>
      <c r="Z180" s="76"/>
      <c r="AA180" s="76"/>
      <c r="AB180" s="76"/>
      <c r="AC180" s="76"/>
      <c r="AD180" s="76"/>
      <c r="AE180" s="76"/>
      <c r="AF180" s="76"/>
      <c r="AG180" s="76"/>
      <c r="AH180" s="4"/>
      <c r="AI180" s="4"/>
      <c r="AJ180" s="4"/>
      <c r="AK180" s="4"/>
      <c r="AL180" s="4"/>
    </row>
    <row r="181" spans="1:38" ht="14">
      <c r="A181" s="106"/>
      <c r="B181" s="106"/>
      <c r="C181" s="70"/>
      <c r="D181" s="70"/>
      <c r="E181" s="176" t="s">
        <v>577</v>
      </c>
      <c r="F181" s="157" t="str">
        <f ca="1">IFERROR(__xludf.DUMMYFUNCTION("INDEX(SPLIT(E181,""/""),,COUNTA(SPLIT(E181,""/"")))"),"1740853601516601850")</f>
        <v>1740853601516601850</v>
      </c>
      <c r="G181" s="171" t="s">
        <v>226</v>
      </c>
      <c r="H181" s="106" t="s">
        <v>80</v>
      </c>
      <c r="I181" s="106"/>
      <c r="J181" s="106"/>
      <c r="K181" s="106"/>
      <c r="L181" s="159"/>
      <c r="M181" s="76"/>
      <c r="N181" s="76"/>
      <c r="O181" s="76"/>
      <c r="P181" s="76"/>
      <c r="Q181" s="76"/>
      <c r="R181" s="76"/>
      <c r="S181" s="76"/>
      <c r="T181" s="76"/>
      <c r="U181" s="76"/>
      <c r="V181" s="162"/>
      <c r="W181" s="159"/>
      <c r="X181" s="76"/>
      <c r="Y181" s="76"/>
      <c r="Z181" s="76"/>
      <c r="AA181" s="76"/>
      <c r="AB181" s="76"/>
      <c r="AC181" s="76"/>
      <c r="AD181" s="76"/>
      <c r="AE181" s="76"/>
      <c r="AF181" s="76"/>
      <c r="AG181" s="76"/>
      <c r="AH181" s="4"/>
      <c r="AI181" s="4"/>
      <c r="AJ181" s="4"/>
      <c r="AK181" s="4"/>
      <c r="AL181" s="4"/>
    </row>
    <row r="182" spans="1:38" ht="14">
      <c r="A182" s="106"/>
      <c r="B182" s="106"/>
      <c r="C182" s="70"/>
      <c r="D182" s="70"/>
      <c r="E182" s="176" t="s">
        <v>578</v>
      </c>
      <c r="F182" s="157" t="str">
        <f ca="1">IFERROR(__xludf.DUMMYFUNCTION("INDEX(SPLIT(E182,""/""),,COUNTA(SPLIT(E182,""/"")))"),"1745045539723337867")</f>
        <v>1745045539723337867</v>
      </c>
      <c r="G182" s="171" t="s">
        <v>298</v>
      </c>
      <c r="H182" s="106" t="s">
        <v>80</v>
      </c>
      <c r="I182" s="106"/>
      <c r="J182" s="106"/>
      <c r="K182" s="106"/>
      <c r="L182" s="159"/>
      <c r="M182" s="76"/>
      <c r="N182" s="76"/>
      <c r="O182" s="76"/>
      <c r="P182" s="76"/>
      <c r="Q182" s="76"/>
      <c r="R182" s="76"/>
      <c r="S182" s="76"/>
      <c r="T182" s="76"/>
      <c r="U182" s="76"/>
      <c r="V182" s="162"/>
      <c r="W182" s="159"/>
      <c r="X182" s="76"/>
      <c r="Y182" s="76"/>
      <c r="Z182" s="76"/>
      <c r="AA182" s="76"/>
      <c r="AB182" s="76"/>
      <c r="AC182" s="76"/>
      <c r="AD182" s="76"/>
      <c r="AE182" s="76"/>
      <c r="AF182" s="76"/>
      <c r="AG182" s="76"/>
      <c r="AH182" s="4"/>
      <c r="AI182" s="4"/>
      <c r="AJ182" s="4"/>
      <c r="AK182" s="4"/>
      <c r="AL182" s="4"/>
    </row>
    <row r="183" spans="1:38" ht="14">
      <c r="A183" s="106"/>
      <c r="B183" s="106"/>
      <c r="C183" s="70"/>
      <c r="D183" s="70"/>
      <c r="E183" s="176" t="s">
        <v>579</v>
      </c>
      <c r="F183" s="157" t="str">
        <f ca="1">IFERROR(__xludf.DUMMYFUNCTION("INDEX(SPLIT(E183,""/""),,COUNTA(SPLIT(E183,""/"")))"),"1717536728007717333")</f>
        <v>1717536728007717333</v>
      </c>
      <c r="G183" s="171" t="s">
        <v>580</v>
      </c>
      <c r="H183" s="106" t="s">
        <v>80</v>
      </c>
      <c r="I183" s="106"/>
      <c r="J183" s="106"/>
      <c r="K183" s="106"/>
      <c r="L183" s="159"/>
      <c r="M183" s="76"/>
      <c r="N183" s="76"/>
      <c r="O183" s="76"/>
      <c r="P183" s="76"/>
      <c r="Q183" s="76"/>
      <c r="R183" s="76"/>
      <c r="S183" s="76"/>
      <c r="T183" s="76"/>
      <c r="U183" s="76"/>
      <c r="V183" s="162"/>
      <c r="W183" s="159"/>
      <c r="X183" s="76"/>
      <c r="Y183" s="76"/>
      <c r="Z183" s="76"/>
      <c r="AA183" s="76"/>
      <c r="AB183" s="76"/>
      <c r="AC183" s="76"/>
      <c r="AD183" s="76"/>
      <c r="AE183" s="76"/>
      <c r="AF183" s="76"/>
      <c r="AG183" s="76"/>
      <c r="AH183" s="4"/>
      <c r="AI183" s="4"/>
      <c r="AJ183" s="4"/>
      <c r="AK183" s="4"/>
      <c r="AL183" s="4"/>
    </row>
    <row r="184" spans="1:38" ht="14">
      <c r="A184" s="106"/>
      <c r="B184" s="106"/>
      <c r="C184" s="70"/>
      <c r="D184" s="70"/>
      <c r="E184" s="176" t="s">
        <v>581</v>
      </c>
      <c r="F184" s="157" t="str">
        <f ca="1">IFERROR(__xludf.DUMMYFUNCTION("INDEX(SPLIT(E184,""/""),,COUNTA(SPLIT(E184,""/"")))"),"1716785530388488443")</f>
        <v>1716785530388488443</v>
      </c>
      <c r="G184" s="171" t="s">
        <v>582</v>
      </c>
      <c r="H184" s="106" t="s">
        <v>80</v>
      </c>
      <c r="I184" s="106"/>
      <c r="J184" s="106"/>
      <c r="K184" s="106"/>
      <c r="L184" s="159"/>
      <c r="M184" s="76"/>
      <c r="N184" s="76"/>
      <c r="O184" s="76"/>
      <c r="P184" s="76"/>
      <c r="Q184" s="76"/>
      <c r="R184" s="76"/>
      <c r="S184" s="76"/>
      <c r="T184" s="76"/>
      <c r="U184" s="76"/>
      <c r="V184" s="162"/>
      <c r="W184" s="159"/>
      <c r="X184" s="76"/>
      <c r="Y184" s="76"/>
      <c r="Z184" s="76"/>
      <c r="AA184" s="76"/>
      <c r="AB184" s="76"/>
      <c r="AC184" s="76"/>
      <c r="AD184" s="76"/>
      <c r="AE184" s="76"/>
      <c r="AF184" s="76"/>
      <c r="AG184" s="76"/>
      <c r="AH184" s="4"/>
      <c r="AI184" s="4"/>
      <c r="AJ184" s="4"/>
      <c r="AK184" s="4"/>
      <c r="AL184" s="4"/>
    </row>
    <row r="185" spans="1:38" ht="14">
      <c r="A185" s="106"/>
      <c r="B185" s="106"/>
      <c r="C185" s="70"/>
      <c r="D185" s="70"/>
      <c r="E185" s="176" t="s">
        <v>583</v>
      </c>
      <c r="F185" s="157" t="str">
        <f ca="1">IFERROR(__xludf.DUMMYFUNCTION("INDEX(SPLIT(E185,""/""),,COUNTA(SPLIT(E185,""/"")))"),"1744152874228314350")</f>
        <v>1744152874228314350</v>
      </c>
      <c r="G185" s="70" t="s">
        <v>584</v>
      </c>
      <c r="H185" s="106" t="s">
        <v>80</v>
      </c>
      <c r="I185" s="106"/>
      <c r="J185" s="106"/>
      <c r="K185" s="106"/>
      <c r="L185" s="159"/>
      <c r="M185" s="76"/>
      <c r="N185" s="76"/>
      <c r="O185" s="76"/>
      <c r="P185" s="76"/>
      <c r="Q185" s="76"/>
      <c r="R185" s="76"/>
      <c r="S185" s="76"/>
      <c r="T185" s="76"/>
      <c r="U185" s="76"/>
      <c r="V185" s="162"/>
      <c r="W185" s="159"/>
      <c r="X185" s="76"/>
      <c r="Y185" s="76"/>
      <c r="Z185" s="76"/>
      <c r="AA185" s="76"/>
      <c r="AB185" s="76"/>
      <c r="AC185" s="76"/>
      <c r="AD185" s="76"/>
      <c r="AE185" s="76"/>
      <c r="AF185" s="76"/>
      <c r="AG185" s="76"/>
      <c r="AH185" s="4"/>
      <c r="AI185" s="4"/>
      <c r="AJ185" s="4"/>
      <c r="AK185" s="4"/>
      <c r="AL185" s="4"/>
    </row>
    <row r="186" spans="1:38" ht="14">
      <c r="A186" s="106"/>
      <c r="B186" s="106"/>
      <c r="C186" s="70"/>
      <c r="D186" s="70"/>
      <c r="E186" s="176" t="s">
        <v>585</v>
      </c>
      <c r="F186" s="157" t="str">
        <f ca="1">IFERROR(__xludf.DUMMYFUNCTION("INDEX(SPLIT(E186,""/""),,COUNTA(SPLIT(E186,""/"")))"),"1743223527350673870")</f>
        <v>1743223527350673870</v>
      </c>
      <c r="G186" s="171" t="s">
        <v>586</v>
      </c>
      <c r="H186" s="106" t="s">
        <v>80</v>
      </c>
      <c r="I186" s="106"/>
      <c r="J186" s="106"/>
      <c r="K186" s="106"/>
      <c r="L186" s="159"/>
      <c r="M186" s="76"/>
      <c r="N186" s="76"/>
      <c r="O186" s="76"/>
      <c r="P186" s="76"/>
      <c r="Q186" s="76"/>
      <c r="R186" s="76"/>
      <c r="S186" s="76"/>
      <c r="T186" s="76"/>
      <c r="U186" s="76"/>
      <c r="V186" s="162"/>
      <c r="W186" s="159"/>
      <c r="X186" s="76"/>
      <c r="Y186" s="76"/>
      <c r="Z186" s="76"/>
      <c r="AA186" s="76"/>
      <c r="AB186" s="76"/>
      <c r="AC186" s="76"/>
      <c r="AD186" s="76"/>
      <c r="AE186" s="76"/>
      <c r="AF186" s="76"/>
      <c r="AG186" s="76"/>
      <c r="AH186" s="4"/>
      <c r="AI186" s="4"/>
      <c r="AJ186" s="4"/>
      <c r="AK186" s="4"/>
      <c r="AL186" s="4"/>
    </row>
    <row r="187" spans="1:38" ht="14">
      <c r="A187" s="106"/>
      <c r="B187" s="106"/>
      <c r="C187" s="70"/>
      <c r="D187" s="70"/>
      <c r="E187" s="176" t="s">
        <v>587</v>
      </c>
      <c r="F187" s="157" t="str">
        <f ca="1">IFERROR(__xludf.DUMMYFUNCTION("INDEX(SPLIT(E187,""/""),,COUNTA(SPLIT(E187,""/"")))"),"1712230703880982657")</f>
        <v>1712230703880982657</v>
      </c>
      <c r="G187" s="171" t="s">
        <v>588</v>
      </c>
      <c r="H187" s="106" t="s">
        <v>80</v>
      </c>
      <c r="I187" s="106"/>
      <c r="J187" s="106"/>
      <c r="K187" s="106"/>
      <c r="L187" s="159"/>
      <c r="M187" s="76"/>
      <c r="N187" s="76"/>
      <c r="O187" s="76"/>
      <c r="P187" s="76"/>
      <c r="Q187" s="76"/>
      <c r="R187" s="76"/>
      <c r="S187" s="76"/>
      <c r="T187" s="76"/>
      <c r="U187" s="76"/>
      <c r="V187" s="162"/>
      <c r="W187" s="159"/>
      <c r="X187" s="76"/>
      <c r="Y187" s="76"/>
      <c r="Z187" s="76"/>
      <c r="AA187" s="76"/>
      <c r="AB187" s="76"/>
      <c r="AC187" s="76"/>
      <c r="AD187" s="76"/>
      <c r="AE187" s="76"/>
      <c r="AF187" s="76"/>
      <c r="AG187" s="76"/>
      <c r="AH187" s="4"/>
      <c r="AI187" s="4"/>
      <c r="AJ187" s="4"/>
      <c r="AK187" s="4"/>
      <c r="AL187" s="4"/>
    </row>
    <row r="188" spans="1:38" ht="14">
      <c r="A188" s="106"/>
      <c r="B188" s="106"/>
      <c r="C188" s="70"/>
      <c r="D188" s="70"/>
      <c r="E188" s="176" t="s">
        <v>589</v>
      </c>
      <c r="F188" s="157" t="str">
        <f ca="1">IFERROR(__xludf.DUMMYFUNCTION("INDEX(SPLIT(E188,""/""),,COUNTA(SPLIT(E188,""/"")))"),"1745088959925948768")</f>
        <v>1745088959925948768</v>
      </c>
      <c r="G188" s="171" t="s">
        <v>471</v>
      </c>
      <c r="H188" s="106" t="s">
        <v>80</v>
      </c>
      <c r="I188" s="106"/>
      <c r="J188" s="106"/>
      <c r="K188" s="106"/>
      <c r="L188" s="159"/>
      <c r="M188" s="76"/>
      <c r="N188" s="76"/>
      <c r="O188" s="76"/>
      <c r="P188" s="76"/>
      <c r="Q188" s="76"/>
      <c r="R188" s="76"/>
      <c r="S188" s="76"/>
      <c r="T188" s="76"/>
      <c r="U188" s="76"/>
      <c r="V188" s="162"/>
      <c r="W188" s="159"/>
      <c r="X188" s="76"/>
      <c r="Y188" s="76"/>
      <c r="Z188" s="76"/>
      <c r="AA188" s="76"/>
      <c r="AB188" s="76"/>
      <c r="AC188" s="76"/>
      <c r="AD188" s="76"/>
      <c r="AE188" s="76"/>
      <c r="AF188" s="76"/>
      <c r="AG188" s="76"/>
      <c r="AH188" s="4"/>
      <c r="AI188" s="4"/>
      <c r="AJ188" s="4"/>
      <c r="AK188" s="4"/>
      <c r="AL188" s="4"/>
    </row>
    <row r="189" spans="1:38" ht="14">
      <c r="A189" s="106"/>
      <c r="B189" s="106"/>
      <c r="C189" s="70"/>
      <c r="D189" s="70"/>
      <c r="E189" s="176" t="s">
        <v>590</v>
      </c>
      <c r="F189" s="157" t="str">
        <f ca="1">IFERROR(__xludf.DUMMYFUNCTION("INDEX(SPLIT(E189,""/""),,COUNTA(SPLIT(E189,""/"")))"),"1745050832922456459")</f>
        <v>1745050832922456459</v>
      </c>
      <c r="G189" s="171" t="s">
        <v>427</v>
      </c>
      <c r="H189" s="106" t="s">
        <v>80</v>
      </c>
      <c r="I189" s="106"/>
      <c r="J189" s="106"/>
      <c r="K189" s="106"/>
      <c r="L189" s="159"/>
      <c r="M189" s="76"/>
      <c r="N189" s="76"/>
      <c r="O189" s="76"/>
      <c r="P189" s="76"/>
      <c r="Q189" s="76"/>
      <c r="R189" s="76"/>
      <c r="S189" s="76"/>
      <c r="T189" s="76"/>
      <c r="U189" s="76"/>
      <c r="V189" s="162"/>
      <c r="W189" s="159"/>
      <c r="X189" s="76"/>
      <c r="Y189" s="76"/>
      <c r="Z189" s="76"/>
      <c r="AA189" s="76"/>
      <c r="AB189" s="76"/>
      <c r="AC189" s="76"/>
      <c r="AD189" s="76"/>
      <c r="AE189" s="76"/>
      <c r="AF189" s="76"/>
      <c r="AG189" s="76"/>
      <c r="AH189" s="4"/>
      <c r="AI189" s="4"/>
      <c r="AJ189" s="4"/>
      <c r="AK189" s="4"/>
      <c r="AL189" s="4"/>
    </row>
    <row r="190" spans="1:38" ht="14">
      <c r="A190" s="186" t="s">
        <v>89</v>
      </c>
      <c r="B190" s="183"/>
      <c r="C190" s="187"/>
      <c r="D190" s="187"/>
      <c r="E190" s="188" t="s">
        <v>591</v>
      </c>
      <c r="F190" s="157" t="str">
        <f ca="1">IFERROR(__xludf.DUMMYFUNCTION("INDEX(SPLIT(E190,""/""),,COUNTA(SPLIT(E190,""/"")))"),"1744781756182430051")</f>
        <v>1744781756182430051</v>
      </c>
      <c r="G190" s="171" t="s">
        <v>360</v>
      </c>
      <c r="H190" s="106" t="s">
        <v>80</v>
      </c>
      <c r="I190" s="106"/>
      <c r="J190" s="106"/>
      <c r="K190" s="106"/>
      <c r="L190" s="159"/>
      <c r="M190" s="76"/>
      <c r="N190" s="76"/>
      <c r="O190" s="76"/>
      <c r="P190" s="76"/>
      <c r="Q190" s="76"/>
      <c r="R190" s="76"/>
      <c r="S190" s="76"/>
      <c r="T190" s="76"/>
      <c r="U190" s="76"/>
      <c r="V190" s="162"/>
      <c r="W190" s="159"/>
      <c r="X190" s="76"/>
      <c r="Y190" s="76"/>
      <c r="Z190" s="76"/>
      <c r="AA190" s="76"/>
      <c r="AB190" s="76"/>
      <c r="AC190" s="76"/>
      <c r="AD190" s="76"/>
      <c r="AE190" s="76"/>
      <c r="AF190" s="76"/>
      <c r="AG190" s="76"/>
      <c r="AH190" s="4"/>
      <c r="AI190" s="4"/>
      <c r="AJ190" s="4"/>
      <c r="AK190" s="4"/>
      <c r="AL190" s="4"/>
    </row>
    <row r="191" spans="1:38" ht="14">
      <c r="A191" s="106"/>
      <c r="B191" s="106"/>
      <c r="C191" s="70"/>
      <c r="D191" s="70"/>
      <c r="E191" s="174" t="s">
        <v>592</v>
      </c>
      <c r="F191" s="157" t="str">
        <f ca="1">IFERROR(__xludf.DUMMYFUNCTION("INDEX(SPLIT(E191,""/""),,COUNTA(SPLIT(E191,""/"")))"),"1744769682073350390")</f>
        <v>1744769682073350390</v>
      </c>
      <c r="G191" s="70" t="s">
        <v>593</v>
      </c>
      <c r="H191" s="106" t="s">
        <v>80</v>
      </c>
      <c r="I191" s="106"/>
      <c r="J191" s="106"/>
      <c r="K191" s="106"/>
      <c r="L191" s="159"/>
      <c r="M191" s="76"/>
      <c r="N191" s="76"/>
      <c r="O191" s="76"/>
      <c r="P191" s="76"/>
      <c r="Q191" s="76"/>
      <c r="R191" s="76"/>
      <c r="S191" s="76"/>
      <c r="T191" s="76"/>
      <c r="U191" s="76"/>
      <c r="V191" s="162"/>
      <c r="W191" s="159"/>
      <c r="X191" s="76"/>
      <c r="Y191" s="76"/>
      <c r="Z191" s="76"/>
      <c r="AA191" s="76"/>
      <c r="AB191" s="76"/>
      <c r="AC191" s="76"/>
      <c r="AD191" s="76"/>
      <c r="AE191" s="76"/>
      <c r="AF191" s="76"/>
      <c r="AG191" s="76"/>
      <c r="AH191" s="4"/>
      <c r="AI191" s="4"/>
      <c r="AJ191" s="4"/>
      <c r="AK191" s="4"/>
      <c r="AL191" s="4"/>
    </row>
    <row r="192" spans="1:38" ht="14">
      <c r="A192" s="106"/>
      <c r="B192" s="106"/>
      <c r="C192" s="70"/>
      <c r="D192" s="70"/>
      <c r="E192" s="176" t="s">
        <v>594</v>
      </c>
      <c r="F192" s="157" t="str">
        <f ca="1">IFERROR(__xludf.DUMMYFUNCTION("INDEX(SPLIT(E192,""/""),,COUNTA(SPLIT(E192,""/"")))"),"1745250680741208543")</f>
        <v>1745250680741208543</v>
      </c>
      <c r="G192" s="171" t="s">
        <v>595</v>
      </c>
      <c r="H192" s="106" t="s">
        <v>80</v>
      </c>
      <c r="I192" s="106" t="s">
        <v>70</v>
      </c>
      <c r="J192" s="106"/>
      <c r="K192" s="106"/>
      <c r="L192" s="159"/>
      <c r="M192" s="76"/>
      <c r="N192" s="76"/>
      <c r="O192" s="76"/>
      <c r="P192" s="76"/>
      <c r="Q192" s="76"/>
      <c r="R192" s="76"/>
      <c r="S192" s="76"/>
      <c r="T192" s="76"/>
      <c r="U192" s="76"/>
      <c r="V192" s="162"/>
      <c r="W192" s="159"/>
      <c r="X192" s="76"/>
      <c r="Y192" s="76"/>
      <c r="Z192" s="76"/>
      <c r="AA192" s="76"/>
      <c r="AB192" s="76"/>
      <c r="AC192" s="76"/>
      <c r="AD192" s="76"/>
      <c r="AE192" s="76"/>
      <c r="AF192" s="76"/>
      <c r="AG192" s="76"/>
      <c r="AH192" s="4"/>
      <c r="AI192" s="4"/>
      <c r="AJ192" s="4"/>
      <c r="AK192" s="4"/>
      <c r="AL192" s="4"/>
    </row>
    <row r="193" spans="1:38" ht="14">
      <c r="A193" s="106"/>
      <c r="B193" s="106"/>
      <c r="C193" s="70"/>
      <c r="D193" s="70"/>
      <c r="E193" s="176" t="s">
        <v>596</v>
      </c>
      <c r="F193" s="157" t="str">
        <f ca="1">IFERROR(__xludf.DUMMYFUNCTION("INDEX(SPLIT(E193,""/""),,COUNTA(SPLIT(E193,""/"")))"),"1745208076821504306")</f>
        <v>1745208076821504306</v>
      </c>
      <c r="G193" s="171" t="s">
        <v>597</v>
      </c>
      <c r="H193" s="106" t="s">
        <v>80</v>
      </c>
      <c r="I193" s="106"/>
      <c r="J193" s="106"/>
      <c r="K193" s="106"/>
      <c r="L193" s="159"/>
      <c r="M193" s="76"/>
      <c r="N193" s="76"/>
      <c r="O193" s="76"/>
      <c r="P193" s="76"/>
      <c r="Q193" s="76"/>
      <c r="R193" s="76"/>
      <c r="S193" s="76"/>
      <c r="T193" s="76"/>
      <c r="U193" s="76"/>
      <c r="V193" s="162"/>
      <c r="W193" s="159"/>
      <c r="X193" s="76"/>
      <c r="Y193" s="76"/>
      <c r="Z193" s="76"/>
      <c r="AA193" s="76"/>
      <c r="AB193" s="76"/>
      <c r="AC193" s="76"/>
      <c r="AD193" s="76"/>
      <c r="AE193" s="76"/>
      <c r="AF193" s="76"/>
      <c r="AG193" s="76"/>
      <c r="AH193" s="4"/>
      <c r="AI193" s="4"/>
      <c r="AJ193" s="4"/>
      <c r="AK193" s="4"/>
      <c r="AL193" s="4"/>
    </row>
    <row r="194" spans="1:38" ht="14">
      <c r="A194" s="106"/>
      <c r="B194" s="106"/>
      <c r="C194" s="70"/>
      <c r="D194" s="70"/>
      <c r="E194" s="174" t="s">
        <v>598</v>
      </c>
      <c r="F194" s="157" t="str">
        <f ca="1">IFERROR(__xludf.DUMMYFUNCTION("INDEX(SPLIT(E194,""/""),,COUNTA(SPLIT(E194,""/"")))"),"1745180580122345624")</f>
        <v>1745180580122345624</v>
      </c>
      <c r="G194" s="171" t="s">
        <v>157</v>
      </c>
      <c r="H194" s="106" t="s">
        <v>80</v>
      </c>
      <c r="I194" s="106"/>
      <c r="J194" s="106"/>
      <c r="K194" s="106"/>
      <c r="L194" s="159"/>
      <c r="M194" s="76"/>
      <c r="N194" s="76"/>
      <c r="O194" s="76"/>
      <c r="P194" s="76"/>
      <c r="Q194" s="76"/>
      <c r="R194" s="76"/>
      <c r="S194" s="76"/>
      <c r="T194" s="76"/>
      <c r="U194" s="76"/>
      <c r="V194" s="162"/>
      <c r="W194" s="159"/>
      <c r="X194" s="76"/>
      <c r="Y194" s="76"/>
      <c r="Z194" s="76"/>
      <c r="AA194" s="76"/>
      <c r="AB194" s="76"/>
      <c r="AC194" s="76"/>
      <c r="AD194" s="76"/>
      <c r="AE194" s="76"/>
      <c r="AF194" s="76"/>
      <c r="AG194" s="76"/>
      <c r="AH194" s="4"/>
      <c r="AI194" s="4"/>
      <c r="AJ194" s="4"/>
      <c r="AK194" s="4"/>
      <c r="AL194" s="4"/>
    </row>
    <row r="195" spans="1:38" ht="14">
      <c r="A195" s="106"/>
      <c r="B195" s="106"/>
      <c r="C195" s="70"/>
      <c r="D195" s="70"/>
      <c r="E195" s="176" t="s">
        <v>599</v>
      </c>
      <c r="F195" s="157" t="str">
        <f ca="1">IFERROR(__xludf.DUMMYFUNCTION("INDEX(SPLIT(E195,""/""),,COUNTA(SPLIT(E195,""/"")))"),"1743218872906346618")</f>
        <v>1743218872906346618</v>
      </c>
      <c r="G195" s="70" t="s">
        <v>600</v>
      </c>
      <c r="H195" s="106" t="s">
        <v>80</v>
      </c>
      <c r="I195" s="106"/>
      <c r="J195" s="106"/>
      <c r="K195" s="106"/>
      <c r="L195" s="159"/>
      <c r="M195" s="76"/>
      <c r="N195" s="76"/>
      <c r="O195" s="76"/>
      <c r="P195" s="76"/>
      <c r="Q195" s="76"/>
      <c r="R195" s="76"/>
      <c r="S195" s="76"/>
      <c r="T195" s="76"/>
      <c r="U195" s="76"/>
      <c r="V195" s="162"/>
      <c r="W195" s="159"/>
      <c r="X195" s="76"/>
      <c r="Y195" s="76"/>
      <c r="Z195" s="76"/>
      <c r="AA195" s="76"/>
      <c r="AB195" s="76"/>
      <c r="AC195" s="76"/>
      <c r="AD195" s="76"/>
      <c r="AE195" s="76"/>
      <c r="AF195" s="76"/>
      <c r="AG195" s="76"/>
      <c r="AH195" s="4"/>
      <c r="AI195" s="4"/>
      <c r="AJ195" s="4"/>
      <c r="AK195" s="4"/>
      <c r="AL195" s="4"/>
    </row>
    <row r="196" spans="1:38" ht="14">
      <c r="A196" s="106"/>
      <c r="B196" s="106"/>
      <c r="C196" s="70"/>
      <c r="D196" s="70"/>
      <c r="E196" s="176" t="s">
        <v>601</v>
      </c>
      <c r="F196" s="157" t="str">
        <f ca="1">IFERROR(__xludf.DUMMYFUNCTION("INDEX(SPLIT(E196,""/""),,COUNTA(SPLIT(E196,""/"")))"),"1740649237732622640")</f>
        <v>1740649237732622640</v>
      </c>
      <c r="G196" s="70" t="s">
        <v>600</v>
      </c>
      <c r="H196" s="106" t="s">
        <v>80</v>
      </c>
      <c r="I196" s="106" t="s">
        <v>70</v>
      </c>
      <c r="J196" s="106"/>
      <c r="K196" s="106"/>
      <c r="L196" s="159"/>
      <c r="M196" s="76"/>
      <c r="N196" s="76"/>
      <c r="O196" s="76"/>
      <c r="P196" s="76"/>
      <c r="Q196" s="76"/>
      <c r="R196" s="76"/>
      <c r="S196" s="76"/>
      <c r="T196" s="76"/>
      <c r="U196" s="76"/>
      <c r="V196" s="162"/>
      <c r="W196" s="159"/>
      <c r="X196" s="76"/>
      <c r="Y196" s="76"/>
      <c r="Z196" s="76"/>
      <c r="AA196" s="76"/>
      <c r="AB196" s="76"/>
      <c r="AC196" s="76"/>
      <c r="AD196" s="76"/>
      <c r="AE196" s="76"/>
      <c r="AF196" s="76"/>
      <c r="AG196" s="76"/>
      <c r="AH196" s="4"/>
      <c r="AI196" s="4"/>
      <c r="AJ196" s="4"/>
      <c r="AK196" s="4"/>
      <c r="AL196" s="4"/>
    </row>
    <row r="197" spans="1:38" ht="14">
      <c r="A197" s="106"/>
      <c r="B197" s="106"/>
      <c r="C197" s="70"/>
      <c r="D197" s="70"/>
      <c r="E197" s="176" t="s">
        <v>602</v>
      </c>
      <c r="F197" s="157" t="str">
        <f ca="1">IFERROR(__xludf.DUMMYFUNCTION("INDEX(SPLIT(E197,""/""),,COUNTA(SPLIT(E197,""/"")))"),"1737797951966036125")</f>
        <v>1737797951966036125</v>
      </c>
      <c r="G197" s="70" t="s">
        <v>600</v>
      </c>
      <c r="H197" s="106" t="s">
        <v>80</v>
      </c>
      <c r="I197" s="106" t="s">
        <v>70</v>
      </c>
      <c r="J197" s="106"/>
      <c r="K197" s="106"/>
      <c r="L197" s="159"/>
      <c r="M197" s="76"/>
      <c r="N197" s="76"/>
      <c r="O197" s="76"/>
      <c r="P197" s="76"/>
      <c r="Q197" s="76"/>
      <c r="R197" s="76"/>
      <c r="S197" s="76"/>
      <c r="T197" s="76"/>
      <c r="U197" s="76"/>
      <c r="V197" s="162"/>
      <c r="W197" s="159"/>
      <c r="X197" s="76"/>
      <c r="Y197" s="76"/>
      <c r="Z197" s="76"/>
      <c r="AA197" s="76"/>
      <c r="AB197" s="76"/>
      <c r="AC197" s="76"/>
      <c r="AD197" s="76"/>
      <c r="AE197" s="76"/>
      <c r="AF197" s="76"/>
      <c r="AG197" s="76"/>
      <c r="AH197" s="4"/>
      <c r="AI197" s="4"/>
      <c r="AJ197" s="4"/>
      <c r="AK197" s="4"/>
      <c r="AL197" s="4"/>
    </row>
    <row r="198" spans="1:38" ht="14">
      <c r="A198" s="106"/>
      <c r="B198" s="106"/>
      <c r="C198" s="70"/>
      <c r="D198" s="70"/>
      <c r="E198" s="176" t="s">
        <v>603</v>
      </c>
      <c r="F198" s="157" t="str">
        <f ca="1">IFERROR(__xludf.DUMMYFUNCTION("INDEX(SPLIT(E198,""/""),,COUNTA(SPLIT(E198,""/"")))"),"1737133840445960529")</f>
        <v>1737133840445960529</v>
      </c>
      <c r="G198" s="70" t="s">
        <v>600</v>
      </c>
      <c r="H198" s="106" t="s">
        <v>80</v>
      </c>
      <c r="I198" s="106"/>
      <c r="J198" s="106"/>
      <c r="K198" s="106"/>
      <c r="L198" s="159"/>
      <c r="M198" s="76"/>
      <c r="N198" s="76"/>
      <c r="O198" s="76"/>
      <c r="P198" s="76"/>
      <c r="Q198" s="76"/>
      <c r="R198" s="76"/>
      <c r="S198" s="76"/>
      <c r="T198" s="76"/>
      <c r="U198" s="76"/>
      <c r="V198" s="162"/>
      <c r="W198" s="159"/>
      <c r="X198" s="76"/>
      <c r="Y198" s="76"/>
      <c r="Z198" s="76"/>
      <c r="AA198" s="76"/>
      <c r="AB198" s="76"/>
      <c r="AC198" s="76"/>
      <c r="AD198" s="76"/>
      <c r="AE198" s="76"/>
      <c r="AF198" s="76"/>
      <c r="AG198" s="76"/>
      <c r="AH198" s="4"/>
      <c r="AI198" s="4"/>
      <c r="AJ198" s="4"/>
      <c r="AK198" s="4"/>
      <c r="AL198" s="4"/>
    </row>
    <row r="199" spans="1:38" ht="14">
      <c r="A199" s="106"/>
      <c r="B199" s="106"/>
      <c r="C199" s="70"/>
      <c r="D199" s="70"/>
      <c r="E199" s="176" t="s">
        <v>604</v>
      </c>
      <c r="F199" s="157" t="str">
        <f ca="1">IFERROR(__xludf.DUMMYFUNCTION("INDEX(SPLIT(E199,""/""),,COUNTA(SPLIT(E199,""/"")))"),"1736883393332162951")</f>
        <v>1736883393332162951</v>
      </c>
      <c r="G199" s="171" t="s">
        <v>605</v>
      </c>
      <c r="H199" s="106" t="s">
        <v>80</v>
      </c>
      <c r="I199" s="106"/>
      <c r="J199" s="106"/>
      <c r="K199" s="106"/>
      <c r="L199" s="159"/>
      <c r="M199" s="76"/>
      <c r="N199" s="76"/>
      <c r="O199" s="76"/>
      <c r="P199" s="76"/>
      <c r="Q199" s="76"/>
      <c r="R199" s="76"/>
      <c r="S199" s="76"/>
      <c r="T199" s="76"/>
      <c r="U199" s="76"/>
      <c r="V199" s="162"/>
      <c r="W199" s="159"/>
      <c r="X199" s="76"/>
      <c r="Y199" s="76"/>
      <c r="Z199" s="76"/>
      <c r="AA199" s="76"/>
      <c r="AB199" s="76"/>
      <c r="AC199" s="76"/>
      <c r="AD199" s="76"/>
      <c r="AE199" s="76"/>
      <c r="AF199" s="76"/>
      <c r="AG199" s="76"/>
      <c r="AH199" s="4"/>
      <c r="AI199" s="4"/>
      <c r="AJ199" s="4"/>
      <c r="AK199" s="4"/>
      <c r="AL199" s="4"/>
    </row>
    <row r="200" spans="1:38" ht="14">
      <c r="A200" s="106"/>
      <c r="B200" s="106"/>
      <c r="C200" s="70"/>
      <c r="D200" s="70"/>
      <c r="E200" s="176" t="s">
        <v>606</v>
      </c>
      <c r="F200" s="157" t="str">
        <f ca="1">IFERROR(__xludf.DUMMYFUNCTION("INDEX(SPLIT(E200,""/""),,COUNTA(SPLIT(E200,""/"")))"),"1731725754092654738")</f>
        <v>1731725754092654738</v>
      </c>
      <c r="G200" s="70" t="str">
        <f t="shared" ref="G200:G316" si="0">CONCATENATE("@",MID(E200,FIND(CHAR(160),SUBSTITUTE(E200,"/",CHAR(160),3)) + 1,FIND(CHAR(160),SUBSTITUTE(E200,"/",CHAR(160),4)) - 1 - (FIND(CHAR(160),SUBSTITUTE(E200,"/",CHAR(160),3)))))</f>
        <v>@BenDoBrown</v>
      </c>
      <c r="H200" s="106" t="s">
        <v>80</v>
      </c>
      <c r="I200" s="106" t="s">
        <v>70</v>
      </c>
      <c r="J200" s="106"/>
      <c r="K200" s="106"/>
      <c r="L200" s="159"/>
      <c r="M200" s="76"/>
      <c r="N200" s="76"/>
      <c r="O200" s="76"/>
      <c r="P200" s="76"/>
      <c r="Q200" s="76"/>
      <c r="R200" s="76"/>
      <c r="S200" s="76"/>
      <c r="T200" s="76"/>
      <c r="U200" s="76"/>
      <c r="V200" s="162"/>
      <c r="W200" s="159"/>
      <c r="X200" s="76"/>
      <c r="Y200" s="76"/>
      <c r="Z200" s="76"/>
      <c r="AA200" s="76"/>
      <c r="AB200" s="76"/>
      <c r="AC200" s="76"/>
      <c r="AD200" s="76"/>
      <c r="AE200" s="76"/>
      <c r="AF200" s="76"/>
      <c r="AG200" s="76"/>
      <c r="AH200" s="4"/>
      <c r="AI200" s="4"/>
      <c r="AJ200" s="4"/>
      <c r="AK200" s="4"/>
      <c r="AL200" s="4"/>
    </row>
    <row r="201" spans="1:38" ht="14">
      <c r="A201" s="106"/>
      <c r="B201" s="106"/>
      <c r="C201" s="70"/>
      <c r="D201" s="70"/>
      <c r="E201" s="176" t="s">
        <v>607</v>
      </c>
      <c r="F201" s="157" t="str">
        <f ca="1">IFERROR(__xludf.DUMMYFUNCTION("INDEX(SPLIT(E201,""/""),,COUNTA(SPLIT(E201,""/"")))"),"1730263013721059375")</f>
        <v>1730263013721059375</v>
      </c>
      <c r="G201" s="70" t="str">
        <f t="shared" si="0"/>
        <v>@BenDoBrown</v>
      </c>
      <c r="H201" s="106" t="s">
        <v>80</v>
      </c>
      <c r="I201" s="106" t="s">
        <v>81</v>
      </c>
      <c r="J201" s="106"/>
      <c r="K201" s="106"/>
      <c r="L201" s="159"/>
      <c r="M201" s="76"/>
      <c r="N201" s="76"/>
      <c r="O201" s="76"/>
      <c r="P201" s="76"/>
      <c r="Q201" s="76"/>
      <c r="R201" s="76"/>
      <c r="S201" s="76"/>
      <c r="T201" s="76"/>
      <c r="U201" s="76"/>
      <c r="V201" s="162"/>
      <c r="W201" s="159"/>
      <c r="X201" s="76"/>
      <c r="Y201" s="76"/>
      <c r="Z201" s="76"/>
      <c r="AA201" s="76"/>
      <c r="AB201" s="76"/>
      <c r="AC201" s="76"/>
      <c r="AD201" s="76"/>
      <c r="AE201" s="76"/>
      <c r="AF201" s="76"/>
      <c r="AG201" s="76"/>
      <c r="AH201" s="4"/>
      <c r="AI201" s="4"/>
      <c r="AJ201" s="4"/>
      <c r="AK201" s="4"/>
      <c r="AL201" s="4"/>
    </row>
    <row r="202" spans="1:38" ht="14">
      <c r="A202" s="106"/>
      <c r="B202" s="106"/>
      <c r="C202" s="70"/>
      <c r="D202" s="70"/>
      <c r="E202" s="176" t="s">
        <v>608</v>
      </c>
      <c r="F202" s="157" t="str">
        <f ca="1">IFERROR(__xludf.DUMMYFUNCTION("INDEX(SPLIT(E202,""/""),,COUNTA(SPLIT(E202,""/"")))"),"1724864270419046402")</f>
        <v>1724864270419046402</v>
      </c>
      <c r="G202" s="70" t="str">
        <f t="shared" si="0"/>
        <v>@BenDoBrown</v>
      </c>
      <c r="H202" s="106" t="s">
        <v>80</v>
      </c>
      <c r="I202" s="106" t="s">
        <v>70</v>
      </c>
      <c r="J202" s="106"/>
      <c r="K202" s="106"/>
      <c r="L202" s="159"/>
      <c r="M202" s="76"/>
      <c r="N202" s="76"/>
      <c r="O202" s="76"/>
      <c r="P202" s="76"/>
      <c r="Q202" s="76"/>
      <c r="R202" s="76"/>
      <c r="S202" s="76"/>
      <c r="T202" s="76"/>
      <c r="U202" s="76"/>
      <c r="V202" s="162"/>
      <c r="W202" s="159"/>
      <c r="X202" s="76"/>
      <c r="Y202" s="76"/>
      <c r="Z202" s="76"/>
      <c r="AA202" s="76"/>
      <c r="AB202" s="76"/>
      <c r="AC202" s="76"/>
      <c r="AD202" s="76"/>
      <c r="AE202" s="76"/>
      <c r="AF202" s="76"/>
      <c r="AG202" s="76"/>
      <c r="AH202" s="4"/>
      <c r="AI202" s="4"/>
      <c r="AJ202" s="4"/>
      <c r="AK202" s="4"/>
      <c r="AL202" s="4"/>
    </row>
    <row r="203" spans="1:38" ht="14">
      <c r="A203" s="106"/>
      <c r="B203" s="106"/>
      <c r="C203" s="70"/>
      <c r="D203" s="70"/>
      <c r="E203" s="166" t="s">
        <v>609</v>
      </c>
      <c r="F203" s="157" t="str">
        <f ca="1">IFERROR(__xludf.DUMMYFUNCTION("INDEX(SPLIT(E203,""/""),,COUNTA(SPLIT(E203,""/"")))"),"1724057216901160965")</f>
        <v>1724057216901160965</v>
      </c>
      <c r="G203" s="70" t="str">
        <f t="shared" si="0"/>
        <v>@BenDoBrown</v>
      </c>
      <c r="H203" s="106" t="s">
        <v>80</v>
      </c>
      <c r="I203" s="106"/>
      <c r="J203" s="106"/>
      <c r="K203" s="106"/>
      <c r="L203" s="159"/>
      <c r="M203" s="76"/>
      <c r="N203" s="76"/>
      <c r="O203" s="76"/>
      <c r="P203" s="76"/>
      <c r="Q203" s="76"/>
      <c r="R203" s="76"/>
      <c r="S203" s="76"/>
      <c r="T203" s="76"/>
      <c r="U203" s="76"/>
      <c r="V203" s="162"/>
      <c r="W203" s="159"/>
      <c r="X203" s="76"/>
      <c r="Y203" s="76"/>
      <c r="Z203" s="76"/>
      <c r="AA203" s="76"/>
      <c r="AB203" s="76"/>
      <c r="AC203" s="76"/>
      <c r="AD203" s="76"/>
      <c r="AE203" s="76"/>
      <c r="AF203" s="76"/>
      <c r="AG203" s="76"/>
      <c r="AH203" s="4"/>
      <c r="AI203" s="4"/>
      <c r="AJ203" s="4"/>
      <c r="AK203" s="4"/>
      <c r="AL203" s="4"/>
    </row>
    <row r="204" spans="1:38" ht="14">
      <c r="A204" s="106"/>
      <c r="B204" s="106"/>
      <c r="C204" s="70"/>
      <c r="D204" s="164"/>
      <c r="E204" s="164" t="s">
        <v>610</v>
      </c>
      <c r="F204" s="157" t="str">
        <f ca="1">IFERROR(__xludf.DUMMYFUNCTION("INDEX(SPLIT(E204,""/""),,COUNTA(SPLIT(E204,""/"")))"),"1575604348461420544")</f>
        <v>1575604348461420544</v>
      </c>
      <c r="G204" s="70" t="str">
        <f t="shared" si="0"/>
        <v>@mattckwilliams</v>
      </c>
      <c r="H204" s="106" t="s">
        <v>80</v>
      </c>
      <c r="I204" s="106"/>
      <c r="J204" s="106"/>
      <c r="K204" s="106"/>
      <c r="L204" s="159"/>
      <c r="M204" s="76"/>
      <c r="N204" s="76"/>
      <c r="O204" s="76"/>
      <c r="P204" s="76"/>
      <c r="Q204" s="76"/>
      <c r="R204" s="76"/>
      <c r="S204" s="76"/>
      <c r="T204" s="76"/>
      <c r="U204" s="76"/>
      <c r="V204" s="162"/>
      <c r="W204" s="159"/>
      <c r="X204" s="76"/>
      <c r="Y204" s="76"/>
      <c r="Z204" s="76"/>
      <c r="AA204" s="76"/>
      <c r="AB204" s="76"/>
      <c r="AC204" s="76"/>
      <c r="AD204" s="76"/>
      <c r="AE204" s="76"/>
      <c r="AF204" s="76"/>
      <c r="AG204" s="76"/>
      <c r="AH204" s="4"/>
      <c r="AI204" s="4"/>
      <c r="AJ204" s="4"/>
      <c r="AK204" s="4"/>
      <c r="AL204" s="4"/>
    </row>
    <row r="205" spans="1:38" ht="14">
      <c r="A205" s="106"/>
      <c r="B205" s="106"/>
      <c r="C205" s="70"/>
      <c r="D205" s="164"/>
      <c r="E205" s="164" t="s">
        <v>611</v>
      </c>
      <c r="F205" s="157" t="str">
        <f ca="1">IFERROR(__xludf.DUMMYFUNCTION("INDEX(SPLIT(E205,""/""),,COUNTA(SPLIT(E205,""/"")))"),"1117473176005545984")</f>
        <v>1117473176005545984</v>
      </c>
      <c r="G205" s="70" t="str">
        <f t="shared" si="0"/>
        <v>@ImageSatIntl</v>
      </c>
      <c r="H205" s="106" t="s">
        <v>80</v>
      </c>
      <c r="I205" s="106"/>
      <c r="J205" s="106"/>
      <c r="K205" s="106"/>
      <c r="L205" s="159"/>
      <c r="M205" s="76"/>
      <c r="N205" s="76"/>
      <c r="O205" s="76"/>
      <c r="P205" s="76"/>
      <c r="Q205" s="76"/>
      <c r="R205" s="76"/>
      <c r="S205" s="76"/>
      <c r="T205" s="76"/>
      <c r="U205" s="76"/>
      <c r="V205" s="162"/>
      <c r="W205" s="159"/>
      <c r="X205" s="76"/>
      <c r="Y205" s="76"/>
      <c r="Z205" s="76"/>
      <c r="AA205" s="76"/>
      <c r="AB205" s="76"/>
      <c r="AC205" s="76"/>
      <c r="AD205" s="76"/>
      <c r="AE205" s="76"/>
      <c r="AF205" s="76"/>
      <c r="AG205" s="76"/>
      <c r="AH205" s="4"/>
      <c r="AI205" s="4"/>
      <c r="AJ205" s="4"/>
      <c r="AK205" s="4"/>
      <c r="AL205" s="4"/>
    </row>
    <row r="206" spans="1:38" ht="14">
      <c r="A206" s="106"/>
      <c r="B206" s="106"/>
      <c r="C206" s="70"/>
      <c r="D206" s="164"/>
      <c r="E206" s="164" t="s">
        <v>612</v>
      </c>
      <c r="F206" s="157" t="str">
        <f ca="1">IFERROR(__xludf.DUMMYFUNCTION("INDEX(SPLIT(E206,""/""),,COUNTA(SPLIT(E206,""/"")))"),"1594652804584706049")</f>
        <v>1594652804584706049</v>
      </c>
      <c r="G206" s="70" t="str">
        <f t="shared" si="0"/>
        <v>@KallergisK</v>
      </c>
      <c r="H206" s="106" t="s">
        <v>80</v>
      </c>
      <c r="I206" s="106"/>
      <c r="J206" s="106"/>
      <c r="K206" s="106"/>
      <c r="L206" s="159"/>
      <c r="M206" s="76"/>
      <c r="N206" s="76"/>
      <c r="O206" s="76"/>
      <c r="P206" s="76"/>
      <c r="Q206" s="76"/>
      <c r="R206" s="76"/>
      <c r="S206" s="76"/>
      <c r="T206" s="76"/>
      <c r="U206" s="76"/>
      <c r="V206" s="162"/>
      <c r="W206" s="159"/>
      <c r="X206" s="76"/>
      <c r="Y206" s="76"/>
      <c r="Z206" s="76"/>
      <c r="AA206" s="76"/>
      <c r="AB206" s="76"/>
      <c r="AC206" s="76"/>
      <c r="AD206" s="76"/>
      <c r="AE206" s="76"/>
      <c r="AF206" s="76"/>
      <c r="AG206" s="76"/>
      <c r="AH206" s="4"/>
      <c r="AI206" s="4"/>
      <c r="AJ206" s="4"/>
      <c r="AK206" s="4"/>
      <c r="AL206" s="4"/>
    </row>
    <row r="207" spans="1:38" ht="14">
      <c r="A207" s="106"/>
      <c r="B207" s="106"/>
      <c r="C207" s="70"/>
      <c r="D207" s="164"/>
      <c r="E207" s="164" t="s">
        <v>613</v>
      </c>
      <c r="F207" s="157" t="str">
        <f ca="1">IFERROR(__xludf.DUMMYFUNCTION("INDEX(SPLIT(E207,""/""),,COUNTA(SPLIT(E207,""/"")))"),"1669744417308016640")</f>
        <v>1669744417308016640</v>
      </c>
      <c r="G207" s="70" t="str">
        <f t="shared" si="0"/>
        <v>@KallergisK</v>
      </c>
      <c r="H207" s="106" t="s">
        <v>80</v>
      </c>
      <c r="I207" s="106"/>
      <c r="J207" s="106"/>
      <c r="K207" s="106"/>
      <c r="L207" s="159"/>
      <c r="M207" s="76"/>
      <c r="N207" s="76"/>
      <c r="O207" s="76"/>
      <c r="P207" s="76"/>
      <c r="Q207" s="76"/>
      <c r="R207" s="76"/>
      <c r="S207" s="76"/>
      <c r="T207" s="76"/>
      <c r="U207" s="76"/>
      <c r="V207" s="162"/>
      <c r="W207" s="159"/>
      <c r="X207" s="76"/>
      <c r="Y207" s="76"/>
      <c r="Z207" s="76"/>
      <c r="AA207" s="76"/>
      <c r="AB207" s="76"/>
      <c r="AC207" s="76"/>
      <c r="AD207" s="76"/>
      <c r="AE207" s="76"/>
      <c r="AF207" s="76"/>
      <c r="AG207" s="76"/>
      <c r="AH207" s="4"/>
      <c r="AI207" s="4"/>
      <c r="AJ207" s="4"/>
      <c r="AK207" s="4"/>
      <c r="AL207" s="4"/>
    </row>
    <row r="208" spans="1:38" ht="14">
      <c r="A208" s="106"/>
      <c r="B208" s="106"/>
      <c r="C208" s="70"/>
      <c r="D208" s="164"/>
      <c r="E208" s="164" t="s">
        <v>614</v>
      </c>
      <c r="F208" s="157" t="str">
        <f ca="1">IFERROR(__xludf.DUMMYFUNCTION("INDEX(SPLIT(E208,""/""),,COUNTA(SPLIT(E208,""/"")))"),"1681187511446675456")</f>
        <v>1681187511446675456</v>
      </c>
      <c r="G208" s="70" t="str">
        <f t="shared" si="0"/>
        <v>@CovertShores</v>
      </c>
      <c r="H208" s="106" t="s">
        <v>80</v>
      </c>
      <c r="I208" s="106"/>
      <c r="J208" s="106"/>
      <c r="K208" s="106"/>
      <c r="L208" s="159"/>
      <c r="M208" s="76"/>
      <c r="N208" s="76"/>
      <c r="O208" s="76"/>
      <c r="P208" s="76"/>
      <c r="Q208" s="76"/>
      <c r="R208" s="76"/>
      <c r="S208" s="76"/>
      <c r="T208" s="76"/>
      <c r="U208" s="76"/>
      <c r="V208" s="162"/>
      <c r="W208" s="159"/>
      <c r="X208" s="76"/>
      <c r="Y208" s="76"/>
      <c r="Z208" s="76"/>
      <c r="AA208" s="76"/>
      <c r="AB208" s="76"/>
      <c r="AC208" s="76"/>
      <c r="AD208" s="76"/>
      <c r="AE208" s="76"/>
      <c r="AF208" s="76"/>
      <c r="AG208" s="76"/>
      <c r="AH208" s="4"/>
      <c r="AI208" s="4"/>
      <c r="AJ208" s="4"/>
      <c r="AK208" s="4"/>
      <c r="AL208" s="4"/>
    </row>
    <row r="209" spans="1:38" ht="14">
      <c r="A209" s="106"/>
      <c r="B209" s="106"/>
      <c r="C209" s="70"/>
      <c r="D209" s="164"/>
      <c r="E209" s="164" t="s">
        <v>615</v>
      </c>
      <c r="F209" s="157" t="str">
        <f ca="1">IFERROR(__xludf.DUMMYFUNCTION("INDEX(SPLIT(E209,""/""),,COUNTA(SPLIT(E209,""/"")))"),"1617710054702206984")</f>
        <v>1617710054702206984</v>
      </c>
      <c r="G209" s="70" t="str">
        <f t="shared" si="0"/>
        <v>@Qaisalamdar</v>
      </c>
      <c r="H209" s="106" t="s">
        <v>80</v>
      </c>
      <c r="I209" s="106"/>
      <c r="J209" s="106"/>
      <c r="K209" s="106"/>
      <c r="L209" s="159"/>
      <c r="M209" s="76"/>
      <c r="N209" s="76"/>
      <c r="O209" s="76"/>
      <c r="P209" s="76"/>
      <c r="Q209" s="76"/>
      <c r="R209" s="76"/>
      <c r="S209" s="76"/>
      <c r="T209" s="76"/>
      <c r="U209" s="76"/>
      <c r="V209" s="162"/>
      <c r="W209" s="159"/>
      <c r="X209" s="76"/>
      <c r="Y209" s="76"/>
      <c r="Z209" s="76"/>
      <c r="AA209" s="76"/>
      <c r="AB209" s="76"/>
      <c r="AC209" s="76"/>
      <c r="AD209" s="76"/>
      <c r="AE209" s="76"/>
      <c r="AF209" s="76"/>
      <c r="AG209" s="76"/>
      <c r="AH209" s="4"/>
      <c r="AI209" s="4"/>
      <c r="AJ209" s="4"/>
      <c r="AK209" s="4"/>
      <c r="AL209" s="4"/>
    </row>
    <row r="210" spans="1:38" ht="14">
      <c r="A210" s="106"/>
      <c r="B210" s="106"/>
      <c r="C210" s="70"/>
      <c r="D210" s="164"/>
      <c r="E210" s="164" t="s">
        <v>616</v>
      </c>
      <c r="F210" s="157" t="str">
        <f ca="1">IFERROR(__xludf.DUMMYFUNCTION("INDEX(SPLIT(E210,""/""),,COUNTA(SPLIT(E210,""/"")))"),"1521038609079586817")</f>
        <v>1521038609079586817</v>
      </c>
      <c r="G210" s="70" t="str">
        <f t="shared" si="0"/>
        <v>@mattckwilliams</v>
      </c>
      <c r="H210" s="106" t="s">
        <v>80</v>
      </c>
      <c r="I210" s="106"/>
      <c r="J210" s="106"/>
      <c r="K210" s="106"/>
      <c r="L210" s="159"/>
      <c r="M210" s="76"/>
      <c r="N210" s="76"/>
      <c r="O210" s="76"/>
      <c r="P210" s="76"/>
      <c r="Q210" s="76"/>
      <c r="R210" s="76"/>
      <c r="S210" s="76"/>
      <c r="T210" s="76"/>
      <c r="U210" s="76"/>
      <c r="V210" s="162"/>
      <c r="W210" s="159"/>
      <c r="X210" s="76"/>
      <c r="Y210" s="76"/>
      <c r="Z210" s="76"/>
      <c r="AA210" s="76"/>
      <c r="AB210" s="76"/>
      <c r="AC210" s="76"/>
      <c r="AD210" s="76"/>
      <c r="AE210" s="76"/>
      <c r="AF210" s="76"/>
      <c r="AG210" s="76"/>
      <c r="AH210" s="4"/>
      <c r="AI210" s="4"/>
      <c r="AJ210" s="4"/>
      <c r="AK210" s="4"/>
      <c r="AL210" s="4"/>
    </row>
    <row r="211" spans="1:38" ht="14">
      <c r="A211" s="106"/>
      <c r="B211" s="106"/>
      <c r="C211" s="70"/>
      <c r="D211" s="164"/>
      <c r="E211" s="164" t="s">
        <v>617</v>
      </c>
      <c r="F211" s="157" t="str">
        <f ca="1">IFERROR(__xludf.DUMMYFUNCTION("INDEX(SPLIT(E211,""/""),,COUNTA(SPLIT(E211,""/"")))"),"1744694446220869674")</f>
        <v>1744694446220869674</v>
      </c>
      <c r="G211" s="70" t="str">
        <f t="shared" si="0"/>
        <v>@UKikaski</v>
      </c>
      <c r="H211" s="106" t="s">
        <v>80</v>
      </c>
      <c r="I211" s="106"/>
      <c r="J211" s="106"/>
      <c r="K211" s="106"/>
      <c r="L211" s="159"/>
      <c r="M211" s="76"/>
      <c r="N211" s="76"/>
      <c r="O211" s="76"/>
      <c r="P211" s="76"/>
      <c r="Q211" s="76"/>
      <c r="R211" s="76"/>
      <c r="S211" s="76"/>
      <c r="T211" s="76"/>
      <c r="U211" s="76"/>
      <c r="V211" s="162"/>
      <c r="W211" s="159"/>
      <c r="X211" s="76"/>
      <c r="Y211" s="76"/>
      <c r="Z211" s="76"/>
      <c r="AA211" s="76"/>
      <c r="AB211" s="76"/>
      <c r="AC211" s="76"/>
      <c r="AD211" s="76"/>
      <c r="AE211" s="76"/>
      <c r="AF211" s="76"/>
      <c r="AG211" s="76"/>
      <c r="AH211" s="4"/>
      <c r="AI211" s="4"/>
      <c r="AJ211" s="4"/>
      <c r="AK211" s="4"/>
      <c r="AL211" s="4"/>
    </row>
    <row r="212" spans="1:38" ht="14">
      <c r="A212" s="106"/>
      <c r="B212" s="106"/>
      <c r="C212" s="70"/>
      <c r="D212" s="164"/>
      <c r="E212" s="164" t="s">
        <v>350</v>
      </c>
      <c r="F212" s="157" t="str">
        <f ca="1">IFERROR(__xludf.DUMMYFUNCTION("INDEX(SPLIT(E212,""/""),,COUNTA(SPLIT(E212,""/"")))"),"1744075778869150091")</f>
        <v>1744075778869150091</v>
      </c>
      <c r="G212" s="70" t="str">
        <f t="shared" si="0"/>
        <v>@bcresearchgroup</v>
      </c>
      <c r="H212" s="106" t="s">
        <v>80</v>
      </c>
      <c r="I212" s="106"/>
      <c r="J212" s="106"/>
      <c r="K212" s="106"/>
      <c r="L212" s="159"/>
      <c r="M212" s="76"/>
      <c r="N212" s="76"/>
      <c r="O212" s="76"/>
      <c r="P212" s="76"/>
      <c r="Q212" s="76"/>
      <c r="R212" s="76"/>
      <c r="S212" s="76"/>
      <c r="T212" s="76"/>
      <c r="U212" s="76"/>
      <c r="V212" s="162"/>
      <c r="W212" s="159"/>
      <c r="X212" s="76"/>
      <c r="Y212" s="76"/>
      <c r="Z212" s="76"/>
      <c r="AA212" s="76"/>
      <c r="AB212" s="76"/>
      <c r="AC212" s="76"/>
      <c r="AD212" s="76"/>
      <c r="AE212" s="76"/>
      <c r="AF212" s="76"/>
      <c r="AG212" s="76"/>
      <c r="AH212" s="4"/>
      <c r="AI212" s="4"/>
      <c r="AJ212" s="4"/>
      <c r="AK212" s="4"/>
      <c r="AL212" s="4"/>
    </row>
    <row r="213" spans="1:38" ht="14">
      <c r="A213" s="106"/>
      <c r="B213" s="106"/>
      <c r="C213" s="70"/>
      <c r="D213" s="164"/>
      <c r="E213" s="164" t="s">
        <v>618</v>
      </c>
      <c r="F213" s="157" t="str">
        <f ca="1">IFERROR(__xludf.DUMMYFUNCTION("INDEX(SPLIT(E213,""/""),,COUNTA(SPLIT(E213,""/"")))"),"1744671046664413344")</f>
        <v>1744671046664413344</v>
      </c>
      <c r="G213" s="70" t="str">
        <f t="shared" si="0"/>
        <v>@UKikaski</v>
      </c>
      <c r="H213" s="106" t="s">
        <v>80</v>
      </c>
      <c r="I213" s="106"/>
      <c r="J213" s="106"/>
      <c r="K213" s="106"/>
      <c r="L213" s="159"/>
      <c r="M213" s="76"/>
      <c r="N213" s="76"/>
      <c r="O213" s="76"/>
      <c r="P213" s="76"/>
      <c r="Q213" s="76"/>
      <c r="R213" s="76"/>
      <c r="S213" s="76"/>
      <c r="T213" s="76"/>
      <c r="U213" s="76"/>
      <c r="V213" s="162"/>
      <c r="W213" s="159"/>
      <c r="X213" s="76"/>
      <c r="Y213" s="76"/>
      <c r="Z213" s="76"/>
      <c r="AA213" s="76"/>
      <c r="AB213" s="76"/>
      <c r="AC213" s="76"/>
      <c r="AD213" s="76"/>
      <c r="AE213" s="76"/>
      <c r="AF213" s="76"/>
      <c r="AG213" s="76"/>
      <c r="AH213" s="4"/>
      <c r="AI213" s="4"/>
      <c r="AJ213" s="4"/>
      <c r="AK213" s="4"/>
      <c r="AL213" s="4"/>
    </row>
    <row r="214" spans="1:38" ht="14">
      <c r="A214" s="106"/>
      <c r="B214" s="106"/>
      <c r="C214" s="70"/>
      <c r="D214" s="164"/>
      <c r="E214" s="164" t="s">
        <v>619</v>
      </c>
      <c r="F214" s="157" t="str">
        <f ca="1">IFERROR(__xludf.DUMMYFUNCTION("INDEX(SPLIT(E214,""/""),,COUNTA(SPLIT(E214,""/"")))"),"1745451372437475407")</f>
        <v>1745451372437475407</v>
      </c>
      <c r="G214" s="70" t="str">
        <f t="shared" si="0"/>
        <v>@Osint613</v>
      </c>
      <c r="H214" s="106" t="s">
        <v>80</v>
      </c>
      <c r="I214" s="106"/>
      <c r="J214" s="106"/>
      <c r="K214" s="106"/>
      <c r="L214" s="159"/>
      <c r="M214" s="76"/>
      <c r="N214" s="76"/>
      <c r="O214" s="76"/>
      <c r="P214" s="76"/>
      <c r="Q214" s="76"/>
      <c r="R214" s="76"/>
      <c r="S214" s="76"/>
      <c r="T214" s="76"/>
      <c r="U214" s="76"/>
      <c r="V214" s="162"/>
      <c r="W214" s="159"/>
      <c r="X214" s="76"/>
      <c r="Y214" s="76"/>
      <c r="Z214" s="76"/>
      <c r="AA214" s="76"/>
      <c r="AB214" s="76"/>
      <c r="AC214" s="76"/>
      <c r="AD214" s="76"/>
      <c r="AE214" s="76"/>
      <c r="AF214" s="76"/>
      <c r="AG214" s="76"/>
      <c r="AH214" s="4"/>
      <c r="AI214" s="4"/>
      <c r="AJ214" s="4"/>
      <c r="AK214" s="4"/>
      <c r="AL214" s="4"/>
    </row>
    <row r="215" spans="1:38" ht="14">
      <c r="A215" s="106"/>
      <c r="B215" s="106"/>
      <c r="C215" s="70"/>
      <c r="D215" s="164"/>
      <c r="E215" s="164" t="s">
        <v>620</v>
      </c>
      <c r="F215" s="157" t="str">
        <f ca="1">IFERROR(__xludf.DUMMYFUNCTION("INDEX(SPLIT(E215,""/""),,COUNTA(SPLIT(E215,""/"")))"),"1743984936971813251")</f>
        <v>1743984936971813251</v>
      </c>
      <c r="G215" s="70" t="str">
        <f t="shared" si="0"/>
        <v>@UKikaski</v>
      </c>
      <c r="H215" s="106" t="s">
        <v>80</v>
      </c>
      <c r="I215" s="106"/>
      <c r="J215" s="106"/>
      <c r="K215" s="106"/>
      <c r="L215" s="159"/>
      <c r="M215" s="76"/>
      <c r="N215" s="76"/>
      <c r="O215" s="76"/>
      <c r="P215" s="76"/>
      <c r="Q215" s="76"/>
      <c r="R215" s="76"/>
      <c r="S215" s="76"/>
      <c r="T215" s="76"/>
      <c r="U215" s="76"/>
      <c r="V215" s="162"/>
      <c r="W215" s="159"/>
      <c r="X215" s="76"/>
      <c r="Y215" s="76"/>
      <c r="Z215" s="76"/>
      <c r="AA215" s="76"/>
      <c r="AB215" s="76"/>
      <c r="AC215" s="76"/>
      <c r="AD215" s="76"/>
      <c r="AE215" s="76"/>
      <c r="AF215" s="76"/>
      <c r="AG215" s="76"/>
      <c r="AH215" s="4"/>
      <c r="AI215" s="4"/>
      <c r="AJ215" s="4"/>
      <c r="AK215" s="4"/>
      <c r="AL215" s="4"/>
    </row>
    <row r="216" spans="1:38" ht="14">
      <c r="A216" s="106"/>
      <c r="B216" s="106"/>
      <c r="C216" s="70"/>
      <c r="D216" s="164"/>
      <c r="E216" s="164" t="s">
        <v>621</v>
      </c>
      <c r="F216" s="157" t="str">
        <f ca="1">IFERROR(__xludf.DUMMYFUNCTION("INDEX(SPLIT(E216,""/""),,COUNTA(SPLIT(E216,""/"")))"),"1744369738510135708")</f>
        <v>1744369738510135708</v>
      </c>
      <c r="G216" s="70" t="str">
        <f t="shared" si="0"/>
        <v>@OSINTNic</v>
      </c>
      <c r="H216" s="106" t="s">
        <v>80</v>
      </c>
      <c r="I216" s="106"/>
      <c r="J216" s="106"/>
      <c r="K216" s="106"/>
      <c r="L216" s="159"/>
      <c r="M216" s="76"/>
      <c r="N216" s="76"/>
      <c r="O216" s="76"/>
      <c r="P216" s="76"/>
      <c r="Q216" s="76"/>
      <c r="R216" s="76"/>
      <c r="S216" s="76"/>
      <c r="T216" s="76"/>
      <c r="U216" s="76"/>
      <c r="V216" s="162"/>
      <c r="W216" s="159"/>
      <c r="X216" s="76"/>
      <c r="Y216" s="76"/>
      <c r="Z216" s="76"/>
      <c r="AA216" s="76"/>
      <c r="AB216" s="76"/>
      <c r="AC216" s="76"/>
      <c r="AD216" s="76"/>
      <c r="AE216" s="76"/>
      <c r="AF216" s="76"/>
      <c r="AG216" s="76"/>
      <c r="AH216" s="4"/>
      <c r="AI216" s="4"/>
      <c r="AJ216" s="4"/>
      <c r="AK216" s="4"/>
      <c r="AL216" s="4"/>
    </row>
    <row r="217" spans="1:38" ht="14">
      <c r="A217" s="106"/>
      <c r="B217" s="106"/>
      <c r="C217" s="70"/>
      <c r="D217" s="164"/>
      <c r="E217" s="164" t="s">
        <v>622</v>
      </c>
      <c r="F217" s="157" t="str">
        <f ca="1">IFERROR(__xludf.DUMMYFUNCTION("INDEX(SPLIT(E217,""/""),,COUNTA(SPLIT(E217,""/"")))"),"1743726593850200515")</f>
        <v>1743726593850200515</v>
      </c>
      <c r="G217" s="70" t="str">
        <f t="shared" si="0"/>
        <v>@OSINTNic</v>
      </c>
      <c r="H217" s="106" t="s">
        <v>80</v>
      </c>
      <c r="I217" s="106"/>
      <c r="J217" s="106"/>
      <c r="K217" s="106"/>
      <c r="L217" s="159"/>
      <c r="M217" s="76"/>
      <c r="N217" s="76"/>
      <c r="O217" s="76"/>
      <c r="P217" s="76"/>
      <c r="Q217" s="76"/>
      <c r="R217" s="76"/>
      <c r="S217" s="76"/>
      <c r="T217" s="76"/>
      <c r="U217" s="76"/>
      <c r="V217" s="162"/>
      <c r="W217" s="159"/>
      <c r="X217" s="76"/>
      <c r="Y217" s="76"/>
      <c r="Z217" s="76"/>
      <c r="AA217" s="76"/>
      <c r="AB217" s="76"/>
      <c r="AC217" s="76"/>
      <c r="AD217" s="76"/>
      <c r="AE217" s="76"/>
      <c r="AF217" s="76"/>
      <c r="AG217" s="76"/>
      <c r="AH217" s="4"/>
      <c r="AI217" s="4"/>
      <c r="AJ217" s="4"/>
      <c r="AK217" s="4"/>
      <c r="AL217" s="4"/>
    </row>
    <row r="218" spans="1:38" ht="14">
      <c r="A218" s="106"/>
      <c r="B218" s="106" t="s">
        <v>78</v>
      </c>
      <c r="C218" s="189"/>
      <c r="D218" s="190"/>
      <c r="E218" s="190" t="s">
        <v>623</v>
      </c>
      <c r="F218" s="157" t="str">
        <f ca="1">IFERROR(__xludf.DUMMYFUNCTION("INDEX(SPLIT(E218,""/""),,COUNTA(SPLIT(E218,""/"")))"),"1745006876939423804")</f>
        <v>1745006876939423804</v>
      </c>
      <c r="G218" s="191" t="str">
        <f t="shared" si="0"/>
        <v>@FrenchOsint</v>
      </c>
      <c r="H218" s="105" t="s">
        <v>624</v>
      </c>
      <c r="I218" s="106" t="s">
        <v>70</v>
      </c>
      <c r="J218" s="106" t="s">
        <v>138</v>
      </c>
      <c r="K218" s="106" t="s">
        <v>138</v>
      </c>
      <c r="L218" s="159">
        <v>1</v>
      </c>
      <c r="M218" s="76">
        <v>3</v>
      </c>
      <c r="N218" s="76">
        <v>3</v>
      </c>
      <c r="O218" s="76">
        <v>2</v>
      </c>
      <c r="P218" s="76">
        <v>1</v>
      </c>
      <c r="Q218" s="76">
        <v>1</v>
      </c>
      <c r="R218" s="76">
        <v>3</v>
      </c>
      <c r="S218" s="76">
        <v>3</v>
      </c>
      <c r="T218" s="76">
        <v>1</v>
      </c>
      <c r="U218" s="76">
        <v>1</v>
      </c>
      <c r="V218" s="162">
        <v>2</v>
      </c>
      <c r="W218" s="159">
        <v>1</v>
      </c>
      <c r="X218" s="76">
        <v>1</v>
      </c>
      <c r="Y218" s="76">
        <v>1</v>
      </c>
      <c r="Z218" s="76">
        <v>1</v>
      </c>
      <c r="AA218" s="76">
        <v>1</v>
      </c>
      <c r="AB218" s="76">
        <v>1</v>
      </c>
      <c r="AC218" s="76">
        <v>1</v>
      </c>
      <c r="AD218" s="76">
        <v>3</v>
      </c>
      <c r="AE218" s="76">
        <v>3</v>
      </c>
      <c r="AF218" s="76">
        <v>3</v>
      </c>
      <c r="AG218" s="76">
        <v>1</v>
      </c>
      <c r="AH218" s="4"/>
      <c r="AI218" s="4"/>
      <c r="AJ218" s="4"/>
      <c r="AK218" s="4"/>
      <c r="AL218" s="4"/>
    </row>
    <row r="219" spans="1:38" ht="14">
      <c r="A219" s="106"/>
      <c r="B219" s="106" t="s">
        <v>78</v>
      </c>
      <c r="C219" s="189"/>
      <c r="D219" s="190"/>
      <c r="E219" s="190" t="s">
        <v>625</v>
      </c>
      <c r="F219" s="157" t="str">
        <f ca="1">IFERROR(__xludf.DUMMYFUNCTION("INDEX(SPLIT(E219,""/""),,COUNTA(SPLIT(E219,""/"")))"),"1744395467780223286")</f>
        <v>1744395467780223286</v>
      </c>
      <c r="G219" s="192" t="str">
        <f t="shared" si="0"/>
        <v>@atummundi</v>
      </c>
      <c r="H219" s="193" t="s">
        <v>624</v>
      </c>
      <c r="I219" s="106"/>
      <c r="J219" s="106"/>
      <c r="K219" s="106"/>
      <c r="L219" s="159"/>
      <c r="M219" s="76"/>
      <c r="N219" s="76"/>
      <c r="O219" s="76"/>
      <c r="P219" s="76"/>
      <c r="Q219" s="76"/>
      <c r="R219" s="76"/>
      <c r="S219" s="76"/>
      <c r="T219" s="76"/>
      <c r="U219" s="76"/>
      <c r="V219" s="162"/>
      <c r="W219" s="159"/>
      <c r="X219" s="76"/>
      <c r="Y219" s="76"/>
      <c r="Z219" s="76"/>
      <c r="AA219" s="76"/>
      <c r="AB219" s="76"/>
      <c r="AC219" s="76"/>
      <c r="AD219" s="76"/>
      <c r="AE219" s="76"/>
      <c r="AF219" s="76"/>
      <c r="AG219" s="76"/>
      <c r="AH219" s="4"/>
      <c r="AI219" s="4"/>
      <c r="AJ219" s="4"/>
      <c r="AK219" s="4"/>
      <c r="AL219" s="4"/>
    </row>
    <row r="220" spans="1:38" ht="14">
      <c r="A220" s="106"/>
      <c r="B220" s="106"/>
      <c r="C220" s="189"/>
      <c r="D220" s="190"/>
      <c r="E220" s="190" t="s">
        <v>626</v>
      </c>
      <c r="F220" s="157" t="str">
        <f ca="1">IFERROR(__xludf.DUMMYFUNCTION("INDEX(SPLIT(E220,""/""),,COUNTA(SPLIT(E220,""/"")))"),"1745356879004389483")</f>
        <v>1745356879004389483</v>
      </c>
      <c r="G220" s="192" t="str">
        <f t="shared" si="0"/>
        <v>@FrenchOsint</v>
      </c>
      <c r="H220" s="193" t="s">
        <v>624</v>
      </c>
      <c r="I220" s="106"/>
      <c r="J220" s="106"/>
      <c r="K220" s="106"/>
      <c r="L220" s="159"/>
      <c r="M220" s="76"/>
      <c r="N220" s="76"/>
      <c r="O220" s="76"/>
      <c r="P220" s="76"/>
      <c r="Q220" s="76"/>
      <c r="R220" s="76"/>
      <c r="S220" s="76"/>
      <c r="T220" s="76"/>
      <c r="U220" s="76"/>
      <c r="V220" s="162"/>
      <c r="W220" s="159"/>
      <c r="X220" s="76"/>
      <c r="Y220" s="76"/>
      <c r="Z220" s="76"/>
      <c r="AA220" s="76"/>
      <c r="AB220" s="76"/>
      <c r="AC220" s="76"/>
      <c r="AD220" s="76"/>
      <c r="AE220" s="76"/>
      <c r="AF220" s="76"/>
      <c r="AG220" s="76"/>
      <c r="AH220" s="4"/>
      <c r="AI220" s="4"/>
      <c r="AJ220" s="4"/>
      <c r="AK220" s="4"/>
      <c r="AL220" s="4"/>
    </row>
    <row r="221" spans="1:38" ht="14">
      <c r="A221" s="106"/>
      <c r="B221" s="106"/>
      <c r="C221" s="189"/>
      <c r="D221" s="190"/>
      <c r="E221" s="190" t="s">
        <v>627</v>
      </c>
      <c r="F221" s="157" t="str">
        <f ca="1">IFERROR(__xludf.DUMMYFUNCTION("INDEX(SPLIT(E221,""/""),,COUNTA(SPLIT(E221,""/"")))"),"1744663168478073154")</f>
        <v>1744663168478073154</v>
      </c>
      <c r="G221" s="192" t="str">
        <f t="shared" si="0"/>
        <v>@clement_molin</v>
      </c>
      <c r="H221" s="193" t="s">
        <v>624</v>
      </c>
      <c r="I221" s="106"/>
      <c r="J221" s="106"/>
      <c r="K221" s="106"/>
      <c r="L221" s="159"/>
      <c r="M221" s="76"/>
      <c r="N221" s="76"/>
      <c r="O221" s="76"/>
      <c r="P221" s="76"/>
      <c r="Q221" s="76"/>
      <c r="R221" s="76"/>
      <c r="S221" s="76"/>
      <c r="T221" s="76"/>
      <c r="U221" s="76"/>
      <c r="V221" s="162"/>
      <c r="W221" s="159"/>
      <c r="X221" s="76"/>
      <c r="Y221" s="76"/>
      <c r="Z221" s="76"/>
      <c r="AA221" s="76"/>
      <c r="AB221" s="76"/>
      <c r="AC221" s="76"/>
      <c r="AD221" s="76"/>
      <c r="AE221" s="76"/>
      <c r="AF221" s="76"/>
      <c r="AG221" s="76"/>
      <c r="AH221" s="4"/>
      <c r="AI221" s="4"/>
      <c r="AJ221" s="4"/>
      <c r="AK221" s="4"/>
      <c r="AL221" s="4"/>
    </row>
    <row r="222" spans="1:38" ht="14">
      <c r="A222" s="106"/>
      <c r="B222" s="106"/>
      <c r="C222" s="189"/>
      <c r="D222" s="190"/>
      <c r="E222" s="190" t="s">
        <v>628</v>
      </c>
      <c r="F222" s="157" t="str">
        <f ca="1">IFERROR(__xludf.DUMMYFUNCTION("INDEX(SPLIT(E222,""/""),,COUNTA(SPLIT(E222,""/"")))"),"1745008353367978167")</f>
        <v>1745008353367978167</v>
      </c>
      <c r="G222" s="192" t="str">
        <f t="shared" si="0"/>
        <v>@FrenchOsint</v>
      </c>
      <c r="H222" s="193" t="s">
        <v>624</v>
      </c>
      <c r="I222" s="106"/>
      <c r="J222" s="106"/>
      <c r="K222" s="106"/>
      <c r="L222" s="159"/>
      <c r="M222" s="76"/>
      <c r="N222" s="76"/>
      <c r="O222" s="76"/>
      <c r="P222" s="76"/>
      <c r="Q222" s="76"/>
      <c r="R222" s="76"/>
      <c r="S222" s="76"/>
      <c r="T222" s="76"/>
      <c r="U222" s="76"/>
      <c r="V222" s="162"/>
      <c r="W222" s="159"/>
      <c r="X222" s="76"/>
      <c r="Y222" s="76"/>
      <c r="Z222" s="76"/>
      <c r="AA222" s="76"/>
      <c r="AB222" s="76"/>
      <c r="AC222" s="76"/>
      <c r="AD222" s="76"/>
      <c r="AE222" s="76"/>
      <c r="AF222" s="76"/>
      <c r="AG222" s="76"/>
      <c r="AH222" s="4"/>
      <c r="AI222" s="4"/>
      <c r="AJ222" s="4"/>
      <c r="AK222" s="4"/>
      <c r="AL222" s="4"/>
    </row>
    <row r="223" spans="1:38" ht="14">
      <c r="A223" s="106"/>
      <c r="B223" s="106"/>
      <c r="C223" s="189"/>
      <c r="D223" s="190"/>
      <c r="E223" s="190" t="s">
        <v>629</v>
      </c>
      <c r="F223" s="157" t="str">
        <f ca="1">IFERROR(__xludf.DUMMYFUNCTION("INDEX(SPLIT(E223,""/""),,COUNTA(SPLIT(E223,""/"")))"),"1743641921690403016")</f>
        <v>1743641921690403016</v>
      </c>
      <c r="G223" s="192" t="str">
        <f t="shared" si="0"/>
        <v>@imgsat973</v>
      </c>
      <c r="H223" s="193" t="s">
        <v>624</v>
      </c>
      <c r="I223" s="106"/>
      <c r="J223" s="106"/>
      <c r="K223" s="106"/>
      <c r="L223" s="159"/>
      <c r="M223" s="76"/>
      <c r="N223" s="76"/>
      <c r="O223" s="76"/>
      <c r="P223" s="76"/>
      <c r="Q223" s="76"/>
      <c r="R223" s="76"/>
      <c r="S223" s="76"/>
      <c r="T223" s="76"/>
      <c r="U223" s="76"/>
      <c r="V223" s="162"/>
      <c r="W223" s="159"/>
      <c r="X223" s="76"/>
      <c r="Y223" s="76"/>
      <c r="Z223" s="76"/>
      <c r="AA223" s="76"/>
      <c r="AB223" s="76"/>
      <c r="AC223" s="76"/>
      <c r="AD223" s="76"/>
      <c r="AE223" s="76"/>
      <c r="AF223" s="76"/>
      <c r="AG223" s="76"/>
      <c r="AH223" s="4"/>
      <c r="AI223" s="4"/>
      <c r="AJ223" s="4"/>
      <c r="AK223" s="4"/>
      <c r="AL223" s="4"/>
    </row>
    <row r="224" spans="1:38" ht="14">
      <c r="A224" s="106"/>
      <c r="B224" s="106"/>
      <c r="C224" s="189"/>
      <c r="D224" s="190"/>
      <c r="E224" s="190" t="s">
        <v>630</v>
      </c>
      <c r="F224" s="157" t="str">
        <f ca="1">IFERROR(__xludf.DUMMYFUNCTION("INDEX(SPLIT(E224,""/""),,COUNTA(SPLIT(E224,""/"")))"),"1744045105101578752")</f>
        <v>1744045105101578752</v>
      </c>
      <c r="G224" s="192" t="str">
        <f t="shared" si="0"/>
        <v>@DumortierEmily</v>
      </c>
      <c r="H224" s="193" t="s">
        <v>624</v>
      </c>
      <c r="I224" s="106"/>
      <c r="J224" s="106"/>
      <c r="K224" s="106"/>
      <c r="L224" s="159"/>
      <c r="M224" s="76"/>
      <c r="N224" s="76"/>
      <c r="O224" s="76"/>
      <c r="P224" s="76"/>
      <c r="Q224" s="76"/>
      <c r="R224" s="76"/>
      <c r="S224" s="76"/>
      <c r="T224" s="76"/>
      <c r="U224" s="76"/>
      <c r="V224" s="162"/>
      <c r="W224" s="159"/>
      <c r="X224" s="76"/>
      <c r="Y224" s="76"/>
      <c r="Z224" s="76"/>
      <c r="AA224" s="76"/>
      <c r="AB224" s="76"/>
      <c r="AC224" s="76"/>
      <c r="AD224" s="76"/>
      <c r="AE224" s="76"/>
      <c r="AF224" s="76"/>
      <c r="AG224" s="76"/>
      <c r="AH224" s="4"/>
      <c r="AI224" s="4"/>
      <c r="AJ224" s="4"/>
      <c r="AK224" s="4"/>
      <c r="AL224" s="4"/>
    </row>
    <row r="225" spans="1:38" ht="14">
      <c r="A225" s="106"/>
      <c r="B225" s="106"/>
      <c r="C225" s="189"/>
      <c r="D225" s="190"/>
      <c r="E225" s="190" t="s">
        <v>631</v>
      </c>
      <c r="F225" s="157" t="str">
        <f ca="1">IFERROR(__xludf.DUMMYFUNCTION("INDEX(SPLIT(E225,""/""),,COUNTA(SPLIT(E225,""/"")))"),"1744435168532672744")</f>
        <v>1744435168532672744</v>
      </c>
      <c r="G225" s="192" t="str">
        <f t="shared" si="0"/>
        <v>@osint_random</v>
      </c>
      <c r="H225" s="193" t="s">
        <v>624</v>
      </c>
      <c r="I225" s="106"/>
      <c r="J225" s="106"/>
      <c r="K225" s="106"/>
      <c r="L225" s="159"/>
      <c r="M225" s="76"/>
      <c r="N225" s="76"/>
      <c r="O225" s="76"/>
      <c r="P225" s="76"/>
      <c r="Q225" s="76"/>
      <c r="R225" s="76"/>
      <c r="S225" s="76"/>
      <c r="T225" s="76"/>
      <c r="U225" s="76"/>
      <c r="V225" s="162"/>
      <c r="W225" s="159"/>
      <c r="X225" s="76"/>
      <c r="Y225" s="76"/>
      <c r="Z225" s="76"/>
      <c r="AA225" s="76"/>
      <c r="AB225" s="76"/>
      <c r="AC225" s="76"/>
      <c r="AD225" s="76"/>
      <c r="AE225" s="76"/>
      <c r="AF225" s="76"/>
      <c r="AG225" s="76"/>
      <c r="AH225" s="4"/>
      <c r="AI225" s="4"/>
      <c r="AJ225" s="4"/>
      <c r="AK225" s="4"/>
      <c r="AL225" s="4"/>
    </row>
    <row r="226" spans="1:38" ht="14">
      <c r="A226" s="106"/>
      <c r="B226" s="106"/>
      <c r="C226" s="189"/>
      <c r="D226" s="190"/>
      <c r="E226" s="190" t="s">
        <v>632</v>
      </c>
      <c r="F226" s="157" t="str">
        <f ca="1">IFERROR(__xludf.DUMMYFUNCTION("INDEX(SPLIT(E226,""/""),,COUNTA(SPLIT(E226,""/"")))"),"1744651789142564964")</f>
        <v>1744651789142564964</v>
      </c>
      <c r="G226" s="192" t="str">
        <f t="shared" si="0"/>
        <v>@osint_random</v>
      </c>
      <c r="H226" s="193" t="s">
        <v>624</v>
      </c>
      <c r="I226" s="106"/>
      <c r="J226" s="106"/>
      <c r="K226" s="106"/>
      <c r="L226" s="159"/>
      <c r="M226" s="76"/>
      <c r="N226" s="76"/>
      <c r="O226" s="76"/>
      <c r="P226" s="76"/>
      <c r="Q226" s="76"/>
      <c r="R226" s="76"/>
      <c r="S226" s="76"/>
      <c r="T226" s="76"/>
      <c r="U226" s="76"/>
      <c r="V226" s="162"/>
      <c r="W226" s="159"/>
      <c r="X226" s="76"/>
      <c r="Y226" s="76"/>
      <c r="Z226" s="76"/>
      <c r="AA226" s="76"/>
      <c r="AB226" s="76"/>
      <c r="AC226" s="76"/>
      <c r="AD226" s="76"/>
      <c r="AE226" s="76"/>
      <c r="AF226" s="76"/>
      <c r="AG226" s="76"/>
      <c r="AH226" s="4"/>
      <c r="AI226" s="4"/>
      <c r="AJ226" s="4"/>
      <c r="AK226" s="4"/>
      <c r="AL226" s="4"/>
    </row>
    <row r="227" spans="1:38" ht="14">
      <c r="A227" s="106"/>
      <c r="B227" s="106"/>
      <c r="C227" s="189"/>
      <c r="D227" s="190"/>
      <c r="E227" s="190" t="s">
        <v>633</v>
      </c>
      <c r="F227" s="157" t="str">
        <f ca="1">IFERROR(__xludf.DUMMYFUNCTION("INDEX(SPLIT(E227,""/""),,COUNTA(SPLIT(E227,""/"")))"),"1744030126990377362")</f>
        <v>1744030126990377362</v>
      </c>
      <c r="G227" s="192" t="str">
        <f t="shared" si="0"/>
        <v>@osint_random</v>
      </c>
      <c r="H227" s="193" t="s">
        <v>624</v>
      </c>
      <c r="I227" s="106"/>
      <c r="J227" s="106"/>
      <c r="K227" s="106"/>
      <c r="L227" s="159"/>
      <c r="M227" s="76"/>
      <c r="N227" s="76"/>
      <c r="O227" s="76"/>
      <c r="P227" s="76"/>
      <c r="Q227" s="76"/>
      <c r="R227" s="76"/>
      <c r="S227" s="76"/>
      <c r="T227" s="76"/>
      <c r="U227" s="76"/>
      <c r="V227" s="162"/>
      <c r="W227" s="159"/>
      <c r="X227" s="76"/>
      <c r="Y227" s="76"/>
      <c r="Z227" s="76"/>
      <c r="AA227" s="76"/>
      <c r="AB227" s="76"/>
      <c r="AC227" s="76"/>
      <c r="AD227" s="76"/>
      <c r="AE227" s="76"/>
      <c r="AF227" s="76"/>
      <c r="AG227" s="76"/>
      <c r="AH227" s="4"/>
      <c r="AI227" s="4"/>
      <c r="AJ227" s="4"/>
      <c r="AK227" s="4"/>
      <c r="AL227" s="4"/>
    </row>
    <row r="228" spans="1:38" ht="14">
      <c r="A228" s="106"/>
      <c r="B228" s="106"/>
      <c r="C228" s="189"/>
      <c r="D228" s="190"/>
      <c r="E228" s="190" t="s">
        <v>634</v>
      </c>
      <c r="F228" s="157" t="str">
        <f ca="1">IFERROR(__xludf.DUMMYFUNCTION("INDEX(SPLIT(E228,""/""),,COUNTA(SPLIT(E228,""/"")))"),"1745048692057317612")</f>
        <v>1745048692057317612</v>
      </c>
      <c r="G228" s="192" t="str">
        <f t="shared" si="0"/>
        <v>@FrenchOsint</v>
      </c>
      <c r="H228" s="193" t="s">
        <v>624</v>
      </c>
      <c r="I228" s="106"/>
      <c r="J228" s="106"/>
      <c r="K228" s="106"/>
      <c r="L228" s="159"/>
      <c r="M228" s="76"/>
      <c r="N228" s="76"/>
      <c r="O228" s="76"/>
      <c r="P228" s="76"/>
      <c r="Q228" s="76"/>
      <c r="R228" s="76"/>
      <c r="S228" s="76"/>
      <c r="T228" s="76"/>
      <c r="U228" s="76"/>
      <c r="V228" s="162"/>
      <c r="W228" s="159"/>
      <c r="X228" s="76"/>
      <c r="Y228" s="76"/>
      <c r="Z228" s="76"/>
      <c r="AA228" s="76"/>
      <c r="AB228" s="76"/>
      <c r="AC228" s="76"/>
      <c r="AD228" s="76"/>
      <c r="AE228" s="76"/>
      <c r="AF228" s="76"/>
      <c r="AG228" s="76"/>
      <c r="AH228" s="4"/>
      <c r="AI228" s="4"/>
      <c r="AJ228" s="4"/>
      <c r="AK228" s="4"/>
      <c r="AL228" s="4"/>
    </row>
    <row r="229" spans="1:38" ht="14">
      <c r="A229" s="106"/>
      <c r="B229" s="106"/>
      <c r="C229" s="189"/>
      <c r="D229" s="190"/>
      <c r="E229" s="190" t="s">
        <v>635</v>
      </c>
      <c r="F229" s="157" t="str">
        <f ca="1">IFERROR(__xludf.DUMMYFUNCTION("INDEX(SPLIT(E229,""/""),,COUNTA(SPLIT(E229,""/"")))"),"1742707049161486481")</f>
        <v>1742707049161486481</v>
      </c>
      <c r="G229" s="192" t="str">
        <f t="shared" si="0"/>
        <v>@osint_random</v>
      </c>
      <c r="H229" s="193" t="s">
        <v>624</v>
      </c>
      <c r="I229" s="106"/>
      <c r="J229" s="106"/>
      <c r="K229" s="106"/>
      <c r="L229" s="159"/>
      <c r="M229" s="76"/>
      <c r="N229" s="76"/>
      <c r="O229" s="76"/>
      <c r="P229" s="76"/>
      <c r="Q229" s="76"/>
      <c r="R229" s="76"/>
      <c r="S229" s="76"/>
      <c r="T229" s="76"/>
      <c r="U229" s="76"/>
      <c r="V229" s="162"/>
      <c r="W229" s="159"/>
      <c r="X229" s="76"/>
      <c r="Y229" s="76"/>
      <c r="Z229" s="76"/>
      <c r="AA229" s="76"/>
      <c r="AB229" s="76"/>
      <c r="AC229" s="76"/>
      <c r="AD229" s="76"/>
      <c r="AE229" s="76"/>
      <c r="AF229" s="76"/>
      <c r="AG229" s="76"/>
      <c r="AH229" s="4"/>
      <c r="AI229" s="4"/>
      <c r="AJ229" s="4"/>
      <c r="AK229" s="4"/>
      <c r="AL229" s="4"/>
    </row>
    <row r="230" spans="1:38" ht="14">
      <c r="A230" s="106"/>
      <c r="B230" s="106"/>
      <c r="C230" s="189"/>
      <c r="D230" s="190"/>
      <c r="E230" s="190" t="s">
        <v>636</v>
      </c>
      <c r="F230" s="157" t="str">
        <f ca="1">IFERROR(__xludf.DUMMYFUNCTION("INDEX(SPLIT(E230,""/""),,COUNTA(SPLIT(E230,""/"")))"),"1743248435912867906")</f>
        <v>1743248435912867906</v>
      </c>
      <c r="G230" s="192" t="str">
        <f t="shared" si="0"/>
        <v>@RejaumontP</v>
      </c>
      <c r="H230" s="193" t="s">
        <v>624</v>
      </c>
      <c r="I230" s="106"/>
      <c r="J230" s="106"/>
      <c r="K230" s="106"/>
      <c r="L230" s="159"/>
      <c r="M230" s="76"/>
      <c r="N230" s="76"/>
      <c r="O230" s="76"/>
      <c r="P230" s="76"/>
      <c r="Q230" s="76"/>
      <c r="R230" s="76"/>
      <c r="S230" s="76"/>
      <c r="T230" s="76"/>
      <c r="U230" s="76"/>
      <c r="V230" s="162"/>
      <c r="W230" s="159"/>
      <c r="X230" s="76"/>
      <c r="Y230" s="76"/>
      <c r="Z230" s="76"/>
      <c r="AA230" s="76"/>
      <c r="AB230" s="76"/>
      <c r="AC230" s="76"/>
      <c r="AD230" s="76"/>
      <c r="AE230" s="76"/>
      <c r="AF230" s="76"/>
      <c r="AG230" s="76"/>
      <c r="AH230" s="4"/>
      <c r="AI230" s="4"/>
      <c r="AJ230" s="4"/>
      <c r="AK230" s="4"/>
      <c r="AL230" s="4"/>
    </row>
    <row r="231" spans="1:38" ht="14">
      <c r="A231" s="106"/>
      <c r="B231" s="106"/>
      <c r="C231" s="189"/>
      <c r="D231" s="190"/>
      <c r="E231" s="190" t="s">
        <v>637</v>
      </c>
      <c r="F231" s="157" t="str">
        <f ca="1">IFERROR(__xludf.DUMMYFUNCTION("INDEX(SPLIT(E231,""/""),,COUNTA(SPLIT(E231,""/"")))"),"1744343813894684970")</f>
        <v>1744343813894684970</v>
      </c>
      <c r="G231" s="192" t="str">
        <f t="shared" si="0"/>
        <v>@ZLLog</v>
      </c>
      <c r="H231" s="193" t="s">
        <v>624</v>
      </c>
      <c r="I231" s="106"/>
      <c r="J231" s="106"/>
      <c r="K231" s="106"/>
      <c r="L231" s="159"/>
      <c r="M231" s="76"/>
      <c r="N231" s="76"/>
      <c r="O231" s="76"/>
      <c r="P231" s="76"/>
      <c r="Q231" s="76"/>
      <c r="R231" s="76"/>
      <c r="S231" s="76"/>
      <c r="T231" s="76"/>
      <c r="U231" s="76"/>
      <c r="V231" s="162"/>
      <c r="W231" s="159"/>
      <c r="X231" s="76"/>
      <c r="Y231" s="76"/>
      <c r="Z231" s="76"/>
      <c r="AA231" s="76"/>
      <c r="AB231" s="76"/>
      <c r="AC231" s="76"/>
      <c r="AD231" s="76"/>
      <c r="AE231" s="76"/>
      <c r="AF231" s="76"/>
      <c r="AG231" s="76"/>
      <c r="AH231" s="4"/>
      <c r="AI231" s="4"/>
      <c r="AJ231" s="4"/>
      <c r="AK231" s="4"/>
      <c r="AL231" s="4"/>
    </row>
    <row r="232" spans="1:38" ht="14">
      <c r="A232" s="106"/>
      <c r="B232" s="106"/>
      <c r="C232" s="189"/>
      <c r="D232" s="190"/>
      <c r="E232" s="190" t="s">
        <v>638</v>
      </c>
      <c r="F232" s="157" t="str">
        <f ca="1">IFERROR(__xludf.DUMMYFUNCTION("INDEX(SPLIT(E232,""/""),,COUNTA(SPLIT(E232,""/"")))"),"1745039181049373028")</f>
        <v>1745039181049373028</v>
      </c>
      <c r="G232" s="192" t="str">
        <f t="shared" si="0"/>
        <v>@osint_random</v>
      </c>
      <c r="H232" s="193" t="s">
        <v>624</v>
      </c>
      <c r="I232" s="106"/>
      <c r="J232" s="106"/>
      <c r="K232" s="106"/>
      <c r="L232" s="159"/>
      <c r="M232" s="76"/>
      <c r="N232" s="76"/>
      <c r="O232" s="76"/>
      <c r="P232" s="76"/>
      <c r="Q232" s="76"/>
      <c r="R232" s="76"/>
      <c r="S232" s="76"/>
      <c r="T232" s="76"/>
      <c r="U232" s="76"/>
      <c r="V232" s="162"/>
      <c r="W232" s="159"/>
      <c r="X232" s="76"/>
      <c r="Y232" s="76"/>
      <c r="Z232" s="76"/>
      <c r="AA232" s="76"/>
      <c r="AB232" s="76"/>
      <c r="AC232" s="76"/>
      <c r="AD232" s="76"/>
      <c r="AE232" s="76"/>
      <c r="AF232" s="76"/>
      <c r="AG232" s="76"/>
      <c r="AH232" s="4"/>
      <c r="AI232" s="4"/>
      <c r="AJ232" s="4"/>
      <c r="AK232" s="4"/>
      <c r="AL232" s="4"/>
    </row>
    <row r="233" spans="1:38" ht="14">
      <c r="A233" s="106"/>
      <c r="B233" s="106"/>
      <c r="C233" s="189"/>
      <c r="D233" s="190"/>
      <c r="E233" s="190" t="s">
        <v>639</v>
      </c>
      <c r="F233" s="157" t="str">
        <f ca="1">IFERROR(__xludf.DUMMYFUNCTION("INDEX(SPLIT(E233,""/""),,COUNTA(SPLIT(E233,""/"")))"),"1744474648073368027")</f>
        <v>1744474648073368027</v>
      </c>
      <c r="G233" s="192" t="str">
        <f t="shared" si="0"/>
        <v>@osint_random</v>
      </c>
      <c r="H233" s="193" t="s">
        <v>624</v>
      </c>
      <c r="I233" s="106"/>
      <c r="J233" s="106"/>
      <c r="K233" s="106"/>
      <c r="L233" s="159"/>
      <c r="M233" s="76"/>
      <c r="N233" s="76"/>
      <c r="O233" s="76"/>
      <c r="P233" s="76"/>
      <c r="Q233" s="76"/>
      <c r="R233" s="76"/>
      <c r="S233" s="76"/>
      <c r="T233" s="76"/>
      <c r="U233" s="76"/>
      <c r="V233" s="162"/>
      <c r="W233" s="159"/>
      <c r="X233" s="76"/>
      <c r="Y233" s="76"/>
      <c r="Z233" s="76"/>
      <c r="AA233" s="76"/>
      <c r="AB233" s="76"/>
      <c r="AC233" s="76"/>
      <c r="AD233" s="76"/>
      <c r="AE233" s="76"/>
      <c r="AF233" s="76"/>
      <c r="AG233" s="76"/>
      <c r="AH233" s="4"/>
      <c r="AI233" s="4"/>
      <c r="AJ233" s="4"/>
      <c r="AK233" s="4"/>
      <c r="AL233" s="4"/>
    </row>
    <row r="234" spans="1:38" ht="14">
      <c r="A234" s="106"/>
      <c r="B234" s="106"/>
      <c r="C234" s="189"/>
      <c r="D234" s="190"/>
      <c r="E234" s="190" t="s">
        <v>640</v>
      </c>
      <c r="F234" s="157" t="str">
        <f ca="1">IFERROR(__xludf.DUMMYFUNCTION("INDEX(SPLIT(E234,""/""),,COUNTA(SPLIT(E234,""/"")))"),"1742704004671627334")</f>
        <v>1742704004671627334</v>
      </c>
      <c r="G234" s="192" t="str">
        <f t="shared" si="0"/>
        <v>@osint_random</v>
      </c>
      <c r="H234" s="193" t="s">
        <v>624</v>
      </c>
      <c r="I234" s="106"/>
      <c r="J234" s="106"/>
      <c r="K234" s="106"/>
      <c r="L234" s="159"/>
      <c r="M234" s="76"/>
      <c r="N234" s="76"/>
      <c r="O234" s="76"/>
      <c r="P234" s="76"/>
      <c r="Q234" s="76"/>
      <c r="R234" s="76"/>
      <c r="S234" s="76"/>
      <c r="T234" s="76"/>
      <c r="U234" s="76"/>
      <c r="V234" s="162"/>
      <c r="W234" s="159"/>
      <c r="X234" s="76"/>
      <c r="Y234" s="76"/>
      <c r="Z234" s="76"/>
      <c r="AA234" s="76"/>
      <c r="AB234" s="76"/>
      <c r="AC234" s="76"/>
      <c r="AD234" s="76"/>
      <c r="AE234" s="76"/>
      <c r="AF234" s="76"/>
      <c r="AG234" s="76"/>
      <c r="AH234" s="4"/>
      <c r="AI234" s="4"/>
      <c r="AJ234" s="4"/>
      <c r="AK234" s="4"/>
      <c r="AL234" s="4"/>
    </row>
    <row r="235" spans="1:38" ht="14">
      <c r="A235" s="106"/>
      <c r="B235" s="106"/>
      <c r="C235" s="189"/>
      <c r="D235" s="190"/>
      <c r="E235" s="190" t="s">
        <v>641</v>
      </c>
      <c r="F235" s="157" t="str">
        <f ca="1">IFERROR(__xludf.DUMMYFUNCTION("INDEX(SPLIT(E235,""/""),,COUNTA(SPLIT(E235,""/"")))"),"1743336095792889989")</f>
        <v>1743336095792889989</v>
      </c>
      <c r="G235" s="192" t="str">
        <f t="shared" si="0"/>
        <v>@osint_random</v>
      </c>
      <c r="H235" s="193" t="s">
        <v>624</v>
      </c>
      <c r="I235" s="106"/>
      <c r="J235" s="106"/>
      <c r="K235" s="106"/>
      <c r="L235" s="159"/>
      <c r="M235" s="76"/>
      <c r="N235" s="76"/>
      <c r="O235" s="76"/>
      <c r="P235" s="76"/>
      <c r="Q235" s="76"/>
      <c r="R235" s="76"/>
      <c r="S235" s="76"/>
      <c r="T235" s="76"/>
      <c r="U235" s="76"/>
      <c r="V235" s="162"/>
      <c r="W235" s="159"/>
      <c r="X235" s="76"/>
      <c r="Y235" s="76"/>
      <c r="Z235" s="76"/>
      <c r="AA235" s="76"/>
      <c r="AB235" s="76"/>
      <c r="AC235" s="76"/>
      <c r="AD235" s="76"/>
      <c r="AE235" s="76"/>
      <c r="AF235" s="76"/>
      <c r="AG235" s="76"/>
      <c r="AH235" s="4"/>
      <c r="AI235" s="4"/>
      <c r="AJ235" s="4"/>
      <c r="AK235" s="4"/>
      <c r="AL235" s="4"/>
    </row>
    <row r="236" spans="1:38" ht="14">
      <c r="A236" s="106"/>
      <c r="B236" s="106"/>
      <c r="C236" s="189"/>
      <c r="D236" s="190"/>
      <c r="E236" s="190" t="s">
        <v>642</v>
      </c>
      <c r="F236" s="157" t="str">
        <f ca="1">IFERROR(__xludf.DUMMYFUNCTION("INDEX(SPLIT(E236,""/""),,COUNTA(SPLIT(E236,""/"")))"),"1743614122086834307")</f>
        <v>1743614122086834307</v>
      </c>
      <c r="G236" s="192" t="str">
        <f t="shared" si="0"/>
        <v>@osint_random</v>
      </c>
      <c r="H236" s="193" t="s">
        <v>624</v>
      </c>
      <c r="I236" s="106"/>
      <c r="J236" s="106"/>
      <c r="K236" s="106"/>
      <c r="L236" s="159"/>
      <c r="M236" s="76"/>
      <c r="N236" s="76"/>
      <c r="O236" s="76"/>
      <c r="P236" s="76"/>
      <c r="Q236" s="76"/>
      <c r="R236" s="76"/>
      <c r="S236" s="76"/>
      <c r="T236" s="76"/>
      <c r="U236" s="76"/>
      <c r="V236" s="162"/>
      <c r="W236" s="159"/>
      <c r="X236" s="76"/>
      <c r="Y236" s="76"/>
      <c r="Z236" s="76"/>
      <c r="AA236" s="76"/>
      <c r="AB236" s="76"/>
      <c r="AC236" s="76"/>
      <c r="AD236" s="76"/>
      <c r="AE236" s="76"/>
      <c r="AF236" s="76"/>
      <c r="AG236" s="76"/>
      <c r="AH236" s="4"/>
      <c r="AI236" s="4"/>
      <c r="AJ236" s="4"/>
      <c r="AK236" s="4"/>
      <c r="AL236" s="4"/>
    </row>
    <row r="237" spans="1:38" ht="14">
      <c r="A237" s="106"/>
      <c r="B237" s="106"/>
      <c r="C237" s="189"/>
      <c r="D237" s="190"/>
      <c r="E237" s="190" t="s">
        <v>643</v>
      </c>
      <c r="F237" s="157" t="str">
        <f ca="1">IFERROR(__xludf.DUMMYFUNCTION("INDEX(SPLIT(E237,""/""),,COUNTA(SPLIT(E237,""/"")))"),"1743721946942984300")</f>
        <v>1743721946942984300</v>
      </c>
      <c r="G237" s="192" t="str">
        <f t="shared" si="0"/>
        <v>@osint_random</v>
      </c>
      <c r="H237" s="193" t="s">
        <v>624</v>
      </c>
      <c r="I237" s="106"/>
      <c r="J237" s="106"/>
      <c r="K237" s="106"/>
      <c r="L237" s="159"/>
      <c r="M237" s="76"/>
      <c r="N237" s="76"/>
      <c r="O237" s="76"/>
      <c r="P237" s="76"/>
      <c r="Q237" s="76"/>
      <c r="R237" s="76"/>
      <c r="S237" s="76"/>
      <c r="T237" s="76"/>
      <c r="U237" s="76"/>
      <c r="V237" s="162"/>
      <c r="W237" s="159"/>
      <c r="X237" s="76"/>
      <c r="Y237" s="76"/>
      <c r="Z237" s="76"/>
      <c r="AA237" s="76"/>
      <c r="AB237" s="76"/>
      <c r="AC237" s="76"/>
      <c r="AD237" s="76"/>
      <c r="AE237" s="76"/>
      <c r="AF237" s="76"/>
      <c r="AG237" s="76"/>
      <c r="AH237" s="4"/>
      <c r="AI237" s="4"/>
      <c r="AJ237" s="4"/>
      <c r="AK237" s="4"/>
      <c r="AL237" s="4"/>
    </row>
    <row r="238" spans="1:38" ht="14">
      <c r="A238" s="106"/>
      <c r="B238" s="106"/>
      <c r="C238" s="189"/>
      <c r="D238" s="190"/>
      <c r="E238" s="190" t="s">
        <v>644</v>
      </c>
      <c r="F238" s="157" t="str">
        <f ca="1">IFERROR(__xludf.DUMMYFUNCTION("INDEX(SPLIT(E238,""/""),,COUNTA(SPLIT(E238,""/"")))"),"1745202695084937706")</f>
        <v>1745202695084937706</v>
      </c>
      <c r="G238" s="192" t="str">
        <f t="shared" si="0"/>
        <v>@osint_random</v>
      </c>
      <c r="H238" s="193" t="s">
        <v>624</v>
      </c>
      <c r="I238" s="106"/>
      <c r="J238" s="106"/>
      <c r="K238" s="106"/>
      <c r="L238" s="159"/>
      <c r="M238" s="76"/>
      <c r="N238" s="76"/>
      <c r="O238" s="76"/>
      <c r="P238" s="76"/>
      <c r="Q238" s="76"/>
      <c r="R238" s="76"/>
      <c r="S238" s="76"/>
      <c r="T238" s="76"/>
      <c r="U238" s="76"/>
      <c r="V238" s="162"/>
      <c r="W238" s="159"/>
      <c r="X238" s="76"/>
      <c r="Y238" s="76"/>
      <c r="Z238" s="76"/>
      <c r="AA238" s="76"/>
      <c r="AB238" s="76"/>
      <c r="AC238" s="76"/>
      <c r="AD238" s="76"/>
      <c r="AE238" s="76"/>
      <c r="AF238" s="76"/>
      <c r="AG238" s="76"/>
      <c r="AH238" s="4"/>
      <c r="AI238" s="4"/>
      <c r="AJ238" s="4"/>
      <c r="AK238" s="4"/>
      <c r="AL238" s="4"/>
    </row>
    <row r="239" spans="1:38" ht="14">
      <c r="A239" s="106"/>
      <c r="B239" s="106"/>
      <c r="C239" s="189"/>
      <c r="D239" s="190"/>
      <c r="E239" s="190" t="s">
        <v>645</v>
      </c>
      <c r="F239" s="157" t="str">
        <f ca="1">IFERROR(__xludf.DUMMYFUNCTION("INDEX(SPLIT(E239,""/""),,COUNTA(SPLIT(E239,""/"")))"),"1744117903186682334")</f>
        <v>1744117903186682334</v>
      </c>
      <c r="G239" s="192" t="str">
        <f t="shared" si="0"/>
        <v>@osint_random</v>
      </c>
      <c r="H239" s="193" t="s">
        <v>624</v>
      </c>
      <c r="I239" s="106"/>
      <c r="J239" s="106"/>
      <c r="K239" s="106"/>
      <c r="L239" s="159"/>
      <c r="M239" s="76"/>
      <c r="N239" s="76"/>
      <c r="O239" s="76"/>
      <c r="P239" s="76"/>
      <c r="Q239" s="76"/>
      <c r="R239" s="76"/>
      <c r="S239" s="76"/>
      <c r="T239" s="76"/>
      <c r="U239" s="76"/>
      <c r="V239" s="162"/>
      <c r="W239" s="159"/>
      <c r="X239" s="76"/>
      <c r="Y239" s="76"/>
      <c r="Z239" s="76"/>
      <c r="AA239" s="76"/>
      <c r="AB239" s="76"/>
      <c r="AC239" s="76"/>
      <c r="AD239" s="76"/>
      <c r="AE239" s="76"/>
      <c r="AF239" s="76"/>
      <c r="AG239" s="76"/>
      <c r="AH239" s="4"/>
      <c r="AI239" s="4"/>
      <c r="AJ239" s="4"/>
      <c r="AK239" s="4"/>
      <c r="AL239" s="4"/>
    </row>
    <row r="240" spans="1:38" ht="14">
      <c r="A240" s="106"/>
      <c r="B240" s="106"/>
      <c r="C240" s="189"/>
      <c r="D240" s="190"/>
      <c r="E240" s="190" t="s">
        <v>646</v>
      </c>
      <c r="F240" s="157" t="str">
        <f ca="1">IFERROR(__xludf.DUMMYFUNCTION("INDEX(SPLIT(E240,""/""),,COUNTA(SPLIT(E240,""/"")))"),"1745229154562277431")</f>
        <v>1745229154562277431</v>
      </c>
      <c r="G240" s="192" t="str">
        <f t="shared" si="0"/>
        <v>@osint_random</v>
      </c>
      <c r="H240" s="193" t="s">
        <v>624</v>
      </c>
      <c r="I240" s="106"/>
      <c r="J240" s="106"/>
      <c r="K240" s="106"/>
      <c r="L240" s="159"/>
      <c r="M240" s="76"/>
      <c r="N240" s="76"/>
      <c r="O240" s="76"/>
      <c r="P240" s="76"/>
      <c r="Q240" s="76"/>
      <c r="R240" s="76"/>
      <c r="S240" s="76"/>
      <c r="T240" s="76"/>
      <c r="U240" s="76"/>
      <c r="V240" s="162"/>
      <c r="W240" s="159"/>
      <c r="X240" s="76"/>
      <c r="Y240" s="76"/>
      <c r="Z240" s="76"/>
      <c r="AA240" s="76"/>
      <c r="AB240" s="76"/>
      <c r="AC240" s="76"/>
      <c r="AD240" s="76"/>
      <c r="AE240" s="76"/>
      <c r="AF240" s="76"/>
      <c r="AG240" s="76"/>
      <c r="AH240" s="4"/>
      <c r="AI240" s="4"/>
      <c r="AJ240" s="4"/>
      <c r="AK240" s="4"/>
      <c r="AL240" s="4"/>
    </row>
    <row r="241" spans="1:38" ht="14">
      <c r="A241" s="106"/>
      <c r="B241" s="106"/>
      <c r="C241" s="189"/>
      <c r="D241" s="190"/>
      <c r="E241" s="190" t="s">
        <v>647</v>
      </c>
      <c r="F241" s="157" t="str">
        <f ca="1">IFERROR(__xludf.DUMMYFUNCTION("INDEX(SPLIT(E241,""/""),,COUNTA(SPLIT(E241,""/"")))"),"1743564710027362417")</f>
        <v>1743564710027362417</v>
      </c>
      <c r="G241" s="192" t="str">
        <f t="shared" si="0"/>
        <v>@rudyurbaniak</v>
      </c>
      <c r="H241" s="193" t="s">
        <v>624</v>
      </c>
      <c r="I241" s="106"/>
      <c r="J241" s="106"/>
      <c r="K241" s="106"/>
      <c r="L241" s="159"/>
      <c r="M241" s="76"/>
      <c r="N241" s="76"/>
      <c r="O241" s="76"/>
      <c r="P241" s="76"/>
      <c r="Q241" s="76"/>
      <c r="R241" s="76"/>
      <c r="S241" s="76"/>
      <c r="T241" s="76"/>
      <c r="U241" s="76"/>
      <c r="V241" s="162"/>
      <c r="W241" s="159"/>
      <c r="X241" s="76"/>
      <c r="Y241" s="76"/>
      <c r="Z241" s="76"/>
      <c r="AA241" s="76"/>
      <c r="AB241" s="76"/>
      <c r="AC241" s="76"/>
      <c r="AD241" s="76"/>
      <c r="AE241" s="76"/>
      <c r="AF241" s="76"/>
      <c r="AG241" s="76"/>
      <c r="AH241" s="4"/>
      <c r="AI241" s="4"/>
      <c r="AJ241" s="4"/>
      <c r="AK241" s="4"/>
      <c r="AL241" s="4"/>
    </row>
    <row r="242" spans="1:38" ht="14">
      <c r="A242" s="106"/>
      <c r="B242" s="106"/>
      <c r="C242" s="189"/>
      <c r="D242" s="190"/>
      <c r="E242" s="190" t="s">
        <v>636</v>
      </c>
      <c r="F242" s="157" t="str">
        <f ca="1">IFERROR(__xludf.DUMMYFUNCTION("INDEX(SPLIT(E242,""/""),,COUNTA(SPLIT(E242,""/"")))"),"1743248435912867906")</f>
        <v>1743248435912867906</v>
      </c>
      <c r="G242" s="192" t="str">
        <f t="shared" si="0"/>
        <v>@RejaumontP</v>
      </c>
      <c r="H242" s="193" t="s">
        <v>624</v>
      </c>
      <c r="I242" s="106"/>
      <c r="J242" s="106"/>
      <c r="K242" s="106"/>
      <c r="L242" s="159"/>
      <c r="M242" s="76"/>
      <c r="N242" s="76"/>
      <c r="O242" s="76"/>
      <c r="P242" s="76"/>
      <c r="Q242" s="76"/>
      <c r="R242" s="76"/>
      <c r="S242" s="76"/>
      <c r="T242" s="76"/>
      <c r="U242" s="76"/>
      <c r="V242" s="162"/>
      <c r="W242" s="159"/>
      <c r="X242" s="76"/>
      <c r="Y242" s="76"/>
      <c r="Z242" s="76"/>
      <c r="AA242" s="76"/>
      <c r="AB242" s="76"/>
      <c r="AC242" s="76"/>
      <c r="AD242" s="76"/>
      <c r="AE242" s="76"/>
      <c r="AF242" s="76"/>
      <c r="AG242" s="76"/>
      <c r="AH242" s="4"/>
      <c r="AI242" s="4"/>
      <c r="AJ242" s="4"/>
      <c r="AK242" s="4"/>
      <c r="AL242" s="4"/>
    </row>
    <row r="243" spans="1:38" ht="14">
      <c r="A243" s="106"/>
      <c r="B243" s="106"/>
      <c r="C243" s="189"/>
      <c r="D243" s="190"/>
      <c r="E243" s="190" t="s">
        <v>637</v>
      </c>
      <c r="F243" s="157" t="str">
        <f ca="1">IFERROR(__xludf.DUMMYFUNCTION("INDEX(SPLIT(E243,""/""),,COUNTA(SPLIT(E243,""/"")))"),"1744343813894684970")</f>
        <v>1744343813894684970</v>
      </c>
      <c r="G243" s="192" t="str">
        <f t="shared" si="0"/>
        <v>@ZLLog</v>
      </c>
      <c r="H243" s="193" t="s">
        <v>624</v>
      </c>
      <c r="I243" s="106"/>
      <c r="J243" s="106"/>
      <c r="K243" s="106"/>
      <c r="L243" s="159"/>
      <c r="M243" s="76"/>
      <c r="N243" s="76"/>
      <c r="O243" s="76"/>
      <c r="P243" s="76"/>
      <c r="Q243" s="76"/>
      <c r="R243" s="76"/>
      <c r="S243" s="76"/>
      <c r="T243" s="76"/>
      <c r="U243" s="76"/>
      <c r="V243" s="162"/>
      <c r="W243" s="159"/>
      <c r="X243" s="76"/>
      <c r="Y243" s="76"/>
      <c r="Z243" s="76"/>
      <c r="AA243" s="76"/>
      <c r="AB243" s="76"/>
      <c r="AC243" s="76"/>
      <c r="AD243" s="76"/>
      <c r="AE243" s="76"/>
      <c r="AF243" s="76"/>
      <c r="AG243" s="76"/>
      <c r="AH243" s="4"/>
      <c r="AI243" s="4"/>
      <c r="AJ243" s="4"/>
      <c r="AK243" s="4"/>
      <c r="AL243" s="4"/>
    </row>
    <row r="244" spans="1:38" ht="14">
      <c r="A244" s="106"/>
      <c r="B244" s="106"/>
      <c r="C244" s="189"/>
      <c r="D244" s="190"/>
      <c r="E244" s="190" t="s">
        <v>638</v>
      </c>
      <c r="F244" s="157" t="str">
        <f ca="1">IFERROR(__xludf.DUMMYFUNCTION("INDEX(SPLIT(E244,""/""),,COUNTA(SPLIT(E244,""/"")))"),"1745039181049373028")</f>
        <v>1745039181049373028</v>
      </c>
      <c r="G244" s="192" t="str">
        <f t="shared" si="0"/>
        <v>@osint_random</v>
      </c>
      <c r="H244" s="193" t="s">
        <v>624</v>
      </c>
      <c r="I244" s="106"/>
      <c r="J244" s="106"/>
      <c r="K244" s="106"/>
      <c r="L244" s="159"/>
      <c r="M244" s="76"/>
      <c r="N244" s="76"/>
      <c r="O244" s="76"/>
      <c r="P244" s="76"/>
      <c r="Q244" s="76"/>
      <c r="R244" s="76"/>
      <c r="S244" s="76"/>
      <c r="T244" s="76"/>
      <c r="U244" s="76"/>
      <c r="V244" s="162"/>
      <c r="W244" s="159"/>
      <c r="X244" s="76"/>
      <c r="Y244" s="76"/>
      <c r="Z244" s="76"/>
      <c r="AA244" s="76"/>
      <c r="AB244" s="76"/>
      <c r="AC244" s="76"/>
      <c r="AD244" s="76"/>
      <c r="AE244" s="76"/>
      <c r="AF244" s="76"/>
      <c r="AG244" s="76"/>
      <c r="AH244" s="4"/>
      <c r="AI244" s="4"/>
      <c r="AJ244" s="4"/>
      <c r="AK244" s="4"/>
      <c r="AL244" s="4"/>
    </row>
    <row r="245" spans="1:38" ht="14">
      <c r="A245" s="106"/>
      <c r="B245" s="106"/>
      <c r="C245" s="189"/>
      <c r="D245" s="190"/>
      <c r="E245" s="190" t="s">
        <v>639</v>
      </c>
      <c r="F245" s="157" t="str">
        <f ca="1">IFERROR(__xludf.DUMMYFUNCTION("INDEX(SPLIT(E245,""/""),,COUNTA(SPLIT(E245,""/"")))"),"1744474648073368027")</f>
        <v>1744474648073368027</v>
      </c>
      <c r="G245" s="192" t="str">
        <f t="shared" si="0"/>
        <v>@osint_random</v>
      </c>
      <c r="H245" s="193" t="s">
        <v>624</v>
      </c>
      <c r="I245" s="106"/>
      <c r="J245" s="106"/>
      <c r="K245" s="106"/>
      <c r="L245" s="159"/>
      <c r="M245" s="76"/>
      <c r="N245" s="76"/>
      <c r="O245" s="76"/>
      <c r="P245" s="76"/>
      <c r="Q245" s="76"/>
      <c r="R245" s="76"/>
      <c r="S245" s="76"/>
      <c r="T245" s="76"/>
      <c r="U245" s="76"/>
      <c r="V245" s="162"/>
      <c r="W245" s="159"/>
      <c r="X245" s="76"/>
      <c r="Y245" s="76"/>
      <c r="Z245" s="76"/>
      <c r="AA245" s="76"/>
      <c r="AB245" s="76"/>
      <c r="AC245" s="76"/>
      <c r="AD245" s="76"/>
      <c r="AE245" s="76"/>
      <c r="AF245" s="76"/>
      <c r="AG245" s="76"/>
      <c r="AH245" s="4"/>
      <c r="AI245" s="4"/>
      <c r="AJ245" s="4"/>
      <c r="AK245" s="4"/>
      <c r="AL245" s="4"/>
    </row>
    <row r="246" spans="1:38" ht="14">
      <c r="A246" s="106"/>
      <c r="B246" s="106"/>
      <c r="C246" s="189"/>
      <c r="D246" s="190"/>
      <c r="E246" s="190" t="s">
        <v>640</v>
      </c>
      <c r="F246" s="157" t="str">
        <f ca="1">IFERROR(__xludf.DUMMYFUNCTION("INDEX(SPLIT(E246,""/""),,COUNTA(SPLIT(E246,""/"")))"),"1742704004671627334")</f>
        <v>1742704004671627334</v>
      </c>
      <c r="G246" s="192" t="str">
        <f t="shared" si="0"/>
        <v>@osint_random</v>
      </c>
      <c r="H246" s="193" t="s">
        <v>624</v>
      </c>
      <c r="I246" s="106"/>
      <c r="J246" s="106"/>
      <c r="K246" s="106"/>
      <c r="L246" s="159"/>
      <c r="M246" s="76"/>
      <c r="N246" s="76"/>
      <c r="O246" s="76"/>
      <c r="P246" s="76"/>
      <c r="Q246" s="76"/>
      <c r="R246" s="76"/>
      <c r="S246" s="76"/>
      <c r="T246" s="76"/>
      <c r="U246" s="76"/>
      <c r="V246" s="162"/>
      <c r="W246" s="159"/>
      <c r="X246" s="76"/>
      <c r="Y246" s="76"/>
      <c r="Z246" s="76"/>
      <c r="AA246" s="76"/>
      <c r="AB246" s="76"/>
      <c r="AC246" s="76"/>
      <c r="AD246" s="76"/>
      <c r="AE246" s="76"/>
      <c r="AF246" s="76"/>
      <c r="AG246" s="76"/>
      <c r="AH246" s="4"/>
      <c r="AI246" s="4"/>
      <c r="AJ246" s="4"/>
      <c r="AK246" s="4"/>
      <c r="AL246" s="4"/>
    </row>
    <row r="247" spans="1:38" ht="14">
      <c r="A247" s="106"/>
      <c r="B247" s="106"/>
      <c r="C247" s="189"/>
      <c r="D247" s="190"/>
      <c r="E247" s="190" t="s">
        <v>641</v>
      </c>
      <c r="F247" s="157" t="str">
        <f ca="1">IFERROR(__xludf.DUMMYFUNCTION("INDEX(SPLIT(E247,""/""),,COUNTA(SPLIT(E247,""/"")))"),"1743336095792889989")</f>
        <v>1743336095792889989</v>
      </c>
      <c r="G247" s="192" t="str">
        <f t="shared" si="0"/>
        <v>@osint_random</v>
      </c>
      <c r="H247" s="193" t="s">
        <v>624</v>
      </c>
      <c r="I247" s="106"/>
      <c r="J247" s="106"/>
      <c r="K247" s="106"/>
      <c r="L247" s="159"/>
      <c r="M247" s="76"/>
      <c r="N247" s="76"/>
      <c r="O247" s="76"/>
      <c r="P247" s="76"/>
      <c r="Q247" s="76"/>
      <c r="R247" s="76"/>
      <c r="S247" s="76"/>
      <c r="T247" s="76"/>
      <c r="U247" s="76"/>
      <c r="V247" s="162"/>
      <c r="W247" s="159"/>
      <c r="X247" s="76"/>
      <c r="Y247" s="76"/>
      <c r="Z247" s="76"/>
      <c r="AA247" s="76"/>
      <c r="AB247" s="76"/>
      <c r="AC247" s="76"/>
      <c r="AD247" s="76"/>
      <c r="AE247" s="76"/>
      <c r="AF247" s="76"/>
      <c r="AG247" s="76"/>
      <c r="AH247" s="4"/>
      <c r="AI247" s="4"/>
      <c r="AJ247" s="4"/>
      <c r="AK247" s="4"/>
      <c r="AL247" s="4"/>
    </row>
    <row r="248" spans="1:38" ht="14">
      <c r="A248" s="106"/>
      <c r="B248" s="106"/>
      <c r="C248" s="189"/>
      <c r="D248" s="190"/>
      <c r="E248" s="190" t="s">
        <v>642</v>
      </c>
      <c r="F248" s="157" t="str">
        <f ca="1">IFERROR(__xludf.DUMMYFUNCTION("INDEX(SPLIT(E248,""/""),,COUNTA(SPLIT(E248,""/"")))"),"1743614122086834307")</f>
        <v>1743614122086834307</v>
      </c>
      <c r="G248" s="192" t="str">
        <f t="shared" si="0"/>
        <v>@osint_random</v>
      </c>
      <c r="H248" s="193" t="s">
        <v>624</v>
      </c>
      <c r="I248" s="106"/>
      <c r="J248" s="106"/>
      <c r="K248" s="106"/>
      <c r="L248" s="159"/>
      <c r="M248" s="76"/>
      <c r="N248" s="76"/>
      <c r="O248" s="76"/>
      <c r="P248" s="76"/>
      <c r="Q248" s="76"/>
      <c r="R248" s="76"/>
      <c r="S248" s="76"/>
      <c r="T248" s="76"/>
      <c r="U248" s="76"/>
      <c r="V248" s="162"/>
      <c r="W248" s="159"/>
      <c r="X248" s="76"/>
      <c r="Y248" s="76"/>
      <c r="Z248" s="76"/>
      <c r="AA248" s="76"/>
      <c r="AB248" s="76"/>
      <c r="AC248" s="76"/>
      <c r="AD248" s="76"/>
      <c r="AE248" s="76"/>
      <c r="AF248" s="76"/>
      <c r="AG248" s="76"/>
      <c r="AH248" s="4"/>
      <c r="AI248" s="4"/>
      <c r="AJ248" s="4"/>
      <c r="AK248" s="4"/>
      <c r="AL248" s="4"/>
    </row>
    <row r="249" spans="1:38" ht="14">
      <c r="A249" s="106"/>
      <c r="B249" s="106"/>
      <c r="C249" s="189"/>
      <c r="D249" s="190"/>
      <c r="E249" s="190" t="s">
        <v>643</v>
      </c>
      <c r="F249" s="157" t="str">
        <f ca="1">IFERROR(__xludf.DUMMYFUNCTION("INDEX(SPLIT(E249,""/""),,COUNTA(SPLIT(E249,""/"")))"),"1743721946942984300")</f>
        <v>1743721946942984300</v>
      </c>
      <c r="G249" s="192" t="str">
        <f t="shared" si="0"/>
        <v>@osint_random</v>
      </c>
      <c r="H249" s="193" t="s">
        <v>624</v>
      </c>
      <c r="I249" s="106"/>
      <c r="J249" s="106"/>
      <c r="K249" s="106"/>
      <c r="L249" s="159"/>
      <c r="M249" s="76"/>
      <c r="N249" s="76"/>
      <c r="O249" s="76"/>
      <c r="P249" s="76"/>
      <c r="Q249" s="76"/>
      <c r="R249" s="76"/>
      <c r="S249" s="76"/>
      <c r="T249" s="76"/>
      <c r="U249" s="76"/>
      <c r="V249" s="162"/>
      <c r="W249" s="159"/>
      <c r="X249" s="76"/>
      <c r="Y249" s="76"/>
      <c r="Z249" s="76"/>
      <c r="AA249" s="76"/>
      <c r="AB249" s="76"/>
      <c r="AC249" s="76"/>
      <c r="AD249" s="76"/>
      <c r="AE249" s="76"/>
      <c r="AF249" s="76"/>
      <c r="AG249" s="76"/>
      <c r="AH249" s="4"/>
      <c r="AI249" s="4"/>
      <c r="AJ249" s="4"/>
      <c r="AK249" s="4"/>
      <c r="AL249" s="4"/>
    </row>
    <row r="250" spans="1:38" ht="14">
      <c r="A250" s="106"/>
      <c r="B250" s="106"/>
      <c r="C250" s="189"/>
      <c r="D250" s="190"/>
      <c r="E250" s="190" t="s">
        <v>644</v>
      </c>
      <c r="F250" s="157" t="str">
        <f ca="1">IFERROR(__xludf.DUMMYFUNCTION("INDEX(SPLIT(E250,""/""),,COUNTA(SPLIT(E250,""/"")))"),"1745202695084937706")</f>
        <v>1745202695084937706</v>
      </c>
      <c r="G250" s="192" t="str">
        <f t="shared" si="0"/>
        <v>@osint_random</v>
      </c>
      <c r="H250" s="193" t="s">
        <v>624</v>
      </c>
      <c r="I250" s="106"/>
      <c r="J250" s="106"/>
      <c r="K250" s="106"/>
      <c r="L250" s="159"/>
      <c r="M250" s="76"/>
      <c r="N250" s="76"/>
      <c r="O250" s="76"/>
      <c r="P250" s="76"/>
      <c r="Q250" s="76"/>
      <c r="R250" s="76"/>
      <c r="S250" s="76"/>
      <c r="T250" s="76"/>
      <c r="U250" s="76"/>
      <c r="V250" s="162"/>
      <c r="W250" s="159"/>
      <c r="X250" s="76"/>
      <c r="Y250" s="76"/>
      <c r="Z250" s="76"/>
      <c r="AA250" s="76"/>
      <c r="AB250" s="76"/>
      <c r="AC250" s="76"/>
      <c r="AD250" s="76"/>
      <c r="AE250" s="76"/>
      <c r="AF250" s="76"/>
      <c r="AG250" s="76"/>
      <c r="AH250" s="4"/>
      <c r="AI250" s="4"/>
      <c r="AJ250" s="4"/>
      <c r="AK250" s="4"/>
      <c r="AL250" s="4"/>
    </row>
    <row r="251" spans="1:38" ht="14">
      <c r="A251" s="106"/>
      <c r="B251" s="106"/>
      <c r="C251" s="189"/>
      <c r="D251" s="190"/>
      <c r="E251" s="190" t="s">
        <v>645</v>
      </c>
      <c r="F251" s="157" t="str">
        <f ca="1">IFERROR(__xludf.DUMMYFUNCTION("INDEX(SPLIT(E251,""/""),,COUNTA(SPLIT(E251,""/"")))"),"1744117903186682334")</f>
        <v>1744117903186682334</v>
      </c>
      <c r="G251" s="192" t="str">
        <f t="shared" si="0"/>
        <v>@osint_random</v>
      </c>
      <c r="H251" s="193" t="s">
        <v>624</v>
      </c>
      <c r="I251" s="106"/>
      <c r="J251" s="106"/>
      <c r="K251" s="106"/>
      <c r="L251" s="159"/>
      <c r="M251" s="76"/>
      <c r="N251" s="76"/>
      <c r="O251" s="76"/>
      <c r="P251" s="76"/>
      <c r="Q251" s="76"/>
      <c r="R251" s="76"/>
      <c r="S251" s="76"/>
      <c r="T251" s="76"/>
      <c r="U251" s="76"/>
      <c r="V251" s="162"/>
      <c r="W251" s="159"/>
      <c r="X251" s="76"/>
      <c r="Y251" s="76"/>
      <c r="Z251" s="76"/>
      <c r="AA251" s="76"/>
      <c r="AB251" s="76"/>
      <c r="AC251" s="76"/>
      <c r="AD251" s="76"/>
      <c r="AE251" s="76"/>
      <c r="AF251" s="76"/>
      <c r="AG251" s="76"/>
      <c r="AH251" s="4"/>
      <c r="AI251" s="4"/>
      <c r="AJ251" s="4"/>
      <c r="AK251" s="4"/>
      <c r="AL251" s="4"/>
    </row>
    <row r="252" spans="1:38" ht="14">
      <c r="A252" s="106"/>
      <c r="B252" s="106"/>
      <c r="C252" s="189"/>
      <c r="D252" s="190"/>
      <c r="E252" s="190" t="s">
        <v>646</v>
      </c>
      <c r="F252" s="157" t="str">
        <f ca="1">IFERROR(__xludf.DUMMYFUNCTION("INDEX(SPLIT(E252,""/""),,COUNTA(SPLIT(E252,""/"")))"),"1745229154562277431")</f>
        <v>1745229154562277431</v>
      </c>
      <c r="G252" s="192" t="str">
        <f t="shared" si="0"/>
        <v>@osint_random</v>
      </c>
      <c r="H252" s="193" t="s">
        <v>624</v>
      </c>
      <c r="I252" s="106"/>
      <c r="J252" s="106"/>
      <c r="K252" s="106"/>
      <c r="L252" s="159"/>
      <c r="M252" s="76"/>
      <c r="N252" s="76"/>
      <c r="O252" s="76"/>
      <c r="P252" s="76"/>
      <c r="Q252" s="76"/>
      <c r="R252" s="76"/>
      <c r="S252" s="76"/>
      <c r="T252" s="76"/>
      <c r="U252" s="76"/>
      <c r="V252" s="162"/>
      <c r="W252" s="159"/>
      <c r="X252" s="76"/>
      <c r="Y252" s="76"/>
      <c r="Z252" s="76"/>
      <c r="AA252" s="76"/>
      <c r="AB252" s="76"/>
      <c r="AC252" s="76"/>
      <c r="AD252" s="76"/>
      <c r="AE252" s="76"/>
      <c r="AF252" s="76"/>
      <c r="AG252" s="76"/>
      <c r="AH252" s="4"/>
      <c r="AI252" s="4"/>
      <c r="AJ252" s="4"/>
      <c r="AK252" s="4"/>
      <c r="AL252" s="4"/>
    </row>
    <row r="253" spans="1:38" ht="14">
      <c r="A253" s="106"/>
      <c r="B253" s="106"/>
      <c r="C253" s="189"/>
      <c r="D253" s="190"/>
      <c r="E253" s="190" t="s">
        <v>647</v>
      </c>
      <c r="F253" s="157" t="str">
        <f ca="1">IFERROR(__xludf.DUMMYFUNCTION("INDEX(SPLIT(E253,""/""),,COUNTA(SPLIT(E253,""/"")))"),"1743564710027362417")</f>
        <v>1743564710027362417</v>
      </c>
      <c r="G253" s="192" t="str">
        <f t="shared" si="0"/>
        <v>@rudyurbaniak</v>
      </c>
      <c r="H253" s="193" t="s">
        <v>624</v>
      </c>
      <c r="I253" s="106"/>
      <c r="J253" s="106"/>
      <c r="K253" s="106"/>
      <c r="L253" s="159"/>
      <c r="M253" s="76"/>
      <c r="N253" s="76"/>
      <c r="O253" s="76"/>
      <c r="P253" s="76"/>
      <c r="Q253" s="76"/>
      <c r="R253" s="76"/>
      <c r="S253" s="76"/>
      <c r="T253" s="76"/>
      <c r="U253" s="76"/>
      <c r="V253" s="162"/>
      <c r="W253" s="159"/>
      <c r="X253" s="76"/>
      <c r="Y253" s="76"/>
      <c r="Z253" s="76"/>
      <c r="AA253" s="76"/>
      <c r="AB253" s="76"/>
      <c r="AC253" s="76"/>
      <c r="AD253" s="76"/>
      <c r="AE253" s="76"/>
      <c r="AF253" s="76"/>
      <c r="AG253" s="76"/>
      <c r="AH253" s="4"/>
      <c r="AI253" s="4"/>
      <c r="AJ253" s="4"/>
      <c r="AK253" s="4"/>
      <c r="AL253" s="4"/>
    </row>
    <row r="254" spans="1:38" ht="14">
      <c r="A254" s="106"/>
      <c r="B254" s="106"/>
      <c r="C254" s="189"/>
      <c r="D254" s="190"/>
      <c r="E254" s="190" t="s">
        <v>648</v>
      </c>
      <c r="F254" s="157" t="str">
        <f ca="1">IFERROR(__xludf.DUMMYFUNCTION("INDEX(SPLIT(E254,""/""),,COUNTA(SPLIT(E254,""/"")))"),"1744343193414492349")</f>
        <v>1744343193414492349</v>
      </c>
      <c r="G254" s="192" t="str">
        <f t="shared" si="0"/>
        <v>@osint_random</v>
      </c>
      <c r="H254" s="193" t="s">
        <v>624</v>
      </c>
      <c r="I254" s="106"/>
      <c r="J254" s="106"/>
      <c r="K254" s="106"/>
      <c r="L254" s="159"/>
      <c r="M254" s="76"/>
      <c r="N254" s="76"/>
      <c r="O254" s="76"/>
      <c r="P254" s="76"/>
      <c r="Q254" s="76"/>
      <c r="R254" s="76"/>
      <c r="S254" s="76"/>
      <c r="T254" s="76"/>
      <c r="U254" s="76"/>
      <c r="V254" s="162"/>
      <c r="W254" s="159"/>
      <c r="X254" s="76"/>
      <c r="Y254" s="76"/>
      <c r="Z254" s="76"/>
      <c r="AA254" s="76"/>
      <c r="AB254" s="76"/>
      <c r="AC254" s="76"/>
      <c r="AD254" s="76"/>
      <c r="AE254" s="76"/>
      <c r="AF254" s="76"/>
      <c r="AG254" s="76"/>
      <c r="AH254" s="4"/>
      <c r="AI254" s="4"/>
      <c r="AJ254" s="4"/>
      <c r="AK254" s="4"/>
      <c r="AL254" s="4"/>
    </row>
    <row r="255" spans="1:38" ht="14">
      <c r="A255" s="106"/>
      <c r="B255" s="106"/>
      <c r="C255" s="189"/>
      <c r="D255" s="190"/>
      <c r="E255" s="190" t="s">
        <v>649</v>
      </c>
      <c r="F255" s="157" t="str">
        <f ca="1">IFERROR(__xludf.DUMMYFUNCTION("INDEX(SPLIT(E255,""/""),,COUNTA(SPLIT(E255,""/"")))"),"1743682996937408790")</f>
        <v>1743682996937408790</v>
      </c>
      <c r="G255" s="192" t="str">
        <f t="shared" si="0"/>
        <v>@mathieuandro</v>
      </c>
      <c r="H255" s="193" t="s">
        <v>624</v>
      </c>
      <c r="I255" s="106"/>
      <c r="J255" s="106"/>
      <c r="K255" s="106"/>
      <c r="L255" s="159"/>
      <c r="M255" s="76"/>
      <c r="N255" s="76"/>
      <c r="O255" s="76"/>
      <c r="P255" s="76"/>
      <c r="Q255" s="76"/>
      <c r="R255" s="76"/>
      <c r="S255" s="76"/>
      <c r="T255" s="76"/>
      <c r="U255" s="76"/>
      <c r="V255" s="162"/>
      <c r="W255" s="159"/>
      <c r="X255" s="76"/>
      <c r="Y255" s="76"/>
      <c r="Z255" s="76"/>
      <c r="AA255" s="76"/>
      <c r="AB255" s="76"/>
      <c r="AC255" s="76"/>
      <c r="AD255" s="76"/>
      <c r="AE255" s="76"/>
      <c r="AF255" s="76"/>
      <c r="AG255" s="76"/>
      <c r="AH255" s="4"/>
      <c r="AI255" s="4"/>
      <c r="AJ255" s="4"/>
      <c r="AK255" s="4"/>
      <c r="AL255" s="4"/>
    </row>
    <row r="256" spans="1:38" ht="14">
      <c r="A256" s="106"/>
      <c r="B256" s="106"/>
      <c r="C256" s="189"/>
      <c r="D256" s="190"/>
      <c r="E256" s="190" t="s">
        <v>650</v>
      </c>
      <c r="F256" s="157" t="str">
        <f ca="1">IFERROR(__xludf.DUMMYFUNCTION("INDEX(SPLIT(E256,""/""),,COUNTA(SPLIT(E256,""/"")))"),"1743546031365587299")</f>
        <v>1743546031365587299</v>
      </c>
      <c r="G256" s="192" t="str">
        <f t="shared" si="0"/>
        <v>@korben_rss</v>
      </c>
      <c r="H256" s="193" t="s">
        <v>624</v>
      </c>
      <c r="I256" s="106"/>
      <c r="J256" s="106"/>
      <c r="K256" s="106"/>
      <c r="L256" s="159"/>
      <c r="M256" s="76"/>
      <c r="N256" s="76"/>
      <c r="O256" s="76"/>
      <c r="P256" s="76"/>
      <c r="Q256" s="76"/>
      <c r="R256" s="76"/>
      <c r="S256" s="76"/>
      <c r="T256" s="76"/>
      <c r="U256" s="76"/>
      <c r="V256" s="162"/>
      <c r="W256" s="159"/>
      <c r="X256" s="76"/>
      <c r="Y256" s="76"/>
      <c r="Z256" s="76"/>
      <c r="AA256" s="76"/>
      <c r="AB256" s="76"/>
      <c r="AC256" s="76"/>
      <c r="AD256" s="76"/>
      <c r="AE256" s="76"/>
      <c r="AF256" s="76"/>
      <c r="AG256" s="76"/>
      <c r="AH256" s="4"/>
      <c r="AI256" s="4"/>
      <c r="AJ256" s="4"/>
      <c r="AK256" s="4"/>
      <c r="AL256" s="4"/>
    </row>
    <row r="257" spans="1:38" ht="14">
      <c r="A257" s="106"/>
      <c r="B257" s="106"/>
      <c r="C257" s="189"/>
      <c r="D257" s="190"/>
      <c r="E257" s="190" t="s">
        <v>651</v>
      </c>
      <c r="F257" s="157" t="str">
        <f ca="1">IFERROR(__xludf.DUMMYFUNCTION("INDEX(SPLIT(E257,""/""),,COUNTA(SPLIT(E257,""/"")))"),"1743753979790565833")</f>
        <v>1743753979790565833</v>
      </c>
      <c r="G257" s="192" t="str">
        <f t="shared" si="0"/>
        <v>@osint_random</v>
      </c>
      <c r="H257" s="193" t="s">
        <v>624</v>
      </c>
      <c r="I257" s="106"/>
      <c r="J257" s="106"/>
      <c r="K257" s="106"/>
      <c r="L257" s="159"/>
      <c r="M257" s="76"/>
      <c r="N257" s="76"/>
      <c r="O257" s="76"/>
      <c r="P257" s="76"/>
      <c r="Q257" s="76"/>
      <c r="R257" s="76"/>
      <c r="S257" s="76"/>
      <c r="T257" s="76"/>
      <c r="U257" s="76"/>
      <c r="V257" s="162"/>
      <c r="W257" s="159"/>
      <c r="X257" s="76"/>
      <c r="Y257" s="76"/>
      <c r="Z257" s="76"/>
      <c r="AA257" s="76"/>
      <c r="AB257" s="76"/>
      <c r="AC257" s="76"/>
      <c r="AD257" s="76"/>
      <c r="AE257" s="76"/>
      <c r="AF257" s="76"/>
      <c r="AG257" s="76"/>
      <c r="AH257" s="4"/>
      <c r="AI257" s="4"/>
      <c r="AJ257" s="4"/>
      <c r="AK257" s="4"/>
      <c r="AL257" s="4"/>
    </row>
    <row r="258" spans="1:38" ht="14">
      <c r="A258" s="106"/>
      <c r="B258" s="106"/>
      <c r="C258" s="189"/>
      <c r="D258" s="190"/>
      <c r="E258" s="190" t="s">
        <v>652</v>
      </c>
      <c r="F258" s="157" t="str">
        <f ca="1">IFERROR(__xludf.DUMMYFUNCTION("INDEX(SPLIT(E258,""/""),,COUNTA(SPLIT(E258,""/"")))"),"1743290627519811850")</f>
        <v>1743290627519811850</v>
      </c>
      <c r="G258" s="192" t="str">
        <f t="shared" si="0"/>
        <v>@andrefrigon2</v>
      </c>
      <c r="H258" s="193" t="s">
        <v>624</v>
      </c>
      <c r="I258" s="106"/>
      <c r="J258" s="106"/>
      <c r="K258" s="106"/>
      <c r="L258" s="159"/>
      <c r="M258" s="76"/>
      <c r="N258" s="76"/>
      <c r="O258" s="76"/>
      <c r="P258" s="76"/>
      <c r="Q258" s="76"/>
      <c r="R258" s="76"/>
      <c r="S258" s="76"/>
      <c r="T258" s="76"/>
      <c r="U258" s="76"/>
      <c r="V258" s="162"/>
      <c r="W258" s="159"/>
      <c r="X258" s="76"/>
      <c r="Y258" s="76"/>
      <c r="Z258" s="76"/>
      <c r="AA258" s="76"/>
      <c r="AB258" s="76"/>
      <c r="AC258" s="76"/>
      <c r="AD258" s="76"/>
      <c r="AE258" s="76"/>
      <c r="AF258" s="76"/>
      <c r="AG258" s="76"/>
      <c r="AH258" s="4"/>
      <c r="AI258" s="4"/>
      <c r="AJ258" s="4"/>
      <c r="AK258" s="4"/>
      <c r="AL258" s="4"/>
    </row>
    <row r="259" spans="1:38" ht="14">
      <c r="A259" s="106"/>
      <c r="B259" s="106"/>
      <c r="C259" s="189"/>
      <c r="D259" s="190"/>
      <c r="E259" s="190" t="s">
        <v>653</v>
      </c>
      <c r="F259" s="157" t="str">
        <f ca="1">IFERROR(__xludf.DUMMYFUNCTION("INDEX(SPLIT(E259,""/""),,COUNTA(SPLIT(E259,""/"")))"),"1742611240365482441")</f>
        <v>1742611240365482441</v>
      </c>
      <c r="G259" s="192" t="str">
        <f t="shared" si="0"/>
        <v>@osint_random</v>
      </c>
      <c r="H259" s="193" t="s">
        <v>624</v>
      </c>
      <c r="I259" s="106"/>
      <c r="J259" s="106"/>
      <c r="K259" s="106"/>
      <c r="L259" s="159"/>
      <c r="M259" s="76"/>
      <c r="N259" s="76"/>
      <c r="O259" s="76"/>
      <c r="P259" s="76"/>
      <c r="Q259" s="76"/>
      <c r="R259" s="76"/>
      <c r="S259" s="76"/>
      <c r="T259" s="76"/>
      <c r="U259" s="76"/>
      <c r="V259" s="162"/>
      <c r="W259" s="159"/>
      <c r="X259" s="76"/>
      <c r="Y259" s="76"/>
      <c r="Z259" s="76"/>
      <c r="AA259" s="76"/>
      <c r="AB259" s="76"/>
      <c r="AC259" s="76"/>
      <c r="AD259" s="76"/>
      <c r="AE259" s="76"/>
      <c r="AF259" s="76"/>
      <c r="AG259" s="76"/>
      <c r="AH259" s="4"/>
      <c r="AI259" s="4"/>
      <c r="AJ259" s="4"/>
      <c r="AK259" s="4"/>
      <c r="AL259" s="4"/>
    </row>
    <row r="260" spans="1:38" ht="14">
      <c r="A260" s="106"/>
      <c r="B260" s="106"/>
      <c r="C260" s="189"/>
      <c r="D260" s="190"/>
      <c r="E260" s="190" t="s">
        <v>654</v>
      </c>
      <c r="F260" s="157" t="str">
        <f ca="1">IFERROR(__xludf.DUMMYFUNCTION("INDEX(SPLIT(E260,""/""),,COUNTA(SPLIT(E260,""/"")))"),"1742916166530846978")</f>
        <v>1742916166530846978</v>
      </c>
      <c r="G260" s="192" t="str">
        <f t="shared" si="0"/>
        <v>@osint_random</v>
      </c>
      <c r="H260" s="193" t="s">
        <v>624</v>
      </c>
      <c r="I260" s="106"/>
      <c r="J260" s="106"/>
      <c r="K260" s="106"/>
      <c r="L260" s="159"/>
      <c r="M260" s="76"/>
      <c r="N260" s="76"/>
      <c r="O260" s="76"/>
      <c r="P260" s="76"/>
      <c r="Q260" s="76"/>
      <c r="R260" s="76"/>
      <c r="S260" s="76"/>
      <c r="T260" s="76"/>
      <c r="U260" s="76"/>
      <c r="V260" s="162"/>
      <c r="W260" s="159"/>
      <c r="X260" s="76"/>
      <c r="Y260" s="76"/>
      <c r="Z260" s="76"/>
      <c r="AA260" s="76"/>
      <c r="AB260" s="76"/>
      <c r="AC260" s="76"/>
      <c r="AD260" s="76"/>
      <c r="AE260" s="76"/>
      <c r="AF260" s="76"/>
      <c r="AG260" s="76"/>
      <c r="AH260" s="4"/>
      <c r="AI260" s="4"/>
      <c r="AJ260" s="4"/>
      <c r="AK260" s="4"/>
      <c r="AL260" s="4"/>
    </row>
    <row r="261" spans="1:38" ht="14">
      <c r="A261" s="106"/>
      <c r="B261" s="106"/>
      <c r="C261" s="189"/>
      <c r="D261" s="190"/>
      <c r="E261" s="190" t="s">
        <v>655</v>
      </c>
      <c r="F261" s="157" t="str">
        <f ca="1">IFERROR(__xludf.DUMMYFUNCTION("INDEX(SPLIT(E261,""/""),,COUNTA(SPLIT(E261,""/"")))"),"1743977680142324208")</f>
        <v>1743977680142324208</v>
      </c>
      <c r="G261" s="192" t="str">
        <f t="shared" si="0"/>
        <v>@osint_random</v>
      </c>
      <c r="H261" s="193" t="s">
        <v>624</v>
      </c>
      <c r="I261" s="106"/>
      <c r="J261" s="106"/>
      <c r="K261" s="106"/>
      <c r="L261" s="159"/>
      <c r="M261" s="76"/>
      <c r="N261" s="76"/>
      <c r="O261" s="76"/>
      <c r="P261" s="76"/>
      <c r="Q261" s="76"/>
      <c r="R261" s="76"/>
      <c r="S261" s="76"/>
      <c r="T261" s="76"/>
      <c r="U261" s="76"/>
      <c r="V261" s="162"/>
      <c r="W261" s="159"/>
      <c r="X261" s="76"/>
      <c r="Y261" s="76"/>
      <c r="Z261" s="76"/>
      <c r="AA261" s="76"/>
      <c r="AB261" s="76"/>
      <c r="AC261" s="76"/>
      <c r="AD261" s="76"/>
      <c r="AE261" s="76"/>
      <c r="AF261" s="76"/>
      <c r="AG261" s="76"/>
      <c r="AH261" s="4"/>
      <c r="AI261" s="4"/>
      <c r="AJ261" s="4"/>
      <c r="AK261" s="4"/>
      <c r="AL261" s="4"/>
    </row>
    <row r="262" spans="1:38" ht="14">
      <c r="A262" s="106"/>
      <c r="B262" s="106"/>
      <c r="C262" s="189"/>
      <c r="D262" s="190"/>
      <c r="E262" s="190" t="s">
        <v>656</v>
      </c>
      <c r="F262" s="157" t="str">
        <f ca="1">IFERROR(__xludf.DUMMYFUNCTION("INDEX(SPLIT(E262,""/""),,COUNTA(SPLIT(E262,""/"")))"),"1743688875359252776")</f>
        <v>1743688875359252776</v>
      </c>
      <c r="G262" s="192" t="str">
        <f t="shared" si="0"/>
        <v>@osint_random</v>
      </c>
      <c r="H262" s="193" t="s">
        <v>624</v>
      </c>
      <c r="I262" s="106"/>
      <c r="J262" s="106"/>
      <c r="K262" s="106"/>
      <c r="L262" s="159"/>
      <c r="M262" s="76"/>
      <c r="N262" s="76"/>
      <c r="O262" s="76"/>
      <c r="P262" s="76"/>
      <c r="Q262" s="76"/>
      <c r="R262" s="76"/>
      <c r="S262" s="76"/>
      <c r="T262" s="76"/>
      <c r="U262" s="76"/>
      <c r="V262" s="162"/>
      <c r="W262" s="159"/>
      <c r="X262" s="76"/>
      <c r="Y262" s="76"/>
      <c r="Z262" s="76"/>
      <c r="AA262" s="76"/>
      <c r="AB262" s="76"/>
      <c r="AC262" s="76"/>
      <c r="AD262" s="76"/>
      <c r="AE262" s="76"/>
      <c r="AF262" s="76"/>
      <c r="AG262" s="76"/>
      <c r="AH262" s="4"/>
      <c r="AI262" s="4"/>
      <c r="AJ262" s="4"/>
      <c r="AK262" s="4"/>
      <c r="AL262" s="4"/>
    </row>
    <row r="263" spans="1:38" ht="14">
      <c r="A263" s="106"/>
      <c r="B263" s="106"/>
      <c r="C263" s="189"/>
      <c r="D263" s="190"/>
      <c r="E263" s="190" t="s">
        <v>657</v>
      </c>
      <c r="F263" s="157" t="str">
        <f ca="1">IFERROR(__xludf.DUMMYFUNCTION("INDEX(SPLIT(E263,""/""),,COUNTA(SPLIT(E263,""/"")))"),"1743663854020628646")</f>
        <v>1743663854020628646</v>
      </c>
      <c r="G263" s="192" t="str">
        <f t="shared" si="0"/>
        <v>@osint_random</v>
      </c>
      <c r="H263" s="193" t="s">
        <v>624</v>
      </c>
      <c r="I263" s="106"/>
      <c r="J263" s="106"/>
      <c r="K263" s="106"/>
      <c r="L263" s="159"/>
      <c r="M263" s="76"/>
      <c r="N263" s="76"/>
      <c r="O263" s="76"/>
      <c r="P263" s="76"/>
      <c r="Q263" s="76"/>
      <c r="R263" s="76"/>
      <c r="S263" s="76"/>
      <c r="T263" s="76"/>
      <c r="U263" s="76"/>
      <c r="V263" s="162"/>
      <c r="W263" s="159"/>
      <c r="X263" s="76"/>
      <c r="Y263" s="76"/>
      <c r="Z263" s="76"/>
      <c r="AA263" s="76"/>
      <c r="AB263" s="76"/>
      <c r="AC263" s="76"/>
      <c r="AD263" s="76"/>
      <c r="AE263" s="76"/>
      <c r="AF263" s="76"/>
      <c r="AG263" s="76"/>
      <c r="AH263" s="4"/>
      <c r="AI263" s="4"/>
      <c r="AJ263" s="4"/>
      <c r="AK263" s="4"/>
      <c r="AL263" s="4"/>
    </row>
    <row r="264" spans="1:38" ht="14">
      <c r="A264" s="106"/>
      <c r="B264" s="106"/>
      <c r="C264" s="189"/>
      <c r="D264" s="190"/>
      <c r="E264" s="190" t="s">
        <v>658</v>
      </c>
      <c r="F264" s="157" t="str">
        <f ca="1">IFERROR(__xludf.DUMMYFUNCTION("INDEX(SPLIT(E264,""/""),,COUNTA(SPLIT(E264,""/"")))"),"1744861056709611668")</f>
        <v>1744861056709611668</v>
      </c>
      <c r="G264" s="192" t="str">
        <f t="shared" si="0"/>
        <v>@osint_random</v>
      </c>
      <c r="H264" s="193" t="s">
        <v>624</v>
      </c>
      <c r="I264" s="106"/>
      <c r="J264" s="106"/>
      <c r="K264" s="106"/>
      <c r="L264" s="159"/>
      <c r="M264" s="76"/>
      <c r="N264" s="76"/>
      <c r="O264" s="76"/>
      <c r="P264" s="76"/>
      <c r="Q264" s="76"/>
      <c r="R264" s="76"/>
      <c r="S264" s="76"/>
      <c r="T264" s="76"/>
      <c r="U264" s="76"/>
      <c r="V264" s="162"/>
      <c r="W264" s="159"/>
      <c r="X264" s="76"/>
      <c r="Y264" s="76"/>
      <c r="Z264" s="76"/>
      <c r="AA264" s="76"/>
      <c r="AB264" s="76"/>
      <c r="AC264" s="76"/>
      <c r="AD264" s="76"/>
      <c r="AE264" s="76"/>
      <c r="AF264" s="76"/>
      <c r="AG264" s="76"/>
      <c r="AH264" s="4"/>
      <c r="AI264" s="4"/>
      <c r="AJ264" s="4"/>
      <c r="AK264" s="4"/>
      <c r="AL264" s="4"/>
    </row>
    <row r="265" spans="1:38" ht="14">
      <c r="A265" s="106"/>
      <c r="B265" s="106"/>
      <c r="C265" s="189"/>
      <c r="D265" s="190"/>
      <c r="E265" s="190" t="s">
        <v>659</v>
      </c>
      <c r="F265" s="157" t="str">
        <f ca="1">IFERROR(__xludf.DUMMYFUNCTION("INDEX(SPLIT(E265,""/""),,COUNTA(SPLIT(E265,""/"")))"),"1742597434457444601")</f>
        <v>1742597434457444601</v>
      </c>
      <c r="G265" s="192" t="str">
        <f t="shared" si="0"/>
        <v>@Christophe_Tymo</v>
      </c>
      <c r="H265" s="193" t="s">
        <v>624</v>
      </c>
      <c r="I265" s="106"/>
      <c r="J265" s="106"/>
      <c r="K265" s="106"/>
      <c r="L265" s="159"/>
      <c r="M265" s="76"/>
      <c r="N265" s="76"/>
      <c r="O265" s="76"/>
      <c r="P265" s="76"/>
      <c r="Q265" s="76"/>
      <c r="R265" s="76"/>
      <c r="S265" s="76"/>
      <c r="T265" s="76"/>
      <c r="U265" s="76"/>
      <c r="V265" s="162"/>
      <c r="W265" s="159"/>
      <c r="X265" s="76"/>
      <c r="Y265" s="76"/>
      <c r="Z265" s="76"/>
      <c r="AA265" s="76"/>
      <c r="AB265" s="76"/>
      <c r="AC265" s="76"/>
      <c r="AD265" s="76"/>
      <c r="AE265" s="76"/>
      <c r="AF265" s="76"/>
      <c r="AG265" s="76"/>
      <c r="AH265" s="4"/>
      <c r="AI265" s="4"/>
      <c r="AJ265" s="4"/>
      <c r="AK265" s="4"/>
      <c r="AL265" s="4"/>
    </row>
    <row r="266" spans="1:38" ht="14">
      <c r="A266" s="106"/>
      <c r="B266" s="106"/>
      <c r="C266" s="189"/>
      <c r="D266" s="190"/>
      <c r="E266" s="190" t="s">
        <v>660</v>
      </c>
      <c r="F266" s="157" t="str">
        <f ca="1">IFERROR(__xludf.DUMMYFUNCTION("INDEX(SPLIT(E266,""/""),,COUNTA(SPLIT(E266,""/"")))"),"1742580451443675209")</f>
        <v>1742580451443675209</v>
      </c>
      <c r="G266" s="192" t="str">
        <f t="shared" si="0"/>
        <v>@Prevention_web</v>
      </c>
      <c r="H266" s="193" t="s">
        <v>624</v>
      </c>
      <c r="I266" s="106"/>
      <c r="J266" s="106"/>
      <c r="K266" s="106"/>
      <c r="L266" s="159"/>
      <c r="M266" s="76"/>
      <c r="N266" s="76"/>
      <c r="O266" s="76"/>
      <c r="P266" s="76"/>
      <c r="Q266" s="76"/>
      <c r="R266" s="76"/>
      <c r="S266" s="76"/>
      <c r="T266" s="76"/>
      <c r="U266" s="76"/>
      <c r="V266" s="162"/>
      <c r="W266" s="159"/>
      <c r="X266" s="76"/>
      <c r="Y266" s="76"/>
      <c r="Z266" s="76"/>
      <c r="AA266" s="76"/>
      <c r="AB266" s="76"/>
      <c r="AC266" s="76"/>
      <c r="AD266" s="76"/>
      <c r="AE266" s="76"/>
      <c r="AF266" s="76"/>
      <c r="AG266" s="76"/>
      <c r="AH266" s="4"/>
      <c r="AI266" s="4"/>
      <c r="AJ266" s="4"/>
      <c r="AK266" s="4"/>
      <c r="AL266" s="4"/>
    </row>
    <row r="267" spans="1:38" ht="14">
      <c r="A267" s="106"/>
      <c r="B267" s="106"/>
      <c r="C267" s="189"/>
      <c r="D267" s="190"/>
      <c r="E267" s="190" t="s">
        <v>661</v>
      </c>
      <c r="F267" s="157" t="str">
        <f ca="1">IFERROR(__xludf.DUMMYFUNCTION("INDEX(SPLIT(E267,""/""),,COUNTA(SPLIT(E267,""/"")))"),"1742815198006607979")</f>
        <v>1742815198006607979</v>
      </c>
      <c r="G267" s="192" t="str">
        <f t="shared" si="0"/>
        <v>@opsimathycouk</v>
      </c>
      <c r="H267" s="193" t="s">
        <v>624</v>
      </c>
      <c r="I267" s="106"/>
      <c r="J267" s="106"/>
      <c r="K267" s="106"/>
      <c r="L267" s="159"/>
      <c r="M267" s="76"/>
      <c r="N267" s="76"/>
      <c r="O267" s="76"/>
      <c r="P267" s="76"/>
      <c r="Q267" s="76"/>
      <c r="R267" s="76"/>
      <c r="S267" s="76"/>
      <c r="T267" s="76"/>
      <c r="U267" s="76"/>
      <c r="V267" s="162"/>
      <c r="W267" s="159"/>
      <c r="X267" s="76"/>
      <c r="Y267" s="76"/>
      <c r="Z267" s="76"/>
      <c r="AA267" s="76"/>
      <c r="AB267" s="76"/>
      <c r="AC267" s="76"/>
      <c r="AD267" s="76"/>
      <c r="AE267" s="76"/>
      <c r="AF267" s="76"/>
      <c r="AG267" s="76"/>
      <c r="AH267" s="4"/>
      <c r="AI267" s="4"/>
      <c r="AJ267" s="4"/>
      <c r="AK267" s="4"/>
      <c r="AL267" s="4"/>
    </row>
    <row r="268" spans="1:38" ht="14">
      <c r="A268" s="106"/>
      <c r="B268" s="106"/>
      <c r="C268" s="189"/>
      <c r="D268" s="190"/>
      <c r="E268" s="190" t="s">
        <v>662</v>
      </c>
      <c r="F268" s="157" t="str">
        <f ca="1">IFERROR(__xludf.DUMMYFUNCTION("INDEX(SPLIT(E268,""/""),,COUNTA(SPLIT(E268,""/"")))"),"1743937651936276736")</f>
        <v>1743937651936276736</v>
      </c>
      <c r="G268" s="192" t="str">
        <f t="shared" si="0"/>
        <v>@FabriceFrossard</v>
      </c>
      <c r="H268" s="193" t="s">
        <v>624</v>
      </c>
      <c r="I268" s="106"/>
      <c r="J268" s="106"/>
      <c r="K268" s="106"/>
      <c r="L268" s="159"/>
      <c r="M268" s="76"/>
      <c r="N268" s="76"/>
      <c r="O268" s="76"/>
      <c r="P268" s="76"/>
      <c r="Q268" s="76"/>
      <c r="R268" s="76"/>
      <c r="S268" s="76"/>
      <c r="T268" s="76"/>
      <c r="U268" s="76"/>
      <c r="V268" s="162"/>
      <c r="W268" s="159"/>
      <c r="X268" s="76"/>
      <c r="Y268" s="76"/>
      <c r="Z268" s="76"/>
      <c r="AA268" s="76"/>
      <c r="AB268" s="76"/>
      <c r="AC268" s="76"/>
      <c r="AD268" s="76"/>
      <c r="AE268" s="76"/>
      <c r="AF268" s="76"/>
      <c r="AG268" s="76"/>
      <c r="AH268" s="4"/>
      <c r="AI268" s="4"/>
      <c r="AJ268" s="4"/>
      <c r="AK268" s="4"/>
      <c r="AL268" s="4"/>
    </row>
    <row r="269" spans="1:38" ht="14">
      <c r="A269" s="106"/>
      <c r="B269" s="106"/>
      <c r="C269" s="189"/>
      <c r="D269" s="190"/>
      <c r="E269" s="190" t="s">
        <v>663</v>
      </c>
      <c r="F269" s="157" t="str">
        <f ca="1">IFERROR(__xludf.DUMMYFUNCTION("INDEX(SPLIT(E269,""/""),,COUNTA(SPLIT(E269,""/"")))"),"1744306606722957802")</f>
        <v>1744306606722957802</v>
      </c>
      <c r="G269" s="192" t="str">
        <f t="shared" si="0"/>
        <v>@osint_random</v>
      </c>
      <c r="H269" s="193" t="s">
        <v>624</v>
      </c>
      <c r="I269" s="106"/>
      <c r="J269" s="106"/>
      <c r="K269" s="106"/>
      <c r="L269" s="159"/>
      <c r="M269" s="76"/>
      <c r="N269" s="76"/>
      <c r="O269" s="76"/>
      <c r="P269" s="76"/>
      <c r="Q269" s="76"/>
      <c r="R269" s="76"/>
      <c r="S269" s="76"/>
      <c r="T269" s="76"/>
      <c r="U269" s="76"/>
      <c r="V269" s="162"/>
      <c r="W269" s="159"/>
      <c r="X269" s="76"/>
      <c r="Y269" s="76"/>
      <c r="Z269" s="76"/>
      <c r="AA269" s="76"/>
      <c r="AB269" s="76"/>
      <c r="AC269" s="76"/>
      <c r="AD269" s="76"/>
      <c r="AE269" s="76"/>
      <c r="AF269" s="76"/>
      <c r="AG269" s="76"/>
      <c r="AH269" s="4"/>
      <c r="AI269" s="4"/>
      <c r="AJ269" s="4"/>
      <c r="AK269" s="4"/>
      <c r="AL269" s="4"/>
    </row>
    <row r="270" spans="1:38" ht="14">
      <c r="A270" s="106"/>
      <c r="B270" s="106"/>
      <c r="C270" s="189"/>
      <c r="D270" s="190"/>
      <c r="E270" s="190" t="s">
        <v>664</v>
      </c>
      <c r="F270" s="157" t="str">
        <f ca="1">IFERROR(__xludf.DUMMYFUNCTION("INDEX(SPLIT(E270,""/""),,COUNTA(SPLIT(E270,""/"")))"),"1742538120740958211")</f>
        <v>1742538120740958211</v>
      </c>
      <c r="G270" s="192" t="str">
        <f t="shared" si="0"/>
        <v>@MCutulic</v>
      </c>
      <c r="H270" s="193" t="s">
        <v>624</v>
      </c>
      <c r="I270" s="106"/>
      <c r="J270" s="106"/>
      <c r="K270" s="106"/>
      <c r="L270" s="159"/>
      <c r="M270" s="76"/>
      <c r="N270" s="76"/>
      <c r="O270" s="76"/>
      <c r="P270" s="76"/>
      <c r="Q270" s="76"/>
      <c r="R270" s="76"/>
      <c r="S270" s="76"/>
      <c r="T270" s="76"/>
      <c r="U270" s="76"/>
      <c r="V270" s="162"/>
      <c r="W270" s="159"/>
      <c r="X270" s="76"/>
      <c r="Y270" s="76"/>
      <c r="Z270" s="76"/>
      <c r="AA270" s="76"/>
      <c r="AB270" s="76"/>
      <c r="AC270" s="76"/>
      <c r="AD270" s="76"/>
      <c r="AE270" s="76"/>
      <c r="AF270" s="76"/>
      <c r="AG270" s="76"/>
      <c r="AH270" s="4"/>
      <c r="AI270" s="4"/>
      <c r="AJ270" s="4"/>
      <c r="AK270" s="4"/>
      <c r="AL270" s="4"/>
    </row>
    <row r="271" spans="1:38" ht="14">
      <c r="A271" s="106"/>
      <c r="B271" s="106"/>
      <c r="C271" s="189"/>
      <c r="D271" s="190"/>
      <c r="E271" s="190" t="s">
        <v>648</v>
      </c>
      <c r="F271" s="157" t="str">
        <f ca="1">IFERROR(__xludf.DUMMYFUNCTION("INDEX(SPLIT(E271,""/""),,COUNTA(SPLIT(E271,""/"")))"),"1744343193414492349")</f>
        <v>1744343193414492349</v>
      </c>
      <c r="G271" s="192" t="str">
        <f t="shared" si="0"/>
        <v>@osint_random</v>
      </c>
      <c r="H271" s="193" t="s">
        <v>624</v>
      </c>
      <c r="I271" s="106"/>
      <c r="J271" s="106"/>
      <c r="K271" s="106"/>
      <c r="L271" s="159"/>
      <c r="M271" s="76"/>
      <c r="N271" s="76"/>
      <c r="O271" s="76"/>
      <c r="P271" s="76"/>
      <c r="Q271" s="76"/>
      <c r="R271" s="76"/>
      <c r="S271" s="76"/>
      <c r="T271" s="76"/>
      <c r="U271" s="76"/>
      <c r="V271" s="162"/>
      <c r="W271" s="159"/>
      <c r="X271" s="76"/>
      <c r="Y271" s="76"/>
      <c r="Z271" s="76"/>
      <c r="AA271" s="76"/>
      <c r="AB271" s="76"/>
      <c r="AC271" s="76"/>
      <c r="AD271" s="76"/>
      <c r="AE271" s="76"/>
      <c r="AF271" s="76"/>
      <c r="AG271" s="76"/>
      <c r="AH271" s="4"/>
      <c r="AI271" s="4"/>
      <c r="AJ271" s="4"/>
      <c r="AK271" s="4"/>
      <c r="AL271" s="4"/>
    </row>
    <row r="272" spans="1:38" ht="14">
      <c r="A272" s="106"/>
      <c r="B272" s="106"/>
      <c r="C272" s="189"/>
      <c r="D272" s="190"/>
      <c r="E272" s="190" t="s">
        <v>649</v>
      </c>
      <c r="F272" s="157" t="str">
        <f ca="1">IFERROR(__xludf.DUMMYFUNCTION("INDEX(SPLIT(E272,""/""),,COUNTA(SPLIT(E272,""/"")))"),"1743682996937408790")</f>
        <v>1743682996937408790</v>
      </c>
      <c r="G272" s="192" t="str">
        <f t="shared" si="0"/>
        <v>@mathieuandro</v>
      </c>
      <c r="H272" s="193" t="s">
        <v>624</v>
      </c>
      <c r="I272" s="106"/>
      <c r="J272" s="106"/>
      <c r="K272" s="106"/>
      <c r="L272" s="159"/>
      <c r="M272" s="76"/>
      <c r="N272" s="76"/>
      <c r="O272" s="76"/>
      <c r="P272" s="76"/>
      <c r="Q272" s="76"/>
      <c r="R272" s="76"/>
      <c r="S272" s="76"/>
      <c r="T272" s="76"/>
      <c r="U272" s="76"/>
      <c r="V272" s="162"/>
      <c r="W272" s="159"/>
      <c r="X272" s="76"/>
      <c r="Y272" s="76"/>
      <c r="Z272" s="76"/>
      <c r="AA272" s="76"/>
      <c r="AB272" s="76"/>
      <c r="AC272" s="76"/>
      <c r="AD272" s="76"/>
      <c r="AE272" s="76"/>
      <c r="AF272" s="76"/>
      <c r="AG272" s="76"/>
      <c r="AH272" s="4"/>
      <c r="AI272" s="4"/>
      <c r="AJ272" s="4"/>
      <c r="AK272" s="4"/>
      <c r="AL272" s="4"/>
    </row>
    <row r="273" spans="1:38" ht="14">
      <c r="A273" s="106"/>
      <c r="B273" s="106"/>
      <c r="C273" s="189"/>
      <c r="D273" s="190"/>
      <c r="E273" s="190" t="s">
        <v>650</v>
      </c>
      <c r="F273" s="157" t="str">
        <f ca="1">IFERROR(__xludf.DUMMYFUNCTION("INDEX(SPLIT(E273,""/""),,COUNTA(SPLIT(E273,""/"")))"),"1743546031365587299")</f>
        <v>1743546031365587299</v>
      </c>
      <c r="G273" s="192" t="str">
        <f t="shared" si="0"/>
        <v>@korben_rss</v>
      </c>
      <c r="H273" s="193" t="s">
        <v>624</v>
      </c>
      <c r="I273" s="106"/>
      <c r="J273" s="106"/>
      <c r="K273" s="106"/>
      <c r="L273" s="159"/>
      <c r="M273" s="76"/>
      <c r="N273" s="76"/>
      <c r="O273" s="76"/>
      <c r="P273" s="76"/>
      <c r="Q273" s="76"/>
      <c r="R273" s="76"/>
      <c r="S273" s="76"/>
      <c r="T273" s="76"/>
      <c r="U273" s="76"/>
      <c r="V273" s="162"/>
      <c r="W273" s="159"/>
      <c r="X273" s="76"/>
      <c r="Y273" s="76"/>
      <c r="Z273" s="76"/>
      <c r="AA273" s="76"/>
      <c r="AB273" s="76"/>
      <c r="AC273" s="76"/>
      <c r="AD273" s="76"/>
      <c r="AE273" s="76"/>
      <c r="AF273" s="76"/>
      <c r="AG273" s="76"/>
      <c r="AH273" s="4"/>
      <c r="AI273" s="4"/>
      <c r="AJ273" s="4"/>
      <c r="AK273" s="4"/>
      <c r="AL273" s="4"/>
    </row>
    <row r="274" spans="1:38" ht="14">
      <c r="A274" s="106"/>
      <c r="B274" s="106"/>
      <c r="C274" s="189"/>
      <c r="D274" s="190"/>
      <c r="E274" s="190" t="s">
        <v>651</v>
      </c>
      <c r="F274" s="157" t="str">
        <f ca="1">IFERROR(__xludf.DUMMYFUNCTION("INDEX(SPLIT(E274,""/""),,COUNTA(SPLIT(E274,""/"")))"),"1743753979790565833")</f>
        <v>1743753979790565833</v>
      </c>
      <c r="G274" s="192" t="str">
        <f t="shared" si="0"/>
        <v>@osint_random</v>
      </c>
      <c r="H274" s="193" t="s">
        <v>624</v>
      </c>
      <c r="I274" s="106"/>
      <c r="J274" s="106"/>
      <c r="K274" s="106"/>
      <c r="L274" s="159"/>
      <c r="M274" s="76"/>
      <c r="N274" s="76"/>
      <c r="O274" s="76"/>
      <c r="P274" s="76"/>
      <c r="Q274" s="76"/>
      <c r="R274" s="76"/>
      <c r="S274" s="76"/>
      <c r="T274" s="76"/>
      <c r="U274" s="76"/>
      <c r="V274" s="162"/>
      <c r="W274" s="159"/>
      <c r="X274" s="76"/>
      <c r="Y274" s="76"/>
      <c r="Z274" s="76"/>
      <c r="AA274" s="76"/>
      <c r="AB274" s="76"/>
      <c r="AC274" s="76"/>
      <c r="AD274" s="76"/>
      <c r="AE274" s="76"/>
      <c r="AF274" s="76"/>
      <c r="AG274" s="76"/>
      <c r="AH274" s="4"/>
      <c r="AI274" s="4"/>
      <c r="AJ274" s="4"/>
      <c r="AK274" s="4"/>
      <c r="AL274" s="4"/>
    </row>
    <row r="275" spans="1:38" ht="14">
      <c r="A275" s="106"/>
      <c r="B275" s="106"/>
      <c r="C275" s="189"/>
      <c r="D275" s="190"/>
      <c r="E275" s="190" t="s">
        <v>652</v>
      </c>
      <c r="F275" s="157" t="str">
        <f ca="1">IFERROR(__xludf.DUMMYFUNCTION("INDEX(SPLIT(E275,""/""),,COUNTA(SPLIT(E275,""/"")))"),"1743290627519811850")</f>
        <v>1743290627519811850</v>
      </c>
      <c r="G275" s="192" t="str">
        <f t="shared" si="0"/>
        <v>@andrefrigon2</v>
      </c>
      <c r="H275" s="193" t="s">
        <v>624</v>
      </c>
      <c r="I275" s="106"/>
      <c r="J275" s="106"/>
      <c r="K275" s="106"/>
      <c r="L275" s="159"/>
      <c r="M275" s="76"/>
      <c r="N275" s="76"/>
      <c r="O275" s="76"/>
      <c r="P275" s="76"/>
      <c r="Q275" s="76"/>
      <c r="R275" s="76"/>
      <c r="S275" s="76"/>
      <c r="T275" s="76"/>
      <c r="U275" s="76"/>
      <c r="V275" s="162"/>
      <c r="W275" s="159"/>
      <c r="X275" s="76"/>
      <c r="Y275" s="76"/>
      <c r="Z275" s="76"/>
      <c r="AA275" s="76"/>
      <c r="AB275" s="76"/>
      <c r="AC275" s="76"/>
      <c r="AD275" s="76"/>
      <c r="AE275" s="76"/>
      <c r="AF275" s="76"/>
      <c r="AG275" s="76"/>
      <c r="AH275" s="4"/>
      <c r="AI275" s="4"/>
      <c r="AJ275" s="4"/>
      <c r="AK275" s="4"/>
      <c r="AL275" s="4"/>
    </row>
    <row r="276" spans="1:38" ht="14">
      <c r="A276" s="106"/>
      <c r="B276" s="106"/>
      <c r="C276" s="189"/>
      <c r="D276" s="190"/>
      <c r="E276" s="190" t="s">
        <v>653</v>
      </c>
      <c r="F276" s="157" t="str">
        <f ca="1">IFERROR(__xludf.DUMMYFUNCTION("INDEX(SPLIT(E276,""/""),,COUNTA(SPLIT(E276,""/"")))"),"1742611240365482441")</f>
        <v>1742611240365482441</v>
      </c>
      <c r="G276" s="192" t="str">
        <f t="shared" si="0"/>
        <v>@osint_random</v>
      </c>
      <c r="H276" s="193" t="s">
        <v>624</v>
      </c>
      <c r="I276" s="106"/>
      <c r="J276" s="106"/>
      <c r="K276" s="106"/>
      <c r="L276" s="159"/>
      <c r="M276" s="76"/>
      <c r="N276" s="76"/>
      <c r="O276" s="76"/>
      <c r="P276" s="76"/>
      <c r="Q276" s="76"/>
      <c r="R276" s="76"/>
      <c r="S276" s="76"/>
      <c r="T276" s="76"/>
      <c r="U276" s="76"/>
      <c r="V276" s="162"/>
      <c r="W276" s="159"/>
      <c r="X276" s="76"/>
      <c r="Y276" s="76"/>
      <c r="Z276" s="76"/>
      <c r="AA276" s="76"/>
      <c r="AB276" s="76"/>
      <c r="AC276" s="76"/>
      <c r="AD276" s="76"/>
      <c r="AE276" s="76"/>
      <c r="AF276" s="76"/>
      <c r="AG276" s="76"/>
      <c r="AH276" s="4"/>
      <c r="AI276" s="4"/>
      <c r="AJ276" s="4"/>
      <c r="AK276" s="4"/>
      <c r="AL276" s="4"/>
    </row>
    <row r="277" spans="1:38" ht="14">
      <c r="A277" s="106"/>
      <c r="B277" s="106"/>
      <c r="C277" s="189"/>
      <c r="D277" s="190"/>
      <c r="E277" s="190" t="s">
        <v>654</v>
      </c>
      <c r="F277" s="157" t="str">
        <f ca="1">IFERROR(__xludf.DUMMYFUNCTION("INDEX(SPLIT(E277,""/""),,COUNTA(SPLIT(E277,""/"")))"),"1742916166530846978")</f>
        <v>1742916166530846978</v>
      </c>
      <c r="G277" s="192" t="str">
        <f t="shared" si="0"/>
        <v>@osint_random</v>
      </c>
      <c r="H277" s="193" t="s">
        <v>624</v>
      </c>
      <c r="I277" s="106"/>
      <c r="J277" s="106"/>
      <c r="K277" s="106"/>
      <c r="L277" s="159"/>
      <c r="M277" s="76"/>
      <c r="N277" s="76"/>
      <c r="O277" s="76"/>
      <c r="P277" s="76"/>
      <c r="Q277" s="76"/>
      <c r="R277" s="76"/>
      <c r="S277" s="76"/>
      <c r="T277" s="76"/>
      <c r="U277" s="76"/>
      <c r="V277" s="162"/>
      <c r="W277" s="159"/>
      <c r="X277" s="76"/>
      <c r="Y277" s="76"/>
      <c r="Z277" s="76"/>
      <c r="AA277" s="76"/>
      <c r="AB277" s="76"/>
      <c r="AC277" s="76"/>
      <c r="AD277" s="76"/>
      <c r="AE277" s="76"/>
      <c r="AF277" s="76"/>
      <c r="AG277" s="76"/>
      <c r="AH277" s="4"/>
      <c r="AI277" s="4"/>
      <c r="AJ277" s="4"/>
      <c r="AK277" s="4"/>
      <c r="AL277" s="4"/>
    </row>
    <row r="278" spans="1:38" ht="14">
      <c r="A278" s="106"/>
      <c r="B278" s="106"/>
      <c r="C278" s="189"/>
      <c r="D278" s="190"/>
      <c r="E278" s="190" t="s">
        <v>655</v>
      </c>
      <c r="F278" s="157" t="str">
        <f ca="1">IFERROR(__xludf.DUMMYFUNCTION("INDEX(SPLIT(E278,""/""),,COUNTA(SPLIT(E278,""/"")))"),"1743977680142324208")</f>
        <v>1743977680142324208</v>
      </c>
      <c r="G278" s="192" t="str">
        <f t="shared" si="0"/>
        <v>@osint_random</v>
      </c>
      <c r="H278" s="193" t="s">
        <v>624</v>
      </c>
      <c r="I278" s="106"/>
      <c r="J278" s="106"/>
      <c r="K278" s="106"/>
      <c r="L278" s="159"/>
      <c r="M278" s="76"/>
      <c r="N278" s="76"/>
      <c r="O278" s="76"/>
      <c r="P278" s="76"/>
      <c r="Q278" s="76"/>
      <c r="R278" s="76"/>
      <c r="S278" s="76"/>
      <c r="T278" s="76"/>
      <c r="U278" s="76"/>
      <c r="V278" s="162"/>
      <c r="W278" s="159"/>
      <c r="X278" s="76"/>
      <c r="Y278" s="76"/>
      <c r="Z278" s="76"/>
      <c r="AA278" s="76"/>
      <c r="AB278" s="76"/>
      <c r="AC278" s="76"/>
      <c r="AD278" s="76"/>
      <c r="AE278" s="76"/>
      <c r="AF278" s="76"/>
      <c r="AG278" s="76"/>
      <c r="AH278" s="4"/>
      <c r="AI278" s="4"/>
      <c r="AJ278" s="4"/>
      <c r="AK278" s="4"/>
      <c r="AL278" s="4"/>
    </row>
    <row r="279" spans="1:38" ht="14">
      <c r="A279" s="106"/>
      <c r="B279" s="106"/>
      <c r="C279" s="189"/>
      <c r="D279" s="190"/>
      <c r="E279" s="190" t="s">
        <v>656</v>
      </c>
      <c r="F279" s="157" t="str">
        <f ca="1">IFERROR(__xludf.DUMMYFUNCTION("INDEX(SPLIT(E279,""/""),,COUNTA(SPLIT(E279,""/"")))"),"1743688875359252776")</f>
        <v>1743688875359252776</v>
      </c>
      <c r="G279" s="192" t="str">
        <f t="shared" si="0"/>
        <v>@osint_random</v>
      </c>
      <c r="H279" s="193" t="s">
        <v>624</v>
      </c>
      <c r="I279" s="106"/>
      <c r="J279" s="106"/>
      <c r="K279" s="106"/>
      <c r="L279" s="159"/>
      <c r="M279" s="76"/>
      <c r="N279" s="76"/>
      <c r="O279" s="76"/>
      <c r="P279" s="76"/>
      <c r="Q279" s="76"/>
      <c r="R279" s="76"/>
      <c r="S279" s="76"/>
      <c r="T279" s="76"/>
      <c r="U279" s="76"/>
      <c r="V279" s="162"/>
      <c r="W279" s="159"/>
      <c r="X279" s="76"/>
      <c r="Y279" s="76"/>
      <c r="Z279" s="76"/>
      <c r="AA279" s="76"/>
      <c r="AB279" s="76"/>
      <c r="AC279" s="76"/>
      <c r="AD279" s="76"/>
      <c r="AE279" s="76"/>
      <c r="AF279" s="76"/>
      <c r="AG279" s="76"/>
      <c r="AH279" s="4"/>
      <c r="AI279" s="4"/>
      <c r="AJ279" s="4"/>
      <c r="AK279" s="4"/>
      <c r="AL279" s="4"/>
    </row>
    <row r="280" spans="1:38" ht="14">
      <c r="A280" s="106"/>
      <c r="B280" s="106"/>
      <c r="C280" s="189"/>
      <c r="D280" s="190"/>
      <c r="E280" s="190" t="s">
        <v>657</v>
      </c>
      <c r="F280" s="157" t="str">
        <f ca="1">IFERROR(__xludf.DUMMYFUNCTION("INDEX(SPLIT(E280,""/""),,COUNTA(SPLIT(E280,""/"")))"),"1743663854020628646")</f>
        <v>1743663854020628646</v>
      </c>
      <c r="G280" s="192" t="str">
        <f t="shared" si="0"/>
        <v>@osint_random</v>
      </c>
      <c r="H280" s="193" t="s">
        <v>624</v>
      </c>
      <c r="I280" s="106"/>
      <c r="J280" s="106"/>
      <c r="K280" s="106"/>
      <c r="L280" s="159"/>
      <c r="M280" s="76"/>
      <c r="N280" s="76"/>
      <c r="O280" s="76"/>
      <c r="P280" s="76"/>
      <c r="Q280" s="76"/>
      <c r="R280" s="76"/>
      <c r="S280" s="76"/>
      <c r="T280" s="76"/>
      <c r="U280" s="76"/>
      <c r="V280" s="162"/>
      <c r="W280" s="159"/>
      <c r="X280" s="76"/>
      <c r="Y280" s="76"/>
      <c r="Z280" s="76"/>
      <c r="AA280" s="76"/>
      <c r="AB280" s="76"/>
      <c r="AC280" s="76"/>
      <c r="AD280" s="76"/>
      <c r="AE280" s="76"/>
      <c r="AF280" s="76"/>
      <c r="AG280" s="76"/>
      <c r="AH280" s="4"/>
      <c r="AI280" s="4"/>
      <c r="AJ280" s="4"/>
      <c r="AK280" s="4"/>
      <c r="AL280" s="4"/>
    </row>
    <row r="281" spans="1:38" ht="14">
      <c r="A281" s="106"/>
      <c r="B281" s="106"/>
      <c r="C281" s="189"/>
      <c r="D281" s="190"/>
      <c r="E281" s="190" t="s">
        <v>658</v>
      </c>
      <c r="F281" s="157" t="str">
        <f ca="1">IFERROR(__xludf.DUMMYFUNCTION("INDEX(SPLIT(E281,""/""),,COUNTA(SPLIT(E281,""/"")))"),"1744861056709611668")</f>
        <v>1744861056709611668</v>
      </c>
      <c r="G281" s="192" t="str">
        <f t="shared" si="0"/>
        <v>@osint_random</v>
      </c>
      <c r="H281" s="193" t="s">
        <v>624</v>
      </c>
      <c r="I281" s="106"/>
      <c r="J281" s="106"/>
      <c r="K281" s="106"/>
      <c r="L281" s="159"/>
      <c r="M281" s="76"/>
      <c r="N281" s="76"/>
      <c r="O281" s="76"/>
      <c r="P281" s="76"/>
      <c r="Q281" s="76"/>
      <c r="R281" s="76"/>
      <c r="S281" s="76"/>
      <c r="T281" s="76"/>
      <c r="U281" s="76"/>
      <c r="V281" s="162"/>
      <c r="W281" s="159"/>
      <c r="X281" s="76"/>
      <c r="Y281" s="76"/>
      <c r="Z281" s="76"/>
      <c r="AA281" s="76"/>
      <c r="AB281" s="76"/>
      <c r="AC281" s="76"/>
      <c r="AD281" s="76"/>
      <c r="AE281" s="76"/>
      <c r="AF281" s="76"/>
      <c r="AG281" s="76"/>
      <c r="AH281" s="4"/>
      <c r="AI281" s="4"/>
      <c r="AJ281" s="4"/>
      <c r="AK281" s="4"/>
      <c r="AL281" s="4"/>
    </row>
    <row r="282" spans="1:38" ht="14">
      <c r="A282" s="106"/>
      <c r="B282" s="106"/>
      <c r="C282" s="189"/>
      <c r="D282" s="190"/>
      <c r="E282" s="190" t="s">
        <v>659</v>
      </c>
      <c r="F282" s="157" t="str">
        <f ca="1">IFERROR(__xludf.DUMMYFUNCTION("INDEX(SPLIT(E282,""/""),,COUNTA(SPLIT(E282,""/"")))"),"1742597434457444601")</f>
        <v>1742597434457444601</v>
      </c>
      <c r="G282" s="192" t="str">
        <f t="shared" si="0"/>
        <v>@Christophe_Tymo</v>
      </c>
      <c r="H282" s="193" t="s">
        <v>624</v>
      </c>
      <c r="I282" s="106"/>
      <c r="J282" s="106"/>
      <c r="K282" s="106"/>
      <c r="L282" s="159"/>
      <c r="M282" s="76"/>
      <c r="N282" s="76"/>
      <c r="O282" s="76"/>
      <c r="P282" s="76"/>
      <c r="Q282" s="76"/>
      <c r="R282" s="76"/>
      <c r="S282" s="76"/>
      <c r="T282" s="76"/>
      <c r="U282" s="76"/>
      <c r="V282" s="162"/>
      <c r="W282" s="159"/>
      <c r="X282" s="76"/>
      <c r="Y282" s="76"/>
      <c r="Z282" s="76"/>
      <c r="AA282" s="76"/>
      <c r="AB282" s="76"/>
      <c r="AC282" s="76"/>
      <c r="AD282" s="76"/>
      <c r="AE282" s="76"/>
      <c r="AF282" s="76"/>
      <c r="AG282" s="76"/>
      <c r="AH282" s="4"/>
      <c r="AI282" s="4"/>
      <c r="AJ282" s="4"/>
      <c r="AK282" s="4"/>
      <c r="AL282" s="4"/>
    </row>
    <row r="283" spans="1:38" ht="14">
      <c r="A283" s="106"/>
      <c r="B283" s="106"/>
      <c r="C283" s="189"/>
      <c r="D283" s="190"/>
      <c r="E283" s="190" t="s">
        <v>660</v>
      </c>
      <c r="F283" s="157" t="str">
        <f ca="1">IFERROR(__xludf.DUMMYFUNCTION("INDEX(SPLIT(E283,""/""),,COUNTA(SPLIT(E283,""/"")))"),"1742580451443675209")</f>
        <v>1742580451443675209</v>
      </c>
      <c r="G283" s="192" t="str">
        <f t="shared" si="0"/>
        <v>@Prevention_web</v>
      </c>
      <c r="H283" s="193" t="s">
        <v>624</v>
      </c>
      <c r="I283" s="106"/>
      <c r="J283" s="106"/>
      <c r="K283" s="106"/>
      <c r="L283" s="159"/>
      <c r="M283" s="76"/>
      <c r="N283" s="76"/>
      <c r="O283" s="76"/>
      <c r="P283" s="76"/>
      <c r="Q283" s="76"/>
      <c r="R283" s="76"/>
      <c r="S283" s="76"/>
      <c r="T283" s="76"/>
      <c r="U283" s="76"/>
      <c r="V283" s="162"/>
      <c r="W283" s="159"/>
      <c r="X283" s="76"/>
      <c r="Y283" s="76"/>
      <c r="Z283" s="76"/>
      <c r="AA283" s="76"/>
      <c r="AB283" s="76"/>
      <c r="AC283" s="76"/>
      <c r="AD283" s="76"/>
      <c r="AE283" s="76"/>
      <c r="AF283" s="76"/>
      <c r="AG283" s="76"/>
      <c r="AH283" s="4"/>
      <c r="AI283" s="4"/>
      <c r="AJ283" s="4"/>
      <c r="AK283" s="4"/>
      <c r="AL283" s="4"/>
    </row>
    <row r="284" spans="1:38" ht="14">
      <c r="A284" s="106"/>
      <c r="B284" s="106"/>
      <c r="C284" s="189"/>
      <c r="D284" s="190"/>
      <c r="E284" s="190" t="s">
        <v>661</v>
      </c>
      <c r="F284" s="157" t="str">
        <f ca="1">IFERROR(__xludf.DUMMYFUNCTION("INDEX(SPLIT(E284,""/""),,COUNTA(SPLIT(E284,""/"")))"),"1742815198006607979")</f>
        <v>1742815198006607979</v>
      </c>
      <c r="G284" s="192" t="str">
        <f t="shared" si="0"/>
        <v>@opsimathycouk</v>
      </c>
      <c r="H284" s="193" t="s">
        <v>624</v>
      </c>
      <c r="I284" s="106"/>
      <c r="J284" s="106"/>
      <c r="K284" s="106"/>
      <c r="L284" s="159"/>
      <c r="M284" s="76"/>
      <c r="N284" s="76"/>
      <c r="O284" s="76"/>
      <c r="P284" s="76"/>
      <c r="Q284" s="76"/>
      <c r="R284" s="76"/>
      <c r="S284" s="76"/>
      <c r="T284" s="76"/>
      <c r="U284" s="76"/>
      <c r="V284" s="162"/>
      <c r="W284" s="159"/>
      <c r="X284" s="76"/>
      <c r="Y284" s="76"/>
      <c r="Z284" s="76"/>
      <c r="AA284" s="76"/>
      <c r="AB284" s="76"/>
      <c r="AC284" s="76"/>
      <c r="AD284" s="76"/>
      <c r="AE284" s="76"/>
      <c r="AF284" s="76"/>
      <c r="AG284" s="76"/>
      <c r="AH284" s="4"/>
      <c r="AI284" s="4"/>
      <c r="AJ284" s="4"/>
      <c r="AK284" s="4"/>
      <c r="AL284" s="4"/>
    </row>
    <row r="285" spans="1:38" ht="14">
      <c r="A285" s="106"/>
      <c r="B285" s="106"/>
      <c r="C285" s="189"/>
      <c r="D285" s="190"/>
      <c r="E285" s="190" t="s">
        <v>662</v>
      </c>
      <c r="F285" s="157" t="str">
        <f ca="1">IFERROR(__xludf.DUMMYFUNCTION("INDEX(SPLIT(E285,""/""),,COUNTA(SPLIT(E285,""/"")))"),"1743937651936276736")</f>
        <v>1743937651936276736</v>
      </c>
      <c r="G285" s="192" t="str">
        <f t="shared" si="0"/>
        <v>@FabriceFrossard</v>
      </c>
      <c r="H285" s="193" t="s">
        <v>624</v>
      </c>
      <c r="I285" s="106"/>
      <c r="J285" s="106"/>
      <c r="K285" s="106"/>
      <c r="L285" s="159"/>
      <c r="M285" s="76"/>
      <c r="N285" s="76"/>
      <c r="O285" s="76"/>
      <c r="P285" s="76"/>
      <c r="Q285" s="76"/>
      <c r="R285" s="76"/>
      <c r="S285" s="76"/>
      <c r="T285" s="76"/>
      <c r="U285" s="76"/>
      <c r="V285" s="162"/>
      <c r="W285" s="159"/>
      <c r="X285" s="76"/>
      <c r="Y285" s="76"/>
      <c r="Z285" s="76"/>
      <c r="AA285" s="76"/>
      <c r="AB285" s="76"/>
      <c r="AC285" s="76"/>
      <c r="AD285" s="76"/>
      <c r="AE285" s="76"/>
      <c r="AF285" s="76"/>
      <c r="AG285" s="76"/>
      <c r="AH285" s="4"/>
      <c r="AI285" s="4"/>
      <c r="AJ285" s="4"/>
      <c r="AK285" s="4"/>
      <c r="AL285" s="4"/>
    </row>
    <row r="286" spans="1:38" ht="14">
      <c r="A286" s="106"/>
      <c r="B286" s="106"/>
      <c r="C286" s="189"/>
      <c r="D286" s="190"/>
      <c r="E286" s="190" t="s">
        <v>663</v>
      </c>
      <c r="F286" s="157" t="str">
        <f ca="1">IFERROR(__xludf.DUMMYFUNCTION("INDEX(SPLIT(E286,""/""),,COUNTA(SPLIT(E286,""/"")))"),"1744306606722957802")</f>
        <v>1744306606722957802</v>
      </c>
      <c r="G286" s="192" t="str">
        <f t="shared" si="0"/>
        <v>@osint_random</v>
      </c>
      <c r="H286" s="193" t="s">
        <v>624</v>
      </c>
      <c r="I286" s="106"/>
      <c r="J286" s="106"/>
      <c r="K286" s="106"/>
      <c r="L286" s="159"/>
      <c r="M286" s="76"/>
      <c r="N286" s="76"/>
      <c r="O286" s="76"/>
      <c r="P286" s="76"/>
      <c r="Q286" s="76"/>
      <c r="R286" s="76"/>
      <c r="S286" s="76"/>
      <c r="T286" s="76"/>
      <c r="U286" s="76"/>
      <c r="V286" s="162"/>
      <c r="W286" s="159"/>
      <c r="X286" s="76"/>
      <c r="Y286" s="76"/>
      <c r="Z286" s="76"/>
      <c r="AA286" s="76"/>
      <c r="AB286" s="76"/>
      <c r="AC286" s="76"/>
      <c r="AD286" s="76"/>
      <c r="AE286" s="76"/>
      <c r="AF286" s="76"/>
      <c r="AG286" s="76"/>
      <c r="AH286" s="4"/>
      <c r="AI286" s="4"/>
      <c r="AJ286" s="4"/>
      <c r="AK286" s="4"/>
      <c r="AL286" s="4"/>
    </row>
    <row r="287" spans="1:38" ht="14">
      <c r="A287" s="106"/>
      <c r="B287" s="106"/>
      <c r="C287" s="189"/>
      <c r="D287" s="190"/>
      <c r="E287" s="190" t="s">
        <v>664</v>
      </c>
      <c r="F287" s="157" t="str">
        <f ca="1">IFERROR(__xludf.DUMMYFUNCTION("INDEX(SPLIT(E287,""/""),,COUNTA(SPLIT(E287,""/"")))"),"1742538120740958211")</f>
        <v>1742538120740958211</v>
      </c>
      <c r="G287" s="192" t="str">
        <f t="shared" si="0"/>
        <v>@MCutulic</v>
      </c>
      <c r="H287" s="193" t="s">
        <v>624</v>
      </c>
      <c r="I287" s="106"/>
      <c r="J287" s="106"/>
      <c r="K287" s="106"/>
      <c r="L287" s="159"/>
      <c r="M287" s="76"/>
      <c r="N287" s="76"/>
      <c r="O287" s="76"/>
      <c r="P287" s="76"/>
      <c r="Q287" s="76"/>
      <c r="R287" s="76"/>
      <c r="S287" s="76"/>
      <c r="T287" s="76"/>
      <c r="U287" s="76"/>
      <c r="V287" s="162"/>
      <c r="W287" s="159"/>
      <c r="X287" s="76"/>
      <c r="Y287" s="76"/>
      <c r="Z287" s="76"/>
      <c r="AA287" s="76"/>
      <c r="AB287" s="76"/>
      <c r="AC287" s="76"/>
      <c r="AD287" s="76"/>
      <c r="AE287" s="76"/>
      <c r="AF287" s="76"/>
      <c r="AG287" s="76"/>
      <c r="AH287" s="4"/>
      <c r="AI287" s="4"/>
      <c r="AJ287" s="4"/>
      <c r="AK287" s="4"/>
      <c r="AL287" s="4"/>
    </row>
    <row r="288" spans="1:38" ht="14">
      <c r="A288" s="106"/>
      <c r="B288" s="106"/>
      <c r="C288" s="189"/>
      <c r="D288" s="190"/>
      <c r="E288" s="190" t="s">
        <v>658</v>
      </c>
      <c r="F288" s="157" t="str">
        <f ca="1">IFERROR(__xludf.DUMMYFUNCTION("INDEX(SPLIT(E288,""/""),,COUNTA(SPLIT(E288,""/"")))"),"1744861056709611668")</f>
        <v>1744861056709611668</v>
      </c>
      <c r="G288" s="192" t="str">
        <f t="shared" si="0"/>
        <v>@osint_random</v>
      </c>
      <c r="H288" s="193" t="s">
        <v>624</v>
      </c>
      <c r="I288" s="106"/>
      <c r="J288" s="106"/>
      <c r="K288" s="106"/>
      <c r="L288" s="159"/>
      <c r="M288" s="76"/>
      <c r="N288" s="76"/>
      <c r="O288" s="76"/>
      <c r="P288" s="76"/>
      <c r="Q288" s="76"/>
      <c r="R288" s="76"/>
      <c r="S288" s="76"/>
      <c r="T288" s="76"/>
      <c r="U288" s="76"/>
      <c r="V288" s="162"/>
      <c r="W288" s="159"/>
      <c r="X288" s="76"/>
      <c r="Y288" s="76"/>
      <c r="Z288" s="76"/>
      <c r="AA288" s="76"/>
      <c r="AB288" s="76"/>
      <c r="AC288" s="76"/>
      <c r="AD288" s="76"/>
      <c r="AE288" s="76"/>
      <c r="AF288" s="76"/>
      <c r="AG288" s="76"/>
      <c r="AH288" s="4"/>
      <c r="AI288" s="4"/>
      <c r="AJ288" s="4"/>
      <c r="AK288" s="4"/>
      <c r="AL288" s="4"/>
    </row>
    <row r="289" spans="1:38" ht="14">
      <c r="A289" s="106"/>
      <c r="B289" s="106"/>
      <c r="C289" s="189"/>
      <c r="D289" s="190"/>
      <c r="E289" s="190" t="s">
        <v>659</v>
      </c>
      <c r="F289" s="157" t="str">
        <f ca="1">IFERROR(__xludf.DUMMYFUNCTION("INDEX(SPLIT(E289,""/""),,COUNTA(SPLIT(E289,""/"")))"),"1742597434457444601")</f>
        <v>1742597434457444601</v>
      </c>
      <c r="G289" s="192" t="str">
        <f t="shared" si="0"/>
        <v>@Christophe_Tymo</v>
      </c>
      <c r="H289" s="193" t="s">
        <v>624</v>
      </c>
      <c r="I289" s="106"/>
      <c r="J289" s="106"/>
      <c r="K289" s="106"/>
      <c r="L289" s="159"/>
      <c r="M289" s="76"/>
      <c r="N289" s="76"/>
      <c r="O289" s="76"/>
      <c r="P289" s="76"/>
      <c r="Q289" s="76"/>
      <c r="R289" s="76"/>
      <c r="S289" s="76"/>
      <c r="T289" s="76"/>
      <c r="U289" s="76"/>
      <c r="V289" s="162"/>
      <c r="W289" s="159"/>
      <c r="X289" s="76"/>
      <c r="Y289" s="76"/>
      <c r="Z289" s="76"/>
      <c r="AA289" s="76"/>
      <c r="AB289" s="76"/>
      <c r="AC289" s="76"/>
      <c r="AD289" s="76"/>
      <c r="AE289" s="76"/>
      <c r="AF289" s="76"/>
      <c r="AG289" s="76"/>
      <c r="AH289" s="4"/>
      <c r="AI289" s="4"/>
      <c r="AJ289" s="4"/>
      <c r="AK289" s="4"/>
      <c r="AL289" s="4"/>
    </row>
    <row r="290" spans="1:38" ht="14">
      <c r="A290" s="106"/>
      <c r="B290" s="106"/>
      <c r="C290" s="189"/>
      <c r="D290" s="190"/>
      <c r="E290" s="190" t="s">
        <v>660</v>
      </c>
      <c r="F290" s="157" t="str">
        <f ca="1">IFERROR(__xludf.DUMMYFUNCTION("INDEX(SPLIT(E290,""/""),,COUNTA(SPLIT(E290,""/"")))"),"1742580451443675209")</f>
        <v>1742580451443675209</v>
      </c>
      <c r="G290" s="192" t="str">
        <f t="shared" si="0"/>
        <v>@Prevention_web</v>
      </c>
      <c r="H290" s="193" t="s">
        <v>624</v>
      </c>
      <c r="I290" s="106"/>
      <c r="J290" s="106"/>
      <c r="K290" s="106"/>
      <c r="L290" s="159"/>
      <c r="M290" s="76"/>
      <c r="N290" s="76"/>
      <c r="O290" s="76"/>
      <c r="P290" s="76"/>
      <c r="Q290" s="76"/>
      <c r="R290" s="76"/>
      <c r="S290" s="76"/>
      <c r="T290" s="76"/>
      <c r="U290" s="76"/>
      <c r="V290" s="162"/>
      <c r="W290" s="159"/>
      <c r="X290" s="76"/>
      <c r="Y290" s="76"/>
      <c r="Z290" s="76"/>
      <c r="AA290" s="76"/>
      <c r="AB290" s="76"/>
      <c r="AC290" s="76"/>
      <c r="AD290" s="76"/>
      <c r="AE290" s="76"/>
      <c r="AF290" s="76"/>
      <c r="AG290" s="76"/>
      <c r="AH290" s="4"/>
      <c r="AI290" s="4"/>
      <c r="AJ290" s="4"/>
      <c r="AK290" s="4"/>
      <c r="AL290" s="4"/>
    </row>
    <row r="291" spans="1:38" ht="14">
      <c r="A291" s="106"/>
      <c r="B291" s="106"/>
      <c r="C291" s="189"/>
      <c r="D291" s="190"/>
      <c r="E291" s="190" t="s">
        <v>661</v>
      </c>
      <c r="F291" s="157" t="str">
        <f ca="1">IFERROR(__xludf.DUMMYFUNCTION("INDEX(SPLIT(E291,""/""),,COUNTA(SPLIT(E291,""/"")))"),"1742815198006607979")</f>
        <v>1742815198006607979</v>
      </c>
      <c r="G291" s="192" t="str">
        <f t="shared" si="0"/>
        <v>@opsimathycouk</v>
      </c>
      <c r="H291" s="193" t="s">
        <v>624</v>
      </c>
      <c r="I291" s="106"/>
      <c r="J291" s="106"/>
      <c r="K291" s="106"/>
      <c r="L291" s="159"/>
      <c r="M291" s="76"/>
      <c r="N291" s="76"/>
      <c r="O291" s="76"/>
      <c r="P291" s="76"/>
      <c r="Q291" s="76"/>
      <c r="R291" s="76"/>
      <c r="S291" s="76"/>
      <c r="T291" s="76"/>
      <c r="U291" s="76"/>
      <c r="V291" s="162"/>
      <c r="W291" s="159"/>
      <c r="X291" s="76"/>
      <c r="Y291" s="76"/>
      <c r="Z291" s="76"/>
      <c r="AA291" s="76"/>
      <c r="AB291" s="76"/>
      <c r="AC291" s="76"/>
      <c r="AD291" s="76"/>
      <c r="AE291" s="76"/>
      <c r="AF291" s="76"/>
      <c r="AG291" s="76"/>
      <c r="AH291" s="4"/>
      <c r="AI291" s="4"/>
      <c r="AJ291" s="4"/>
      <c r="AK291" s="4"/>
      <c r="AL291" s="4"/>
    </row>
    <row r="292" spans="1:38" ht="14">
      <c r="A292" s="106"/>
      <c r="B292" s="106"/>
      <c r="C292" s="189"/>
      <c r="D292" s="190"/>
      <c r="E292" s="190" t="s">
        <v>662</v>
      </c>
      <c r="F292" s="157" t="str">
        <f ca="1">IFERROR(__xludf.DUMMYFUNCTION("INDEX(SPLIT(E292,""/""),,COUNTA(SPLIT(E292,""/"")))"),"1743937651936276736")</f>
        <v>1743937651936276736</v>
      </c>
      <c r="G292" s="192" t="str">
        <f t="shared" si="0"/>
        <v>@FabriceFrossard</v>
      </c>
      <c r="H292" s="193" t="s">
        <v>624</v>
      </c>
      <c r="I292" s="106"/>
      <c r="J292" s="106"/>
      <c r="K292" s="106"/>
      <c r="L292" s="159"/>
      <c r="M292" s="76"/>
      <c r="N292" s="76"/>
      <c r="O292" s="76"/>
      <c r="P292" s="76"/>
      <c r="Q292" s="76"/>
      <c r="R292" s="76"/>
      <c r="S292" s="76"/>
      <c r="T292" s="76"/>
      <c r="U292" s="76"/>
      <c r="V292" s="162"/>
      <c r="W292" s="159"/>
      <c r="X292" s="76"/>
      <c r="Y292" s="76"/>
      <c r="Z292" s="76"/>
      <c r="AA292" s="76"/>
      <c r="AB292" s="76"/>
      <c r="AC292" s="76"/>
      <c r="AD292" s="76"/>
      <c r="AE292" s="76"/>
      <c r="AF292" s="76"/>
      <c r="AG292" s="76"/>
      <c r="AH292" s="4"/>
      <c r="AI292" s="4"/>
      <c r="AJ292" s="4"/>
      <c r="AK292" s="4"/>
      <c r="AL292" s="4"/>
    </row>
    <row r="293" spans="1:38" ht="14">
      <c r="A293" s="106"/>
      <c r="B293" s="106"/>
      <c r="C293" s="189"/>
      <c r="D293" s="190"/>
      <c r="E293" s="190" t="s">
        <v>663</v>
      </c>
      <c r="F293" s="157" t="str">
        <f ca="1">IFERROR(__xludf.DUMMYFUNCTION("INDEX(SPLIT(E293,""/""),,COUNTA(SPLIT(E293,""/"")))"),"1744306606722957802")</f>
        <v>1744306606722957802</v>
      </c>
      <c r="G293" s="192" t="str">
        <f t="shared" si="0"/>
        <v>@osint_random</v>
      </c>
      <c r="H293" s="193" t="s">
        <v>624</v>
      </c>
      <c r="I293" s="106"/>
      <c r="J293" s="106"/>
      <c r="K293" s="106"/>
      <c r="L293" s="159"/>
      <c r="M293" s="76"/>
      <c r="N293" s="76"/>
      <c r="O293" s="76"/>
      <c r="P293" s="76"/>
      <c r="Q293" s="76"/>
      <c r="R293" s="76"/>
      <c r="S293" s="76"/>
      <c r="T293" s="76"/>
      <c r="U293" s="76"/>
      <c r="V293" s="162"/>
      <c r="W293" s="159"/>
      <c r="X293" s="76"/>
      <c r="Y293" s="76"/>
      <c r="Z293" s="76"/>
      <c r="AA293" s="76"/>
      <c r="AB293" s="76"/>
      <c r="AC293" s="76"/>
      <c r="AD293" s="76"/>
      <c r="AE293" s="76"/>
      <c r="AF293" s="76"/>
      <c r="AG293" s="76"/>
      <c r="AH293" s="4"/>
      <c r="AI293" s="4"/>
      <c r="AJ293" s="4"/>
      <c r="AK293" s="4"/>
      <c r="AL293" s="4"/>
    </row>
    <row r="294" spans="1:38" ht="14">
      <c r="A294" s="106"/>
      <c r="B294" s="106"/>
      <c r="C294" s="189"/>
      <c r="D294" s="190"/>
      <c r="E294" s="190" t="s">
        <v>664</v>
      </c>
      <c r="F294" s="157" t="str">
        <f ca="1">IFERROR(__xludf.DUMMYFUNCTION("INDEX(SPLIT(E294,""/""),,COUNTA(SPLIT(E294,""/"")))"),"1742538120740958211")</f>
        <v>1742538120740958211</v>
      </c>
      <c r="G294" s="192" t="str">
        <f t="shared" si="0"/>
        <v>@MCutulic</v>
      </c>
      <c r="H294" s="193" t="s">
        <v>624</v>
      </c>
      <c r="I294" s="106"/>
      <c r="J294" s="106"/>
      <c r="K294" s="106"/>
      <c r="L294" s="159"/>
      <c r="M294" s="76"/>
      <c r="N294" s="76"/>
      <c r="O294" s="76"/>
      <c r="P294" s="76"/>
      <c r="Q294" s="76"/>
      <c r="R294" s="76"/>
      <c r="S294" s="76"/>
      <c r="T294" s="76"/>
      <c r="U294" s="76"/>
      <c r="V294" s="162"/>
      <c r="W294" s="159"/>
      <c r="X294" s="76"/>
      <c r="Y294" s="76"/>
      <c r="Z294" s="76"/>
      <c r="AA294" s="76"/>
      <c r="AB294" s="76"/>
      <c r="AC294" s="76"/>
      <c r="AD294" s="76"/>
      <c r="AE294" s="76"/>
      <c r="AF294" s="76"/>
      <c r="AG294" s="76"/>
      <c r="AH294" s="4"/>
      <c r="AI294" s="4"/>
      <c r="AJ294" s="4"/>
      <c r="AK294" s="4"/>
      <c r="AL294" s="4"/>
    </row>
    <row r="295" spans="1:38" ht="14">
      <c r="A295" s="106"/>
      <c r="B295" s="106"/>
      <c r="C295" s="189"/>
      <c r="D295" s="190"/>
      <c r="E295" s="190" t="s">
        <v>665</v>
      </c>
      <c r="F295" s="157" t="str">
        <f ca="1">IFERROR(__xludf.DUMMYFUNCTION("INDEX(SPLIT(E295,""/""),,COUNTA(SPLIT(E295,""/"")))"),"1743783808049041503")</f>
        <v>1743783808049041503</v>
      </c>
      <c r="G295" s="192" t="str">
        <f t="shared" si="0"/>
        <v>@HackersOIHEC</v>
      </c>
      <c r="H295" s="193" t="s">
        <v>317</v>
      </c>
      <c r="I295" s="106"/>
      <c r="J295" s="106"/>
      <c r="K295" s="106"/>
      <c r="L295" s="159"/>
      <c r="M295" s="76"/>
      <c r="N295" s="76"/>
      <c r="O295" s="76"/>
      <c r="P295" s="76"/>
      <c r="Q295" s="76"/>
      <c r="R295" s="76"/>
      <c r="S295" s="76"/>
      <c r="T295" s="76"/>
      <c r="U295" s="76"/>
      <c r="V295" s="162"/>
      <c r="W295" s="159"/>
      <c r="X295" s="76"/>
      <c r="Y295" s="76"/>
      <c r="Z295" s="76"/>
      <c r="AA295" s="76"/>
      <c r="AB295" s="76"/>
      <c r="AC295" s="76"/>
      <c r="AD295" s="76"/>
      <c r="AE295" s="76"/>
      <c r="AF295" s="76"/>
      <c r="AG295" s="76"/>
      <c r="AH295" s="4"/>
      <c r="AI295" s="4"/>
      <c r="AJ295" s="4"/>
      <c r="AK295" s="4"/>
      <c r="AL295" s="4"/>
    </row>
    <row r="296" spans="1:38" ht="14">
      <c r="A296" s="106"/>
      <c r="B296" s="106"/>
      <c r="C296" s="189"/>
      <c r="D296" s="190"/>
      <c r="E296" s="190" t="s">
        <v>666</v>
      </c>
      <c r="F296" s="157" t="str">
        <f ca="1">IFERROR(__xludf.DUMMYFUNCTION("INDEX(SPLIT(E296,""/""),,COUNTA(SPLIT(E296,""/"")))"),"1743278122697462048")</f>
        <v>1743278122697462048</v>
      </c>
      <c r="G296" s="192" t="str">
        <f t="shared" si="0"/>
        <v>@Osint613</v>
      </c>
      <c r="H296" s="193" t="s">
        <v>317</v>
      </c>
      <c r="I296" s="106"/>
      <c r="J296" s="106"/>
      <c r="K296" s="106"/>
      <c r="L296" s="159"/>
      <c r="M296" s="76"/>
      <c r="N296" s="76"/>
      <c r="O296" s="76"/>
      <c r="P296" s="76"/>
      <c r="Q296" s="76"/>
      <c r="R296" s="76"/>
      <c r="S296" s="76"/>
      <c r="T296" s="76"/>
      <c r="U296" s="76"/>
      <c r="V296" s="162"/>
      <c r="W296" s="159"/>
      <c r="X296" s="76"/>
      <c r="Y296" s="76"/>
      <c r="Z296" s="76"/>
      <c r="AA296" s="76"/>
      <c r="AB296" s="76"/>
      <c r="AC296" s="76"/>
      <c r="AD296" s="76"/>
      <c r="AE296" s="76"/>
      <c r="AF296" s="76"/>
      <c r="AG296" s="76"/>
      <c r="AH296" s="4"/>
      <c r="AI296" s="4"/>
      <c r="AJ296" s="4"/>
      <c r="AK296" s="4"/>
      <c r="AL296" s="4"/>
    </row>
    <row r="297" spans="1:38" ht="14">
      <c r="A297" s="106"/>
      <c r="B297" s="106"/>
      <c r="C297" s="189"/>
      <c r="D297" s="190"/>
      <c r="E297" s="190" t="s">
        <v>667</v>
      </c>
      <c r="F297" s="157" t="str">
        <f ca="1">IFERROR(__xludf.DUMMYFUNCTION("INDEX(SPLIT(E297,""/""),,COUNTA(SPLIT(E297,""/"")))"),"1744202752480182549")</f>
        <v>1744202752480182549</v>
      </c>
      <c r="G297" s="192" t="str">
        <f t="shared" si="0"/>
        <v>@osint_w</v>
      </c>
      <c r="H297" s="193" t="s">
        <v>317</v>
      </c>
      <c r="I297" s="106"/>
      <c r="J297" s="106"/>
      <c r="K297" s="106"/>
      <c r="L297" s="159"/>
      <c r="M297" s="76"/>
      <c r="N297" s="76"/>
      <c r="O297" s="76"/>
      <c r="P297" s="76"/>
      <c r="Q297" s="76"/>
      <c r="R297" s="76"/>
      <c r="S297" s="76"/>
      <c r="T297" s="76"/>
      <c r="U297" s="76"/>
      <c r="V297" s="162"/>
      <c r="W297" s="159"/>
      <c r="X297" s="76"/>
      <c r="Y297" s="76"/>
      <c r="Z297" s="76"/>
      <c r="AA297" s="76"/>
      <c r="AB297" s="76"/>
      <c r="AC297" s="76"/>
      <c r="AD297" s="76"/>
      <c r="AE297" s="76"/>
      <c r="AF297" s="76"/>
      <c r="AG297" s="76"/>
      <c r="AH297" s="4"/>
      <c r="AI297" s="4"/>
      <c r="AJ297" s="4"/>
      <c r="AK297" s="4"/>
      <c r="AL297" s="4"/>
    </row>
    <row r="298" spans="1:38" ht="14">
      <c r="A298" s="106"/>
      <c r="B298" s="106"/>
      <c r="C298" s="189"/>
      <c r="D298" s="190"/>
      <c r="E298" s="190" t="s">
        <v>668</v>
      </c>
      <c r="F298" s="157" t="str">
        <f ca="1">IFERROR(__xludf.DUMMYFUNCTION("INDEX(SPLIT(E298,""/""),,COUNTA(SPLIT(E298,""/"")))"),"1743279790952427875")</f>
        <v>1743279790952427875</v>
      </c>
      <c r="G298" s="192" t="str">
        <f t="shared" si="0"/>
        <v>@Osint613</v>
      </c>
      <c r="H298" s="193" t="s">
        <v>317</v>
      </c>
      <c r="I298" s="106"/>
      <c r="J298" s="106"/>
      <c r="K298" s="106"/>
      <c r="L298" s="159"/>
      <c r="M298" s="76"/>
      <c r="N298" s="76"/>
      <c r="O298" s="76"/>
      <c r="P298" s="76"/>
      <c r="Q298" s="76"/>
      <c r="R298" s="76"/>
      <c r="S298" s="76"/>
      <c r="T298" s="76"/>
      <c r="U298" s="76"/>
      <c r="V298" s="162"/>
      <c r="W298" s="159"/>
      <c r="X298" s="76"/>
      <c r="Y298" s="76"/>
      <c r="Z298" s="76"/>
      <c r="AA298" s="76"/>
      <c r="AB298" s="76"/>
      <c r="AC298" s="76"/>
      <c r="AD298" s="76"/>
      <c r="AE298" s="76"/>
      <c r="AF298" s="76"/>
      <c r="AG298" s="76"/>
      <c r="AH298" s="4"/>
      <c r="AI298" s="4"/>
      <c r="AJ298" s="4"/>
      <c r="AK298" s="4"/>
      <c r="AL298" s="4"/>
    </row>
    <row r="299" spans="1:38" ht="14">
      <c r="A299" s="106"/>
      <c r="B299" s="106"/>
      <c r="C299" s="189"/>
      <c r="D299" s="190"/>
      <c r="E299" s="190" t="s">
        <v>669</v>
      </c>
      <c r="F299" s="157" t="str">
        <f ca="1">IFERROR(__xludf.DUMMYFUNCTION("INDEX(SPLIT(E299,""/""),,COUNTA(SPLIT(E299,""/"")))"),"1743208649571680444")</f>
        <v>1743208649571680444</v>
      </c>
      <c r="G299" s="192" t="str">
        <f t="shared" si="0"/>
        <v>@OSINTJK</v>
      </c>
      <c r="H299" s="193" t="s">
        <v>317</v>
      </c>
      <c r="I299" s="106"/>
      <c r="J299" s="106"/>
      <c r="K299" s="106"/>
      <c r="L299" s="159"/>
      <c r="M299" s="76"/>
      <c r="N299" s="76"/>
      <c r="O299" s="76"/>
      <c r="P299" s="76"/>
      <c r="Q299" s="76"/>
      <c r="R299" s="76"/>
      <c r="S299" s="76"/>
      <c r="T299" s="76"/>
      <c r="U299" s="76"/>
      <c r="V299" s="162"/>
      <c r="W299" s="159"/>
      <c r="X299" s="76"/>
      <c r="Y299" s="76"/>
      <c r="Z299" s="76"/>
      <c r="AA299" s="76"/>
      <c r="AB299" s="76"/>
      <c r="AC299" s="76"/>
      <c r="AD299" s="76"/>
      <c r="AE299" s="76"/>
      <c r="AF299" s="76"/>
      <c r="AG299" s="76"/>
      <c r="AH299" s="4"/>
      <c r="AI299" s="4"/>
      <c r="AJ299" s="4"/>
      <c r="AK299" s="4"/>
      <c r="AL299" s="4"/>
    </row>
    <row r="300" spans="1:38" ht="14">
      <c r="A300" s="106"/>
      <c r="B300" s="106"/>
      <c r="C300" s="189"/>
      <c r="D300" s="190"/>
      <c r="E300" s="190" t="s">
        <v>670</v>
      </c>
      <c r="F300" s="157" t="str">
        <f ca="1">IFERROR(__xludf.DUMMYFUNCTION("INDEX(SPLIT(E300,""/""),,COUNTA(SPLIT(E300,""/"")))"),"1743763551125155983")</f>
        <v>1743763551125155983</v>
      </c>
      <c r="G300" s="192" t="str">
        <f t="shared" si="0"/>
        <v>@osint_w</v>
      </c>
      <c r="H300" s="193" t="s">
        <v>317</v>
      </c>
      <c r="I300" s="106"/>
      <c r="J300" s="106"/>
      <c r="K300" s="106"/>
      <c r="L300" s="159"/>
      <c r="M300" s="76"/>
      <c r="N300" s="76"/>
      <c r="O300" s="76"/>
      <c r="P300" s="76"/>
      <c r="Q300" s="76"/>
      <c r="R300" s="76"/>
      <c r="S300" s="76"/>
      <c r="T300" s="76"/>
      <c r="U300" s="76"/>
      <c r="V300" s="162"/>
      <c r="W300" s="159"/>
      <c r="X300" s="76"/>
      <c r="Y300" s="76"/>
      <c r="Z300" s="76"/>
      <c r="AA300" s="76"/>
      <c r="AB300" s="76"/>
      <c r="AC300" s="76"/>
      <c r="AD300" s="76"/>
      <c r="AE300" s="76"/>
      <c r="AF300" s="76"/>
      <c r="AG300" s="76"/>
      <c r="AH300" s="4"/>
      <c r="AI300" s="4"/>
      <c r="AJ300" s="4"/>
      <c r="AK300" s="4"/>
      <c r="AL300" s="4"/>
    </row>
    <row r="301" spans="1:38" ht="14">
      <c r="A301" s="106"/>
      <c r="B301" s="106"/>
      <c r="C301" s="189"/>
      <c r="D301" s="190"/>
      <c r="E301" s="190" t="s">
        <v>671</v>
      </c>
      <c r="F301" s="157" t="str">
        <f ca="1">IFERROR(__xludf.DUMMYFUNCTION("INDEX(SPLIT(E301,""/""),,COUNTA(SPLIT(E301,""/"")))"),"1744211067243315307")</f>
        <v>1744211067243315307</v>
      </c>
      <c r="G301" s="192" t="str">
        <f t="shared" si="0"/>
        <v>@osint_w</v>
      </c>
      <c r="H301" s="193" t="s">
        <v>317</v>
      </c>
      <c r="I301" s="106"/>
      <c r="J301" s="106"/>
      <c r="K301" s="106"/>
      <c r="L301" s="159"/>
      <c r="M301" s="76"/>
      <c r="N301" s="76"/>
      <c r="O301" s="76"/>
      <c r="P301" s="76"/>
      <c r="Q301" s="76"/>
      <c r="R301" s="76"/>
      <c r="S301" s="76"/>
      <c r="T301" s="76"/>
      <c r="U301" s="76"/>
      <c r="V301" s="162"/>
      <c r="W301" s="159"/>
      <c r="X301" s="76"/>
      <c r="Y301" s="76"/>
      <c r="Z301" s="76"/>
      <c r="AA301" s="76"/>
      <c r="AB301" s="76"/>
      <c r="AC301" s="76"/>
      <c r="AD301" s="76"/>
      <c r="AE301" s="76"/>
      <c r="AF301" s="76"/>
      <c r="AG301" s="76"/>
      <c r="AH301" s="4"/>
      <c r="AI301" s="4"/>
      <c r="AJ301" s="4"/>
      <c r="AK301" s="4"/>
      <c r="AL301" s="4"/>
    </row>
    <row r="302" spans="1:38" ht="14">
      <c r="A302" s="106"/>
      <c r="B302" s="106"/>
      <c r="C302" s="189"/>
      <c r="D302" s="190"/>
      <c r="E302" s="190" t="s">
        <v>672</v>
      </c>
      <c r="F302" s="157" t="str">
        <f ca="1">IFERROR(__xludf.DUMMYFUNCTION("INDEX(SPLIT(E302,""/""),,COUNTA(SPLIT(E302,""/"")))"),"1744090601274929194")</f>
        <v>1744090601274929194</v>
      </c>
      <c r="G302" s="192" t="str">
        <f t="shared" si="0"/>
        <v>@UKikaski</v>
      </c>
      <c r="H302" s="193" t="s">
        <v>317</v>
      </c>
      <c r="I302" s="106"/>
      <c r="J302" s="106"/>
      <c r="K302" s="106"/>
      <c r="L302" s="159"/>
      <c r="M302" s="76"/>
      <c r="N302" s="76"/>
      <c r="O302" s="76"/>
      <c r="P302" s="76"/>
      <c r="Q302" s="76"/>
      <c r="R302" s="76"/>
      <c r="S302" s="76"/>
      <c r="T302" s="76"/>
      <c r="U302" s="76"/>
      <c r="V302" s="162"/>
      <c r="W302" s="159"/>
      <c r="X302" s="76"/>
      <c r="Y302" s="76"/>
      <c r="Z302" s="76"/>
      <c r="AA302" s="76"/>
      <c r="AB302" s="76"/>
      <c r="AC302" s="76"/>
      <c r="AD302" s="76"/>
      <c r="AE302" s="76"/>
      <c r="AF302" s="76"/>
      <c r="AG302" s="76"/>
      <c r="AH302" s="4"/>
      <c r="AI302" s="4"/>
      <c r="AJ302" s="4"/>
      <c r="AK302" s="4"/>
      <c r="AL302" s="4"/>
    </row>
    <row r="303" spans="1:38" ht="14">
      <c r="A303" s="106"/>
      <c r="B303" s="106"/>
      <c r="C303" s="189"/>
      <c r="D303" s="190"/>
      <c r="E303" s="190" t="s">
        <v>673</v>
      </c>
      <c r="F303" s="157" t="str">
        <f ca="1">IFERROR(__xludf.DUMMYFUNCTION("INDEX(SPLIT(E303,""/""),,COUNTA(SPLIT(E303,""/"")))"),"1744415592726004196")</f>
        <v>1744415592726004196</v>
      </c>
      <c r="G303" s="192" t="str">
        <f t="shared" si="0"/>
        <v>@LicGriffaNahuel</v>
      </c>
      <c r="H303" s="193" t="s">
        <v>317</v>
      </c>
      <c r="I303" s="106"/>
      <c r="J303" s="106"/>
      <c r="K303" s="106"/>
      <c r="L303" s="159"/>
      <c r="M303" s="76"/>
      <c r="N303" s="76"/>
      <c r="O303" s="76"/>
      <c r="P303" s="76"/>
      <c r="Q303" s="76"/>
      <c r="R303" s="76"/>
      <c r="S303" s="76"/>
      <c r="T303" s="76"/>
      <c r="U303" s="76"/>
      <c r="V303" s="162"/>
      <c r="W303" s="159"/>
      <c r="X303" s="76"/>
      <c r="Y303" s="76"/>
      <c r="Z303" s="76"/>
      <c r="AA303" s="76"/>
      <c r="AB303" s="76"/>
      <c r="AC303" s="76"/>
      <c r="AD303" s="76"/>
      <c r="AE303" s="76"/>
      <c r="AF303" s="76"/>
      <c r="AG303" s="76"/>
      <c r="AH303" s="4"/>
      <c r="AI303" s="4"/>
      <c r="AJ303" s="4"/>
      <c r="AK303" s="4"/>
      <c r="AL303" s="4"/>
    </row>
    <row r="304" spans="1:38" ht="14">
      <c r="A304" s="106"/>
      <c r="B304" s="106"/>
      <c r="C304" s="189"/>
      <c r="D304" s="190"/>
      <c r="E304" s="190" t="s">
        <v>674</v>
      </c>
      <c r="F304" s="157" t="str">
        <f ca="1">IFERROR(__xludf.DUMMYFUNCTION("INDEX(SPLIT(E304,""/""),,COUNTA(SPLIT(E304,""/"")))"),"1742731787204210956")</f>
        <v>1742731787204210956</v>
      </c>
      <c r="G304" s="192" t="str">
        <f t="shared" si="0"/>
        <v>@FrancoLopez288</v>
      </c>
      <c r="H304" s="193" t="s">
        <v>317</v>
      </c>
      <c r="I304" s="106"/>
      <c r="J304" s="106"/>
      <c r="K304" s="106"/>
      <c r="L304" s="159"/>
      <c r="M304" s="76"/>
      <c r="N304" s="76"/>
      <c r="O304" s="76"/>
      <c r="P304" s="76"/>
      <c r="Q304" s="76"/>
      <c r="R304" s="76"/>
      <c r="S304" s="76"/>
      <c r="T304" s="76"/>
      <c r="U304" s="76"/>
      <c r="V304" s="162"/>
      <c r="W304" s="159"/>
      <c r="X304" s="76"/>
      <c r="Y304" s="76"/>
      <c r="Z304" s="76"/>
      <c r="AA304" s="76"/>
      <c r="AB304" s="76"/>
      <c r="AC304" s="76"/>
      <c r="AD304" s="76"/>
      <c r="AE304" s="76"/>
      <c r="AF304" s="76"/>
      <c r="AG304" s="76"/>
      <c r="AH304" s="4"/>
      <c r="AI304" s="4"/>
      <c r="AJ304" s="4"/>
      <c r="AK304" s="4"/>
      <c r="AL304" s="4"/>
    </row>
    <row r="305" spans="1:38" ht="14">
      <c r="A305" s="106"/>
      <c r="B305" s="106"/>
      <c r="C305" s="189"/>
      <c r="D305" s="190"/>
      <c r="E305" s="190" t="s">
        <v>675</v>
      </c>
      <c r="F305" s="157" t="str">
        <f ca="1">IFERROR(__xludf.DUMMYFUNCTION("INDEX(SPLIT(E305,""/""),,COUNTA(SPLIT(E305,""/"")))"),"1743455705225408883")</f>
        <v>1743455705225408883</v>
      </c>
      <c r="G305" s="192" t="str">
        <f t="shared" si="0"/>
        <v>@Alonso_ReYDeS</v>
      </c>
      <c r="H305" s="193" t="s">
        <v>317</v>
      </c>
      <c r="I305" s="106"/>
      <c r="J305" s="106"/>
      <c r="K305" s="106"/>
      <c r="L305" s="159"/>
      <c r="M305" s="76"/>
      <c r="N305" s="76"/>
      <c r="O305" s="76"/>
      <c r="P305" s="76"/>
      <c r="Q305" s="76"/>
      <c r="R305" s="76"/>
      <c r="S305" s="76"/>
      <c r="T305" s="76"/>
      <c r="U305" s="76"/>
      <c r="V305" s="162"/>
      <c r="W305" s="159"/>
      <c r="X305" s="76"/>
      <c r="Y305" s="76"/>
      <c r="Z305" s="76"/>
      <c r="AA305" s="76"/>
      <c r="AB305" s="76"/>
      <c r="AC305" s="76"/>
      <c r="AD305" s="76"/>
      <c r="AE305" s="76"/>
      <c r="AF305" s="76"/>
      <c r="AG305" s="76"/>
      <c r="AH305" s="4"/>
      <c r="AI305" s="4"/>
      <c r="AJ305" s="4"/>
      <c r="AK305" s="4"/>
      <c r="AL305" s="4"/>
    </row>
    <row r="306" spans="1:38" ht="14">
      <c r="A306" s="106"/>
      <c r="B306" s="106"/>
      <c r="C306" s="189"/>
      <c r="D306" s="190"/>
      <c r="E306" s="190" t="s">
        <v>676</v>
      </c>
      <c r="F306" s="157" t="str">
        <f ca="1">IFERROR(__xludf.DUMMYFUNCTION("INDEX(SPLIT(E306,""/""),,COUNTA(SPLIT(E306,""/"")))"),"1743324079053066387")</f>
        <v>1743324079053066387</v>
      </c>
      <c r="G306" s="192" t="str">
        <f t="shared" si="0"/>
        <v>@cibernicola_es</v>
      </c>
      <c r="H306" s="193" t="s">
        <v>317</v>
      </c>
      <c r="I306" s="106"/>
      <c r="J306" s="106"/>
      <c r="K306" s="106"/>
      <c r="L306" s="159"/>
      <c r="M306" s="76"/>
      <c r="N306" s="76"/>
      <c r="O306" s="76"/>
      <c r="P306" s="76"/>
      <c r="Q306" s="76"/>
      <c r="R306" s="76"/>
      <c r="S306" s="76"/>
      <c r="T306" s="76"/>
      <c r="U306" s="76"/>
      <c r="V306" s="162"/>
      <c r="W306" s="159"/>
      <c r="X306" s="76"/>
      <c r="Y306" s="76"/>
      <c r="Z306" s="76"/>
      <c r="AA306" s="76"/>
      <c r="AB306" s="76"/>
      <c r="AC306" s="76"/>
      <c r="AD306" s="76"/>
      <c r="AE306" s="76"/>
      <c r="AF306" s="76"/>
      <c r="AG306" s="76"/>
      <c r="AH306" s="4"/>
      <c r="AI306" s="4"/>
      <c r="AJ306" s="4"/>
      <c r="AK306" s="4"/>
      <c r="AL306" s="4"/>
    </row>
    <row r="307" spans="1:38" ht="14">
      <c r="A307" s="106"/>
      <c r="B307" s="106"/>
      <c r="C307" s="189"/>
      <c r="D307" s="190"/>
      <c r="E307" s="190" t="s">
        <v>677</v>
      </c>
      <c r="F307" s="157" t="str">
        <f ca="1">IFERROR(__xludf.DUMMYFUNCTION("INDEX(SPLIT(E307,""/""),,COUNTA(SPLIT(E307,""/"")))"),"1744317709859402040")</f>
        <v>1744317709859402040</v>
      </c>
      <c r="G307" s="192" t="str">
        <f t="shared" si="0"/>
        <v>@NOTINAFO</v>
      </c>
      <c r="H307" s="193" t="s">
        <v>317</v>
      </c>
      <c r="I307" s="106"/>
      <c r="J307" s="106"/>
      <c r="K307" s="106"/>
      <c r="L307" s="159"/>
      <c r="M307" s="76"/>
      <c r="N307" s="76"/>
      <c r="O307" s="76"/>
      <c r="P307" s="76"/>
      <c r="Q307" s="76"/>
      <c r="R307" s="76"/>
      <c r="S307" s="76"/>
      <c r="T307" s="76"/>
      <c r="U307" s="76"/>
      <c r="V307" s="162"/>
      <c r="W307" s="159"/>
      <c r="X307" s="76"/>
      <c r="Y307" s="76"/>
      <c r="Z307" s="76"/>
      <c r="AA307" s="76"/>
      <c r="AB307" s="76"/>
      <c r="AC307" s="76"/>
      <c r="AD307" s="76"/>
      <c r="AE307" s="76"/>
      <c r="AF307" s="76"/>
      <c r="AG307" s="76"/>
      <c r="AH307" s="4"/>
      <c r="AI307" s="4"/>
      <c r="AJ307" s="4"/>
      <c r="AK307" s="4"/>
      <c r="AL307" s="4"/>
    </row>
    <row r="308" spans="1:38" ht="14">
      <c r="A308" s="106"/>
      <c r="B308" s="106"/>
      <c r="C308" s="189"/>
      <c r="D308" s="190"/>
      <c r="E308" s="190" t="s">
        <v>678</v>
      </c>
      <c r="F308" s="157" t="str">
        <f ca="1">IFERROR(__xludf.DUMMYFUNCTION("INDEX(SPLIT(E308,""/""),,COUNTA(SPLIT(E308,""/"")))"),"1744354917370749025")</f>
        <v>1744354917370749025</v>
      </c>
      <c r="G308" s="192" t="str">
        <f t="shared" si="0"/>
        <v>@osint_w</v>
      </c>
      <c r="H308" s="193" t="s">
        <v>317</v>
      </c>
      <c r="I308" s="106"/>
      <c r="J308" s="106"/>
      <c r="K308" s="106"/>
      <c r="L308" s="159"/>
      <c r="M308" s="76"/>
      <c r="N308" s="76"/>
      <c r="O308" s="76"/>
      <c r="P308" s="76"/>
      <c r="Q308" s="76"/>
      <c r="R308" s="76"/>
      <c r="S308" s="76"/>
      <c r="T308" s="76"/>
      <c r="U308" s="76"/>
      <c r="V308" s="162"/>
      <c r="W308" s="159"/>
      <c r="X308" s="76"/>
      <c r="Y308" s="76"/>
      <c r="Z308" s="76"/>
      <c r="AA308" s="76"/>
      <c r="AB308" s="76"/>
      <c r="AC308" s="76"/>
      <c r="AD308" s="76"/>
      <c r="AE308" s="76"/>
      <c r="AF308" s="76"/>
      <c r="AG308" s="76"/>
      <c r="AH308" s="4"/>
      <c r="AI308" s="4"/>
      <c r="AJ308" s="4"/>
      <c r="AK308" s="4"/>
      <c r="AL308" s="4"/>
    </row>
    <row r="309" spans="1:38" ht="14">
      <c r="A309" s="106"/>
      <c r="B309" s="106"/>
      <c r="C309" s="189"/>
      <c r="D309" s="190"/>
      <c r="E309" s="190" t="s">
        <v>679</v>
      </c>
      <c r="F309" s="157" t="str">
        <f ca="1">IFERROR(__xludf.DUMMYFUNCTION("INDEX(SPLIT(E309,""/""),,COUNTA(SPLIT(E309,""/"")))"),"1744809719154286928")</f>
        <v>1744809719154286928</v>
      </c>
      <c r="G309" s="192" t="str">
        <f t="shared" si="0"/>
        <v>@danuzioneto</v>
      </c>
      <c r="H309" s="193" t="s">
        <v>317</v>
      </c>
      <c r="I309" s="106"/>
      <c r="J309" s="106"/>
      <c r="K309" s="106"/>
      <c r="L309" s="159"/>
      <c r="M309" s="76"/>
      <c r="N309" s="76"/>
      <c r="O309" s="76"/>
      <c r="P309" s="76"/>
      <c r="Q309" s="76"/>
      <c r="R309" s="76"/>
      <c r="S309" s="76"/>
      <c r="T309" s="76"/>
      <c r="U309" s="76"/>
      <c r="V309" s="162"/>
      <c r="W309" s="159"/>
      <c r="X309" s="76"/>
      <c r="Y309" s="76"/>
      <c r="Z309" s="76"/>
      <c r="AA309" s="76"/>
      <c r="AB309" s="76"/>
      <c r="AC309" s="76"/>
      <c r="AD309" s="76"/>
      <c r="AE309" s="76"/>
      <c r="AF309" s="76"/>
      <c r="AG309" s="76"/>
      <c r="AH309" s="4"/>
      <c r="AI309" s="4"/>
      <c r="AJ309" s="4"/>
      <c r="AK309" s="4"/>
      <c r="AL309" s="4"/>
    </row>
    <row r="310" spans="1:38" ht="14">
      <c r="A310" s="106"/>
      <c r="B310" s="106"/>
      <c r="C310" s="189"/>
      <c r="D310" s="190"/>
      <c r="E310" s="190" t="s">
        <v>680</v>
      </c>
      <c r="F310" s="157" t="str">
        <f ca="1">IFERROR(__xludf.DUMMYFUNCTION("INDEX(SPLIT(E310,""/""),,COUNTA(SPLIT(E310,""/"")))"),"1744819646795043204")</f>
        <v>1744819646795043204</v>
      </c>
      <c r="G310" s="192" t="str">
        <f t="shared" si="0"/>
        <v>@danuzioneto</v>
      </c>
      <c r="H310" s="193" t="s">
        <v>317</v>
      </c>
      <c r="I310" s="106"/>
      <c r="J310" s="106"/>
      <c r="K310" s="106"/>
      <c r="L310" s="159"/>
      <c r="M310" s="76"/>
      <c r="N310" s="76"/>
      <c r="O310" s="76"/>
      <c r="P310" s="76"/>
      <c r="Q310" s="76"/>
      <c r="R310" s="76"/>
      <c r="S310" s="76"/>
      <c r="T310" s="76"/>
      <c r="U310" s="76"/>
      <c r="V310" s="162"/>
      <c r="W310" s="159"/>
      <c r="X310" s="76"/>
      <c r="Y310" s="76"/>
      <c r="Z310" s="76"/>
      <c r="AA310" s="76"/>
      <c r="AB310" s="76"/>
      <c r="AC310" s="76"/>
      <c r="AD310" s="76"/>
      <c r="AE310" s="76"/>
      <c r="AF310" s="76"/>
      <c r="AG310" s="76"/>
      <c r="AH310" s="4"/>
      <c r="AI310" s="4"/>
      <c r="AJ310" s="4"/>
      <c r="AK310" s="4"/>
      <c r="AL310" s="4"/>
    </row>
    <row r="311" spans="1:38" ht="14">
      <c r="A311" s="106"/>
      <c r="B311" s="106"/>
      <c r="C311" s="189"/>
      <c r="D311" s="190"/>
      <c r="E311" s="190" t="s">
        <v>681</v>
      </c>
      <c r="F311" s="157" t="str">
        <f ca="1">IFERROR(__xludf.DUMMYFUNCTION("INDEX(SPLIT(E311,""/""),,COUNTA(SPLIT(E311,""/"")))"),"1743077476845195439")</f>
        <v>1743077476845195439</v>
      </c>
      <c r="G311" s="192" t="str">
        <f t="shared" si="0"/>
        <v>@SraOSINT</v>
      </c>
      <c r="H311" s="193" t="s">
        <v>317</v>
      </c>
      <c r="I311" s="106"/>
      <c r="J311" s="106"/>
      <c r="K311" s="106"/>
      <c r="L311" s="159"/>
      <c r="M311" s="76"/>
      <c r="N311" s="76"/>
      <c r="O311" s="76"/>
      <c r="P311" s="76"/>
      <c r="Q311" s="76"/>
      <c r="R311" s="76"/>
      <c r="S311" s="76"/>
      <c r="T311" s="76"/>
      <c r="U311" s="76"/>
      <c r="V311" s="162"/>
      <c r="W311" s="159"/>
      <c r="X311" s="76"/>
      <c r="Y311" s="76"/>
      <c r="Z311" s="76"/>
      <c r="AA311" s="76"/>
      <c r="AB311" s="76"/>
      <c r="AC311" s="76"/>
      <c r="AD311" s="76"/>
      <c r="AE311" s="76"/>
      <c r="AF311" s="76"/>
      <c r="AG311" s="76"/>
      <c r="AH311" s="4"/>
      <c r="AI311" s="4"/>
      <c r="AJ311" s="4"/>
      <c r="AK311" s="4"/>
      <c r="AL311" s="4"/>
    </row>
    <row r="312" spans="1:38" ht="14">
      <c r="A312" s="106"/>
      <c r="B312" s="106"/>
      <c r="C312" s="189"/>
      <c r="D312" s="190"/>
      <c r="E312" s="190" t="s">
        <v>682</v>
      </c>
      <c r="F312" s="157" t="str">
        <f ca="1">IFERROR(__xludf.DUMMYFUNCTION("INDEX(SPLIT(E312,""/""),,COUNTA(SPLIT(E312,""/"")))"),"1745444823794938066")</f>
        <v>1745444823794938066</v>
      </c>
      <c r="G312" s="192" t="str">
        <f t="shared" si="0"/>
        <v>@SraOSINT</v>
      </c>
      <c r="H312" s="193" t="s">
        <v>317</v>
      </c>
      <c r="I312" s="106"/>
      <c r="J312" s="106"/>
      <c r="K312" s="106"/>
      <c r="L312" s="159"/>
      <c r="M312" s="76"/>
      <c r="N312" s="76"/>
      <c r="O312" s="76"/>
      <c r="P312" s="76"/>
      <c r="Q312" s="76"/>
      <c r="R312" s="76"/>
      <c r="S312" s="76"/>
      <c r="T312" s="76"/>
      <c r="U312" s="76"/>
      <c r="V312" s="162"/>
      <c r="W312" s="159"/>
      <c r="X312" s="76"/>
      <c r="Y312" s="76"/>
      <c r="Z312" s="76"/>
      <c r="AA312" s="76"/>
      <c r="AB312" s="76"/>
      <c r="AC312" s="76"/>
      <c r="AD312" s="76"/>
      <c r="AE312" s="76"/>
      <c r="AF312" s="76"/>
      <c r="AG312" s="76"/>
      <c r="AH312" s="4"/>
      <c r="AI312" s="4"/>
      <c r="AJ312" s="4"/>
      <c r="AK312" s="4"/>
      <c r="AL312" s="4"/>
    </row>
    <row r="313" spans="1:38" ht="14">
      <c r="A313" s="106"/>
      <c r="B313" s="106"/>
      <c r="C313" s="189"/>
      <c r="D313" s="190"/>
      <c r="E313" s="190" t="s">
        <v>683</v>
      </c>
      <c r="F313" s="157" t="str">
        <f ca="1">IFERROR(__xludf.DUMMYFUNCTION("INDEX(SPLIT(E313,""/""),,COUNTA(SPLIT(E313,""/"")))"),"1744839536658489573")</f>
        <v>1744839536658489573</v>
      </c>
      <c r="G313" s="192" t="str">
        <f t="shared" si="0"/>
        <v>@OsintExperts</v>
      </c>
      <c r="H313" s="193" t="s">
        <v>317</v>
      </c>
      <c r="I313" s="106"/>
      <c r="J313" s="106"/>
      <c r="K313" s="106"/>
      <c r="L313" s="159"/>
      <c r="M313" s="76"/>
      <c r="N313" s="76"/>
      <c r="O313" s="76"/>
      <c r="P313" s="76"/>
      <c r="Q313" s="76"/>
      <c r="R313" s="76"/>
      <c r="S313" s="76"/>
      <c r="T313" s="76"/>
      <c r="U313" s="76"/>
      <c r="V313" s="162"/>
      <c r="W313" s="159"/>
      <c r="X313" s="76"/>
      <c r="Y313" s="76"/>
      <c r="Z313" s="76"/>
      <c r="AA313" s="76"/>
      <c r="AB313" s="76"/>
      <c r="AC313" s="76"/>
      <c r="AD313" s="76"/>
      <c r="AE313" s="76"/>
      <c r="AF313" s="76"/>
      <c r="AG313" s="76"/>
      <c r="AH313" s="4"/>
      <c r="AI313" s="4"/>
      <c r="AJ313" s="4"/>
      <c r="AK313" s="4"/>
      <c r="AL313" s="4"/>
    </row>
    <row r="314" spans="1:38" ht="14">
      <c r="A314" s="106"/>
      <c r="B314" s="106"/>
      <c r="C314" s="189"/>
      <c r="D314" s="190"/>
      <c r="E314" s="190" t="s">
        <v>684</v>
      </c>
      <c r="F314" s="157" t="str">
        <f ca="1">IFERROR(__xludf.DUMMYFUNCTION("INDEX(SPLIT(E314,""/""),,COUNTA(SPLIT(E314,""/"")))"),"1744726744194764808")</f>
        <v>1744726744194764808</v>
      </c>
      <c r="G314" s="192" t="str">
        <f t="shared" si="0"/>
        <v>@OVTT</v>
      </c>
      <c r="H314" s="193" t="s">
        <v>317</v>
      </c>
      <c r="I314" s="106"/>
      <c r="J314" s="106"/>
      <c r="K314" s="106"/>
      <c r="L314" s="159"/>
      <c r="M314" s="76"/>
      <c r="N314" s="76"/>
      <c r="O314" s="76"/>
      <c r="P314" s="76"/>
      <c r="Q314" s="76"/>
      <c r="R314" s="76"/>
      <c r="S314" s="76"/>
      <c r="T314" s="76"/>
      <c r="U314" s="76"/>
      <c r="V314" s="162"/>
      <c r="W314" s="159"/>
      <c r="X314" s="76"/>
      <c r="Y314" s="76"/>
      <c r="Z314" s="76"/>
      <c r="AA314" s="76"/>
      <c r="AB314" s="76"/>
      <c r="AC314" s="76"/>
      <c r="AD314" s="76"/>
      <c r="AE314" s="76"/>
      <c r="AF314" s="76"/>
      <c r="AG314" s="76"/>
      <c r="AH314" s="4"/>
      <c r="AI314" s="4"/>
      <c r="AJ314" s="4"/>
      <c r="AK314" s="4"/>
      <c r="AL314" s="4"/>
    </row>
    <row r="315" spans="1:38" ht="14">
      <c r="A315" s="106"/>
      <c r="B315" s="106"/>
      <c r="C315" s="189"/>
      <c r="D315" s="190"/>
      <c r="E315" s="190" t="s">
        <v>670</v>
      </c>
      <c r="F315" s="157" t="str">
        <f ca="1">IFERROR(__xludf.DUMMYFUNCTION("INDEX(SPLIT(E315,""/""),,COUNTA(SPLIT(E315,""/"")))"),"1743763551125155983")</f>
        <v>1743763551125155983</v>
      </c>
      <c r="G315" s="192" t="str">
        <f t="shared" si="0"/>
        <v>@osint_w</v>
      </c>
      <c r="H315" s="193" t="s">
        <v>317</v>
      </c>
      <c r="I315" s="106"/>
      <c r="J315" s="106"/>
      <c r="K315" s="106"/>
      <c r="L315" s="159"/>
      <c r="M315" s="76"/>
      <c r="N315" s="76"/>
      <c r="O315" s="76"/>
      <c r="P315" s="76"/>
      <c r="Q315" s="76"/>
      <c r="R315" s="76"/>
      <c r="S315" s="76"/>
      <c r="T315" s="76"/>
      <c r="U315" s="76"/>
      <c r="V315" s="162"/>
      <c r="W315" s="159"/>
      <c r="X315" s="76"/>
      <c r="Y315" s="76"/>
      <c r="Z315" s="76"/>
      <c r="AA315" s="76"/>
      <c r="AB315" s="76"/>
      <c r="AC315" s="76"/>
      <c r="AD315" s="76"/>
      <c r="AE315" s="76"/>
      <c r="AF315" s="76"/>
      <c r="AG315" s="76"/>
      <c r="AH315" s="4"/>
      <c r="AI315" s="4"/>
      <c r="AJ315" s="4"/>
      <c r="AK315" s="4"/>
      <c r="AL315" s="4"/>
    </row>
    <row r="316" spans="1:38" ht="14">
      <c r="A316" s="106"/>
      <c r="B316" s="106"/>
      <c r="C316" s="189"/>
      <c r="D316" s="190"/>
      <c r="E316" s="190" t="s">
        <v>671</v>
      </c>
      <c r="F316" s="157" t="str">
        <f ca="1">IFERROR(__xludf.DUMMYFUNCTION("INDEX(SPLIT(E316,""/""),,COUNTA(SPLIT(E316,""/"")))"),"1744211067243315307")</f>
        <v>1744211067243315307</v>
      </c>
      <c r="G316" s="192" t="str">
        <f t="shared" si="0"/>
        <v>@osint_w</v>
      </c>
      <c r="H316" s="193" t="s">
        <v>317</v>
      </c>
      <c r="I316" s="106"/>
      <c r="J316" s="106"/>
      <c r="K316" s="106"/>
      <c r="L316" s="159"/>
      <c r="M316" s="76"/>
      <c r="N316" s="76"/>
      <c r="O316" s="76"/>
      <c r="P316" s="76"/>
      <c r="Q316" s="76"/>
      <c r="R316" s="76"/>
      <c r="S316" s="76"/>
      <c r="T316" s="76"/>
      <c r="U316" s="76"/>
      <c r="V316" s="162"/>
      <c r="W316" s="159"/>
      <c r="X316" s="76"/>
      <c r="Y316" s="76"/>
      <c r="Z316" s="76"/>
      <c r="AA316" s="76"/>
      <c r="AB316" s="76"/>
      <c r="AC316" s="76"/>
      <c r="AD316" s="76"/>
      <c r="AE316" s="76"/>
      <c r="AF316" s="76"/>
      <c r="AG316" s="76"/>
      <c r="AH316" s="4"/>
      <c r="AI316" s="4"/>
      <c r="AJ316" s="4"/>
      <c r="AK316" s="4"/>
      <c r="AL316" s="4"/>
    </row>
    <row r="317" spans="1:38" ht="12.5">
      <c r="A317" s="4"/>
      <c r="B317" s="4"/>
      <c r="C317" s="194"/>
      <c r="D317" s="194"/>
      <c r="E317" s="194"/>
      <c r="F317" s="194"/>
      <c r="G317" s="194"/>
      <c r="H317" s="4"/>
      <c r="I317" s="4"/>
      <c r="J317" s="4"/>
      <c r="K317" s="4"/>
      <c r="L317" s="68"/>
      <c r="M317" s="4"/>
      <c r="N317" s="4"/>
      <c r="O317" s="4"/>
      <c r="P317" s="4"/>
      <c r="Q317" s="4"/>
      <c r="R317" s="4"/>
      <c r="S317" s="4"/>
      <c r="T317" s="4"/>
      <c r="U317" s="4"/>
      <c r="V317" s="74"/>
      <c r="W317" s="68"/>
      <c r="X317" s="4"/>
      <c r="Y317" s="4"/>
      <c r="Z317" s="4"/>
      <c r="AA317" s="4"/>
      <c r="AB317" s="4"/>
      <c r="AC317" s="4"/>
      <c r="AD317" s="4"/>
      <c r="AE317" s="4"/>
      <c r="AF317" s="4"/>
      <c r="AG317" s="4"/>
      <c r="AH317" s="4"/>
      <c r="AI317" s="4"/>
      <c r="AJ317" s="4"/>
      <c r="AK317" s="4"/>
      <c r="AL317" s="4"/>
    </row>
    <row r="318" spans="1:38" ht="12.5">
      <c r="A318" s="4"/>
      <c r="B318" s="4"/>
      <c r="C318" s="194"/>
      <c r="D318" s="194"/>
      <c r="E318" s="194"/>
      <c r="F318" s="194"/>
      <c r="G318" s="19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row>
    <row r="319" spans="1:38" ht="12.5">
      <c r="A319" s="4"/>
      <c r="B319" s="4"/>
      <c r="C319" s="194"/>
      <c r="D319" s="194"/>
      <c r="E319" s="194"/>
      <c r="F319" s="194"/>
      <c r="G319" s="19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row>
    <row r="320" spans="1:38" ht="12.5">
      <c r="A320" s="4"/>
      <c r="B320" s="4"/>
      <c r="C320" s="194"/>
      <c r="D320" s="194"/>
      <c r="E320" s="194"/>
      <c r="F320" s="194"/>
      <c r="G320" s="19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row>
    <row r="321" spans="1:38" ht="12.5">
      <c r="A321" s="4"/>
      <c r="B321" s="4"/>
      <c r="C321" s="194"/>
      <c r="D321" s="194"/>
      <c r="E321" s="194"/>
      <c r="F321" s="194"/>
      <c r="G321" s="19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row>
    <row r="322" spans="1:38" ht="12.5">
      <c r="A322" s="4"/>
      <c r="B322" s="4"/>
      <c r="C322" s="194"/>
      <c r="D322" s="194"/>
      <c r="E322" s="194"/>
      <c r="F322" s="194"/>
      <c r="G322" s="19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row>
    <row r="323" spans="1:38" ht="12.5">
      <c r="A323" s="4"/>
      <c r="B323" s="4"/>
      <c r="C323" s="194"/>
      <c r="D323" s="194"/>
      <c r="E323" s="194"/>
      <c r="F323" s="194"/>
      <c r="G323" s="19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row>
    <row r="324" spans="1:38" ht="12.5">
      <c r="A324" s="4"/>
      <c r="B324" s="4"/>
      <c r="C324" s="194"/>
      <c r="D324" s="194"/>
      <c r="E324" s="194"/>
      <c r="F324" s="194"/>
      <c r="G324" s="19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row>
    <row r="325" spans="1:38" ht="12.5">
      <c r="A325" s="4"/>
      <c r="B325" s="4"/>
      <c r="C325" s="194"/>
      <c r="D325" s="194"/>
      <c r="E325" s="194"/>
      <c r="F325" s="194"/>
      <c r="G325" s="19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row>
    <row r="326" spans="1:38" ht="12.5">
      <c r="A326" s="4"/>
      <c r="B326" s="4"/>
      <c r="C326" s="194"/>
      <c r="D326" s="194"/>
      <c r="E326" s="194"/>
      <c r="F326" s="194"/>
      <c r="G326" s="19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row>
    <row r="327" spans="1:38" ht="12.5">
      <c r="A327" s="4"/>
      <c r="B327" s="4"/>
      <c r="C327" s="194"/>
      <c r="D327" s="194"/>
      <c r="E327" s="194"/>
      <c r="F327" s="194"/>
      <c r="G327" s="19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row>
    <row r="328" spans="1:38" ht="12.5">
      <c r="A328" s="4"/>
      <c r="B328" s="4"/>
      <c r="C328" s="194"/>
      <c r="D328" s="194"/>
      <c r="E328" s="194"/>
      <c r="F328" s="194"/>
      <c r="G328" s="19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row>
    <row r="329" spans="1:38" ht="12.5">
      <c r="A329" s="4"/>
      <c r="B329" s="4"/>
      <c r="C329" s="194"/>
      <c r="D329" s="194"/>
      <c r="E329" s="194"/>
      <c r="F329" s="194"/>
      <c r="G329" s="19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row>
    <row r="330" spans="1:38" ht="12.5">
      <c r="A330" s="4"/>
      <c r="B330" s="4"/>
      <c r="C330" s="194"/>
      <c r="D330" s="194"/>
      <c r="E330" s="194"/>
      <c r="F330" s="194"/>
      <c r="G330" s="19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row>
    <row r="331" spans="1:38" ht="12.5">
      <c r="A331" s="4"/>
      <c r="B331" s="4"/>
      <c r="C331" s="194"/>
      <c r="D331" s="194"/>
      <c r="E331" s="194"/>
      <c r="F331" s="194"/>
      <c r="G331" s="19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row>
    <row r="332" spans="1:38" ht="12.5">
      <c r="A332" s="4"/>
      <c r="B332" s="4"/>
      <c r="C332" s="194"/>
      <c r="D332" s="194"/>
      <c r="E332" s="194"/>
      <c r="F332" s="194"/>
      <c r="G332" s="19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row>
    <row r="333" spans="1:38" ht="12.5">
      <c r="A333" s="4"/>
      <c r="B333" s="4"/>
      <c r="C333" s="194"/>
      <c r="D333" s="194"/>
      <c r="E333" s="194"/>
      <c r="F333" s="194"/>
      <c r="G333" s="19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row>
    <row r="334" spans="1:38" ht="12.5">
      <c r="A334" s="4"/>
      <c r="B334" s="4"/>
      <c r="C334" s="194"/>
      <c r="D334" s="194"/>
      <c r="E334" s="194"/>
      <c r="F334" s="194"/>
      <c r="G334" s="19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row>
    <row r="335" spans="1:38" ht="12.5">
      <c r="A335" s="4"/>
      <c r="B335" s="4"/>
      <c r="C335" s="194"/>
      <c r="D335" s="194"/>
      <c r="E335" s="194"/>
      <c r="F335" s="194"/>
      <c r="G335" s="19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row>
    <row r="336" spans="1:38" ht="12.5">
      <c r="A336" s="4"/>
      <c r="B336" s="4"/>
      <c r="C336" s="194"/>
      <c r="D336" s="194"/>
      <c r="E336" s="194"/>
      <c r="F336" s="194"/>
      <c r="G336" s="19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row>
    <row r="337" spans="1:38" ht="12.5">
      <c r="A337" s="4"/>
      <c r="B337" s="4"/>
      <c r="C337" s="194"/>
      <c r="D337" s="194"/>
      <c r="E337" s="194"/>
      <c r="F337" s="194"/>
      <c r="G337" s="19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row>
    <row r="338" spans="1:38" ht="12.5">
      <c r="A338" s="4"/>
      <c r="B338" s="4"/>
      <c r="C338" s="194"/>
      <c r="D338" s="194"/>
      <c r="E338" s="194"/>
      <c r="F338" s="194"/>
      <c r="G338" s="19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row>
    <row r="339" spans="1:38" ht="12.5">
      <c r="A339" s="4"/>
      <c r="B339" s="4"/>
      <c r="C339" s="194"/>
      <c r="D339" s="194"/>
      <c r="E339" s="194"/>
      <c r="F339" s="194"/>
      <c r="G339" s="19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row>
    <row r="340" spans="1:38" ht="12.5">
      <c r="A340" s="4"/>
      <c r="B340" s="4"/>
      <c r="C340" s="194"/>
      <c r="D340" s="194"/>
      <c r="E340" s="194"/>
      <c r="F340" s="194"/>
      <c r="G340" s="19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row>
    <row r="341" spans="1:38" ht="12.5">
      <c r="A341" s="4"/>
      <c r="B341" s="4"/>
      <c r="C341" s="194"/>
      <c r="D341" s="194"/>
      <c r="E341" s="194"/>
      <c r="F341" s="194"/>
      <c r="G341" s="19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row>
    <row r="342" spans="1:38" ht="12.5">
      <c r="A342" s="4"/>
      <c r="B342" s="4"/>
      <c r="C342" s="194"/>
      <c r="D342" s="194"/>
      <c r="E342" s="194"/>
      <c r="F342" s="194"/>
      <c r="G342" s="19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row>
    <row r="343" spans="1:38" ht="12.5">
      <c r="A343" s="4"/>
      <c r="B343" s="4"/>
      <c r="C343" s="194"/>
      <c r="D343" s="194"/>
      <c r="E343" s="194"/>
      <c r="F343" s="194"/>
      <c r="G343" s="19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row>
    <row r="344" spans="1:38" ht="12.5">
      <c r="A344" s="4"/>
      <c r="B344" s="4"/>
      <c r="C344" s="194"/>
      <c r="D344" s="194"/>
      <c r="E344" s="194"/>
      <c r="F344" s="194"/>
      <c r="G344" s="19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row>
    <row r="345" spans="1:38" ht="12.5">
      <c r="A345" s="4"/>
      <c r="B345" s="4"/>
      <c r="C345" s="194"/>
      <c r="D345" s="194"/>
      <c r="E345" s="194"/>
      <c r="F345" s="194"/>
      <c r="G345" s="19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row>
    <row r="346" spans="1:38" ht="12.5">
      <c r="A346" s="4"/>
      <c r="B346" s="4"/>
      <c r="C346" s="194"/>
      <c r="D346" s="194"/>
      <c r="E346" s="194"/>
      <c r="F346" s="194"/>
      <c r="G346" s="19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row>
    <row r="347" spans="1:38" ht="12.5">
      <c r="A347" s="4"/>
      <c r="B347" s="4"/>
      <c r="C347" s="194"/>
      <c r="D347" s="194"/>
      <c r="E347" s="194"/>
      <c r="F347" s="194"/>
      <c r="G347" s="19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row>
    <row r="348" spans="1:38" ht="12.5">
      <c r="A348" s="4"/>
      <c r="B348" s="4"/>
      <c r="C348" s="194"/>
      <c r="D348" s="194"/>
      <c r="E348" s="194"/>
      <c r="F348" s="194"/>
      <c r="G348" s="19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row>
    <row r="349" spans="1:38" ht="12.5">
      <c r="A349" s="4"/>
      <c r="B349" s="4"/>
      <c r="C349" s="194"/>
      <c r="D349" s="194"/>
      <c r="E349" s="194"/>
      <c r="F349" s="194"/>
      <c r="G349" s="19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row>
    <row r="350" spans="1:38" ht="12.5">
      <c r="A350" s="4"/>
      <c r="B350" s="4"/>
      <c r="C350" s="194"/>
      <c r="D350" s="194"/>
      <c r="E350" s="194"/>
      <c r="F350" s="194"/>
      <c r="G350" s="19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row>
    <row r="351" spans="1:38" ht="12.5">
      <c r="A351" s="4"/>
      <c r="B351" s="4"/>
      <c r="C351" s="194"/>
      <c r="D351" s="194"/>
      <c r="E351" s="194"/>
      <c r="F351" s="194"/>
      <c r="G351" s="19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row>
    <row r="352" spans="1:38" ht="12.5">
      <c r="A352" s="4"/>
      <c r="B352" s="4"/>
      <c r="C352" s="194"/>
      <c r="D352" s="194"/>
      <c r="E352" s="194"/>
      <c r="F352" s="194"/>
      <c r="G352" s="19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row>
    <row r="353" spans="1:38" ht="12.5">
      <c r="A353" s="4"/>
      <c r="B353" s="4"/>
      <c r="C353" s="194"/>
      <c r="D353" s="194"/>
      <c r="E353" s="194"/>
      <c r="F353" s="194"/>
      <c r="G353" s="19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row>
    <row r="354" spans="1:38" ht="12.5">
      <c r="A354" s="4"/>
      <c r="B354" s="4"/>
      <c r="C354" s="194"/>
      <c r="D354" s="194"/>
      <c r="E354" s="194"/>
      <c r="F354" s="194"/>
      <c r="G354" s="19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row>
    <row r="355" spans="1:38" ht="12.5">
      <c r="A355" s="4"/>
      <c r="B355" s="4"/>
      <c r="C355" s="194"/>
      <c r="D355" s="194"/>
      <c r="E355" s="194"/>
      <c r="F355" s="194"/>
      <c r="G355" s="19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row>
    <row r="356" spans="1:38" ht="12.5">
      <c r="A356" s="4"/>
      <c r="B356" s="4"/>
      <c r="C356" s="194"/>
      <c r="D356" s="194"/>
      <c r="E356" s="194"/>
      <c r="F356" s="194"/>
      <c r="G356" s="19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row>
    <row r="357" spans="1:38" ht="12.5">
      <c r="A357" s="4"/>
      <c r="B357" s="4"/>
      <c r="C357" s="194"/>
      <c r="D357" s="194"/>
      <c r="E357" s="194"/>
      <c r="F357" s="194"/>
      <c r="G357" s="19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row>
    <row r="358" spans="1:38" ht="12.5">
      <c r="A358" s="4"/>
      <c r="B358" s="4"/>
      <c r="C358" s="194"/>
      <c r="D358" s="194"/>
      <c r="E358" s="194"/>
      <c r="F358" s="194"/>
      <c r="G358" s="19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row>
    <row r="359" spans="1:38" ht="12.5">
      <c r="A359" s="4"/>
      <c r="B359" s="4"/>
      <c r="C359" s="194"/>
      <c r="D359" s="194"/>
      <c r="E359" s="194"/>
      <c r="F359" s="194"/>
      <c r="G359" s="19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row>
    <row r="360" spans="1:38" ht="12.5">
      <c r="A360" s="4"/>
      <c r="B360" s="4"/>
      <c r="C360" s="194"/>
      <c r="D360" s="194"/>
      <c r="E360" s="194"/>
      <c r="F360" s="194"/>
      <c r="G360" s="19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row>
    <row r="361" spans="1:38" ht="12.5">
      <c r="A361" s="4"/>
      <c r="B361" s="4"/>
      <c r="C361" s="194"/>
      <c r="D361" s="194"/>
      <c r="E361" s="194"/>
      <c r="F361" s="194"/>
      <c r="G361" s="19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row>
    <row r="362" spans="1:38" ht="12.5">
      <c r="A362" s="4"/>
      <c r="B362" s="4"/>
      <c r="C362" s="194"/>
      <c r="D362" s="194"/>
      <c r="E362" s="194"/>
      <c r="F362" s="194"/>
      <c r="G362" s="19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row>
    <row r="363" spans="1:38" ht="12.5">
      <c r="A363" s="4"/>
      <c r="B363" s="4"/>
      <c r="C363" s="194"/>
      <c r="D363" s="194"/>
      <c r="E363" s="194"/>
      <c r="F363" s="194"/>
      <c r="G363" s="19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row>
    <row r="364" spans="1:38" ht="12.5">
      <c r="A364" s="4"/>
      <c r="B364" s="4"/>
      <c r="C364" s="194"/>
      <c r="D364" s="194"/>
      <c r="E364" s="194"/>
      <c r="F364" s="194"/>
      <c r="G364" s="19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row>
    <row r="365" spans="1:38" ht="12.5">
      <c r="A365" s="4"/>
      <c r="B365" s="4"/>
      <c r="C365" s="194"/>
      <c r="D365" s="194"/>
      <c r="E365" s="194"/>
      <c r="F365" s="194"/>
      <c r="G365" s="19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row>
    <row r="366" spans="1:38" ht="12.5">
      <c r="A366" s="4"/>
      <c r="B366" s="4"/>
      <c r="C366" s="194"/>
      <c r="D366" s="194"/>
      <c r="E366" s="194"/>
      <c r="F366" s="194"/>
      <c r="G366" s="19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row>
    <row r="367" spans="1:38" ht="12.5">
      <c r="A367" s="4"/>
      <c r="B367" s="4"/>
      <c r="C367" s="194"/>
      <c r="D367" s="194"/>
      <c r="E367" s="194"/>
      <c r="F367" s="194"/>
      <c r="G367" s="19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row>
    <row r="368" spans="1:38" ht="12.5">
      <c r="A368" s="4"/>
      <c r="B368" s="4"/>
      <c r="C368" s="194"/>
      <c r="D368" s="194"/>
      <c r="E368" s="194"/>
      <c r="F368" s="194"/>
      <c r="G368" s="19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row>
    <row r="369" spans="1:38" ht="12.5">
      <c r="A369" s="4"/>
      <c r="B369" s="4"/>
      <c r="C369" s="194"/>
      <c r="D369" s="194"/>
      <c r="E369" s="194"/>
      <c r="F369" s="194"/>
      <c r="G369" s="19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row>
    <row r="370" spans="1:38" ht="12.5">
      <c r="A370" s="4"/>
      <c r="B370" s="4"/>
      <c r="C370" s="194"/>
      <c r="D370" s="194"/>
      <c r="E370" s="194"/>
      <c r="F370" s="194"/>
      <c r="G370" s="19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row>
    <row r="371" spans="1:38" ht="12.5">
      <c r="A371" s="4"/>
      <c r="B371" s="4"/>
      <c r="C371" s="194"/>
      <c r="D371" s="194"/>
      <c r="E371" s="194"/>
      <c r="F371" s="194"/>
      <c r="G371" s="19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row>
    <row r="372" spans="1:38" ht="12.5">
      <c r="A372" s="4"/>
      <c r="B372" s="4"/>
      <c r="C372" s="194"/>
      <c r="D372" s="194"/>
      <c r="E372" s="194"/>
      <c r="F372" s="194"/>
      <c r="G372" s="19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row>
    <row r="373" spans="1:38" ht="12.5">
      <c r="A373" s="4"/>
      <c r="B373" s="4"/>
      <c r="C373" s="194"/>
      <c r="D373" s="194"/>
      <c r="E373" s="194"/>
      <c r="F373" s="194"/>
      <c r="G373" s="19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row>
    <row r="374" spans="1:38" ht="12.5">
      <c r="A374" s="4"/>
      <c r="B374" s="4"/>
      <c r="C374" s="194"/>
      <c r="D374" s="194"/>
      <c r="E374" s="194"/>
      <c r="F374" s="194"/>
      <c r="G374" s="19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row>
    <row r="375" spans="1:38" ht="12.5">
      <c r="A375" s="4"/>
      <c r="B375" s="4"/>
      <c r="C375" s="194"/>
      <c r="D375" s="194"/>
      <c r="E375" s="194"/>
      <c r="F375" s="194"/>
      <c r="G375" s="19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row>
    <row r="376" spans="1:38" ht="12.5">
      <c r="A376" s="4"/>
      <c r="B376" s="4"/>
      <c r="C376" s="194"/>
      <c r="D376" s="194"/>
      <c r="E376" s="194"/>
      <c r="F376" s="194"/>
      <c r="G376" s="19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row>
    <row r="377" spans="1:38" ht="12.5">
      <c r="A377" s="4"/>
      <c r="B377" s="4"/>
      <c r="C377" s="194"/>
      <c r="D377" s="194"/>
      <c r="E377" s="194"/>
      <c r="F377" s="194"/>
      <c r="G377" s="19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row>
    <row r="378" spans="1:38" ht="12.5">
      <c r="A378" s="4"/>
      <c r="B378" s="4"/>
      <c r="C378" s="194"/>
      <c r="D378" s="194"/>
      <c r="E378" s="194"/>
      <c r="F378" s="194"/>
      <c r="G378" s="19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row>
    <row r="379" spans="1:38" ht="12.5">
      <c r="A379" s="4"/>
      <c r="B379" s="4"/>
      <c r="C379" s="194"/>
      <c r="D379" s="194"/>
      <c r="E379" s="194"/>
      <c r="F379" s="194"/>
      <c r="G379" s="19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row>
    <row r="380" spans="1:38" ht="12.5">
      <c r="A380" s="4"/>
      <c r="B380" s="4"/>
      <c r="C380" s="194"/>
      <c r="D380" s="194"/>
      <c r="E380" s="194"/>
      <c r="F380" s="194"/>
      <c r="G380" s="19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row>
    <row r="381" spans="1:38" ht="12.5">
      <c r="A381" s="4"/>
      <c r="B381" s="4"/>
      <c r="C381" s="194"/>
      <c r="D381" s="194"/>
      <c r="E381" s="194"/>
      <c r="F381" s="194"/>
      <c r="G381" s="19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row>
    <row r="382" spans="1:38" ht="12.5">
      <c r="A382" s="4"/>
      <c r="B382" s="4"/>
      <c r="C382" s="194"/>
      <c r="D382" s="194"/>
      <c r="E382" s="194"/>
      <c r="F382" s="194"/>
      <c r="G382" s="19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row>
    <row r="383" spans="1:38" ht="12.5">
      <c r="A383" s="4"/>
      <c r="B383" s="4"/>
      <c r="C383" s="194"/>
      <c r="D383" s="194"/>
      <c r="E383" s="194"/>
      <c r="F383" s="194"/>
      <c r="G383" s="19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row>
    <row r="384" spans="1:38" ht="12.5">
      <c r="A384" s="4"/>
      <c r="B384" s="4"/>
      <c r="C384" s="194"/>
      <c r="D384" s="194"/>
      <c r="E384" s="194"/>
      <c r="F384" s="194"/>
      <c r="G384" s="19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row>
    <row r="385" spans="1:38" ht="12.5">
      <c r="A385" s="4"/>
      <c r="B385" s="4"/>
      <c r="C385" s="194"/>
      <c r="D385" s="194"/>
      <c r="E385" s="194"/>
      <c r="F385" s="194"/>
      <c r="G385" s="19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row>
    <row r="386" spans="1:38" ht="12.5">
      <c r="A386" s="4"/>
      <c r="B386" s="4"/>
      <c r="C386" s="194"/>
      <c r="D386" s="194"/>
      <c r="E386" s="194"/>
      <c r="F386" s="194"/>
      <c r="G386" s="19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row>
    <row r="387" spans="1:38" ht="12.5">
      <c r="A387" s="4"/>
      <c r="B387" s="4"/>
      <c r="C387" s="194"/>
      <c r="D387" s="194"/>
      <c r="E387" s="194"/>
      <c r="F387" s="194"/>
      <c r="G387" s="19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row>
    <row r="388" spans="1:38" ht="12.5">
      <c r="A388" s="4"/>
      <c r="B388" s="4"/>
      <c r="C388" s="194"/>
      <c r="D388" s="194"/>
      <c r="E388" s="194"/>
      <c r="F388" s="194"/>
      <c r="G388" s="19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row>
    <row r="389" spans="1:38" ht="12.5">
      <c r="A389" s="4"/>
      <c r="B389" s="4"/>
      <c r="C389" s="194"/>
      <c r="D389" s="194"/>
      <c r="E389" s="194"/>
      <c r="F389" s="194"/>
      <c r="G389" s="19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row>
    <row r="390" spans="1:38" ht="12.5">
      <c r="A390" s="4"/>
      <c r="B390" s="4"/>
      <c r="C390" s="194"/>
      <c r="D390" s="194"/>
      <c r="E390" s="194"/>
      <c r="F390" s="194"/>
      <c r="G390" s="19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row>
    <row r="391" spans="1:38" ht="12.5">
      <c r="A391" s="4"/>
      <c r="B391" s="4"/>
      <c r="C391" s="194"/>
      <c r="D391" s="194"/>
      <c r="E391" s="194"/>
      <c r="F391" s="194"/>
      <c r="G391" s="19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row>
    <row r="392" spans="1:38" ht="12.5">
      <c r="A392" s="4"/>
      <c r="B392" s="4"/>
      <c r="C392" s="194"/>
      <c r="D392" s="194"/>
      <c r="E392" s="194"/>
      <c r="F392" s="194"/>
      <c r="G392" s="19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row>
    <row r="393" spans="1:38" ht="12.5">
      <c r="A393" s="4"/>
      <c r="B393" s="4"/>
      <c r="C393" s="194"/>
      <c r="D393" s="194"/>
      <c r="E393" s="194"/>
      <c r="F393" s="194"/>
      <c r="G393" s="19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row>
    <row r="394" spans="1:38" ht="12.5">
      <c r="A394" s="4"/>
      <c r="B394" s="4"/>
      <c r="C394" s="194"/>
      <c r="D394" s="194"/>
      <c r="E394" s="194"/>
      <c r="F394" s="194"/>
      <c r="G394" s="19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row>
    <row r="395" spans="1:38" ht="12.5">
      <c r="A395" s="4"/>
      <c r="B395" s="4"/>
      <c r="C395" s="194"/>
      <c r="D395" s="194"/>
      <c r="E395" s="194"/>
      <c r="F395" s="194"/>
      <c r="G395" s="19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row>
    <row r="396" spans="1:38" ht="12.5">
      <c r="A396" s="4"/>
      <c r="B396" s="4"/>
      <c r="C396" s="194"/>
      <c r="D396" s="194"/>
      <c r="E396" s="194"/>
      <c r="F396" s="194"/>
      <c r="G396" s="19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row>
    <row r="397" spans="1:38" ht="12.5">
      <c r="A397" s="4"/>
      <c r="B397" s="4"/>
      <c r="C397" s="194"/>
      <c r="D397" s="194"/>
      <c r="E397" s="194"/>
      <c r="F397" s="194"/>
      <c r="G397" s="19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row>
    <row r="398" spans="1:38" ht="12.5">
      <c r="A398" s="4"/>
      <c r="B398" s="4"/>
      <c r="C398" s="194"/>
      <c r="D398" s="194"/>
      <c r="E398" s="194"/>
      <c r="F398" s="194"/>
      <c r="G398" s="19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row>
    <row r="399" spans="1:38" ht="12.5">
      <c r="A399" s="4"/>
      <c r="B399" s="4"/>
      <c r="C399" s="194"/>
      <c r="D399" s="194"/>
      <c r="E399" s="194"/>
      <c r="F399" s="194"/>
      <c r="G399" s="19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row>
    <row r="400" spans="1:38" ht="12.5">
      <c r="A400" s="4"/>
      <c r="B400" s="4"/>
      <c r="C400" s="194"/>
      <c r="D400" s="194"/>
      <c r="E400" s="194"/>
      <c r="F400" s="194"/>
      <c r="G400" s="19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row>
    <row r="401" spans="1:38" ht="12.5">
      <c r="A401" s="4"/>
      <c r="B401" s="4"/>
      <c r="C401" s="194"/>
      <c r="D401" s="194"/>
      <c r="E401" s="194"/>
      <c r="F401" s="194"/>
      <c r="G401" s="19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row>
    <row r="402" spans="1:38" ht="12.5">
      <c r="A402" s="4"/>
      <c r="B402" s="4"/>
      <c r="C402" s="194"/>
      <c r="D402" s="194"/>
      <c r="E402" s="194"/>
      <c r="F402" s="194"/>
      <c r="G402" s="19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row>
    <row r="403" spans="1:38" ht="12.5">
      <c r="A403" s="4"/>
      <c r="B403" s="4"/>
      <c r="C403" s="194"/>
      <c r="D403" s="194"/>
      <c r="E403" s="194"/>
      <c r="F403" s="194"/>
      <c r="G403" s="19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row>
    <row r="404" spans="1:38" ht="12.5">
      <c r="A404" s="4"/>
      <c r="B404" s="4"/>
      <c r="C404" s="194"/>
      <c r="D404" s="194"/>
      <c r="E404" s="194"/>
      <c r="F404" s="194"/>
      <c r="G404" s="19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row>
    <row r="405" spans="1:38" ht="12.5">
      <c r="A405" s="4"/>
      <c r="B405" s="4"/>
      <c r="C405" s="194"/>
      <c r="D405" s="194"/>
      <c r="E405" s="194"/>
      <c r="F405" s="194"/>
      <c r="G405" s="19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row>
    <row r="406" spans="1:38" ht="12.5">
      <c r="A406" s="4"/>
      <c r="B406" s="4"/>
      <c r="C406" s="194"/>
      <c r="D406" s="194"/>
      <c r="E406" s="194"/>
      <c r="F406" s="194"/>
      <c r="G406" s="19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row>
    <row r="407" spans="1:38" ht="12.5">
      <c r="A407" s="4"/>
      <c r="B407" s="4"/>
      <c r="C407" s="194"/>
      <c r="D407" s="194"/>
      <c r="E407" s="194"/>
      <c r="F407" s="194"/>
      <c r="G407" s="19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row>
    <row r="408" spans="1:38" ht="12.5">
      <c r="A408" s="4"/>
      <c r="B408" s="4"/>
      <c r="C408" s="194"/>
      <c r="D408" s="194"/>
      <c r="E408" s="194"/>
      <c r="F408" s="194"/>
      <c r="G408" s="19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row>
    <row r="409" spans="1:38" ht="12.5">
      <c r="A409" s="4"/>
      <c r="B409" s="4"/>
      <c r="C409" s="194"/>
      <c r="D409" s="194"/>
      <c r="E409" s="194"/>
      <c r="F409" s="194"/>
      <c r="G409" s="19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row>
    <row r="410" spans="1:38" ht="12.5">
      <c r="A410" s="4"/>
      <c r="B410" s="4"/>
      <c r="C410" s="194"/>
      <c r="D410" s="194"/>
      <c r="E410" s="194"/>
      <c r="F410" s="194"/>
      <c r="G410" s="19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row>
    <row r="411" spans="1:38" ht="12.5">
      <c r="A411" s="4"/>
      <c r="B411" s="4"/>
      <c r="C411" s="194"/>
      <c r="D411" s="194"/>
      <c r="E411" s="194"/>
      <c r="F411" s="194"/>
      <c r="G411" s="19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row>
    <row r="412" spans="1:38" ht="12.5">
      <c r="A412" s="4"/>
      <c r="B412" s="4"/>
      <c r="C412" s="194"/>
      <c r="D412" s="194"/>
      <c r="E412" s="194"/>
      <c r="F412" s="194"/>
      <c r="G412" s="19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row>
    <row r="413" spans="1:38" ht="12.5">
      <c r="A413" s="4"/>
      <c r="B413" s="4"/>
      <c r="C413" s="194"/>
      <c r="D413" s="194"/>
      <c r="E413" s="194"/>
      <c r="F413" s="194"/>
      <c r="G413" s="19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row>
    <row r="414" spans="1:38" ht="12.5">
      <c r="A414" s="4"/>
      <c r="B414" s="4"/>
      <c r="C414" s="194"/>
      <c r="D414" s="194"/>
      <c r="E414" s="194"/>
      <c r="F414" s="194"/>
      <c r="G414" s="19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row>
    <row r="415" spans="1:38" ht="12.5">
      <c r="A415" s="4"/>
      <c r="B415" s="4"/>
      <c r="C415" s="194"/>
      <c r="D415" s="194"/>
      <c r="E415" s="194"/>
      <c r="F415" s="194"/>
      <c r="G415" s="19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row>
    <row r="416" spans="1:38" ht="12.5">
      <c r="A416" s="4"/>
      <c r="B416" s="4"/>
      <c r="C416" s="194"/>
      <c r="D416" s="194"/>
      <c r="E416" s="194"/>
      <c r="F416" s="194"/>
      <c r="G416" s="19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row>
    <row r="417" spans="1:38" ht="12.5">
      <c r="A417" s="4"/>
      <c r="B417" s="4"/>
      <c r="C417" s="194"/>
      <c r="D417" s="194"/>
      <c r="E417" s="194"/>
      <c r="F417" s="194"/>
      <c r="G417" s="19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row>
    <row r="418" spans="1:38" ht="12.5">
      <c r="A418" s="4"/>
      <c r="B418" s="4"/>
      <c r="C418" s="194"/>
      <c r="D418" s="194"/>
      <c r="E418" s="194"/>
      <c r="F418" s="194"/>
      <c r="G418" s="19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row>
    <row r="419" spans="1:38" ht="12.5">
      <c r="A419" s="4"/>
      <c r="B419" s="4"/>
      <c r="C419" s="194"/>
      <c r="D419" s="194"/>
      <c r="E419" s="194"/>
      <c r="F419" s="194"/>
      <c r="G419" s="19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row>
    <row r="420" spans="1:38" ht="12.5">
      <c r="A420" s="4"/>
      <c r="B420" s="4"/>
      <c r="C420" s="194"/>
      <c r="D420" s="194"/>
      <c r="E420" s="194"/>
      <c r="F420" s="194"/>
      <c r="G420" s="19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row>
    <row r="421" spans="1:38" ht="12.5">
      <c r="A421" s="4"/>
      <c r="B421" s="4"/>
      <c r="C421" s="194"/>
      <c r="D421" s="194"/>
      <c r="E421" s="194"/>
      <c r="F421" s="194"/>
      <c r="G421" s="19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row>
    <row r="422" spans="1:38" ht="12.5">
      <c r="A422" s="4"/>
      <c r="B422" s="4"/>
      <c r="C422" s="194"/>
      <c r="D422" s="194"/>
      <c r="E422" s="194"/>
      <c r="F422" s="194"/>
      <c r="G422" s="19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row>
    <row r="423" spans="1:38" ht="12.5">
      <c r="A423" s="4"/>
      <c r="B423" s="4"/>
      <c r="C423" s="194"/>
      <c r="D423" s="194"/>
      <c r="E423" s="194"/>
      <c r="F423" s="194"/>
      <c r="G423" s="19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row>
    <row r="424" spans="1:38" ht="12.5">
      <c r="A424" s="4"/>
      <c r="B424" s="4"/>
      <c r="C424" s="194"/>
      <c r="D424" s="194"/>
      <c r="E424" s="194"/>
      <c r="F424" s="194"/>
      <c r="G424" s="19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row>
    <row r="425" spans="1:38" ht="12.5">
      <c r="A425" s="4"/>
      <c r="B425" s="4"/>
      <c r="C425" s="194"/>
      <c r="D425" s="194"/>
      <c r="E425" s="194"/>
      <c r="F425" s="194"/>
      <c r="G425" s="19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row>
    <row r="426" spans="1:38" ht="12.5">
      <c r="A426" s="4"/>
      <c r="B426" s="4"/>
      <c r="C426" s="194"/>
      <c r="D426" s="194"/>
      <c r="E426" s="194"/>
      <c r="F426" s="194"/>
      <c r="G426" s="19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row>
    <row r="427" spans="1:38" ht="12.5">
      <c r="A427" s="4"/>
      <c r="B427" s="4"/>
      <c r="C427" s="194"/>
      <c r="D427" s="194"/>
      <c r="E427" s="194"/>
      <c r="F427" s="194"/>
      <c r="G427" s="19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row>
    <row r="428" spans="1:38" ht="12.5">
      <c r="A428" s="4"/>
      <c r="B428" s="4"/>
      <c r="C428" s="194"/>
      <c r="D428" s="194"/>
      <c r="E428" s="194"/>
      <c r="F428" s="194"/>
      <c r="G428" s="19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row>
    <row r="429" spans="1:38" ht="12.5">
      <c r="A429" s="4"/>
      <c r="B429" s="4"/>
      <c r="C429" s="194"/>
      <c r="D429" s="194"/>
      <c r="E429" s="194"/>
      <c r="F429" s="194"/>
      <c r="G429" s="19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row>
    <row r="430" spans="1:38" ht="12.5">
      <c r="A430" s="4"/>
      <c r="B430" s="4"/>
      <c r="C430" s="194"/>
      <c r="D430" s="194"/>
      <c r="E430" s="194"/>
      <c r="F430" s="194"/>
      <c r="G430" s="19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row>
    <row r="431" spans="1:38" ht="12.5">
      <c r="A431" s="4"/>
      <c r="B431" s="4"/>
      <c r="C431" s="194"/>
      <c r="D431" s="194"/>
      <c r="E431" s="194"/>
      <c r="F431" s="194"/>
      <c r="G431" s="19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row>
    <row r="432" spans="1:38" ht="12.5">
      <c r="A432" s="4"/>
      <c r="B432" s="4"/>
      <c r="C432" s="194"/>
      <c r="D432" s="194"/>
      <c r="E432" s="194"/>
      <c r="F432" s="194"/>
      <c r="G432" s="19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row>
    <row r="433" spans="1:38" ht="12.5">
      <c r="A433" s="4"/>
      <c r="B433" s="4"/>
      <c r="C433" s="194"/>
      <c r="D433" s="194"/>
      <c r="E433" s="194"/>
      <c r="F433" s="194"/>
      <c r="G433" s="19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row>
    <row r="434" spans="1:38" ht="12.5">
      <c r="A434" s="4"/>
      <c r="B434" s="4"/>
      <c r="C434" s="194"/>
      <c r="D434" s="194"/>
      <c r="E434" s="194"/>
      <c r="F434" s="194"/>
      <c r="G434" s="19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row>
    <row r="435" spans="1:38" ht="12.5">
      <c r="A435" s="4"/>
      <c r="B435" s="4"/>
      <c r="C435" s="194"/>
      <c r="D435" s="194"/>
      <c r="E435" s="194"/>
      <c r="F435" s="194"/>
      <c r="G435" s="19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row>
    <row r="436" spans="1:38" ht="12.5">
      <c r="A436" s="4"/>
      <c r="B436" s="4"/>
      <c r="C436" s="194"/>
      <c r="D436" s="194"/>
      <c r="E436" s="194"/>
      <c r="F436" s="194"/>
      <c r="G436" s="19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row>
    <row r="437" spans="1:38" ht="12.5">
      <c r="A437" s="4"/>
      <c r="B437" s="4"/>
      <c r="C437" s="194"/>
      <c r="D437" s="194"/>
      <c r="E437" s="194"/>
      <c r="F437" s="194"/>
      <c r="G437" s="19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row>
    <row r="438" spans="1:38" ht="12.5">
      <c r="A438" s="4"/>
      <c r="B438" s="4"/>
      <c r="C438" s="194"/>
      <c r="D438" s="194"/>
      <c r="E438" s="194"/>
      <c r="F438" s="194"/>
      <c r="G438" s="19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row>
    <row r="439" spans="1:38" ht="12.5">
      <c r="A439" s="4"/>
      <c r="B439" s="4"/>
      <c r="C439" s="194"/>
      <c r="D439" s="194"/>
      <c r="E439" s="194"/>
      <c r="F439" s="194"/>
      <c r="G439" s="19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row>
    <row r="440" spans="1:38" ht="12.5">
      <c r="A440" s="4"/>
      <c r="B440" s="4"/>
      <c r="C440" s="194"/>
      <c r="D440" s="194"/>
      <c r="E440" s="194"/>
      <c r="F440" s="194"/>
      <c r="G440" s="19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row>
    <row r="441" spans="1:38" ht="12.5">
      <c r="A441" s="4"/>
      <c r="B441" s="4"/>
      <c r="C441" s="194"/>
      <c r="D441" s="194"/>
      <c r="E441" s="194"/>
      <c r="F441" s="194"/>
      <c r="G441" s="19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row>
    <row r="442" spans="1:38" ht="12.5">
      <c r="A442" s="4"/>
      <c r="B442" s="4"/>
      <c r="C442" s="194"/>
      <c r="D442" s="194"/>
      <c r="E442" s="194"/>
      <c r="F442" s="194"/>
      <c r="G442" s="19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row>
    <row r="443" spans="1:38" ht="12.5">
      <c r="A443" s="4"/>
      <c r="B443" s="4"/>
      <c r="C443" s="194"/>
      <c r="D443" s="194"/>
      <c r="E443" s="194"/>
      <c r="F443" s="194"/>
      <c r="G443" s="19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row>
    <row r="444" spans="1:38" ht="12.5">
      <c r="A444" s="4"/>
      <c r="B444" s="4"/>
      <c r="C444" s="194"/>
      <c r="D444" s="194"/>
      <c r="E444" s="194"/>
      <c r="F444" s="194"/>
      <c r="G444" s="19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row>
    <row r="445" spans="1:38" ht="12.5">
      <c r="A445" s="4"/>
      <c r="B445" s="4"/>
      <c r="C445" s="194"/>
      <c r="D445" s="194"/>
      <c r="E445" s="194"/>
      <c r="F445" s="194"/>
      <c r="G445" s="19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row>
    <row r="446" spans="1:38" ht="12.5">
      <c r="A446" s="4"/>
      <c r="B446" s="4"/>
      <c r="C446" s="194"/>
      <c r="D446" s="194"/>
      <c r="E446" s="194"/>
      <c r="F446" s="194"/>
      <c r="G446" s="19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row>
    <row r="447" spans="1:38" ht="12.5">
      <c r="A447" s="4"/>
      <c r="B447" s="4"/>
      <c r="C447" s="194"/>
      <c r="D447" s="194"/>
      <c r="E447" s="194"/>
      <c r="F447" s="194"/>
      <c r="G447" s="19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row>
    <row r="448" spans="1:38" ht="12.5">
      <c r="A448" s="4"/>
      <c r="B448" s="4"/>
      <c r="C448" s="194"/>
      <c r="D448" s="194"/>
      <c r="E448" s="194"/>
      <c r="F448" s="194"/>
      <c r="G448" s="19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row>
    <row r="449" spans="1:38" ht="12.5">
      <c r="A449" s="4"/>
      <c r="B449" s="4"/>
      <c r="C449" s="194"/>
      <c r="D449" s="194"/>
      <c r="E449" s="194"/>
      <c r="F449" s="194"/>
      <c r="G449" s="19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row>
    <row r="450" spans="1:38" ht="12.5">
      <c r="A450" s="4"/>
      <c r="B450" s="4"/>
      <c r="C450" s="194"/>
      <c r="D450" s="194"/>
      <c r="E450" s="194"/>
      <c r="F450" s="194"/>
      <c r="G450" s="19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row>
    <row r="451" spans="1:38" ht="12.5">
      <c r="A451" s="4"/>
      <c r="B451" s="4"/>
      <c r="C451" s="194"/>
      <c r="D451" s="194"/>
      <c r="E451" s="194"/>
      <c r="F451" s="194"/>
      <c r="G451" s="19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row>
    <row r="452" spans="1:38" ht="12.5">
      <c r="A452" s="4"/>
      <c r="B452" s="4"/>
      <c r="C452" s="194"/>
      <c r="D452" s="194"/>
      <c r="E452" s="194"/>
      <c r="F452" s="194"/>
      <c r="G452" s="19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row>
    <row r="453" spans="1:38" ht="12.5">
      <c r="A453" s="4"/>
      <c r="B453" s="4"/>
      <c r="C453" s="194"/>
      <c r="D453" s="194"/>
      <c r="E453" s="194"/>
      <c r="F453" s="194"/>
      <c r="G453" s="19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row>
    <row r="454" spans="1:38" ht="12.5">
      <c r="A454" s="4"/>
      <c r="B454" s="4"/>
      <c r="C454" s="194"/>
      <c r="D454" s="194"/>
      <c r="E454" s="194"/>
      <c r="F454" s="194"/>
      <c r="G454" s="19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row>
    <row r="455" spans="1:38" ht="12.5">
      <c r="A455" s="4"/>
      <c r="B455" s="4"/>
      <c r="C455" s="194"/>
      <c r="D455" s="194"/>
      <c r="E455" s="194"/>
      <c r="F455" s="194"/>
      <c r="G455" s="19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row>
    <row r="456" spans="1:38" ht="12.5">
      <c r="A456" s="4"/>
      <c r="B456" s="4"/>
      <c r="C456" s="194"/>
      <c r="D456" s="194"/>
      <c r="E456" s="194"/>
      <c r="F456" s="194"/>
      <c r="G456" s="19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row>
    <row r="457" spans="1:38" ht="12.5">
      <c r="A457" s="4"/>
      <c r="B457" s="4"/>
      <c r="C457" s="194"/>
      <c r="D457" s="194"/>
      <c r="E457" s="194"/>
      <c r="F457" s="194"/>
      <c r="G457" s="19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row>
    <row r="458" spans="1:38" ht="12.5">
      <c r="A458" s="4"/>
      <c r="B458" s="4"/>
      <c r="C458" s="194"/>
      <c r="D458" s="194"/>
      <c r="E458" s="194"/>
      <c r="F458" s="194"/>
      <c r="G458" s="19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row>
    <row r="459" spans="1:38" ht="12.5">
      <c r="A459" s="4"/>
      <c r="B459" s="4"/>
      <c r="C459" s="194"/>
      <c r="D459" s="194"/>
      <c r="E459" s="194"/>
      <c r="F459" s="194"/>
      <c r="G459" s="19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row>
    <row r="460" spans="1:38" ht="12.5">
      <c r="A460" s="4"/>
      <c r="B460" s="4"/>
      <c r="C460" s="194"/>
      <c r="D460" s="194"/>
      <c r="E460" s="194"/>
      <c r="F460" s="194"/>
      <c r="G460" s="19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row>
    <row r="461" spans="1:38" ht="12.5">
      <c r="A461" s="4"/>
      <c r="B461" s="4"/>
      <c r="C461" s="194"/>
      <c r="D461" s="194"/>
      <c r="E461" s="194"/>
      <c r="F461" s="194"/>
      <c r="G461" s="19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row>
    <row r="462" spans="1:38" ht="12.5">
      <c r="A462" s="4"/>
      <c r="B462" s="4"/>
      <c r="C462" s="194"/>
      <c r="D462" s="194"/>
      <c r="E462" s="194"/>
      <c r="F462" s="194"/>
      <c r="G462" s="19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row>
    <row r="463" spans="1:38" ht="12.5">
      <c r="A463" s="4"/>
      <c r="B463" s="4"/>
      <c r="C463" s="194"/>
      <c r="D463" s="194"/>
      <c r="E463" s="194"/>
      <c r="F463" s="194"/>
      <c r="G463" s="19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row>
    <row r="464" spans="1:38" ht="12.5">
      <c r="A464" s="4"/>
      <c r="B464" s="4"/>
      <c r="C464" s="194"/>
      <c r="D464" s="194"/>
      <c r="E464" s="194"/>
      <c r="F464" s="194"/>
      <c r="G464" s="19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row>
    <row r="465" spans="1:38" ht="12.5">
      <c r="A465" s="4"/>
      <c r="B465" s="4"/>
      <c r="C465" s="194"/>
      <c r="D465" s="194"/>
      <c r="E465" s="194"/>
      <c r="F465" s="194"/>
      <c r="G465" s="19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row>
    <row r="466" spans="1:38" ht="12.5">
      <c r="A466" s="4"/>
      <c r="B466" s="4"/>
      <c r="C466" s="194"/>
      <c r="D466" s="194"/>
      <c r="E466" s="194"/>
      <c r="F466" s="194"/>
      <c r="G466" s="19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row>
    <row r="467" spans="1:38" ht="12.5">
      <c r="A467" s="4"/>
      <c r="B467" s="4"/>
      <c r="C467" s="194"/>
      <c r="D467" s="194"/>
      <c r="E467" s="194"/>
      <c r="F467" s="194"/>
      <c r="G467" s="19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row>
    <row r="468" spans="1:38" ht="12.5">
      <c r="A468" s="4"/>
      <c r="B468" s="4"/>
      <c r="C468" s="194"/>
      <c r="D468" s="194"/>
      <c r="E468" s="194"/>
      <c r="F468" s="194"/>
      <c r="G468" s="19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row>
    <row r="469" spans="1:38" ht="12.5">
      <c r="A469" s="4"/>
      <c r="B469" s="4"/>
      <c r="C469" s="194"/>
      <c r="D469" s="194"/>
      <c r="E469" s="194"/>
      <c r="F469" s="194"/>
      <c r="G469" s="19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row>
    <row r="470" spans="1:38" ht="12.5">
      <c r="A470" s="4"/>
      <c r="B470" s="4"/>
      <c r="C470" s="194"/>
      <c r="D470" s="194"/>
      <c r="E470" s="194"/>
      <c r="F470" s="194"/>
      <c r="G470" s="19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row>
    <row r="471" spans="1:38" ht="12.5">
      <c r="A471" s="4"/>
      <c r="B471" s="4"/>
      <c r="C471" s="194"/>
      <c r="D471" s="194"/>
      <c r="E471" s="194"/>
      <c r="F471" s="194"/>
      <c r="G471" s="19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row>
    <row r="472" spans="1:38" ht="12.5">
      <c r="A472" s="4"/>
      <c r="B472" s="4"/>
      <c r="C472" s="194"/>
      <c r="D472" s="194"/>
      <c r="E472" s="194"/>
      <c r="F472" s="194"/>
      <c r="G472" s="19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row>
    <row r="473" spans="1:38" ht="12.5">
      <c r="A473" s="4"/>
      <c r="B473" s="4"/>
      <c r="C473" s="194"/>
      <c r="D473" s="194"/>
      <c r="E473" s="194"/>
      <c r="F473" s="194"/>
      <c r="G473" s="19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row>
    <row r="474" spans="1:38" ht="12.5">
      <c r="A474" s="4"/>
      <c r="B474" s="4"/>
      <c r="C474" s="194"/>
      <c r="D474" s="194"/>
      <c r="E474" s="194"/>
      <c r="F474" s="194"/>
      <c r="G474" s="19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row>
    <row r="475" spans="1:38" ht="12.5">
      <c r="A475" s="4"/>
      <c r="B475" s="4"/>
      <c r="C475" s="194"/>
      <c r="D475" s="194"/>
      <c r="E475" s="194"/>
      <c r="F475" s="194"/>
      <c r="G475" s="19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row>
    <row r="476" spans="1:38" ht="12.5">
      <c r="A476" s="4"/>
      <c r="B476" s="4"/>
      <c r="C476" s="194"/>
      <c r="D476" s="194"/>
      <c r="E476" s="194"/>
      <c r="F476" s="194"/>
      <c r="G476" s="19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row>
    <row r="477" spans="1:38" ht="12.5">
      <c r="A477" s="4"/>
      <c r="B477" s="4"/>
      <c r="C477" s="194"/>
      <c r="D477" s="194"/>
      <c r="E477" s="194"/>
      <c r="F477" s="194"/>
      <c r="G477" s="19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row>
    <row r="478" spans="1:38" ht="12.5">
      <c r="A478" s="4"/>
      <c r="B478" s="4"/>
      <c r="C478" s="194"/>
      <c r="D478" s="194"/>
      <c r="E478" s="194"/>
      <c r="F478" s="194"/>
      <c r="G478" s="19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row>
    <row r="479" spans="1:38" ht="12.5">
      <c r="A479" s="4"/>
      <c r="B479" s="4"/>
      <c r="C479" s="194"/>
      <c r="D479" s="194"/>
      <c r="E479" s="194"/>
      <c r="F479" s="194"/>
      <c r="G479" s="19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row>
    <row r="480" spans="1:38" ht="12.5">
      <c r="A480" s="4"/>
      <c r="B480" s="4"/>
      <c r="C480" s="194"/>
      <c r="D480" s="194"/>
      <c r="E480" s="194"/>
      <c r="F480" s="194"/>
      <c r="G480" s="19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row>
    <row r="481" spans="1:38" ht="12.5">
      <c r="A481" s="4"/>
      <c r="B481" s="4"/>
      <c r="C481" s="194"/>
      <c r="D481" s="194"/>
      <c r="E481" s="194"/>
      <c r="F481" s="194"/>
      <c r="G481" s="19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row>
    <row r="482" spans="1:38" ht="12.5">
      <c r="A482" s="4"/>
      <c r="B482" s="4"/>
      <c r="C482" s="194"/>
      <c r="D482" s="194"/>
      <c r="E482" s="194"/>
      <c r="F482" s="194"/>
      <c r="G482" s="19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row>
    <row r="483" spans="1:38" ht="12.5">
      <c r="A483" s="4"/>
      <c r="B483" s="4"/>
      <c r="C483" s="194"/>
      <c r="D483" s="194"/>
      <c r="E483" s="194"/>
      <c r="F483" s="194"/>
      <c r="G483" s="19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row>
    <row r="484" spans="1:38" ht="12.5">
      <c r="A484" s="4"/>
      <c r="B484" s="4"/>
      <c r="C484" s="194"/>
      <c r="D484" s="194"/>
      <c r="E484" s="194"/>
      <c r="F484" s="194"/>
      <c r="G484" s="19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row>
    <row r="485" spans="1:38" ht="12.5">
      <c r="A485" s="4"/>
      <c r="B485" s="4"/>
      <c r="C485" s="194"/>
      <c r="D485" s="194"/>
      <c r="E485" s="194"/>
      <c r="F485" s="194"/>
      <c r="G485" s="19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row>
    <row r="486" spans="1:38" ht="12.5">
      <c r="A486" s="4"/>
      <c r="B486" s="4"/>
      <c r="C486" s="194"/>
      <c r="D486" s="194"/>
      <c r="E486" s="194"/>
      <c r="F486" s="194"/>
      <c r="G486" s="19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row>
    <row r="487" spans="1:38" ht="12.5">
      <c r="A487" s="4"/>
      <c r="B487" s="4"/>
      <c r="C487" s="194"/>
      <c r="D487" s="194"/>
      <c r="E487" s="194"/>
      <c r="F487" s="194"/>
      <c r="G487" s="19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row>
    <row r="488" spans="1:38" ht="12.5">
      <c r="A488" s="4"/>
      <c r="B488" s="4"/>
      <c r="C488" s="194"/>
      <c r="D488" s="194"/>
      <c r="E488" s="194"/>
      <c r="F488" s="194"/>
      <c r="G488" s="19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row>
    <row r="489" spans="1:38" ht="12.5">
      <c r="A489" s="4"/>
      <c r="B489" s="4"/>
      <c r="C489" s="194"/>
      <c r="D489" s="194"/>
      <c r="E489" s="194"/>
      <c r="F489" s="194"/>
      <c r="G489" s="19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row>
    <row r="490" spans="1:38" ht="12.5">
      <c r="A490" s="4"/>
      <c r="B490" s="4"/>
      <c r="C490" s="194"/>
      <c r="D490" s="194"/>
      <c r="E490" s="194"/>
      <c r="F490" s="194"/>
      <c r="G490" s="19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row>
    <row r="491" spans="1:38" ht="12.5">
      <c r="A491" s="4"/>
      <c r="B491" s="4"/>
      <c r="C491" s="194"/>
      <c r="D491" s="194"/>
      <c r="E491" s="194"/>
      <c r="F491" s="194"/>
      <c r="G491" s="19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row>
    <row r="492" spans="1:38" ht="12.5">
      <c r="A492" s="4"/>
      <c r="B492" s="4"/>
      <c r="C492" s="194"/>
      <c r="D492" s="194"/>
      <c r="E492" s="194"/>
      <c r="F492" s="194"/>
      <c r="G492" s="19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row>
    <row r="493" spans="1:38" ht="12.5">
      <c r="A493" s="4"/>
      <c r="B493" s="4"/>
      <c r="C493" s="194"/>
      <c r="D493" s="194"/>
      <c r="E493" s="194"/>
      <c r="F493" s="194"/>
      <c r="G493" s="19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row>
    <row r="494" spans="1:38" ht="12.5">
      <c r="A494" s="4"/>
      <c r="B494" s="4"/>
      <c r="C494" s="194"/>
      <c r="D494" s="194"/>
      <c r="E494" s="194"/>
      <c r="F494" s="194"/>
      <c r="G494" s="19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row>
    <row r="495" spans="1:38" ht="12.5">
      <c r="A495" s="4"/>
      <c r="B495" s="4"/>
      <c r="C495" s="194"/>
      <c r="D495" s="194"/>
      <c r="E495" s="194"/>
      <c r="F495" s="194"/>
      <c r="G495" s="19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row>
    <row r="496" spans="1:38" ht="12.5">
      <c r="A496" s="4"/>
      <c r="B496" s="4"/>
      <c r="C496" s="194"/>
      <c r="D496" s="194"/>
      <c r="E496" s="194"/>
      <c r="F496" s="194"/>
      <c r="G496" s="19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row>
    <row r="497" spans="1:38" ht="12.5">
      <c r="A497" s="4"/>
      <c r="B497" s="4"/>
      <c r="C497" s="194"/>
      <c r="D497" s="194"/>
      <c r="E497" s="194"/>
      <c r="F497" s="194"/>
      <c r="G497" s="19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row>
    <row r="498" spans="1:38" ht="12.5">
      <c r="A498" s="4"/>
      <c r="B498" s="4"/>
      <c r="C498" s="194"/>
      <c r="D498" s="194"/>
      <c r="E498" s="194"/>
      <c r="F498" s="194"/>
      <c r="G498" s="19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row>
    <row r="499" spans="1:38" ht="12.5">
      <c r="A499" s="4"/>
      <c r="B499" s="4"/>
      <c r="C499" s="194"/>
      <c r="D499" s="194"/>
      <c r="E499" s="194"/>
      <c r="F499" s="194"/>
      <c r="G499" s="19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row>
    <row r="500" spans="1:38" ht="12.5">
      <c r="A500" s="4"/>
      <c r="B500" s="4"/>
      <c r="C500" s="194"/>
      <c r="D500" s="194"/>
      <c r="E500" s="194"/>
      <c r="F500" s="194"/>
      <c r="G500" s="19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row>
    <row r="501" spans="1:38" ht="12.5">
      <c r="A501" s="4"/>
      <c r="B501" s="4"/>
      <c r="C501" s="194"/>
      <c r="D501" s="194"/>
      <c r="E501" s="194"/>
      <c r="F501" s="194"/>
      <c r="G501" s="19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row>
    <row r="502" spans="1:38" ht="12.5">
      <c r="A502" s="4"/>
      <c r="B502" s="4"/>
      <c r="C502" s="194"/>
      <c r="D502" s="194"/>
      <c r="E502" s="194"/>
      <c r="F502" s="194"/>
      <c r="G502" s="19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row>
    <row r="503" spans="1:38" ht="12.5">
      <c r="A503" s="4"/>
      <c r="B503" s="4"/>
      <c r="C503" s="194"/>
      <c r="D503" s="194"/>
      <c r="E503" s="194"/>
      <c r="F503" s="194"/>
      <c r="G503" s="19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row>
    <row r="504" spans="1:38" ht="12.5">
      <c r="A504" s="4"/>
      <c r="B504" s="4"/>
      <c r="C504" s="194"/>
      <c r="D504" s="194"/>
      <c r="E504" s="194"/>
      <c r="F504" s="194"/>
      <c r="G504" s="19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row>
    <row r="505" spans="1:38" ht="12.5">
      <c r="A505" s="4"/>
      <c r="B505" s="4"/>
      <c r="C505" s="194"/>
      <c r="D505" s="194"/>
      <c r="E505" s="194"/>
      <c r="F505" s="194"/>
      <c r="G505" s="19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row>
    <row r="506" spans="1:38" ht="12.5">
      <c r="A506" s="4"/>
      <c r="B506" s="4"/>
      <c r="C506" s="194"/>
      <c r="D506" s="194"/>
      <c r="E506" s="194"/>
      <c r="F506" s="194"/>
      <c r="G506" s="19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row>
    <row r="507" spans="1:38" ht="12.5">
      <c r="A507" s="4"/>
      <c r="B507" s="4"/>
      <c r="C507" s="194"/>
      <c r="D507" s="194"/>
      <c r="E507" s="194"/>
      <c r="F507" s="194"/>
      <c r="G507" s="19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row>
    <row r="508" spans="1:38" ht="12.5">
      <c r="A508" s="4"/>
      <c r="B508" s="4"/>
      <c r="C508" s="194"/>
      <c r="D508" s="194"/>
      <c r="E508" s="194"/>
      <c r="F508" s="194"/>
      <c r="G508" s="19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row>
    <row r="509" spans="1:38" ht="12.5">
      <c r="A509" s="4"/>
      <c r="B509" s="4"/>
      <c r="C509" s="194"/>
      <c r="D509" s="194"/>
      <c r="E509" s="194"/>
      <c r="F509" s="194"/>
      <c r="G509" s="19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row>
    <row r="510" spans="1:38" ht="12.5">
      <c r="A510" s="4"/>
      <c r="B510" s="4"/>
      <c r="C510" s="194"/>
      <c r="D510" s="194"/>
      <c r="E510" s="194"/>
      <c r="F510" s="194"/>
      <c r="G510" s="19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row>
    <row r="511" spans="1:38" ht="12.5">
      <c r="A511" s="4"/>
      <c r="B511" s="4"/>
      <c r="C511" s="194"/>
      <c r="D511" s="194"/>
      <c r="E511" s="194"/>
      <c r="F511" s="194"/>
      <c r="G511" s="19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row>
    <row r="512" spans="1:38" ht="12.5">
      <c r="A512" s="4"/>
      <c r="B512" s="4"/>
      <c r="C512" s="194"/>
      <c r="D512" s="194"/>
      <c r="E512" s="194"/>
      <c r="F512" s="194"/>
      <c r="G512" s="19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row>
    <row r="513" spans="1:38" ht="12.5">
      <c r="A513" s="4"/>
      <c r="B513" s="4"/>
      <c r="C513" s="194"/>
      <c r="D513" s="194"/>
      <c r="E513" s="194"/>
      <c r="F513" s="194"/>
      <c r="G513" s="19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row>
    <row r="514" spans="1:38" ht="12.5">
      <c r="A514" s="4"/>
      <c r="B514" s="4"/>
      <c r="C514" s="194"/>
      <c r="D514" s="194"/>
      <c r="E514" s="194"/>
      <c r="F514" s="194"/>
      <c r="G514" s="19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row>
    <row r="515" spans="1:38" ht="12.5">
      <c r="A515" s="4"/>
      <c r="B515" s="4"/>
      <c r="C515" s="194"/>
      <c r="D515" s="194"/>
      <c r="E515" s="194"/>
      <c r="F515" s="194"/>
      <c r="G515" s="19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row>
    <row r="516" spans="1:38" ht="12.5">
      <c r="A516" s="4"/>
      <c r="B516" s="4"/>
      <c r="C516" s="194"/>
      <c r="D516" s="194"/>
      <c r="E516" s="194"/>
      <c r="F516" s="194"/>
      <c r="G516" s="19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row>
    <row r="517" spans="1:38" ht="12.5">
      <c r="A517" s="4"/>
      <c r="B517" s="4"/>
      <c r="C517" s="194"/>
      <c r="D517" s="194"/>
      <c r="E517" s="194"/>
      <c r="F517" s="194"/>
      <c r="G517" s="19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row>
    <row r="518" spans="1:38" ht="12.5">
      <c r="A518" s="4"/>
      <c r="B518" s="4"/>
      <c r="C518" s="194"/>
      <c r="D518" s="194"/>
      <c r="E518" s="194"/>
      <c r="F518" s="194"/>
      <c r="G518" s="19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row>
    <row r="519" spans="1:38" ht="12.5">
      <c r="A519" s="4"/>
      <c r="B519" s="4"/>
      <c r="C519" s="194"/>
      <c r="D519" s="194"/>
      <c r="E519" s="194"/>
      <c r="F519" s="194"/>
      <c r="G519" s="19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row>
    <row r="520" spans="1:38" ht="12.5">
      <c r="A520" s="4"/>
      <c r="B520" s="4"/>
      <c r="C520" s="194"/>
      <c r="D520" s="194"/>
      <c r="E520" s="194"/>
      <c r="F520" s="194"/>
      <c r="G520" s="19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row>
    <row r="521" spans="1:38" ht="12.5">
      <c r="A521" s="4"/>
      <c r="B521" s="4"/>
      <c r="C521" s="194"/>
      <c r="D521" s="194"/>
      <c r="E521" s="194"/>
      <c r="F521" s="194"/>
      <c r="G521" s="19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row>
    <row r="522" spans="1:38" ht="12.5">
      <c r="A522" s="4"/>
      <c r="B522" s="4"/>
      <c r="C522" s="194"/>
      <c r="D522" s="194"/>
      <c r="E522" s="194"/>
      <c r="F522" s="194"/>
      <c r="G522" s="19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row>
    <row r="523" spans="1:38" ht="12.5">
      <c r="A523" s="4"/>
      <c r="B523" s="4"/>
      <c r="C523" s="194"/>
      <c r="D523" s="194"/>
      <c r="E523" s="194"/>
      <c r="F523" s="194"/>
      <c r="G523" s="19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row>
    <row r="524" spans="1:38" ht="12.5">
      <c r="A524" s="4"/>
      <c r="B524" s="4"/>
      <c r="C524" s="194"/>
      <c r="D524" s="194"/>
      <c r="E524" s="194"/>
      <c r="F524" s="194"/>
      <c r="G524" s="19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row>
    <row r="525" spans="1:38" ht="12.5">
      <c r="A525" s="4"/>
      <c r="B525" s="4"/>
      <c r="C525" s="194"/>
      <c r="D525" s="194"/>
      <c r="E525" s="194"/>
      <c r="F525" s="194"/>
      <c r="G525" s="19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row>
    <row r="526" spans="1:38" ht="12.5">
      <c r="A526" s="4"/>
      <c r="B526" s="4"/>
      <c r="C526" s="194"/>
      <c r="D526" s="194"/>
      <c r="E526" s="194"/>
      <c r="F526" s="194"/>
      <c r="G526" s="19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row>
    <row r="527" spans="1:38" ht="12.5">
      <c r="A527" s="4"/>
      <c r="B527" s="4"/>
      <c r="C527" s="194"/>
      <c r="D527" s="194"/>
      <c r="E527" s="194"/>
      <c r="F527" s="194"/>
      <c r="G527" s="19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row>
    <row r="528" spans="1:38" ht="12.5">
      <c r="A528" s="4"/>
      <c r="B528" s="4"/>
      <c r="C528" s="194"/>
      <c r="D528" s="194"/>
      <c r="E528" s="194"/>
      <c r="F528" s="194"/>
      <c r="G528" s="19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row>
    <row r="529" spans="1:38" ht="12.5">
      <c r="A529" s="4"/>
      <c r="B529" s="4"/>
      <c r="C529" s="194"/>
      <c r="D529" s="194"/>
      <c r="E529" s="194"/>
      <c r="F529" s="194"/>
      <c r="G529" s="19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row>
    <row r="530" spans="1:38" ht="12.5">
      <c r="A530" s="4"/>
      <c r="B530" s="4"/>
      <c r="C530" s="194"/>
      <c r="D530" s="194"/>
      <c r="E530" s="194"/>
      <c r="F530" s="194"/>
      <c r="G530" s="19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row>
    <row r="531" spans="1:38" ht="12.5">
      <c r="A531" s="4"/>
      <c r="B531" s="4"/>
      <c r="C531" s="194"/>
      <c r="D531" s="194"/>
      <c r="E531" s="194"/>
      <c r="F531" s="194"/>
      <c r="G531" s="19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row>
    <row r="532" spans="1:38" ht="12.5">
      <c r="A532" s="4"/>
      <c r="B532" s="4"/>
      <c r="C532" s="194"/>
      <c r="D532" s="194"/>
      <c r="E532" s="194"/>
      <c r="F532" s="194"/>
      <c r="G532" s="19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row>
    <row r="533" spans="1:38" ht="12.5">
      <c r="A533" s="4"/>
      <c r="B533" s="4"/>
      <c r="C533" s="194"/>
      <c r="D533" s="194"/>
      <c r="E533" s="194"/>
      <c r="F533" s="194"/>
      <c r="G533" s="19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row>
    <row r="534" spans="1:38" ht="12.5">
      <c r="A534" s="4"/>
      <c r="B534" s="4"/>
      <c r="C534" s="194"/>
      <c r="D534" s="194"/>
      <c r="E534" s="194"/>
      <c r="F534" s="194"/>
      <c r="G534" s="19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row>
    <row r="535" spans="1:38" ht="12.5">
      <c r="A535" s="4"/>
      <c r="B535" s="4"/>
      <c r="C535" s="194"/>
      <c r="D535" s="194"/>
      <c r="E535" s="194"/>
      <c r="F535" s="194"/>
      <c r="G535" s="19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row>
    <row r="536" spans="1:38" ht="12.5">
      <c r="A536" s="4"/>
      <c r="B536" s="4"/>
      <c r="C536" s="194"/>
      <c r="D536" s="194"/>
      <c r="E536" s="194"/>
      <c r="F536" s="194"/>
      <c r="G536" s="19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row>
    <row r="537" spans="1:38" ht="12.5">
      <c r="A537" s="4"/>
      <c r="B537" s="4"/>
      <c r="C537" s="194"/>
      <c r="D537" s="194"/>
      <c r="E537" s="194"/>
      <c r="F537" s="194"/>
      <c r="G537" s="19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row>
    <row r="538" spans="1:38" ht="12.5">
      <c r="A538" s="4"/>
      <c r="B538" s="4"/>
      <c r="C538" s="194"/>
      <c r="D538" s="194"/>
      <c r="E538" s="194"/>
      <c r="F538" s="194"/>
      <c r="G538" s="19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row>
    <row r="539" spans="1:38" ht="12.5">
      <c r="A539" s="4"/>
      <c r="B539" s="4"/>
      <c r="C539" s="194"/>
      <c r="D539" s="194"/>
      <c r="E539" s="194"/>
      <c r="F539" s="194"/>
      <c r="G539" s="19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row>
    <row r="540" spans="1:38" ht="12.5">
      <c r="A540" s="4"/>
      <c r="B540" s="4"/>
      <c r="C540" s="194"/>
      <c r="D540" s="194"/>
      <c r="E540" s="194"/>
      <c r="F540" s="194"/>
      <c r="G540" s="19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row>
    <row r="541" spans="1:38" ht="12.5">
      <c r="A541" s="4"/>
      <c r="B541" s="4"/>
      <c r="C541" s="194"/>
      <c r="D541" s="194"/>
      <c r="E541" s="194"/>
      <c r="F541" s="194"/>
      <c r="G541" s="19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row>
    <row r="542" spans="1:38" ht="12.5">
      <c r="A542" s="4"/>
      <c r="B542" s="4"/>
      <c r="C542" s="194"/>
      <c r="D542" s="194"/>
      <c r="E542" s="194"/>
      <c r="F542" s="194"/>
      <c r="G542" s="19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row>
    <row r="543" spans="1:38" ht="12.5">
      <c r="A543" s="4"/>
      <c r="B543" s="4"/>
      <c r="C543" s="194"/>
      <c r="D543" s="194"/>
      <c r="E543" s="194"/>
      <c r="F543" s="194"/>
      <c r="G543" s="19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row>
    <row r="544" spans="1:38" ht="12.5">
      <c r="A544" s="4"/>
      <c r="B544" s="4"/>
      <c r="C544" s="194"/>
      <c r="D544" s="194"/>
      <c r="E544" s="194"/>
      <c r="F544" s="194"/>
      <c r="G544" s="19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row>
    <row r="545" spans="1:38" ht="12.5">
      <c r="A545" s="4"/>
      <c r="B545" s="4"/>
      <c r="C545" s="194"/>
      <c r="D545" s="194"/>
      <c r="E545" s="194"/>
      <c r="F545" s="194"/>
      <c r="G545" s="19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row>
    <row r="546" spans="1:38" ht="12.5">
      <c r="A546" s="4"/>
      <c r="B546" s="4"/>
      <c r="C546" s="194"/>
      <c r="D546" s="194"/>
      <c r="E546" s="194"/>
      <c r="F546" s="194"/>
      <c r="G546" s="19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row>
    <row r="547" spans="1:38" ht="12.5">
      <c r="A547" s="4"/>
      <c r="B547" s="4"/>
      <c r="C547" s="194"/>
      <c r="D547" s="194"/>
      <c r="E547" s="194"/>
      <c r="F547" s="194"/>
      <c r="G547" s="19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row>
    <row r="548" spans="1:38" ht="12.5">
      <c r="A548" s="4"/>
      <c r="B548" s="4"/>
      <c r="C548" s="194"/>
      <c r="D548" s="194"/>
      <c r="E548" s="194"/>
      <c r="F548" s="194"/>
      <c r="G548" s="19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row>
    <row r="549" spans="1:38" ht="12.5">
      <c r="A549" s="4"/>
      <c r="B549" s="4"/>
      <c r="C549" s="194"/>
      <c r="D549" s="194"/>
      <c r="E549" s="194"/>
      <c r="F549" s="194"/>
      <c r="G549" s="19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row>
    <row r="550" spans="1:38" ht="12.5">
      <c r="A550" s="4"/>
      <c r="B550" s="4"/>
      <c r="C550" s="194"/>
      <c r="D550" s="194"/>
      <c r="E550" s="194"/>
      <c r="F550" s="194"/>
      <c r="G550" s="19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row>
    <row r="551" spans="1:38" ht="12.5">
      <c r="A551" s="4"/>
      <c r="B551" s="4"/>
      <c r="C551" s="194"/>
      <c r="D551" s="194"/>
      <c r="E551" s="194"/>
      <c r="F551" s="194"/>
      <c r="G551" s="19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row>
    <row r="552" spans="1:38" ht="12.5">
      <c r="A552" s="4"/>
      <c r="B552" s="4"/>
      <c r="C552" s="194"/>
      <c r="D552" s="194"/>
      <c r="E552" s="194"/>
      <c r="F552" s="194"/>
      <c r="G552" s="19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row>
    <row r="553" spans="1:38" ht="12.5">
      <c r="A553" s="4"/>
      <c r="B553" s="4"/>
      <c r="C553" s="194"/>
      <c r="D553" s="194"/>
      <c r="E553" s="194"/>
      <c r="F553" s="194"/>
      <c r="G553" s="19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row>
    <row r="554" spans="1:38" ht="12.5">
      <c r="A554" s="4"/>
      <c r="B554" s="4"/>
      <c r="C554" s="194"/>
      <c r="D554" s="194"/>
      <c r="E554" s="194"/>
      <c r="F554" s="194"/>
      <c r="G554" s="19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row>
    <row r="555" spans="1:38" ht="12.5">
      <c r="A555" s="4"/>
      <c r="B555" s="4"/>
      <c r="C555" s="194"/>
      <c r="D555" s="194"/>
      <c r="E555" s="194"/>
      <c r="F555" s="194"/>
      <c r="G555" s="19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row>
    <row r="556" spans="1:38" ht="12.5">
      <c r="A556" s="4"/>
      <c r="B556" s="4"/>
      <c r="C556" s="194"/>
      <c r="D556" s="194"/>
      <c r="E556" s="194"/>
      <c r="F556" s="194"/>
      <c r="G556" s="19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row>
    <row r="557" spans="1:38" ht="12.5">
      <c r="A557" s="4"/>
      <c r="B557" s="4"/>
      <c r="C557" s="194"/>
      <c r="D557" s="194"/>
      <c r="E557" s="194"/>
      <c r="F557" s="194"/>
      <c r="G557" s="19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row>
    <row r="558" spans="1:38" ht="12.5">
      <c r="A558" s="4"/>
      <c r="B558" s="4"/>
      <c r="C558" s="194"/>
      <c r="D558" s="194"/>
      <c r="E558" s="194"/>
      <c r="F558" s="194"/>
      <c r="G558" s="19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row>
    <row r="559" spans="1:38" ht="12.5">
      <c r="A559" s="4"/>
      <c r="B559" s="4"/>
      <c r="C559" s="194"/>
      <c r="D559" s="194"/>
      <c r="E559" s="194"/>
      <c r="F559" s="194"/>
      <c r="G559" s="19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row>
    <row r="560" spans="1:38" ht="12.5">
      <c r="A560" s="4"/>
      <c r="B560" s="4"/>
      <c r="C560" s="194"/>
      <c r="D560" s="194"/>
      <c r="E560" s="194"/>
      <c r="F560" s="194"/>
      <c r="G560" s="19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row>
    <row r="561" spans="1:38" ht="12.5">
      <c r="A561" s="4"/>
      <c r="B561" s="4"/>
      <c r="C561" s="194"/>
      <c r="D561" s="194"/>
      <c r="E561" s="194"/>
      <c r="F561" s="194"/>
      <c r="G561" s="19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row>
    <row r="562" spans="1:38" ht="12.5">
      <c r="A562" s="4"/>
      <c r="B562" s="4"/>
      <c r="C562" s="194"/>
      <c r="D562" s="194"/>
      <c r="E562" s="194"/>
      <c r="F562" s="194"/>
      <c r="G562" s="19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row>
    <row r="563" spans="1:38" ht="12.5">
      <c r="A563" s="4"/>
      <c r="B563" s="4"/>
      <c r="C563" s="194"/>
      <c r="D563" s="194"/>
      <c r="E563" s="194"/>
      <c r="F563" s="194"/>
      <c r="G563" s="19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row>
    <row r="564" spans="1:38" ht="12.5">
      <c r="A564" s="4"/>
      <c r="B564" s="4"/>
      <c r="C564" s="194"/>
      <c r="D564" s="194"/>
      <c r="E564" s="194"/>
      <c r="F564" s="194"/>
      <c r="G564" s="19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row>
    <row r="565" spans="1:38" ht="12.5">
      <c r="A565" s="4"/>
      <c r="B565" s="4"/>
      <c r="C565" s="194"/>
      <c r="D565" s="194"/>
      <c r="E565" s="194"/>
      <c r="F565" s="194"/>
      <c r="G565" s="19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row>
    <row r="566" spans="1:38" ht="12.5">
      <c r="A566" s="4"/>
      <c r="B566" s="4"/>
      <c r="C566" s="194"/>
      <c r="D566" s="194"/>
      <c r="E566" s="194"/>
      <c r="F566" s="194"/>
      <c r="G566" s="19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row>
    <row r="567" spans="1:38" ht="12.5">
      <c r="A567" s="4"/>
      <c r="B567" s="4"/>
      <c r="C567" s="194"/>
      <c r="D567" s="194"/>
      <c r="E567" s="194"/>
      <c r="F567" s="194"/>
      <c r="G567" s="19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row>
    <row r="568" spans="1:38" ht="12.5">
      <c r="A568" s="4"/>
      <c r="B568" s="4"/>
      <c r="C568" s="194"/>
      <c r="D568" s="194"/>
      <c r="E568" s="194"/>
      <c r="F568" s="194"/>
      <c r="G568" s="19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row>
    <row r="569" spans="1:38" ht="12.5">
      <c r="A569" s="4"/>
      <c r="B569" s="4"/>
      <c r="C569" s="194"/>
      <c r="D569" s="194"/>
      <c r="E569" s="194"/>
      <c r="F569" s="194"/>
      <c r="G569" s="19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row>
    <row r="570" spans="1:38" ht="12.5">
      <c r="A570" s="4"/>
      <c r="B570" s="4"/>
      <c r="C570" s="194"/>
      <c r="D570" s="194"/>
      <c r="E570" s="194"/>
      <c r="F570" s="194"/>
      <c r="G570" s="19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row>
    <row r="571" spans="1:38" ht="12.5">
      <c r="A571" s="4"/>
      <c r="B571" s="4"/>
      <c r="C571" s="194"/>
      <c r="D571" s="194"/>
      <c r="E571" s="194"/>
      <c r="F571" s="194"/>
      <c r="G571" s="19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row>
    <row r="572" spans="1:38" ht="12.5">
      <c r="A572" s="4"/>
      <c r="B572" s="4"/>
      <c r="C572" s="194"/>
      <c r="D572" s="194"/>
      <c r="E572" s="194"/>
      <c r="F572" s="194"/>
      <c r="G572" s="19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row>
    <row r="573" spans="1:38" ht="12.5">
      <c r="A573" s="4"/>
      <c r="B573" s="4"/>
      <c r="C573" s="194"/>
      <c r="D573" s="194"/>
      <c r="E573" s="194"/>
      <c r="F573" s="194"/>
      <c r="G573" s="19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row>
    <row r="574" spans="1:38" ht="12.5">
      <c r="A574" s="4"/>
      <c r="B574" s="4"/>
      <c r="C574" s="194"/>
      <c r="D574" s="194"/>
      <c r="E574" s="194"/>
      <c r="F574" s="194"/>
      <c r="G574" s="19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row>
    <row r="575" spans="1:38" ht="12.5">
      <c r="A575" s="4"/>
      <c r="B575" s="4"/>
      <c r="C575" s="194"/>
      <c r="D575" s="194"/>
      <c r="E575" s="194"/>
      <c r="F575" s="194"/>
      <c r="G575" s="19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row>
    <row r="576" spans="1:38" ht="12.5">
      <c r="A576" s="4"/>
      <c r="B576" s="4"/>
      <c r="C576" s="194"/>
      <c r="D576" s="194"/>
      <c r="E576" s="194"/>
      <c r="F576" s="194"/>
      <c r="G576" s="19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row>
    <row r="577" spans="1:38" ht="12.5">
      <c r="A577" s="4"/>
      <c r="B577" s="4"/>
      <c r="C577" s="194"/>
      <c r="D577" s="194"/>
      <c r="E577" s="194"/>
      <c r="F577" s="194"/>
      <c r="G577" s="19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row>
    <row r="578" spans="1:38" ht="12.5">
      <c r="A578" s="4"/>
      <c r="B578" s="4"/>
      <c r="C578" s="194"/>
      <c r="D578" s="194"/>
      <c r="E578" s="194"/>
      <c r="F578" s="194"/>
      <c r="G578" s="19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row>
    <row r="579" spans="1:38" ht="12.5">
      <c r="A579" s="4"/>
      <c r="B579" s="4"/>
      <c r="C579" s="194"/>
      <c r="D579" s="194"/>
      <c r="E579" s="194"/>
      <c r="F579" s="194"/>
      <c r="G579" s="19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row>
    <row r="580" spans="1:38" ht="12.5">
      <c r="A580" s="4"/>
      <c r="B580" s="4"/>
      <c r="C580" s="194"/>
      <c r="D580" s="194"/>
      <c r="E580" s="194"/>
      <c r="F580" s="194"/>
      <c r="G580" s="19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row>
    <row r="581" spans="1:38" ht="12.5">
      <c r="A581" s="4"/>
      <c r="B581" s="4"/>
      <c r="C581" s="194"/>
      <c r="D581" s="194"/>
      <c r="E581" s="194"/>
      <c r="F581" s="194"/>
      <c r="G581" s="19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row>
    <row r="582" spans="1:38" ht="12.5">
      <c r="A582" s="4"/>
      <c r="B582" s="4"/>
      <c r="C582" s="194"/>
      <c r="D582" s="194"/>
      <c r="E582" s="194"/>
      <c r="F582" s="194"/>
      <c r="G582" s="19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row>
    <row r="583" spans="1:38" ht="12.5">
      <c r="A583" s="4"/>
      <c r="B583" s="4"/>
      <c r="C583" s="194"/>
      <c r="D583" s="194"/>
      <c r="E583" s="194"/>
      <c r="F583" s="194"/>
      <c r="G583" s="19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row>
    <row r="584" spans="1:38" ht="12.5">
      <c r="A584" s="4"/>
      <c r="B584" s="4"/>
      <c r="C584" s="194"/>
      <c r="D584" s="194"/>
      <c r="E584" s="194"/>
      <c r="F584" s="194"/>
      <c r="G584" s="19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row>
    <row r="585" spans="1:38" ht="12.5">
      <c r="A585" s="4"/>
      <c r="B585" s="4"/>
      <c r="C585" s="194"/>
      <c r="D585" s="194"/>
      <c r="E585" s="194"/>
      <c r="F585" s="194"/>
      <c r="G585" s="19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row>
    <row r="586" spans="1:38" ht="12.5">
      <c r="A586" s="4"/>
      <c r="B586" s="4"/>
      <c r="C586" s="194"/>
      <c r="D586" s="194"/>
      <c r="E586" s="194"/>
      <c r="F586" s="194"/>
      <c r="G586" s="19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row>
    <row r="587" spans="1:38" ht="12.5">
      <c r="A587" s="4"/>
      <c r="B587" s="4"/>
      <c r="C587" s="194"/>
      <c r="D587" s="194"/>
      <c r="E587" s="194"/>
      <c r="F587" s="194"/>
      <c r="G587" s="19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row>
    <row r="588" spans="1:38" ht="12.5">
      <c r="A588" s="4"/>
      <c r="B588" s="4"/>
      <c r="C588" s="194"/>
      <c r="D588" s="194"/>
      <c r="E588" s="194"/>
      <c r="F588" s="194"/>
      <c r="G588" s="19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row>
    <row r="589" spans="1:38" ht="12.5">
      <c r="A589" s="4"/>
      <c r="B589" s="4"/>
      <c r="C589" s="194"/>
      <c r="D589" s="194"/>
      <c r="E589" s="194"/>
      <c r="F589" s="194"/>
      <c r="G589" s="19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row>
    <row r="590" spans="1:38" ht="12.5">
      <c r="A590" s="4"/>
      <c r="B590" s="4"/>
      <c r="C590" s="194"/>
      <c r="D590" s="194"/>
      <c r="E590" s="194"/>
      <c r="F590" s="194"/>
      <c r="G590" s="19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row>
    <row r="591" spans="1:38" ht="12.5">
      <c r="A591" s="4"/>
      <c r="B591" s="4"/>
      <c r="C591" s="194"/>
      <c r="D591" s="194"/>
      <c r="E591" s="194"/>
      <c r="F591" s="194"/>
      <c r="G591" s="19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row>
    <row r="592" spans="1:38" ht="12.5">
      <c r="A592" s="4"/>
      <c r="B592" s="4"/>
      <c r="C592" s="194"/>
      <c r="D592" s="194"/>
      <c r="E592" s="194"/>
      <c r="F592" s="194"/>
      <c r="G592" s="19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row>
    <row r="593" spans="1:38" ht="12.5">
      <c r="A593" s="4"/>
      <c r="B593" s="4"/>
      <c r="C593" s="194"/>
      <c r="D593" s="194"/>
      <c r="E593" s="194"/>
      <c r="F593" s="194"/>
      <c r="G593" s="19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row>
    <row r="594" spans="1:38" ht="12.5">
      <c r="A594" s="4"/>
      <c r="B594" s="4"/>
      <c r="C594" s="194"/>
      <c r="D594" s="194"/>
      <c r="E594" s="194"/>
      <c r="F594" s="194"/>
      <c r="G594" s="19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row>
    <row r="595" spans="1:38" ht="12.5">
      <c r="A595" s="4"/>
      <c r="B595" s="4"/>
      <c r="C595" s="194"/>
      <c r="D595" s="194"/>
      <c r="E595" s="194"/>
      <c r="F595" s="194"/>
      <c r="G595" s="19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row>
    <row r="596" spans="1:38" ht="12.5">
      <c r="A596" s="4"/>
      <c r="B596" s="4"/>
      <c r="C596" s="194"/>
      <c r="D596" s="194"/>
      <c r="E596" s="194"/>
      <c r="F596" s="194"/>
      <c r="G596" s="19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row>
    <row r="597" spans="1:38" ht="12.5">
      <c r="A597" s="4"/>
      <c r="B597" s="4"/>
      <c r="C597" s="194"/>
      <c r="D597" s="194"/>
      <c r="E597" s="194"/>
      <c r="F597" s="194"/>
      <c r="G597" s="19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row>
    <row r="598" spans="1:38" ht="12.5">
      <c r="A598" s="4"/>
      <c r="B598" s="4"/>
      <c r="C598" s="194"/>
      <c r="D598" s="194"/>
      <c r="E598" s="194"/>
      <c r="F598" s="194"/>
      <c r="G598" s="19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row>
    <row r="599" spans="1:38" ht="12.5">
      <c r="A599" s="4"/>
      <c r="B599" s="4"/>
      <c r="C599" s="194"/>
      <c r="D599" s="194"/>
      <c r="E599" s="194"/>
      <c r="F599" s="194"/>
      <c r="G599" s="19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row>
    <row r="600" spans="1:38" ht="12.5">
      <c r="A600" s="4"/>
      <c r="B600" s="4"/>
      <c r="C600" s="194"/>
      <c r="D600" s="194"/>
      <c r="E600" s="194"/>
      <c r="F600" s="194"/>
      <c r="G600" s="19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row>
    <row r="601" spans="1:38" ht="12.5">
      <c r="A601" s="4"/>
      <c r="B601" s="4"/>
      <c r="C601" s="194"/>
      <c r="D601" s="194"/>
      <c r="E601" s="194"/>
      <c r="F601" s="194"/>
      <c r="G601" s="19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row>
    <row r="602" spans="1:38" ht="12.5">
      <c r="A602" s="4"/>
      <c r="B602" s="4"/>
      <c r="C602" s="194"/>
      <c r="D602" s="194"/>
      <c r="E602" s="194"/>
      <c r="F602" s="194"/>
      <c r="G602" s="19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row>
    <row r="603" spans="1:38" ht="12.5">
      <c r="A603" s="4"/>
      <c r="B603" s="4"/>
      <c r="C603" s="194"/>
      <c r="D603" s="194"/>
      <c r="E603" s="194"/>
      <c r="F603" s="194"/>
      <c r="G603" s="19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row>
    <row r="604" spans="1:38" ht="12.5">
      <c r="A604" s="4"/>
      <c r="B604" s="4"/>
      <c r="C604" s="194"/>
      <c r="D604" s="194"/>
      <c r="E604" s="194"/>
      <c r="F604" s="194"/>
      <c r="G604" s="19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row>
    <row r="605" spans="1:38" ht="12.5">
      <c r="A605" s="4"/>
      <c r="B605" s="4"/>
      <c r="C605" s="194"/>
      <c r="D605" s="194"/>
      <c r="E605" s="194"/>
      <c r="F605" s="194"/>
      <c r="G605" s="19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row>
    <row r="606" spans="1:38" ht="12.5">
      <c r="A606" s="4"/>
      <c r="B606" s="4"/>
      <c r="C606" s="194"/>
      <c r="D606" s="194"/>
      <c r="E606" s="194"/>
      <c r="F606" s="194"/>
      <c r="G606" s="19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row>
    <row r="607" spans="1:38" ht="12.5">
      <c r="A607" s="4"/>
      <c r="B607" s="4"/>
      <c r="C607" s="194"/>
      <c r="D607" s="194"/>
      <c r="E607" s="194"/>
      <c r="F607" s="194"/>
      <c r="G607" s="19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row>
    <row r="608" spans="1:38" ht="12.5">
      <c r="A608" s="4"/>
      <c r="B608" s="4"/>
      <c r="C608" s="194"/>
      <c r="D608" s="194"/>
      <c r="E608" s="194"/>
      <c r="F608" s="194"/>
      <c r="G608" s="19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row>
    <row r="609" spans="1:38" ht="12.5">
      <c r="A609" s="4"/>
      <c r="B609" s="4"/>
      <c r="C609" s="194"/>
      <c r="D609" s="194"/>
      <c r="E609" s="194"/>
      <c r="F609" s="194"/>
      <c r="G609" s="19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row>
    <row r="610" spans="1:38" ht="12.5">
      <c r="A610" s="4"/>
      <c r="B610" s="4"/>
      <c r="C610" s="194"/>
      <c r="D610" s="194"/>
      <c r="E610" s="194"/>
      <c r="F610" s="194"/>
      <c r="G610" s="19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row>
    <row r="611" spans="1:38" ht="12.5">
      <c r="A611" s="4"/>
      <c r="B611" s="4"/>
      <c r="C611" s="194"/>
      <c r="D611" s="194"/>
      <c r="E611" s="194"/>
      <c r="F611" s="194"/>
      <c r="G611" s="19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row>
    <row r="612" spans="1:38" ht="12.5">
      <c r="A612" s="4"/>
      <c r="B612" s="4"/>
      <c r="C612" s="194"/>
      <c r="D612" s="194"/>
      <c r="E612" s="194"/>
      <c r="F612" s="194"/>
      <c r="G612" s="19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row>
    <row r="613" spans="1:38" ht="12.5">
      <c r="A613" s="4"/>
      <c r="B613" s="4"/>
      <c r="C613" s="194"/>
      <c r="D613" s="194"/>
      <c r="E613" s="194"/>
      <c r="F613" s="194"/>
      <c r="G613" s="19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row>
    <row r="614" spans="1:38" ht="12.5">
      <c r="A614" s="4"/>
      <c r="B614" s="4"/>
      <c r="C614" s="194"/>
      <c r="D614" s="194"/>
      <c r="E614" s="194"/>
      <c r="F614" s="194"/>
      <c r="G614" s="19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row>
    <row r="615" spans="1:38" ht="12.5">
      <c r="A615" s="4"/>
      <c r="B615" s="4"/>
      <c r="C615" s="194"/>
      <c r="D615" s="194"/>
      <c r="E615" s="194"/>
      <c r="F615" s="194"/>
      <c r="G615" s="19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row>
    <row r="616" spans="1:38" ht="12.5">
      <c r="A616" s="4"/>
      <c r="B616" s="4"/>
      <c r="C616" s="194"/>
      <c r="D616" s="194"/>
      <c r="E616" s="194"/>
      <c r="F616" s="194"/>
      <c r="G616" s="19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row>
    <row r="617" spans="1:38" ht="12.5">
      <c r="A617" s="4"/>
      <c r="B617" s="4"/>
      <c r="C617" s="194"/>
      <c r="D617" s="194"/>
      <c r="E617" s="194"/>
      <c r="F617" s="194"/>
      <c r="G617" s="19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row>
    <row r="618" spans="1:38" ht="12.5">
      <c r="A618" s="4"/>
      <c r="B618" s="4"/>
      <c r="C618" s="194"/>
      <c r="D618" s="194"/>
      <c r="E618" s="194"/>
      <c r="F618" s="194"/>
      <c r="G618" s="19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row>
    <row r="619" spans="1:38" ht="12.5">
      <c r="A619" s="4"/>
      <c r="B619" s="4"/>
      <c r="C619" s="194"/>
      <c r="D619" s="194"/>
      <c r="E619" s="194"/>
      <c r="F619" s="194"/>
      <c r="G619" s="19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row>
    <row r="620" spans="1:38" ht="12.5">
      <c r="A620" s="4"/>
      <c r="B620" s="4"/>
      <c r="C620" s="194"/>
      <c r="D620" s="194"/>
      <c r="E620" s="194"/>
      <c r="F620" s="194"/>
      <c r="G620" s="19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row>
    <row r="621" spans="1:38" ht="12.5">
      <c r="A621" s="4"/>
      <c r="B621" s="4"/>
      <c r="C621" s="194"/>
      <c r="D621" s="194"/>
      <c r="E621" s="194"/>
      <c r="F621" s="194"/>
      <c r="G621" s="19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row>
    <row r="622" spans="1:38" ht="12.5">
      <c r="A622" s="4"/>
      <c r="B622" s="4"/>
      <c r="C622" s="194"/>
      <c r="D622" s="194"/>
      <c r="E622" s="194"/>
      <c r="F622" s="194"/>
      <c r="G622" s="19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row>
    <row r="623" spans="1:38" ht="12.5">
      <c r="A623" s="4"/>
      <c r="B623" s="4"/>
      <c r="C623" s="194"/>
      <c r="D623" s="194"/>
      <c r="E623" s="194"/>
      <c r="F623" s="194"/>
      <c r="G623" s="19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row>
    <row r="624" spans="1:38" ht="12.5">
      <c r="A624" s="4"/>
      <c r="B624" s="4"/>
      <c r="C624" s="194"/>
      <c r="D624" s="194"/>
      <c r="E624" s="194"/>
      <c r="F624" s="194"/>
      <c r="G624" s="19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row>
    <row r="625" spans="1:38" ht="12.5">
      <c r="A625" s="4"/>
      <c r="B625" s="4"/>
      <c r="C625" s="194"/>
      <c r="D625" s="194"/>
      <c r="E625" s="194"/>
      <c r="F625" s="194"/>
      <c r="G625" s="19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row>
    <row r="626" spans="1:38" ht="12.5">
      <c r="A626" s="4"/>
      <c r="B626" s="4"/>
      <c r="C626" s="194"/>
      <c r="D626" s="194"/>
      <c r="E626" s="194"/>
      <c r="F626" s="194"/>
      <c r="G626" s="19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row>
    <row r="627" spans="1:38" ht="12.5">
      <c r="A627" s="4"/>
      <c r="B627" s="4"/>
      <c r="C627" s="194"/>
      <c r="D627" s="194"/>
      <c r="E627" s="194"/>
      <c r="F627" s="194"/>
      <c r="G627" s="19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row>
    <row r="628" spans="1:38" ht="12.5">
      <c r="A628" s="4"/>
      <c r="B628" s="4"/>
      <c r="C628" s="194"/>
      <c r="D628" s="194"/>
      <c r="E628" s="194"/>
      <c r="F628" s="194"/>
      <c r="G628" s="19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row>
    <row r="629" spans="1:38" ht="12.5">
      <c r="A629" s="4"/>
      <c r="B629" s="4"/>
      <c r="C629" s="194"/>
      <c r="D629" s="194"/>
      <c r="E629" s="194"/>
      <c r="F629" s="194"/>
      <c r="G629" s="19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row>
    <row r="630" spans="1:38" ht="12.5">
      <c r="A630" s="4"/>
      <c r="B630" s="4"/>
      <c r="C630" s="194"/>
      <c r="D630" s="194"/>
      <c r="E630" s="194"/>
      <c r="F630" s="194"/>
      <c r="G630" s="19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row>
    <row r="631" spans="1:38" ht="12.5">
      <c r="A631" s="4"/>
      <c r="B631" s="4"/>
      <c r="C631" s="194"/>
      <c r="D631" s="194"/>
      <c r="E631" s="194"/>
      <c r="F631" s="194"/>
      <c r="G631" s="19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row>
    <row r="632" spans="1:38" ht="12.5">
      <c r="A632" s="4"/>
      <c r="B632" s="4"/>
      <c r="C632" s="194"/>
      <c r="D632" s="194"/>
      <c r="E632" s="194"/>
      <c r="F632" s="194"/>
      <c r="G632" s="19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row>
    <row r="633" spans="1:38" ht="12.5">
      <c r="A633" s="4"/>
      <c r="B633" s="4"/>
      <c r="C633" s="194"/>
      <c r="D633" s="194"/>
      <c r="E633" s="194"/>
      <c r="F633" s="194"/>
      <c r="G633" s="19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row>
    <row r="634" spans="1:38" ht="12.5">
      <c r="A634" s="4"/>
      <c r="B634" s="4"/>
      <c r="C634" s="194"/>
      <c r="D634" s="194"/>
      <c r="E634" s="194"/>
      <c r="F634" s="194"/>
      <c r="G634" s="19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row>
    <row r="635" spans="1:38" ht="12.5">
      <c r="A635" s="4"/>
      <c r="B635" s="4"/>
      <c r="C635" s="194"/>
      <c r="D635" s="194"/>
      <c r="E635" s="194"/>
      <c r="F635" s="194"/>
      <c r="G635" s="19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row>
    <row r="636" spans="1:38" ht="12.5">
      <c r="A636" s="4"/>
      <c r="B636" s="4"/>
      <c r="C636" s="194"/>
      <c r="D636" s="194"/>
      <c r="E636" s="194"/>
      <c r="F636" s="194"/>
      <c r="G636" s="19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row>
    <row r="637" spans="1:38" ht="12.5">
      <c r="A637" s="4"/>
      <c r="B637" s="4"/>
      <c r="C637" s="194"/>
      <c r="D637" s="194"/>
      <c r="E637" s="194"/>
      <c r="F637" s="194"/>
      <c r="G637" s="19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row>
    <row r="638" spans="1:38" ht="12.5">
      <c r="A638" s="4"/>
      <c r="B638" s="4"/>
      <c r="C638" s="194"/>
      <c r="D638" s="194"/>
      <c r="E638" s="194"/>
      <c r="F638" s="194"/>
      <c r="G638" s="19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row>
    <row r="639" spans="1:38" ht="12.5">
      <c r="A639" s="4"/>
      <c r="B639" s="4"/>
      <c r="C639" s="194"/>
      <c r="D639" s="194"/>
      <c r="E639" s="194"/>
      <c r="F639" s="194"/>
      <c r="G639" s="19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row>
    <row r="640" spans="1:38" ht="12.5">
      <c r="A640" s="4"/>
      <c r="B640" s="4"/>
      <c r="C640" s="194"/>
      <c r="D640" s="194"/>
      <c r="E640" s="194"/>
      <c r="F640" s="194"/>
      <c r="G640" s="19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row>
    <row r="641" spans="1:38" ht="12.5">
      <c r="A641" s="4"/>
      <c r="B641" s="4"/>
      <c r="C641" s="194"/>
      <c r="D641" s="194"/>
      <c r="E641" s="194"/>
      <c r="F641" s="194"/>
      <c r="G641" s="19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row>
    <row r="642" spans="1:38" ht="12.5">
      <c r="A642" s="4"/>
      <c r="B642" s="4"/>
      <c r="C642" s="194"/>
      <c r="D642" s="194"/>
      <c r="E642" s="194"/>
      <c r="F642" s="194"/>
      <c r="G642" s="19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row>
    <row r="643" spans="1:38" ht="12.5">
      <c r="A643" s="4"/>
      <c r="B643" s="4"/>
      <c r="C643" s="194"/>
      <c r="D643" s="194"/>
      <c r="E643" s="194"/>
      <c r="F643" s="194"/>
      <c r="G643" s="19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row>
    <row r="644" spans="1:38" ht="12.5">
      <c r="A644" s="4"/>
      <c r="B644" s="4"/>
      <c r="C644" s="194"/>
      <c r="D644" s="194"/>
      <c r="E644" s="194"/>
      <c r="F644" s="194"/>
      <c r="G644" s="19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row>
    <row r="645" spans="1:38" ht="12.5">
      <c r="A645" s="4"/>
      <c r="B645" s="4"/>
      <c r="C645" s="194"/>
      <c r="D645" s="194"/>
      <c r="E645" s="194"/>
      <c r="F645" s="194"/>
      <c r="G645" s="19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row>
    <row r="646" spans="1:38" ht="12.5">
      <c r="A646" s="4"/>
      <c r="B646" s="4"/>
      <c r="C646" s="194"/>
      <c r="D646" s="194"/>
      <c r="E646" s="194"/>
      <c r="F646" s="194"/>
      <c r="G646" s="19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row>
    <row r="647" spans="1:38" ht="12.5">
      <c r="A647" s="4"/>
      <c r="B647" s="4"/>
      <c r="C647" s="194"/>
      <c r="D647" s="194"/>
      <c r="E647" s="194"/>
      <c r="F647" s="194"/>
      <c r="G647" s="19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row>
    <row r="648" spans="1:38" ht="12.5">
      <c r="A648" s="4"/>
      <c r="B648" s="4"/>
      <c r="C648" s="194"/>
      <c r="D648" s="194"/>
      <c r="E648" s="194"/>
      <c r="F648" s="194"/>
      <c r="G648" s="19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row>
    <row r="649" spans="1:38" ht="12.5">
      <c r="A649" s="4"/>
      <c r="B649" s="4"/>
      <c r="C649" s="194"/>
      <c r="D649" s="194"/>
      <c r="E649" s="194"/>
      <c r="F649" s="194"/>
      <c r="G649" s="19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row>
    <row r="650" spans="1:38" ht="12.5">
      <c r="A650" s="4"/>
      <c r="B650" s="4"/>
      <c r="C650" s="194"/>
      <c r="D650" s="194"/>
      <c r="E650" s="194"/>
      <c r="F650" s="194"/>
      <c r="G650" s="19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row>
    <row r="651" spans="1:38" ht="12.5">
      <c r="A651" s="4"/>
      <c r="B651" s="4"/>
      <c r="C651" s="194"/>
      <c r="D651" s="194"/>
      <c r="E651" s="194"/>
      <c r="F651" s="194"/>
      <c r="G651" s="19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row>
    <row r="652" spans="1:38" ht="12.5">
      <c r="A652" s="4"/>
      <c r="B652" s="4"/>
      <c r="C652" s="194"/>
      <c r="D652" s="194"/>
      <c r="E652" s="194"/>
      <c r="F652" s="194"/>
      <c r="G652" s="19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row>
    <row r="653" spans="1:38" ht="12.5">
      <c r="A653" s="4"/>
      <c r="B653" s="4"/>
      <c r="C653" s="194"/>
      <c r="D653" s="194"/>
      <c r="E653" s="194"/>
      <c r="F653" s="194"/>
      <c r="G653" s="19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row>
    <row r="654" spans="1:38" ht="12.5">
      <c r="A654" s="4"/>
      <c r="B654" s="4"/>
      <c r="C654" s="194"/>
      <c r="D654" s="194"/>
      <c r="E654" s="194"/>
      <c r="F654" s="194"/>
      <c r="G654" s="19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row>
    <row r="655" spans="1:38" ht="12.5">
      <c r="A655" s="4"/>
      <c r="B655" s="4"/>
      <c r="C655" s="194"/>
      <c r="D655" s="194"/>
      <c r="E655" s="194"/>
      <c r="F655" s="194"/>
      <c r="G655" s="19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row>
    <row r="656" spans="1:38" ht="12.5">
      <c r="A656" s="4"/>
      <c r="B656" s="4"/>
      <c r="C656" s="194"/>
      <c r="D656" s="194"/>
      <c r="E656" s="194"/>
      <c r="F656" s="194"/>
      <c r="G656" s="19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row>
    <row r="657" spans="1:38" ht="12.5">
      <c r="A657" s="4"/>
      <c r="B657" s="4"/>
      <c r="C657" s="194"/>
      <c r="D657" s="194"/>
      <c r="E657" s="194"/>
      <c r="F657" s="194"/>
      <c r="G657" s="19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row>
    <row r="658" spans="1:38" ht="12.5">
      <c r="A658" s="4"/>
      <c r="B658" s="4"/>
      <c r="C658" s="194"/>
      <c r="D658" s="194"/>
      <c r="E658" s="194"/>
      <c r="F658" s="194"/>
      <c r="G658" s="19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row>
    <row r="659" spans="1:38" ht="12.5">
      <c r="A659" s="4"/>
      <c r="B659" s="4"/>
      <c r="C659" s="194"/>
      <c r="D659" s="194"/>
      <c r="E659" s="194"/>
      <c r="F659" s="194"/>
      <c r="G659" s="19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row>
    <row r="660" spans="1:38" ht="12.5">
      <c r="A660" s="4"/>
      <c r="B660" s="4"/>
      <c r="C660" s="194"/>
      <c r="D660" s="194"/>
      <c r="E660" s="194"/>
      <c r="F660" s="194"/>
      <c r="G660" s="19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row>
    <row r="661" spans="1:38" ht="12.5">
      <c r="A661" s="4"/>
      <c r="B661" s="4"/>
      <c r="C661" s="194"/>
      <c r="D661" s="194"/>
      <c r="E661" s="194"/>
      <c r="F661" s="194"/>
      <c r="G661" s="19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row>
    <row r="662" spans="1:38" ht="12.5">
      <c r="A662" s="4"/>
      <c r="B662" s="4"/>
      <c r="C662" s="194"/>
      <c r="D662" s="194"/>
      <c r="E662" s="194"/>
      <c r="F662" s="194"/>
      <c r="G662" s="19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row>
    <row r="663" spans="1:38" ht="12.5">
      <c r="A663" s="4"/>
      <c r="B663" s="4"/>
      <c r="C663" s="194"/>
      <c r="D663" s="194"/>
      <c r="E663" s="194"/>
      <c r="F663" s="194"/>
      <c r="G663" s="19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row>
    <row r="664" spans="1:38" ht="12.5">
      <c r="A664" s="4"/>
      <c r="B664" s="4"/>
      <c r="C664" s="194"/>
      <c r="D664" s="194"/>
      <c r="E664" s="194"/>
      <c r="F664" s="194"/>
      <c r="G664" s="19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row>
    <row r="665" spans="1:38" ht="12.5">
      <c r="A665" s="4"/>
      <c r="B665" s="4"/>
      <c r="C665" s="194"/>
      <c r="D665" s="194"/>
      <c r="E665" s="194"/>
      <c r="F665" s="194"/>
      <c r="G665" s="19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row>
    <row r="666" spans="1:38" ht="12.5">
      <c r="A666" s="4"/>
      <c r="B666" s="4"/>
      <c r="C666" s="194"/>
      <c r="D666" s="194"/>
      <c r="E666" s="194"/>
      <c r="F666" s="194"/>
      <c r="G666" s="19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row>
    <row r="667" spans="1:38" ht="12.5">
      <c r="A667" s="4"/>
      <c r="B667" s="4"/>
      <c r="C667" s="194"/>
      <c r="D667" s="194"/>
      <c r="E667" s="194"/>
      <c r="F667" s="194"/>
      <c r="G667" s="19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row>
    <row r="668" spans="1:38" ht="12.5">
      <c r="A668" s="4"/>
      <c r="B668" s="4"/>
      <c r="C668" s="194"/>
      <c r="D668" s="194"/>
      <c r="E668" s="194"/>
      <c r="F668" s="194"/>
      <c r="G668" s="19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row>
    <row r="669" spans="1:38" ht="12.5">
      <c r="A669" s="4"/>
      <c r="B669" s="4"/>
      <c r="C669" s="194"/>
      <c r="D669" s="194"/>
      <c r="E669" s="194"/>
      <c r="F669" s="194"/>
      <c r="G669" s="19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row>
    <row r="670" spans="1:38" ht="12.5">
      <c r="A670" s="4"/>
      <c r="B670" s="4"/>
      <c r="C670" s="194"/>
      <c r="D670" s="194"/>
      <c r="E670" s="194"/>
      <c r="F670" s="194"/>
      <c r="G670" s="19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row>
    <row r="671" spans="1:38" ht="12.5">
      <c r="A671" s="4"/>
      <c r="B671" s="4"/>
      <c r="C671" s="194"/>
      <c r="D671" s="194"/>
      <c r="E671" s="194"/>
      <c r="F671" s="194"/>
      <c r="G671" s="19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row>
    <row r="672" spans="1:38" ht="12.5">
      <c r="A672" s="4"/>
      <c r="B672" s="4"/>
      <c r="C672" s="194"/>
      <c r="D672" s="194"/>
      <c r="E672" s="194"/>
      <c r="F672" s="194"/>
      <c r="G672" s="19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row>
    <row r="673" spans="1:38" ht="12.5">
      <c r="A673" s="4"/>
      <c r="B673" s="4"/>
      <c r="C673" s="194"/>
      <c r="D673" s="194"/>
      <c r="E673" s="194"/>
      <c r="F673" s="194"/>
      <c r="G673" s="19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row>
    <row r="674" spans="1:38" ht="12.5">
      <c r="A674" s="4"/>
      <c r="B674" s="4"/>
      <c r="C674" s="194"/>
      <c r="D674" s="194"/>
      <c r="E674" s="194"/>
      <c r="F674" s="194"/>
      <c r="G674" s="19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row>
    <row r="675" spans="1:38" ht="12.5">
      <c r="A675" s="4"/>
      <c r="B675" s="4"/>
      <c r="C675" s="194"/>
      <c r="D675" s="194"/>
      <c r="E675" s="194"/>
      <c r="F675" s="194"/>
      <c r="G675" s="19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row>
    <row r="676" spans="1:38" ht="12.5">
      <c r="A676" s="4"/>
      <c r="B676" s="4"/>
      <c r="C676" s="194"/>
      <c r="D676" s="194"/>
      <c r="E676" s="194"/>
      <c r="F676" s="194"/>
      <c r="G676" s="19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row>
    <row r="677" spans="1:38" ht="12.5">
      <c r="A677" s="4"/>
      <c r="B677" s="4"/>
      <c r="C677" s="194"/>
      <c r="D677" s="194"/>
      <c r="E677" s="194"/>
      <c r="F677" s="194"/>
      <c r="G677" s="19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row>
    <row r="678" spans="1:38" ht="12.5">
      <c r="A678" s="4"/>
      <c r="B678" s="4"/>
      <c r="C678" s="194"/>
      <c r="D678" s="194"/>
      <c r="E678" s="194"/>
      <c r="F678" s="194"/>
      <c r="G678" s="19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row>
    <row r="679" spans="1:38" ht="12.5">
      <c r="A679" s="4"/>
      <c r="B679" s="4"/>
      <c r="C679" s="194"/>
      <c r="D679" s="194"/>
      <c r="E679" s="194"/>
      <c r="F679" s="194"/>
      <c r="G679" s="19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row>
    <row r="680" spans="1:38" ht="12.5">
      <c r="A680" s="4"/>
      <c r="B680" s="4"/>
      <c r="C680" s="194"/>
      <c r="D680" s="194"/>
      <c r="E680" s="194"/>
      <c r="F680" s="194"/>
      <c r="G680" s="19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row>
    <row r="681" spans="1:38" ht="12.5">
      <c r="A681" s="4"/>
      <c r="B681" s="4"/>
      <c r="C681" s="194"/>
      <c r="D681" s="194"/>
      <c r="E681" s="194"/>
      <c r="F681" s="194"/>
      <c r="G681" s="19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row>
    <row r="682" spans="1:38" ht="12.5">
      <c r="A682" s="4"/>
      <c r="B682" s="4"/>
      <c r="C682" s="194"/>
      <c r="D682" s="194"/>
      <c r="E682" s="194"/>
      <c r="F682" s="194"/>
      <c r="G682" s="19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row>
    <row r="683" spans="1:38" ht="12.5">
      <c r="A683" s="4"/>
      <c r="B683" s="4"/>
      <c r="C683" s="194"/>
      <c r="D683" s="194"/>
      <c r="E683" s="194"/>
      <c r="F683" s="194"/>
      <c r="G683" s="19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row>
    <row r="684" spans="1:38" ht="12.5">
      <c r="A684" s="4"/>
      <c r="B684" s="4"/>
      <c r="C684" s="194"/>
      <c r="D684" s="194"/>
      <c r="E684" s="194"/>
      <c r="F684" s="194"/>
      <c r="G684" s="19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row>
    <row r="685" spans="1:38" ht="12.5">
      <c r="A685" s="4"/>
      <c r="B685" s="4"/>
      <c r="C685" s="194"/>
      <c r="D685" s="194"/>
      <c r="E685" s="194"/>
      <c r="F685" s="194"/>
      <c r="G685" s="19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row>
    <row r="686" spans="1:38" ht="12.5">
      <c r="A686" s="4"/>
      <c r="B686" s="4"/>
      <c r="C686" s="194"/>
      <c r="D686" s="194"/>
      <c r="E686" s="194"/>
      <c r="F686" s="194"/>
      <c r="G686" s="19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row>
    <row r="687" spans="1:38" ht="12.5">
      <c r="A687" s="4"/>
      <c r="B687" s="4"/>
      <c r="C687" s="194"/>
      <c r="D687" s="194"/>
      <c r="E687" s="194"/>
      <c r="F687" s="194"/>
      <c r="G687" s="19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row>
    <row r="688" spans="1:38" ht="12.5">
      <c r="A688" s="4"/>
      <c r="B688" s="4"/>
      <c r="C688" s="194"/>
      <c r="D688" s="194"/>
      <c r="E688" s="194"/>
      <c r="F688" s="194"/>
      <c r="G688" s="19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row>
    <row r="689" spans="1:38" ht="12.5">
      <c r="A689" s="4"/>
      <c r="B689" s="4"/>
      <c r="C689" s="194"/>
      <c r="D689" s="194"/>
      <c r="E689" s="194"/>
      <c r="F689" s="194"/>
      <c r="G689" s="19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row>
    <row r="690" spans="1:38" ht="12.5">
      <c r="A690" s="4"/>
      <c r="B690" s="4"/>
      <c r="C690" s="194"/>
      <c r="D690" s="194"/>
      <c r="E690" s="194"/>
      <c r="F690" s="194"/>
      <c r="G690" s="19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row>
    <row r="691" spans="1:38" ht="12.5">
      <c r="A691" s="4"/>
      <c r="B691" s="4"/>
      <c r="C691" s="194"/>
      <c r="D691" s="194"/>
      <c r="E691" s="194"/>
      <c r="F691" s="194"/>
      <c r="G691" s="19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row>
    <row r="692" spans="1:38" ht="12.5">
      <c r="A692" s="4"/>
      <c r="B692" s="4"/>
      <c r="C692" s="194"/>
      <c r="D692" s="194"/>
      <c r="E692" s="194"/>
      <c r="F692" s="194"/>
      <c r="G692" s="19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row>
    <row r="693" spans="1:38" ht="12.5">
      <c r="A693" s="4"/>
      <c r="B693" s="4"/>
      <c r="C693" s="194"/>
      <c r="D693" s="194"/>
      <c r="E693" s="194"/>
      <c r="F693" s="194"/>
      <c r="G693" s="19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row>
    <row r="694" spans="1:38" ht="12.5">
      <c r="A694" s="4"/>
      <c r="B694" s="4"/>
      <c r="C694" s="194"/>
      <c r="D694" s="194"/>
      <c r="E694" s="194"/>
      <c r="F694" s="194"/>
      <c r="G694" s="19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row>
    <row r="695" spans="1:38" ht="12.5">
      <c r="A695" s="4"/>
      <c r="B695" s="4"/>
      <c r="C695" s="194"/>
      <c r="D695" s="194"/>
      <c r="E695" s="194"/>
      <c r="F695" s="194"/>
      <c r="G695" s="19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row>
    <row r="696" spans="1:38" ht="12.5">
      <c r="A696" s="4"/>
      <c r="B696" s="4"/>
      <c r="C696" s="194"/>
      <c r="D696" s="194"/>
      <c r="E696" s="194"/>
      <c r="F696" s="194"/>
      <c r="G696" s="19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row>
    <row r="697" spans="1:38" ht="12.5">
      <c r="A697" s="4"/>
      <c r="B697" s="4"/>
      <c r="C697" s="194"/>
      <c r="D697" s="194"/>
      <c r="E697" s="194"/>
      <c r="F697" s="194"/>
      <c r="G697" s="19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row>
    <row r="698" spans="1:38" ht="12.5">
      <c r="A698" s="4"/>
      <c r="B698" s="4"/>
      <c r="C698" s="194"/>
      <c r="D698" s="194"/>
      <c r="E698" s="194"/>
      <c r="F698" s="194"/>
      <c r="G698" s="19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row>
    <row r="699" spans="1:38" ht="12.5">
      <c r="A699" s="4"/>
      <c r="B699" s="4"/>
      <c r="C699" s="194"/>
      <c r="D699" s="194"/>
      <c r="E699" s="194"/>
      <c r="F699" s="194"/>
      <c r="G699" s="19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row>
    <row r="700" spans="1:38" ht="12.5">
      <c r="A700" s="4"/>
      <c r="B700" s="4"/>
      <c r="C700" s="194"/>
      <c r="D700" s="194"/>
      <c r="E700" s="194"/>
      <c r="F700" s="194"/>
      <c r="G700" s="19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row>
    <row r="701" spans="1:38" ht="12.5">
      <c r="A701" s="4"/>
      <c r="B701" s="4"/>
      <c r="C701" s="194"/>
      <c r="D701" s="194"/>
      <c r="E701" s="194"/>
      <c r="F701" s="194"/>
      <c r="G701" s="19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row>
    <row r="702" spans="1:38" ht="12.5">
      <c r="A702" s="4"/>
      <c r="B702" s="4"/>
      <c r="C702" s="194"/>
      <c r="D702" s="194"/>
      <c r="E702" s="194"/>
      <c r="F702" s="194"/>
      <c r="G702" s="19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row>
    <row r="703" spans="1:38" ht="12.5">
      <c r="A703" s="4"/>
      <c r="B703" s="4"/>
      <c r="C703" s="194"/>
      <c r="D703" s="194"/>
      <c r="E703" s="194"/>
      <c r="F703" s="194"/>
      <c r="G703" s="19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row>
    <row r="704" spans="1:38" ht="12.5">
      <c r="A704" s="4"/>
      <c r="B704" s="4"/>
      <c r="C704" s="194"/>
      <c r="D704" s="194"/>
      <c r="E704" s="194"/>
      <c r="F704" s="194"/>
      <c r="G704" s="19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row>
    <row r="705" spans="1:38" ht="12.5">
      <c r="A705" s="4"/>
      <c r="B705" s="4"/>
      <c r="C705" s="194"/>
      <c r="D705" s="194"/>
      <c r="E705" s="194"/>
      <c r="F705" s="194"/>
      <c r="G705" s="19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row>
    <row r="706" spans="1:38" ht="12.5">
      <c r="A706" s="4"/>
      <c r="B706" s="4"/>
      <c r="C706" s="194"/>
      <c r="D706" s="194"/>
      <c r="E706" s="194"/>
      <c r="F706" s="194"/>
      <c r="G706" s="19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row>
    <row r="707" spans="1:38" ht="12.5">
      <c r="A707" s="4"/>
      <c r="B707" s="4"/>
      <c r="C707" s="194"/>
      <c r="D707" s="194"/>
      <c r="E707" s="194"/>
      <c r="F707" s="194"/>
      <c r="G707" s="19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row>
    <row r="708" spans="1:38" ht="12.5">
      <c r="A708" s="4"/>
      <c r="B708" s="4"/>
      <c r="C708" s="194"/>
      <c r="D708" s="194"/>
      <c r="E708" s="194"/>
      <c r="F708" s="194"/>
      <c r="G708" s="19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row>
    <row r="709" spans="1:38" ht="12.5">
      <c r="A709" s="4"/>
      <c r="B709" s="4"/>
      <c r="C709" s="194"/>
      <c r="D709" s="194"/>
      <c r="E709" s="194"/>
      <c r="F709" s="194"/>
      <c r="G709" s="19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row>
    <row r="710" spans="1:38" ht="12.5">
      <c r="A710" s="4"/>
      <c r="B710" s="4"/>
      <c r="C710" s="194"/>
      <c r="D710" s="194"/>
      <c r="E710" s="194"/>
      <c r="F710" s="194"/>
      <c r="G710" s="19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row>
    <row r="711" spans="1:38" ht="12.5">
      <c r="A711" s="4"/>
      <c r="B711" s="4"/>
      <c r="C711" s="194"/>
      <c r="D711" s="194"/>
      <c r="E711" s="194"/>
      <c r="F711" s="194"/>
      <c r="G711" s="19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row>
    <row r="712" spans="1:38" ht="12.5">
      <c r="A712" s="4"/>
      <c r="B712" s="4"/>
      <c r="C712" s="194"/>
      <c r="D712" s="194"/>
      <c r="E712" s="194"/>
      <c r="F712" s="194"/>
      <c r="G712" s="19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row>
    <row r="713" spans="1:38" ht="12.5">
      <c r="A713" s="4"/>
      <c r="B713" s="4"/>
      <c r="C713" s="194"/>
      <c r="D713" s="194"/>
      <c r="E713" s="194"/>
      <c r="F713" s="194"/>
      <c r="G713" s="19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row>
    <row r="714" spans="1:38" ht="12.5">
      <c r="A714" s="4"/>
      <c r="B714" s="4"/>
      <c r="C714" s="194"/>
      <c r="D714" s="194"/>
      <c r="E714" s="194"/>
      <c r="F714" s="194"/>
      <c r="G714" s="19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row>
    <row r="715" spans="1:38" ht="12.5">
      <c r="A715" s="4"/>
      <c r="B715" s="4"/>
      <c r="C715" s="194"/>
      <c r="D715" s="194"/>
      <c r="E715" s="194"/>
      <c r="F715" s="194"/>
      <c r="G715" s="19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row>
    <row r="716" spans="1:38" ht="12.5">
      <c r="A716" s="4"/>
      <c r="B716" s="4"/>
      <c r="C716" s="194"/>
      <c r="D716" s="194"/>
      <c r="E716" s="194"/>
      <c r="F716" s="194"/>
      <c r="G716" s="19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row>
    <row r="717" spans="1:38" ht="12.5">
      <c r="A717" s="4"/>
      <c r="B717" s="4"/>
      <c r="C717" s="194"/>
      <c r="D717" s="194"/>
      <c r="E717" s="194"/>
      <c r="F717" s="194"/>
      <c r="G717" s="19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row>
    <row r="718" spans="1:38" ht="12.5">
      <c r="A718" s="4"/>
      <c r="B718" s="4"/>
      <c r="C718" s="194"/>
      <c r="D718" s="194"/>
      <c r="E718" s="194"/>
      <c r="F718" s="194"/>
      <c r="G718" s="19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row>
    <row r="719" spans="1:38" ht="12.5">
      <c r="A719" s="4"/>
      <c r="B719" s="4"/>
      <c r="C719" s="194"/>
      <c r="D719" s="194"/>
      <c r="E719" s="194"/>
      <c r="F719" s="194"/>
      <c r="G719" s="19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row>
    <row r="720" spans="1:38" ht="12.5">
      <c r="A720" s="4"/>
      <c r="B720" s="4"/>
      <c r="C720" s="194"/>
      <c r="D720" s="194"/>
      <c r="E720" s="194"/>
      <c r="F720" s="194"/>
      <c r="G720" s="19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row>
    <row r="721" spans="1:38" ht="12.5">
      <c r="A721" s="4"/>
      <c r="B721" s="4"/>
      <c r="C721" s="194"/>
      <c r="D721" s="194"/>
      <c r="E721" s="194"/>
      <c r="F721" s="194"/>
      <c r="G721" s="19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row>
    <row r="722" spans="1:38" ht="12.5">
      <c r="A722" s="4"/>
      <c r="B722" s="4"/>
      <c r="C722" s="194"/>
      <c r="D722" s="194"/>
      <c r="E722" s="194"/>
      <c r="F722" s="194"/>
      <c r="G722" s="19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row>
    <row r="723" spans="1:38" ht="12.5">
      <c r="A723" s="4"/>
      <c r="B723" s="4"/>
      <c r="C723" s="194"/>
      <c r="D723" s="194"/>
      <c r="E723" s="194"/>
      <c r="F723" s="194"/>
      <c r="G723" s="19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row>
    <row r="724" spans="1:38" ht="12.5">
      <c r="A724" s="4"/>
      <c r="B724" s="4"/>
      <c r="C724" s="194"/>
      <c r="D724" s="194"/>
      <c r="E724" s="194"/>
      <c r="F724" s="194"/>
      <c r="G724" s="19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row>
    <row r="725" spans="1:38" ht="12.5">
      <c r="A725" s="4"/>
      <c r="B725" s="4"/>
      <c r="C725" s="194"/>
      <c r="D725" s="194"/>
      <c r="E725" s="194"/>
      <c r="F725" s="194"/>
      <c r="G725" s="19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row>
    <row r="726" spans="1:38" ht="12.5">
      <c r="A726" s="4"/>
      <c r="B726" s="4"/>
      <c r="C726" s="194"/>
      <c r="D726" s="194"/>
      <c r="E726" s="194"/>
      <c r="F726" s="194"/>
      <c r="G726" s="19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row>
    <row r="727" spans="1:38" ht="12.5">
      <c r="A727" s="4"/>
      <c r="B727" s="4"/>
      <c r="C727" s="194"/>
      <c r="D727" s="194"/>
      <c r="E727" s="194"/>
      <c r="F727" s="194"/>
      <c r="G727" s="19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row>
    <row r="728" spans="1:38" ht="12.5">
      <c r="A728" s="4"/>
      <c r="B728" s="4"/>
      <c r="C728" s="194"/>
      <c r="D728" s="194"/>
      <c r="E728" s="194"/>
      <c r="F728" s="194"/>
      <c r="G728" s="19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row>
    <row r="729" spans="1:38" ht="12.5">
      <c r="A729" s="4"/>
      <c r="B729" s="4"/>
      <c r="C729" s="194"/>
      <c r="D729" s="194"/>
      <c r="E729" s="194"/>
      <c r="F729" s="194"/>
      <c r="G729" s="19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row>
    <row r="730" spans="1:38" ht="12.5">
      <c r="A730" s="4"/>
      <c r="B730" s="4"/>
      <c r="C730" s="194"/>
      <c r="D730" s="194"/>
      <c r="E730" s="194"/>
      <c r="F730" s="194"/>
      <c r="G730" s="19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row>
    <row r="731" spans="1:38" ht="12.5">
      <c r="A731" s="4"/>
      <c r="B731" s="4"/>
      <c r="C731" s="194"/>
      <c r="D731" s="194"/>
      <c r="E731" s="194"/>
      <c r="F731" s="194"/>
      <c r="G731" s="19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row>
    <row r="732" spans="1:38" ht="12.5">
      <c r="A732" s="4"/>
      <c r="B732" s="4"/>
      <c r="C732" s="194"/>
      <c r="D732" s="194"/>
      <c r="E732" s="194"/>
      <c r="F732" s="194"/>
      <c r="G732" s="19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row>
    <row r="733" spans="1:38" ht="12.5">
      <c r="A733" s="4"/>
      <c r="B733" s="4"/>
      <c r="C733" s="194"/>
      <c r="D733" s="194"/>
      <c r="E733" s="194"/>
      <c r="F733" s="194"/>
      <c r="G733" s="19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row>
    <row r="734" spans="1:38" ht="12.5">
      <c r="A734" s="4"/>
      <c r="B734" s="4"/>
      <c r="C734" s="194"/>
      <c r="D734" s="194"/>
      <c r="E734" s="194"/>
      <c r="F734" s="194"/>
      <c r="G734" s="19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row>
    <row r="735" spans="1:38" ht="12.5">
      <c r="A735" s="4"/>
      <c r="B735" s="4"/>
      <c r="C735" s="194"/>
      <c r="D735" s="194"/>
      <c r="E735" s="194"/>
      <c r="F735" s="194"/>
      <c r="G735" s="19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row>
    <row r="736" spans="1:38" ht="12.5">
      <c r="A736" s="4"/>
      <c r="B736" s="4"/>
      <c r="C736" s="194"/>
      <c r="D736" s="194"/>
      <c r="E736" s="194"/>
      <c r="F736" s="194"/>
      <c r="G736" s="19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row>
    <row r="737" spans="1:38" ht="12.5">
      <c r="A737" s="4"/>
      <c r="B737" s="4"/>
      <c r="C737" s="194"/>
      <c r="D737" s="194"/>
      <c r="E737" s="194"/>
      <c r="F737" s="194"/>
      <c r="G737" s="19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row>
    <row r="738" spans="1:38" ht="12.5">
      <c r="A738" s="4"/>
      <c r="B738" s="4"/>
      <c r="C738" s="194"/>
      <c r="D738" s="194"/>
      <c r="E738" s="194"/>
      <c r="F738" s="194"/>
      <c r="G738" s="19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row>
    <row r="739" spans="1:38" ht="12.5">
      <c r="A739" s="4"/>
      <c r="B739" s="4"/>
      <c r="C739" s="194"/>
      <c r="D739" s="194"/>
      <c r="E739" s="194"/>
      <c r="F739" s="194"/>
      <c r="G739" s="19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row>
    <row r="740" spans="1:38" ht="12.5">
      <c r="A740" s="4"/>
      <c r="B740" s="4"/>
      <c r="C740" s="194"/>
      <c r="D740" s="194"/>
      <c r="E740" s="194"/>
      <c r="F740" s="194"/>
      <c r="G740" s="19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row>
    <row r="741" spans="1:38" ht="12.5">
      <c r="A741" s="4"/>
      <c r="B741" s="4"/>
      <c r="C741" s="194"/>
      <c r="D741" s="194"/>
      <c r="E741" s="194"/>
      <c r="F741" s="194"/>
      <c r="G741" s="19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row>
    <row r="742" spans="1:38" ht="12.5">
      <c r="A742" s="4"/>
      <c r="B742" s="4"/>
      <c r="C742" s="194"/>
      <c r="D742" s="194"/>
      <c r="E742" s="194"/>
      <c r="F742" s="194"/>
      <c r="G742" s="19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row>
    <row r="743" spans="1:38" ht="12.5">
      <c r="A743" s="4"/>
      <c r="B743" s="4"/>
      <c r="C743" s="194"/>
      <c r="D743" s="194"/>
      <c r="E743" s="194"/>
      <c r="F743" s="194"/>
      <c r="G743" s="19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row>
    <row r="744" spans="1:38" ht="12.5">
      <c r="A744" s="4"/>
      <c r="B744" s="4"/>
      <c r="C744" s="194"/>
      <c r="D744" s="194"/>
      <c r="E744" s="194"/>
      <c r="F744" s="194"/>
      <c r="G744" s="19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row>
    <row r="745" spans="1:38" ht="12.5">
      <c r="A745" s="4"/>
      <c r="B745" s="4"/>
      <c r="C745" s="194"/>
      <c r="D745" s="194"/>
      <c r="E745" s="194"/>
      <c r="F745" s="194"/>
      <c r="G745" s="19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row>
    <row r="746" spans="1:38" ht="12.5">
      <c r="A746" s="4"/>
      <c r="B746" s="4"/>
      <c r="C746" s="194"/>
      <c r="D746" s="194"/>
      <c r="E746" s="194"/>
      <c r="F746" s="194"/>
      <c r="G746" s="19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row>
    <row r="747" spans="1:38" ht="12.5">
      <c r="A747" s="4"/>
      <c r="B747" s="4"/>
      <c r="C747" s="194"/>
      <c r="D747" s="194"/>
      <c r="E747" s="194"/>
      <c r="F747" s="194"/>
      <c r="G747" s="19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row>
    <row r="748" spans="1:38" ht="12.5">
      <c r="A748" s="4"/>
      <c r="B748" s="4"/>
      <c r="C748" s="194"/>
      <c r="D748" s="194"/>
      <c r="E748" s="194"/>
      <c r="F748" s="194"/>
      <c r="G748" s="19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row>
    <row r="749" spans="1:38" ht="12.5">
      <c r="A749" s="4"/>
      <c r="B749" s="4"/>
      <c r="C749" s="194"/>
      <c r="D749" s="194"/>
      <c r="E749" s="194"/>
      <c r="F749" s="194"/>
      <c r="G749" s="19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row>
    <row r="750" spans="1:38" ht="12.5">
      <c r="A750" s="4"/>
      <c r="B750" s="4"/>
      <c r="C750" s="194"/>
      <c r="D750" s="194"/>
      <c r="E750" s="194"/>
      <c r="F750" s="194"/>
      <c r="G750" s="19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row>
    <row r="751" spans="1:38" ht="12.5">
      <c r="A751" s="4"/>
      <c r="B751" s="4"/>
      <c r="C751" s="194"/>
      <c r="D751" s="194"/>
      <c r="E751" s="194"/>
      <c r="F751" s="194"/>
      <c r="G751" s="19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row>
    <row r="752" spans="1:38" ht="12.5">
      <c r="A752" s="4"/>
      <c r="B752" s="4"/>
      <c r="C752" s="194"/>
      <c r="D752" s="194"/>
      <c r="E752" s="194"/>
      <c r="F752" s="194"/>
      <c r="G752" s="19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row>
    <row r="753" spans="1:38" ht="12.5">
      <c r="A753" s="4"/>
      <c r="B753" s="4"/>
      <c r="C753" s="194"/>
      <c r="D753" s="194"/>
      <c r="E753" s="194"/>
      <c r="F753" s="194"/>
      <c r="G753" s="19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row>
    <row r="754" spans="1:38" ht="12.5">
      <c r="A754" s="4"/>
      <c r="B754" s="4"/>
      <c r="C754" s="194"/>
      <c r="D754" s="194"/>
      <c r="E754" s="194"/>
      <c r="F754" s="194"/>
      <c r="G754" s="19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row>
    <row r="755" spans="1:38" ht="12.5">
      <c r="A755" s="4"/>
      <c r="B755" s="4"/>
      <c r="C755" s="194"/>
      <c r="D755" s="194"/>
      <c r="E755" s="194"/>
      <c r="F755" s="194"/>
      <c r="G755" s="19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row>
    <row r="756" spans="1:38" ht="12.5">
      <c r="A756" s="4"/>
      <c r="B756" s="4"/>
      <c r="C756" s="194"/>
      <c r="D756" s="194"/>
      <c r="E756" s="194"/>
      <c r="F756" s="194"/>
      <c r="G756" s="19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row>
    <row r="757" spans="1:38" ht="12.5">
      <c r="A757" s="4"/>
      <c r="B757" s="4"/>
      <c r="C757" s="194"/>
      <c r="D757" s="194"/>
      <c r="E757" s="194"/>
      <c r="F757" s="194"/>
      <c r="G757" s="19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row>
    <row r="758" spans="1:38" ht="12.5">
      <c r="A758" s="4"/>
      <c r="B758" s="4"/>
      <c r="C758" s="194"/>
      <c r="D758" s="194"/>
      <c r="E758" s="194"/>
      <c r="F758" s="194"/>
      <c r="G758" s="19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row>
    <row r="759" spans="1:38" ht="12.5">
      <c r="A759" s="4"/>
      <c r="B759" s="4"/>
      <c r="C759" s="194"/>
      <c r="D759" s="194"/>
      <c r="E759" s="194"/>
      <c r="F759" s="194"/>
      <c r="G759" s="19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row>
    <row r="760" spans="1:38" ht="12.5">
      <c r="A760" s="4"/>
      <c r="B760" s="4"/>
      <c r="C760" s="194"/>
      <c r="D760" s="194"/>
      <c r="E760" s="194"/>
      <c r="F760" s="194"/>
      <c r="G760" s="19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row>
    <row r="761" spans="1:38" ht="12.5">
      <c r="A761" s="4"/>
      <c r="B761" s="4"/>
      <c r="C761" s="194"/>
      <c r="D761" s="194"/>
      <c r="E761" s="194"/>
      <c r="F761" s="194"/>
      <c r="G761" s="19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row>
    <row r="762" spans="1:38" ht="12.5">
      <c r="A762" s="4"/>
      <c r="B762" s="4"/>
      <c r="C762" s="194"/>
      <c r="D762" s="194"/>
      <c r="E762" s="194"/>
      <c r="F762" s="194"/>
      <c r="G762" s="19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row>
    <row r="763" spans="1:38" ht="12.5">
      <c r="A763" s="4"/>
      <c r="B763" s="4"/>
      <c r="C763" s="194"/>
      <c r="D763" s="194"/>
      <c r="E763" s="194"/>
      <c r="F763" s="194"/>
      <c r="G763" s="19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row>
    <row r="764" spans="1:38" ht="12.5">
      <c r="A764" s="4"/>
      <c r="B764" s="4"/>
      <c r="C764" s="194"/>
      <c r="D764" s="194"/>
      <c r="E764" s="194"/>
      <c r="F764" s="194"/>
      <c r="G764" s="19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row>
    <row r="765" spans="1:38" ht="12.5">
      <c r="A765" s="4"/>
      <c r="B765" s="4"/>
      <c r="C765" s="194"/>
      <c r="D765" s="194"/>
      <c r="E765" s="194"/>
      <c r="F765" s="194"/>
      <c r="G765" s="19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row>
    <row r="766" spans="1:38" ht="12.5">
      <c r="A766" s="4"/>
      <c r="B766" s="4"/>
      <c r="C766" s="194"/>
      <c r="D766" s="194"/>
      <c r="E766" s="194"/>
      <c r="F766" s="194"/>
      <c r="G766" s="19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row>
    <row r="767" spans="1:38" ht="12.5">
      <c r="A767" s="4"/>
      <c r="B767" s="4"/>
      <c r="C767" s="194"/>
      <c r="D767" s="194"/>
      <c r="E767" s="194"/>
      <c r="F767" s="194"/>
      <c r="G767" s="19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row>
    <row r="768" spans="1:38" ht="12.5">
      <c r="A768" s="4"/>
      <c r="B768" s="4"/>
      <c r="C768" s="194"/>
      <c r="D768" s="194"/>
      <c r="E768" s="194"/>
      <c r="F768" s="194"/>
      <c r="G768" s="19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row>
    <row r="769" spans="1:38" ht="12.5">
      <c r="A769" s="4"/>
      <c r="B769" s="4"/>
      <c r="C769" s="194"/>
      <c r="D769" s="194"/>
      <c r="E769" s="194"/>
      <c r="F769" s="194"/>
      <c r="G769" s="19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row>
    <row r="770" spans="1:38" ht="12.5">
      <c r="A770" s="4"/>
      <c r="B770" s="4"/>
      <c r="C770" s="194"/>
      <c r="D770" s="194"/>
      <c r="E770" s="194"/>
      <c r="F770" s="194"/>
      <c r="G770" s="19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row>
    <row r="771" spans="1:38" ht="12.5">
      <c r="A771" s="4"/>
      <c r="B771" s="4"/>
      <c r="C771" s="194"/>
      <c r="D771" s="194"/>
      <c r="E771" s="194"/>
      <c r="F771" s="194"/>
      <c r="G771" s="19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row>
    <row r="772" spans="1:38" ht="12.5">
      <c r="A772" s="4"/>
      <c r="B772" s="4"/>
      <c r="C772" s="194"/>
      <c r="D772" s="194"/>
      <c r="E772" s="194"/>
      <c r="F772" s="194"/>
      <c r="G772" s="19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row>
    <row r="773" spans="1:38" ht="12.5">
      <c r="A773" s="4"/>
      <c r="B773" s="4"/>
      <c r="C773" s="194"/>
      <c r="D773" s="194"/>
      <c r="E773" s="194"/>
      <c r="F773" s="194"/>
      <c r="G773" s="19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row>
    <row r="774" spans="1:38" ht="12.5">
      <c r="A774" s="4"/>
      <c r="B774" s="4"/>
      <c r="C774" s="194"/>
      <c r="D774" s="194"/>
      <c r="E774" s="194"/>
      <c r="F774" s="194"/>
      <c r="G774" s="19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row>
    <row r="775" spans="1:38" ht="12.5">
      <c r="A775" s="4"/>
      <c r="B775" s="4"/>
      <c r="C775" s="194"/>
      <c r="D775" s="194"/>
      <c r="E775" s="194"/>
      <c r="F775" s="194"/>
      <c r="G775" s="19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row>
    <row r="776" spans="1:38" ht="12.5">
      <c r="A776" s="4"/>
      <c r="B776" s="4"/>
      <c r="C776" s="194"/>
      <c r="D776" s="194"/>
      <c r="E776" s="194"/>
      <c r="F776" s="194"/>
      <c r="G776" s="19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row>
    <row r="777" spans="1:38" ht="12.5">
      <c r="A777" s="4"/>
      <c r="B777" s="4"/>
      <c r="C777" s="194"/>
      <c r="D777" s="194"/>
      <c r="E777" s="194"/>
      <c r="F777" s="194"/>
      <c r="G777" s="19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row>
    <row r="778" spans="1:38" ht="12.5">
      <c r="A778" s="4"/>
      <c r="B778" s="4"/>
      <c r="C778" s="194"/>
      <c r="D778" s="194"/>
      <c r="E778" s="194"/>
      <c r="F778" s="194"/>
      <c r="G778" s="19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row>
    <row r="779" spans="1:38" ht="12.5">
      <c r="A779" s="4"/>
      <c r="B779" s="4"/>
      <c r="C779" s="194"/>
      <c r="D779" s="194"/>
      <c r="E779" s="194"/>
      <c r="F779" s="194"/>
      <c r="G779" s="19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row>
    <row r="780" spans="1:38" ht="12.5">
      <c r="A780" s="4"/>
      <c r="B780" s="4"/>
      <c r="C780" s="194"/>
      <c r="D780" s="194"/>
      <c r="E780" s="194"/>
      <c r="F780" s="194"/>
      <c r="G780" s="19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row>
    <row r="781" spans="1:38" ht="12.5">
      <c r="A781" s="4"/>
      <c r="B781" s="4"/>
      <c r="C781" s="194"/>
      <c r="D781" s="194"/>
      <c r="E781" s="194"/>
      <c r="F781" s="194"/>
      <c r="G781" s="19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row>
    <row r="782" spans="1:38" ht="12.5">
      <c r="A782" s="4"/>
      <c r="B782" s="4"/>
      <c r="C782" s="194"/>
      <c r="D782" s="194"/>
      <c r="E782" s="194"/>
      <c r="F782" s="194"/>
      <c r="G782" s="19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row>
    <row r="783" spans="1:38" ht="12.5">
      <c r="A783" s="4"/>
      <c r="B783" s="4"/>
      <c r="C783" s="194"/>
      <c r="D783" s="194"/>
      <c r="E783" s="194"/>
      <c r="F783" s="194"/>
      <c r="G783" s="19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row>
    <row r="784" spans="1:38" ht="12.5">
      <c r="A784" s="4"/>
      <c r="B784" s="4"/>
      <c r="C784" s="194"/>
      <c r="D784" s="194"/>
      <c r="E784" s="194"/>
      <c r="F784" s="194"/>
      <c r="G784" s="19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row>
    <row r="785" spans="1:38" ht="12.5">
      <c r="A785" s="4"/>
      <c r="B785" s="4"/>
      <c r="C785" s="194"/>
      <c r="D785" s="194"/>
      <c r="E785" s="194"/>
      <c r="F785" s="194"/>
      <c r="G785" s="19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row>
    <row r="786" spans="1:38" ht="12.5">
      <c r="A786" s="4"/>
      <c r="B786" s="4"/>
      <c r="C786" s="194"/>
      <c r="D786" s="194"/>
      <c r="E786" s="194"/>
      <c r="F786" s="194"/>
      <c r="G786" s="19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row>
    <row r="787" spans="1:38" ht="12.5">
      <c r="A787" s="4"/>
      <c r="B787" s="4"/>
      <c r="C787" s="194"/>
      <c r="D787" s="194"/>
      <c r="E787" s="194"/>
      <c r="F787" s="194"/>
      <c r="G787" s="19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row>
    <row r="788" spans="1:38" ht="12.5">
      <c r="A788" s="4"/>
      <c r="B788" s="4"/>
      <c r="C788" s="194"/>
      <c r="D788" s="194"/>
      <c r="E788" s="194"/>
      <c r="F788" s="194"/>
      <c r="G788" s="19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row>
    <row r="789" spans="1:38" ht="12.5">
      <c r="A789" s="4"/>
      <c r="B789" s="4"/>
      <c r="C789" s="194"/>
      <c r="D789" s="194"/>
      <c r="E789" s="194"/>
      <c r="F789" s="194"/>
      <c r="G789" s="19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row>
    <row r="790" spans="1:38" ht="12.5">
      <c r="A790" s="4"/>
      <c r="B790" s="4"/>
      <c r="C790" s="194"/>
      <c r="D790" s="194"/>
      <c r="E790" s="194"/>
      <c r="F790" s="194"/>
      <c r="G790" s="19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row>
    <row r="791" spans="1:38" ht="12.5">
      <c r="A791" s="4"/>
      <c r="B791" s="4"/>
      <c r="C791" s="194"/>
      <c r="D791" s="194"/>
      <c r="E791" s="194"/>
      <c r="F791" s="194"/>
      <c r="G791" s="19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row>
    <row r="792" spans="1:38" ht="12.5">
      <c r="A792" s="4"/>
      <c r="B792" s="4"/>
      <c r="C792" s="194"/>
      <c r="D792" s="194"/>
      <c r="E792" s="194"/>
      <c r="F792" s="194"/>
      <c r="G792" s="19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row>
    <row r="793" spans="1:38" ht="12.5">
      <c r="A793" s="4"/>
      <c r="B793" s="4"/>
      <c r="C793" s="194"/>
      <c r="D793" s="194"/>
      <c r="E793" s="194"/>
      <c r="F793" s="194"/>
      <c r="G793" s="19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row>
    <row r="794" spans="1:38" ht="12.5">
      <c r="A794" s="4"/>
      <c r="B794" s="4"/>
      <c r="C794" s="194"/>
      <c r="D794" s="194"/>
      <c r="E794" s="194"/>
      <c r="F794" s="194"/>
      <c r="G794" s="19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row>
    <row r="795" spans="1:38" ht="12.5">
      <c r="A795" s="4"/>
      <c r="B795" s="4"/>
      <c r="C795" s="194"/>
      <c r="D795" s="194"/>
      <c r="E795" s="194"/>
      <c r="F795" s="194"/>
      <c r="G795" s="19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row>
    <row r="796" spans="1:38" ht="12.5">
      <c r="A796" s="4"/>
      <c r="B796" s="4"/>
      <c r="C796" s="194"/>
      <c r="D796" s="194"/>
      <c r="E796" s="194"/>
      <c r="F796" s="194"/>
      <c r="G796" s="19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row>
    <row r="797" spans="1:38" ht="12.5">
      <c r="A797" s="4"/>
      <c r="B797" s="4"/>
      <c r="C797" s="194"/>
      <c r="D797" s="194"/>
      <c r="E797" s="194"/>
      <c r="F797" s="194"/>
      <c r="G797" s="19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row>
    <row r="798" spans="1:38" ht="12.5">
      <c r="A798" s="4"/>
      <c r="B798" s="4"/>
      <c r="C798" s="194"/>
      <c r="D798" s="194"/>
      <c r="E798" s="194"/>
      <c r="F798" s="194"/>
      <c r="G798" s="19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row>
    <row r="799" spans="1:38" ht="12.5">
      <c r="A799" s="4"/>
      <c r="B799" s="4"/>
      <c r="C799" s="194"/>
      <c r="D799" s="194"/>
      <c r="E799" s="194"/>
      <c r="F799" s="194"/>
      <c r="G799" s="19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row>
    <row r="800" spans="1:38" ht="12.5">
      <c r="A800" s="4"/>
      <c r="B800" s="4"/>
      <c r="C800" s="194"/>
      <c r="D800" s="194"/>
      <c r="E800" s="194"/>
      <c r="F800" s="194"/>
      <c r="G800" s="19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row>
    <row r="801" spans="1:38" ht="12.5">
      <c r="A801" s="4"/>
      <c r="B801" s="4"/>
      <c r="C801" s="194"/>
      <c r="D801" s="194"/>
      <c r="E801" s="194"/>
      <c r="F801" s="194"/>
      <c r="G801" s="19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row>
    <row r="802" spans="1:38" ht="12.5">
      <c r="A802" s="4"/>
      <c r="B802" s="4"/>
      <c r="C802" s="194"/>
      <c r="D802" s="194"/>
      <c r="E802" s="194"/>
      <c r="F802" s="194"/>
      <c r="G802" s="19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row>
    <row r="803" spans="1:38" ht="12.5">
      <c r="A803" s="4"/>
      <c r="B803" s="4"/>
      <c r="C803" s="194"/>
      <c r="D803" s="194"/>
      <c r="E803" s="194"/>
      <c r="F803" s="194"/>
      <c r="G803" s="19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row>
    <row r="804" spans="1:38" ht="12.5">
      <c r="A804" s="4"/>
      <c r="B804" s="4"/>
      <c r="C804" s="194"/>
      <c r="D804" s="194"/>
      <c r="E804" s="194"/>
      <c r="F804" s="194"/>
      <c r="G804" s="19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row>
    <row r="805" spans="1:38" ht="12.5">
      <c r="A805" s="4"/>
      <c r="B805" s="4"/>
      <c r="C805" s="194"/>
      <c r="D805" s="194"/>
      <c r="E805" s="194"/>
      <c r="F805" s="194"/>
      <c r="G805" s="19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row>
    <row r="806" spans="1:38" ht="12.5">
      <c r="A806" s="4"/>
      <c r="B806" s="4"/>
      <c r="C806" s="194"/>
      <c r="D806" s="194"/>
      <c r="E806" s="194"/>
      <c r="F806" s="194"/>
      <c r="G806" s="19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row>
    <row r="807" spans="1:38" ht="12.5">
      <c r="A807" s="4"/>
      <c r="B807" s="4"/>
      <c r="C807" s="194"/>
      <c r="D807" s="194"/>
      <c r="E807" s="194"/>
      <c r="F807" s="194"/>
      <c r="G807" s="19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row>
    <row r="808" spans="1:38" ht="12.5">
      <c r="A808" s="4"/>
      <c r="B808" s="4"/>
      <c r="C808" s="194"/>
      <c r="D808" s="194"/>
      <c r="E808" s="194"/>
      <c r="F808" s="194"/>
      <c r="G808" s="19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row>
    <row r="809" spans="1:38" ht="12.5">
      <c r="A809" s="4"/>
      <c r="B809" s="4"/>
      <c r="C809" s="194"/>
      <c r="D809" s="194"/>
      <c r="E809" s="194"/>
      <c r="F809" s="194"/>
      <c r="G809" s="19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row>
    <row r="810" spans="1:38" ht="12.5">
      <c r="A810" s="4"/>
      <c r="B810" s="4"/>
      <c r="C810" s="194"/>
      <c r="D810" s="194"/>
      <c r="E810" s="194"/>
      <c r="F810" s="194"/>
      <c r="G810" s="19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row>
    <row r="811" spans="1:38" ht="12.5">
      <c r="A811" s="4"/>
      <c r="B811" s="4"/>
      <c r="C811" s="194"/>
      <c r="D811" s="194"/>
      <c r="E811" s="194"/>
      <c r="F811" s="194"/>
      <c r="G811" s="19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row>
    <row r="812" spans="1:38" ht="12.5">
      <c r="A812" s="4"/>
      <c r="B812" s="4"/>
      <c r="C812" s="194"/>
      <c r="D812" s="194"/>
      <c r="E812" s="194"/>
      <c r="F812" s="194"/>
      <c r="G812" s="19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row>
    <row r="813" spans="1:38" ht="12.5">
      <c r="A813" s="4"/>
      <c r="B813" s="4"/>
      <c r="C813" s="194"/>
      <c r="D813" s="194"/>
      <c r="E813" s="194"/>
      <c r="F813" s="194"/>
      <c r="G813" s="19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row>
    <row r="814" spans="1:38" ht="12.5">
      <c r="A814" s="4"/>
      <c r="B814" s="4"/>
      <c r="C814" s="194"/>
      <c r="D814" s="194"/>
      <c r="E814" s="194"/>
      <c r="F814" s="194"/>
      <c r="G814" s="19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row>
    <row r="815" spans="1:38" ht="12.5">
      <c r="A815" s="4"/>
      <c r="B815" s="4"/>
      <c r="C815" s="194"/>
      <c r="D815" s="194"/>
      <c r="E815" s="194"/>
      <c r="F815" s="194"/>
      <c r="G815" s="19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row>
    <row r="816" spans="1:38" ht="12.5">
      <c r="A816" s="4"/>
      <c r="B816" s="4"/>
      <c r="C816" s="194"/>
      <c r="D816" s="194"/>
      <c r="E816" s="194"/>
      <c r="F816" s="194"/>
      <c r="G816" s="19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row>
    <row r="817" spans="1:38" ht="12.5">
      <c r="A817" s="4"/>
      <c r="B817" s="4"/>
      <c r="C817" s="194"/>
      <c r="D817" s="194"/>
      <c r="E817" s="194"/>
      <c r="F817" s="194"/>
      <c r="G817" s="19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row>
    <row r="818" spans="1:38" ht="12.5">
      <c r="A818" s="4"/>
      <c r="B818" s="4"/>
      <c r="C818" s="194"/>
      <c r="D818" s="194"/>
      <c r="E818" s="194"/>
      <c r="F818" s="194"/>
      <c r="G818" s="19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row>
    <row r="819" spans="1:38" ht="12.5">
      <c r="A819" s="4"/>
      <c r="B819" s="4"/>
      <c r="C819" s="194"/>
      <c r="D819" s="194"/>
      <c r="E819" s="194"/>
      <c r="F819" s="194"/>
      <c r="G819" s="19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row>
    <row r="820" spans="1:38" ht="12.5">
      <c r="A820" s="4"/>
      <c r="B820" s="4"/>
      <c r="C820" s="194"/>
      <c r="D820" s="194"/>
      <c r="E820" s="194"/>
      <c r="F820" s="194"/>
      <c r="G820" s="19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row>
    <row r="821" spans="1:38" ht="12.5">
      <c r="A821" s="4"/>
      <c r="B821" s="4"/>
      <c r="C821" s="194"/>
      <c r="D821" s="194"/>
      <c r="E821" s="194"/>
      <c r="F821" s="194"/>
      <c r="G821" s="19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row>
    <row r="822" spans="1:38" ht="12.5">
      <c r="A822" s="4"/>
      <c r="B822" s="4"/>
      <c r="C822" s="194"/>
      <c r="D822" s="194"/>
      <c r="E822" s="194"/>
      <c r="F822" s="194"/>
      <c r="G822" s="19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row>
    <row r="823" spans="1:38" ht="12.5">
      <c r="A823" s="4"/>
      <c r="B823" s="4"/>
      <c r="C823" s="194"/>
      <c r="D823" s="194"/>
      <c r="E823" s="194"/>
      <c r="F823" s="194"/>
      <c r="G823" s="19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row>
    <row r="824" spans="1:38" ht="12.5">
      <c r="A824" s="4"/>
      <c r="B824" s="4"/>
      <c r="C824" s="194"/>
      <c r="D824" s="194"/>
      <c r="E824" s="194"/>
      <c r="F824" s="194"/>
      <c r="G824" s="19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row>
    <row r="825" spans="1:38" ht="12.5">
      <c r="A825" s="4"/>
      <c r="B825" s="4"/>
      <c r="C825" s="194"/>
      <c r="D825" s="194"/>
      <c r="E825" s="194"/>
      <c r="F825" s="194"/>
      <c r="G825" s="19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row>
    <row r="826" spans="1:38" ht="12.5">
      <c r="A826" s="4"/>
      <c r="B826" s="4"/>
      <c r="C826" s="194"/>
      <c r="D826" s="194"/>
      <c r="E826" s="194"/>
      <c r="F826" s="194"/>
      <c r="G826" s="19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row>
    <row r="827" spans="1:38" ht="12.5">
      <c r="A827" s="4"/>
      <c r="B827" s="4"/>
      <c r="C827" s="194"/>
      <c r="D827" s="194"/>
      <c r="E827" s="194"/>
      <c r="F827" s="194"/>
      <c r="G827" s="19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row>
    <row r="828" spans="1:38" ht="12.5">
      <c r="A828" s="4"/>
      <c r="B828" s="4"/>
      <c r="C828" s="194"/>
      <c r="D828" s="194"/>
      <c r="E828" s="194"/>
      <c r="F828" s="194"/>
      <c r="G828" s="19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row>
    <row r="829" spans="1:38" ht="12.5">
      <c r="A829" s="4"/>
      <c r="B829" s="4"/>
      <c r="C829" s="194"/>
      <c r="D829" s="194"/>
      <c r="E829" s="194"/>
      <c r="F829" s="194"/>
      <c r="G829" s="19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row>
    <row r="830" spans="1:38" ht="12.5">
      <c r="A830" s="4"/>
      <c r="B830" s="4"/>
      <c r="C830" s="194"/>
      <c r="D830" s="194"/>
      <c r="E830" s="194"/>
      <c r="F830" s="194"/>
      <c r="G830" s="19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row>
    <row r="831" spans="1:38" ht="12.5">
      <c r="A831" s="4"/>
      <c r="B831" s="4"/>
      <c r="C831" s="194"/>
      <c r="D831" s="194"/>
      <c r="E831" s="194"/>
      <c r="F831" s="194"/>
      <c r="G831" s="19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row>
    <row r="832" spans="1:38" ht="12.5">
      <c r="A832" s="4"/>
      <c r="B832" s="4"/>
      <c r="C832" s="194"/>
      <c r="D832" s="194"/>
      <c r="E832" s="194"/>
      <c r="F832" s="194"/>
      <c r="G832" s="19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row>
    <row r="833" spans="1:38" ht="12.5">
      <c r="A833" s="4"/>
      <c r="B833" s="4"/>
      <c r="C833" s="194"/>
      <c r="D833" s="194"/>
      <c r="E833" s="194"/>
      <c r="F833" s="194"/>
      <c r="G833" s="19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row>
    <row r="834" spans="1:38" ht="12.5">
      <c r="A834" s="4"/>
      <c r="B834" s="4"/>
      <c r="C834" s="194"/>
      <c r="D834" s="194"/>
      <c r="E834" s="194"/>
      <c r="F834" s="194"/>
      <c r="G834" s="19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row>
    <row r="835" spans="1:38" ht="12.5">
      <c r="A835" s="4"/>
      <c r="B835" s="4"/>
      <c r="C835" s="194"/>
      <c r="D835" s="194"/>
      <c r="E835" s="194"/>
      <c r="F835" s="194"/>
      <c r="G835" s="19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row>
    <row r="836" spans="1:38" ht="12.5">
      <c r="A836" s="4"/>
      <c r="B836" s="4"/>
      <c r="C836" s="194"/>
      <c r="D836" s="194"/>
      <c r="E836" s="194"/>
      <c r="F836" s="194"/>
      <c r="G836" s="19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row>
    <row r="837" spans="1:38" ht="12.5">
      <c r="A837" s="4"/>
      <c r="B837" s="4"/>
      <c r="C837" s="194"/>
      <c r="D837" s="194"/>
      <c r="E837" s="194"/>
      <c r="F837" s="194"/>
      <c r="G837" s="19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row>
    <row r="838" spans="1:38" ht="12.5">
      <c r="A838" s="4"/>
      <c r="B838" s="4"/>
      <c r="C838" s="194"/>
      <c r="D838" s="194"/>
      <c r="E838" s="194"/>
      <c r="F838" s="194"/>
      <c r="G838" s="19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row>
    <row r="839" spans="1:38" ht="12.5">
      <c r="A839" s="4"/>
      <c r="B839" s="4"/>
      <c r="C839" s="194"/>
      <c r="D839" s="194"/>
      <c r="E839" s="194"/>
      <c r="F839" s="194"/>
      <c r="G839" s="19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row>
    <row r="840" spans="1:38" ht="12.5">
      <c r="A840" s="4"/>
      <c r="B840" s="4"/>
      <c r="C840" s="194"/>
      <c r="D840" s="194"/>
      <c r="E840" s="194"/>
      <c r="F840" s="194"/>
      <c r="G840" s="19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row>
    <row r="841" spans="1:38" ht="12.5">
      <c r="A841" s="4"/>
      <c r="B841" s="4"/>
      <c r="C841" s="194"/>
      <c r="D841" s="194"/>
      <c r="E841" s="194"/>
      <c r="F841" s="194"/>
      <c r="G841" s="19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row>
    <row r="842" spans="1:38" ht="12.5">
      <c r="A842" s="4"/>
      <c r="B842" s="4"/>
      <c r="C842" s="194"/>
      <c r="D842" s="194"/>
      <c r="E842" s="194"/>
      <c r="F842" s="194"/>
      <c r="G842" s="19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row>
    <row r="843" spans="1:38" ht="12.5">
      <c r="A843" s="4"/>
      <c r="B843" s="4"/>
      <c r="C843" s="194"/>
      <c r="D843" s="194"/>
      <c r="E843" s="194"/>
      <c r="F843" s="194"/>
      <c r="G843" s="19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row>
    <row r="844" spans="1:38" ht="12.5">
      <c r="A844" s="4"/>
      <c r="B844" s="4"/>
      <c r="C844" s="194"/>
      <c r="D844" s="194"/>
      <c r="E844" s="194"/>
      <c r="F844" s="194"/>
      <c r="G844" s="19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row>
    <row r="845" spans="1:38" ht="12.5">
      <c r="A845" s="4"/>
      <c r="B845" s="4"/>
      <c r="C845" s="194"/>
      <c r="D845" s="194"/>
      <c r="E845" s="194"/>
      <c r="F845" s="194"/>
      <c r="G845" s="19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row>
    <row r="846" spans="1:38" ht="12.5">
      <c r="A846" s="4"/>
      <c r="B846" s="4"/>
      <c r="C846" s="194"/>
      <c r="D846" s="194"/>
      <c r="E846" s="194"/>
      <c r="F846" s="194"/>
      <c r="G846" s="19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row>
    <row r="847" spans="1:38" ht="12.5">
      <c r="A847" s="4"/>
      <c r="B847" s="4"/>
      <c r="C847" s="194"/>
      <c r="D847" s="194"/>
      <c r="E847" s="194"/>
      <c r="F847" s="194"/>
      <c r="G847" s="19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row>
    <row r="848" spans="1:38" ht="12.5">
      <c r="A848" s="4"/>
      <c r="B848" s="4"/>
      <c r="C848" s="194"/>
      <c r="D848" s="194"/>
      <c r="E848" s="194"/>
      <c r="F848" s="194"/>
      <c r="G848" s="19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row>
    <row r="849" spans="1:38" ht="12.5">
      <c r="A849" s="4"/>
      <c r="B849" s="4"/>
      <c r="C849" s="194"/>
      <c r="D849" s="194"/>
      <c r="E849" s="194"/>
      <c r="F849" s="194"/>
      <c r="G849" s="19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row>
    <row r="850" spans="1:38" ht="12.5">
      <c r="A850" s="4"/>
      <c r="B850" s="4"/>
      <c r="C850" s="194"/>
      <c r="D850" s="194"/>
      <c r="E850" s="194"/>
      <c r="F850" s="194"/>
      <c r="G850" s="19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row>
    <row r="851" spans="1:38" ht="12.5">
      <c r="A851" s="4"/>
      <c r="B851" s="4"/>
      <c r="C851" s="194"/>
      <c r="D851" s="194"/>
      <c r="E851" s="194"/>
      <c r="F851" s="194"/>
      <c r="G851" s="19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row>
    <row r="852" spans="1:38" ht="12.5">
      <c r="A852" s="4"/>
      <c r="B852" s="4"/>
      <c r="C852" s="194"/>
      <c r="D852" s="194"/>
      <c r="E852" s="194"/>
      <c r="F852" s="194"/>
      <c r="G852" s="19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row>
    <row r="853" spans="1:38" ht="12.5">
      <c r="A853" s="4"/>
      <c r="B853" s="4"/>
      <c r="C853" s="194"/>
      <c r="D853" s="194"/>
      <c r="E853" s="194"/>
      <c r="F853" s="194"/>
      <c r="G853" s="19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row>
    <row r="854" spans="1:38" ht="12.5">
      <c r="A854" s="4"/>
      <c r="B854" s="4"/>
      <c r="C854" s="194"/>
      <c r="D854" s="194"/>
      <c r="E854" s="194"/>
      <c r="F854" s="194"/>
      <c r="G854" s="19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row>
    <row r="855" spans="1:38" ht="12.5">
      <c r="A855" s="4"/>
      <c r="B855" s="4"/>
      <c r="C855" s="194"/>
      <c r="D855" s="194"/>
      <c r="E855" s="194"/>
      <c r="F855" s="194"/>
      <c r="G855" s="19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row>
    <row r="856" spans="1:38" ht="12.5">
      <c r="A856" s="4"/>
      <c r="B856" s="4"/>
      <c r="C856" s="194"/>
      <c r="D856" s="194"/>
      <c r="E856" s="194"/>
      <c r="F856" s="194"/>
      <c r="G856" s="19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row>
    <row r="857" spans="1:38" ht="12.5">
      <c r="A857" s="4"/>
      <c r="B857" s="4"/>
      <c r="C857" s="194"/>
      <c r="D857" s="194"/>
      <c r="E857" s="194"/>
      <c r="F857" s="194"/>
      <c r="G857" s="19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row>
    <row r="858" spans="1:38" ht="12.5">
      <c r="A858" s="4"/>
      <c r="B858" s="4"/>
      <c r="C858" s="194"/>
      <c r="D858" s="194"/>
      <c r="E858" s="194"/>
      <c r="F858" s="194"/>
      <c r="G858" s="19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row>
    <row r="859" spans="1:38" ht="12.5">
      <c r="A859" s="4"/>
      <c r="B859" s="4"/>
      <c r="C859" s="194"/>
      <c r="D859" s="194"/>
      <c r="E859" s="194"/>
      <c r="F859" s="194"/>
      <c r="G859" s="19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row>
    <row r="860" spans="1:38" ht="12.5">
      <c r="A860" s="4"/>
      <c r="B860" s="4"/>
      <c r="C860" s="194"/>
      <c r="D860" s="194"/>
      <c r="E860" s="194"/>
      <c r="F860" s="194"/>
      <c r="G860" s="19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row>
    <row r="861" spans="1:38" ht="12.5">
      <c r="A861" s="4"/>
      <c r="B861" s="4"/>
      <c r="C861" s="194"/>
      <c r="D861" s="194"/>
      <c r="E861" s="194"/>
      <c r="F861" s="194"/>
      <c r="G861" s="19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row>
    <row r="862" spans="1:38" ht="12.5">
      <c r="A862" s="4"/>
      <c r="B862" s="4"/>
      <c r="C862" s="194"/>
      <c r="D862" s="194"/>
      <c r="E862" s="194"/>
      <c r="F862" s="194"/>
      <c r="G862" s="19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row>
    <row r="863" spans="1:38" ht="12.5">
      <c r="A863" s="4"/>
      <c r="B863" s="4"/>
      <c r="C863" s="194"/>
      <c r="D863" s="194"/>
      <c r="E863" s="194"/>
      <c r="F863" s="194"/>
      <c r="G863" s="19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row>
    <row r="864" spans="1:38" ht="12.5">
      <c r="A864" s="4"/>
      <c r="B864" s="4"/>
      <c r="C864" s="194"/>
      <c r="D864" s="194"/>
      <c r="E864" s="194"/>
      <c r="F864" s="194"/>
      <c r="G864" s="19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row>
    <row r="865" spans="1:38" ht="12.5">
      <c r="A865" s="4"/>
      <c r="B865" s="4"/>
      <c r="C865" s="194"/>
      <c r="D865" s="194"/>
      <c r="E865" s="194"/>
      <c r="F865" s="194"/>
      <c r="G865" s="19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row>
    <row r="866" spans="1:38" ht="12.5">
      <c r="A866" s="4"/>
      <c r="B866" s="4"/>
      <c r="C866" s="194"/>
      <c r="D866" s="194"/>
      <c r="E866" s="194"/>
      <c r="F866" s="194"/>
      <c r="G866" s="19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row>
    <row r="867" spans="1:38" ht="12.5">
      <c r="A867" s="4"/>
      <c r="B867" s="4"/>
      <c r="C867" s="194"/>
      <c r="D867" s="194"/>
      <c r="E867" s="194"/>
      <c r="F867" s="194"/>
      <c r="G867" s="19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row>
    <row r="868" spans="1:38" ht="12.5">
      <c r="A868" s="4"/>
      <c r="B868" s="4"/>
      <c r="C868" s="194"/>
      <c r="D868" s="194"/>
      <c r="E868" s="194"/>
      <c r="F868" s="194"/>
      <c r="G868" s="19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row>
    <row r="869" spans="1:38" ht="12.5">
      <c r="A869" s="4"/>
      <c r="B869" s="4"/>
      <c r="C869" s="194"/>
      <c r="D869" s="194"/>
      <c r="E869" s="194"/>
      <c r="F869" s="194"/>
      <c r="G869" s="19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row>
    <row r="870" spans="1:38" ht="12.5">
      <c r="A870" s="4"/>
      <c r="B870" s="4"/>
      <c r="C870" s="194"/>
      <c r="D870" s="194"/>
      <c r="E870" s="194"/>
      <c r="F870" s="194"/>
      <c r="G870" s="19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row>
    <row r="871" spans="1:38" ht="12.5">
      <c r="A871" s="4"/>
      <c r="B871" s="4"/>
      <c r="C871" s="194"/>
      <c r="D871" s="194"/>
      <c r="E871" s="194"/>
      <c r="F871" s="194"/>
      <c r="G871" s="19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row>
    <row r="872" spans="1:38" ht="12.5">
      <c r="A872" s="4"/>
      <c r="B872" s="4"/>
      <c r="C872" s="194"/>
      <c r="D872" s="194"/>
      <c r="E872" s="194"/>
      <c r="F872" s="194"/>
      <c r="G872" s="19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row>
    <row r="873" spans="1:38" ht="12.5">
      <c r="A873" s="4"/>
      <c r="B873" s="4"/>
      <c r="C873" s="194"/>
      <c r="D873" s="194"/>
      <c r="E873" s="194"/>
      <c r="F873" s="194"/>
      <c r="G873" s="19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row>
    <row r="874" spans="1:38" ht="12.5">
      <c r="A874" s="4"/>
      <c r="B874" s="4"/>
      <c r="C874" s="194"/>
      <c r="D874" s="194"/>
      <c r="E874" s="194"/>
      <c r="F874" s="194"/>
      <c r="G874" s="19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row>
    <row r="875" spans="1:38" ht="12.5">
      <c r="A875" s="4"/>
      <c r="B875" s="4"/>
      <c r="C875" s="194"/>
      <c r="D875" s="194"/>
      <c r="E875" s="194"/>
      <c r="F875" s="194"/>
      <c r="G875" s="19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row>
    <row r="876" spans="1:38" ht="12.5">
      <c r="A876" s="4"/>
      <c r="B876" s="4"/>
      <c r="C876" s="194"/>
      <c r="D876" s="194"/>
      <c r="E876" s="194"/>
      <c r="F876" s="194"/>
      <c r="G876" s="19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row>
    <row r="877" spans="1:38" ht="12.5">
      <c r="A877" s="4"/>
      <c r="B877" s="4"/>
      <c r="C877" s="194"/>
      <c r="D877" s="194"/>
      <c r="E877" s="194"/>
      <c r="F877" s="194"/>
      <c r="G877" s="19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row>
    <row r="878" spans="1:38" ht="12.5">
      <c r="A878" s="4"/>
      <c r="B878" s="4"/>
      <c r="C878" s="194"/>
      <c r="D878" s="194"/>
      <c r="E878" s="194"/>
      <c r="F878" s="194"/>
      <c r="G878" s="19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row>
    <row r="879" spans="1:38" ht="12.5">
      <c r="A879" s="4"/>
      <c r="B879" s="4"/>
      <c r="C879" s="194"/>
      <c r="D879" s="194"/>
      <c r="E879" s="194"/>
      <c r="F879" s="194"/>
      <c r="G879" s="19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row>
    <row r="880" spans="1:38" ht="12.5">
      <c r="A880" s="4"/>
      <c r="B880" s="4"/>
      <c r="C880" s="194"/>
      <c r="D880" s="194"/>
      <c r="E880" s="194"/>
      <c r="F880" s="194"/>
      <c r="G880" s="19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row>
    <row r="881" spans="1:38" ht="12.5">
      <c r="A881" s="4"/>
      <c r="B881" s="4"/>
      <c r="C881" s="194"/>
      <c r="D881" s="194"/>
      <c r="E881" s="194"/>
      <c r="F881" s="194"/>
      <c r="G881" s="19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row>
    <row r="882" spans="1:38" ht="12.5">
      <c r="A882" s="4"/>
      <c r="B882" s="4"/>
      <c r="C882" s="194"/>
      <c r="D882" s="194"/>
      <c r="E882" s="194"/>
      <c r="F882" s="194"/>
      <c r="G882" s="19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row>
    <row r="883" spans="1:38" ht="12.5">
      <c r="A883" s="4"/>
      <c r="B883" s="4"/>
      <c r="C883" s="194"/>
      <c r="D883" s="194"/>
      <c r="E883" s="194"/>
      <c r="F883" s="194"/>
      <c r="G883" s="19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row>
    <row r="884" spans="1:38" ht="12.5">
      <c r="A884" s="4"/>
      <c r="B884" s="4"/>
      <c r="C884" s="194"/>
      <c r="D884" s="194"/>
      <c r="E884" s="194"/>
      <c r="F884" s="194"/>
      <c r="G884" s="19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row>
    <row r="885" spans="1:38" ht="12.5">
      <c r="A885" s="4"/>
      <c r="B885" s="4"/>
      <c r="C885" s="194"/>
      <c r="D885" s="194"/>
      <c r="E885" s="194"/>
      <c r="F885" s="194"/>
      <c r="G885" s="19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row>
    <row r="886" spans="1:38" ht="12.5">
      <c r="A886" s="4"/>
      <c r="B886" s="4"/>
      <c r="C886" s="194"/>
      <c r="D886" s="194"/>
      <c r="E886" s="194"/>
      <c r="F886" s="194"/>
      <c r="G886" s="19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row>
    <row r="887" spans="1:38" ht="12.5">
      <c r="A887" s="4"/>
      <c r="B887" s="4"/>
      <c r="C887" s="194"/>
      <c r="D887" s="194"/>
      <c r="E887" s="194"/>
      <c r="F887" s="194"/>
      <c r="G887" s="19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row>
    <row r="888" spans="1:38" ht="12.5">
      <c r="A888" s="4"/>
      <c r="B888" s="4"/>
      <c r="C888" s="194"/>
      <c r="D888" s="194"/>
      <c r="E888" s="194"/>
      <c r="F888" s="194"/>
      <c r="G888" s="19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row>
    <row r="889" spans="1:38" ht="12.5">
      <c r="A889" s="4"/>
      <c r="B889" s="4"/>
      <c r="C889" s="194"/>
      <c r="D889" s="194"/>
      <c r="E889" s="194"/>
      <c r="F889" s="194"/>
      <c r="G889" s="19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row>
    <row r="890" spans="1:38" ht="12.5">
      <c r="A890" s="4"/>
      <c r="B890" s="4"/>
      <c r="C890" s="194"/>
      <c r="D890" s="194"/>
      <c r="E890" s="194"/>
      <c r="F890" s="194"/>
      <c r="G890" s="19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row>
    <row r="891" spans="1:38" ht="12.5">
      <c r="A891" s="4"/>
      <c r="B891" s="4"/>
      <c r="C891" s="194"/>
      <c r="D891" s="194"/>
      <c r="E891" s="194"/>
      <c r="F891" s="194"/>
      <c r="G891" s="19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row>
    <row r="892" spans="1:38" ht="12.5">
      <c r="A892" s="4"/>
      <c r="B892" s="4"/>
      <c r="C892" s="194"/>
      <c r="D892" s="194"/>
      <c r="E892" s="194"/>
      <c r="F892" s="194"/>
      <c r="G892" s="19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row>
    <row r="893" spans="1:38" ht="12.5">
      <c r="A893" s="4"/>
      <c r="B893" s="4"/>
      <c r="C893" s="194"/>
      <c r="D893" s="194"/>
      <c r="E893" s="194"/>
      <c r="F893" s="194"/>
      <c r="G893" s="19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row>
    <row r="894" spans="1:38" ht="12.5">
      <c r="A894" s="4"/>
      <c r="B894" s="4"/>
      <c r="C894" s="194"/>
      <c r="D894" s="194"/>
      <c r="E894" s="194"/>
      <c r="F894" s="194"/>
      <c r="G894" s="19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row>
    <row r="895" spans="1:38" ht="12.5">
      <c r="A895" s="4"/>
      <c r="B895" s="4"/>
      <c r="C895" s="194"/>
      <c r="D895" s="194"/>
      <c r="E895" s="194"/>
      <c r="F895" s="194"/>
      <c r="G895" s="19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row>
    <row r="896" spans="1:38" ht="12.5">
      <c r="A896" s="4"/>
      <c r="B896" s="4"/>
      <c r="C896" s="194"/>
      <c r="D896" s="194"/>
      <c r="E896" s="194"/>
      <c r="F896" s="194"/>
      <c r="G896" s="19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row>
    <row r="897" spans="1:38" ht="12.5">
      <c r="A897" s="4"/>
      <c r="B897" s="4"/>
      <c r="C897" s="194"/>
      <c r="D897" s="194"/>
      <c r="E897" s="194"/>
      <c r="F897" s="194"/>
      <c r="G897" s="19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row>
    <row r="898" spans="1:38" ht="12.5">
      <c r="A898" s="4"/>
      <c r="B898" s="4"/>
      <c r="C898" s="194"/>
      <c r="D898" s="194"/>
      <c r="E898" s="194"/>
      <c r="F898" s="194"/>
      <c r="G898" s="19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row>
    <row r="899" spans="1:38" ht="12.5">
      <c r="A899" s="4"/>
      <c r="B899" s="4"/>
      <c r="C899" s="194"/>
      <c r="D899" s="194"/>
      <c r="E899" s="194"/>
      <c r="F899" s="194"/>
      <c r="G899" s="19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row>
    <row r="900" spans="1:38" ht="12.5">
      <c r="A900" s="4"/>
      <c r="B900" s="4"/>
      <c r="C900" s="194"/>
      <c r="D900" s="194"/>
      <c r="E900" s="194"/>
      <c r="F900" s="194"/>
      <c r="G900" s="19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row>
    <row r="901" spans="1:38" ht="12.5">
      <c r="A901" s="4"/>
      <c r="B901" s="4"/>
      <c r="C901" s="194"/>
      <c r="D901" s="194"/>
      <c r="E901" s="194"/>
      <c r="F901" s="194"/>
      <c r="G901" s="19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row>
    <row r="902" spans="1:38" ht="12.5">
      <c r="A902" s="4"/>
      <c r="B902" s="4"/>
      <c r="C902" s="194"/>
      <c r="D902" s="194"/>
      <c r="E902" s="194"/>
      <c r="F902" s="194"/>
      <c r="G902" s="19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row>
    <row r="903" spans="1:38" ht="12.5">
      <c r="A903" s="4"/>
      <c r="B903" s="4"/>
      <c r="C903" s="194"/>
      <c r="D903" s="194"/>
      <c r="E903" s="194"/>
      <c r="F903" s="194"/>
      <c r="G903" s="19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row>
    <row r="904" spans="1:38" ht="12.5">
      <c r="A904" s="4"/>
      <c r="B904" s="4"/>
      <c r="C904" s="194"/>
      <c r="D904" s="194"/>
      <c r="E904" s="194"/>
      <c r="F904" s="194"/>
      <c r="G904" s="19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row>
    <row r="905" spans="1:38" ht="12.5">
      <c r="A905" s="4"/>
      <c r="B905" s="4"/>
      <c r="C905" s="194"/>
      <c r="D905" s="194"/>
      <c r="E905" s="194"/>
      <c r="F905" s="194"/>
      <c r="G905" s="19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row>
    <row r="906" spans="1:38" ht="12.5">
      <c r="A906" s="4"/>
      <c r="B906" s="4"/>
      <c r="C906" s="194"/>
      <c r="D906" s="194"/>
      <c r="E906" s="194"/>
      <c r="F906" s="194"/>
      <c r="G906" s="19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row>
    <row r="907" spans="1:38" ht="12.5">
      <c r="A907" s="4"/>
      <c r="B907" s="4"/>
      <c r="C907" s="194"/>
      <c r="D907" s="194"/>
      <c r="E907" s="194"/>
      <c r="F907" s="194"/>
      <c r="G907" s="19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row>
    <row r="908" spans="1:38" ht="12.5">
      <c r="A908" s="4"/>
      <c r="B908" s="4"/>
      <c r="C908" s="194"/>
      <c r="D908" s="194"/>
      <c r="E908" s="194"/>
      <c r="F908" s="194"/>
      <c r="G908" s="19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row>
    <row r="909" spans="1:38" ht="12.5">
      <c r="A909" s="4"/>
      <c r="B909" s="4"/>
      <c r="C909" s="194"/>
      <c r="D909" s="194"/>
      <c r="E909" s="194"/>
      <c r="F909" s="194"/>
      <c r="G909" s="19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row>
    <row r="910" spans="1:38" ht="12.5">
      <c r="A910" s="4"/>
      <c r="B910" s="4"/>
      <c r="C910" s="194"/>
      <c r="D910" s="194"/>
      <c r="E910" s="194"/>
      <c r="F910" s="194"/>
      <c r="G910" s="19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row>
    <row r="911" spans="1:38" ht="12.5">
      <c r="A911" s="4"/>
      <c r="B911" s="4"/>
      <c r="C911" s="194"/>
      <c r="D911" s="194"/>
      <c r="E911" s="194"/>
      <c r="F911" s="194"/>
      <c r="G911" s="19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row>
    <row r="912" spans="1:38" ht="12.5">
      <c r="A912" s="4"/>
      <c r="B912" s="4"/>
      <c r="C912" s="194"/>
      <c r="D912" s="194"/>
      <c r="E912" s="194"/>
      <c r="F912" s="194"/>
      <c r="G912" s="19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row>
    <row r="913" spans="1:38" ht="12.5">
      <c r="A913" s="4"/>
      <c r="B913" s="4"/>
      <c r="C913" s="194"/>
      <c r="D913" s="194"/>
      <c r="E913" s="194"/>
      <c r="F913" s="194"/>
      <c r="G913" s="19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row>
    <row r="914" spans="1:38" ht="12.5">
      <c r="A914" s="4"/>
      <c r="B914" s="4"/>
      <c r="C914" s="194"/>
      <c r="D914" s="194"/>
      <c r="E914" s="194"/>
      <c r="F914" s="194"/>
      <c r="G914" s="19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row>
    <row r="915" spans="1:38" ht="12.5">
      <c r="A915" s="4"/>
      <c r="B915" s="4"/>
      <c r="C915" s="194"/>
      <c r="D915" s="194"/>
      <c r="E915" s="194"/>
      <c r="F915" s="194"/>
      <c r="G915" s="19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row>
    <row r="916" spans="1:38" ht="12.5">
      <c r="A916" s="4"/>
      <c r="B916" s="4"/>
      <c r="C916" s="194"/>
      <c r="D916" s="194"/>
      <c r="E916" s="194"/>
      <c r="F916" s="194"/>
      <c r="G916" s="19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row>
    <row r="917" spans="1:38" ht="12.5">
      <c r="A917" s="4"/>
      <c r="B917" s="4"/>
      <c r="C917" s="194"/>
      <c r="D917" s="194"/>
      <c r="E917" s="194"/>
      <c r="F917" s="194"/>
      <c r="G917" s="19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row>
    <row r="918" spans="1:38" ht="12.5">
      <c r="A918" s="4"/>
      <c r="B918" s="4"/>
      <c r="C918" s="194"/>
      <c r="D918" s="194"/>
      <c r="E918" s="194"/>
      <c r="F918" s="194"/>
      <c r="G918" s="19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row>
    <row r="919" spans="1:38" ht="12.5">
      <c r="A919" s="4"/>
      <c r="B919" s="4"/>
      <c r="C919" s="194"/>
      <c r="D919" s="194"/>
      <c r="E919" s="194"/>
      <c r="F919" s="194"/>
      <c r="G919" s="19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row>
    <row r="920" spans="1:38" ht="12.5">
      <c r="A920" s="4"/>
      <c r="B920" s="4"/>
      <c r="C920" s="194"/>
      <c r="D920" s="194"/>
      <c r="E920" s="194"/>
      <c r="F920" s="194"/>
      <c r="G920" s="19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row>
    <row r="921" spans="1:38" ht="12.5">
      <c r="A921" s="4"/>
      <c r="B921" s="4"/>
      <c r="C921" s="194"/>
      <c r="D921" s="194"/>
      <c r="E921" s="194"/>
      <c r="F921" s="194"/>
      <c r="G921" s="19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row>
    <row r="922" spans="1:38" ht="12.5">
      <c r="A922" s="4"/>
      <c r="B922" s="4"/>
      <c r="C922" s="194"/>
      <c r="D922" s="194"/>
      <c r="E922" s="194"/>
      <c r="F922" s="194"/>
      <c r="G922" s="19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row>
    <row r="923" spans="1:38" ht="12.5">
      <c r="A923" s="4"/>
      <c r="B923" s="4"/>
      <c r="C923" s="194"/>
      <c r="D923" s="194"/>
      <c r="E923" s="194"/>
      <c r="F923" s="194"/>
      <c r="G923" s="19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row>
    <row r="924" spans="1:38" ht="12.5">
      <c r="A924" s="4"/>
      <c r="B924" s="4"/>
      <c r="C924" s="194"/>
      <c r="D924" s="194"/>
      <c r="E924" s="194"/>
      <c r="F924" s="194"/>
      <c r="G924" s="19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row>
    <row r="925" spans="1:38" ht="12.5">
      <c r="A925" s="4"/>
      <c r="B925" s="4"/>
      <c r="C925" s="194"/>
      <c r="D925" s="194"/>
      <c r="E925" s="194"/>
      <c r="F925" s="194"/>
      <c r="G925" s="19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row>
    <row r="926" spans="1:38" ht="12.5">
      <c r="A926" s="4"/>
      <c r="B926" s="4"/>
      <c r="C926" s="194"/>
      <c r="D926" s="194"/>
      <c r="E926" s="194"/>
      <c r="F926" s="194"/>
      <c r="G926" s="19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row>
    <row r="927" spans="1:38" ht="12.5">
      <c r="A927" s="4"/>
      <c r="B927" s="4"/>
      <c r="C927" s="194"/>
      <c r="D927" s="194"/>
      <c r="E927" s="194"/>
      <c r="F927" s="194"/>
      <c r="G927" s="19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row>
    <row r="928" spans="1:38" ht="12.5">
      <c r="A928" s="4"/>
      <c r="B928" s="4"/>
      <c r="C928" s="194"/>
      <c r="D928" s="194"/>
      <c r="E928" s="194"/>
      <c r="F928" s="194"/>
      <c r="G928" s="19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row>
    <row r="929" spans="1:38" ht="12.5">
      <c r="A929" s="4"/>
      <c r="B929" s="4"/>
      <c r="C929" s="194"/>
      <c r="D929" s="194"/>
      <c r="E929" s="194"/>
      <c r="F929" s="194"/>
      <c r="G929" s="19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row>
    <row r="930" spans="1:38" ht="12.5">
      <c r="A930" s="4"/>
      <c r="B930" s="4"/>
      <c r="C930" s="194"/>
      <c r="D930" s="194"/>
      <c r="E930" s="194"/>
      <c r="F930" s="194"/>
      <c r="G930" s="19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row>
    <row r="931" spans="1:38" ht="12.5">
      <c r="A931" s="4"/>
      <c r="B931" s="4"/>
      <c r="C931" s="194"/>
      <c r="D931" s="194"/>
      <c r="E931" s="194"/>
      <c r="F931" s="194"/>
      <c r="G931" s="19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row>
    <row r="932" spans="1:38" ht="12.5">
      <c r="A932" s="4"/>
      <c r="B932" s="4"/>
      <c r="C932" s="194"/>
      <c r="D932" s="194"/>
      <c r="E932" s="194"/>
      <c r="F932" s="194"/>
      <c r="G932" s="19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row>
    <row r="933" spans="1:38" ht="12.5">
      <c r="A933" s="4"/>
      <c r="B933" s="4"/>
      <c r="C933" s="194"/>
      <c r="D933" s="194"/>
      <c r="E933" s="194"/>
      <c r="F933" s="194"/>
      <c r="G933" s="19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row>
    <row r="934" spans="1:38" ht="12.5">
      <c r="A934" s="4"/>
      <c r="B934" s="4"/>
      <c r="C934" s="194"/>
      <c r="D934" s="194"/>
      <c r="E934" s="194"/>
      <c r="F934" s="194"/>
      <c r="G934" s="19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row>
    <row r="935" spans="1:38" ht="12.5">
      <c r="A935" s="4"/>
      <c r="B935" s="4"/>
      <c r="C935" s="194"/>
      <c r="D935" s="194"/>
      <c r="E935" s="194"/>
      <c r="F935" s="194"/>
      <c r="G935" s="19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row>
    <row r="936" spans="1:38" ht="12.5">
      <c r="A936" s="4"/>
      <c r="B936" s="4"/>
      <c r="C936" s="194"/>
      <c r="D936" s="194"/>
      <c r="E936" s="194"/>
      <c r="F936" s="194"/>
      <c r="G936" s="19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row>
    <row r="937" spans="1:38" ht="12.5">
      <c r="A937" s="4"/>
      <c r="B937" s="4"/>
      <c r="C937" s="194"/>
      <c r="D937" s="194"/>
      <c r="E937" s="194"/>
      <c r="F937" s="194"/>
      <c r="G937" s="19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row>
    <row r="938" spans="1:38" ht="12.5">
      <c r="A938" s="4"/>
      <c r="B938" s="4"/>
      <c r="C938" s="194"/>
      <c r="D938" s="194"/>
      <c r="E938" s="194"/>
      <c r="F938" s="194"/>
      <c r="G938" s="19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row>
    <row r="939" spans="1:38" ht="12.5">
      <c r="A939" s="4"/>
      <c r="B939" s="4"/>
      <c r="C939" s="194"/>
      <c r="D939" s="194"/>
      <c r="E939" s="194"/>
      <c r="F939" s="194"/>
      <c r="G939" s="19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row>
    <row r="940" spans="1:38" ht="12.5">
      <c r="A940" s="4"/>
      <c r="B940" s="4"/>
      <c r="C940" s="194"/>
      <c r="D940" s="194"/>
      <c r="E940" s="194"/>
      <c r="F940" s="194"/>
      <c r="G940" s="19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row>
    <row r="941" spans="1:38" ht="12.5">
      <c r="A941" s="4"/>
      <c r="B941" s="4"/>
      <c r="C941" s="194"/>
      <c r="D941" s="194"/>
      <c r="E941" s="194"/>
      <c r="F941" s="194"/>
      <c r="G941" s="19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row>
    <row r="942" spans="1:38" ht="12.5">
      <c r="A942" s="4"/>
      <c r="B942" s="4"/>
      <c r="C942" s="194"/>
      <c r="D942" s="194"/>
      <c r="E942" s="194"/>
      <c r="F942" s="194"/>
      <c r="G942" s="19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row>
    <row r="943" spans="1:38" ht="12.5">
      <c r="A943" s="4"/>
      <c r="B943" s="4"/>
      <c r="C943" s="194"/>
      <c r="D943" s="194"/>
      <c r="E943" s="194"/>
      <c r="F943" s="194"/>
      <c r="G943" s="19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row>
    <row r="944" spans="1:38" ht="12.5">
      <c r="A944" s="4"/>
      <c r="B944" s="4"/>
      <c r="C944" s="194"/>
      <c r="D944" s="194"/>
      <c r="E944" s="194"/>
      <c r="F944" s="194"/>
      <c r="G944" s="19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row>
    <row r="945" spans="1:38" ht="12.5">
      <c r="A945" s="4"/>
      <c r="B945" s="4"/>
      <c r="C945" s="194"/>
      <c r="D945" s="194"/>
      <c r="E945" s="194"/>
      <c r="F945" s="194"/>
      <c r="G945" s="19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row>
    <row r="946" spans="1:38" ht="12.5">
      <c r="A946" s="4"/>
      <c r="B946" s="4"/>
      <c r="C946" s="194"/>
      <c r="D946" s="194"/>
      <c r="E946" s="194"/>
      <c r="F946" s="194"/>
      <c r="G946" s="19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row>
    <row r="947" spans="1:38" ht="12.5">
      <c r="A947" s="4"/>
      <c r="B947" s="4"/>
      <c r="C947" s="194"/>
      <c r="D947" s="194"/>
      <c r="E947" s="194"/>
      <c r="F947" s="194"/>
      <c r="G947" s="19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row>
    <row r="948" spans="1:38" ht="12.5">
      <c r="A948" s="4"/>
      <c r="B948" s="4"/>
      <c r="C948" s="194"/>
      <c r="D948" s="194"/>
      <c r="E948" s="194"/>
      <c r="F948" s="194"/>
      <c r="G948" s="19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row>
    <row r="949" spans="1:38" ht="12.5">
      <c r="A949" s="4"/>
      <c r="B949" s="4"/>
      <c r="C949" s="194"/>
      <c r="D949" s="194"/>
      <c r="E949" s="194"/>
      <c r="F949" s="194"/>
      <c r="G949" s="19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row>
    <row r="950" spans="1:38" ht="12.5">
      <c r="A950" s="4"/>
      <c r="B950" s="4"/>
      <c r="C950" s="194"/>
      <c r="D950" s="194"/>
      <c r="E950" s="194"/>
      <c r="F950" s="194"/>
      <c r="G950" s="19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row>
    <row r="951" spans="1:38" ht="12.5">
      <c r="A951" s="4"/>
      <c r="B951" s="4"/>
      <c r="C951" s="194"/>
      <c r="D951" s="194"/>
      <c r="E951" s="194"/>
      <c r="F951" s="194"/>
      <c r="G951" s="19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row>
    <row r="952" spans="1:38" ht="12.5">
      <c r="A952" s="4"/>
      <c r="B952" s="4"/>
      <c r="C952" s="194"/>
      <c r="D952" s="194"/>
      <c r="E952" s="194"/>
      <c r="F952" s="194"/>
      <c r="G952" s="19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row>
    <row r="953" spans="1:38" ht="12.5">
      <c r="A953" s="4"/>
      <c r="B953" s="4"/>
      <c r="C953" s="194"/>
      <c r="D953" s="194"/>
      <c r="E953" s="194"/>
      <c r="F953" s="194"/>
      <c r="G953" s="19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row>
    <row r="954" spans="1:38" ht="12.5">
      <c r="A954" s="4"/>
      <c r="B954" s="4"/>
      <c r="C954" s="194"/>
      <c r="D954" s="194"/>
      <c r="E954" s="194"/>
      <c r="F954" s="194"/>
      <c r="G954" s="19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row>
    <row r="955" spans="1:38" ht="12.5">
      <c r="A955" s="4"/>
      <c r="B955" s="4"/>
      <c r="C955" s="194"/>
      <c r="D955" s="194"/>
      <c r="E955" s="194"/>
      <c r="F955" s="194"/>
      <c r="G955" s="19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row>
    <row r="956" spans="1:38" ht="12.5">
      <c r="A956" s="4"/>
      <c r="B956" s="4"/>
      <c r="C956" s="194"/>
      <c r="D956" s="194"/>
      <c r="E956" s="194"/>
      <c r="F956" s="194"/>
      <c r="G956" s="19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row>
    <row r="957" spans="1:38" ht="12.5">
      <c r="A957" s="4"/>
      <c r="B957" s="4"/>
      <c r="C957" s="194"/>
      <c r="D957" s="194"/>
      <c r="E957" s="194"/>
      <c r="F957" s="194"/>
      <c r="G957" s="19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row>
    <row r="958" spans="1:38" ht="12.5">
      <c r="A958" s="4"/>
      <c r="B958" s="4"/>
      <c r="C958" s="194"/>
      <c r="D958" s="194"/>
      <c r="E958" s="194"/>
      <c r="F958" s="194"/>
      <c r="G958" s="19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row>
    <row r="959" spans="1:38" ht="12.5">
      <c r="A959" s="4"/>
      <c r="B959" s="4"/>
      <c r="C959" s="194"/>
      <c r="D959" s="194"/>
      <c r="E959" s="194"/>
      <c r="F959" s="194"/>
      <c r="G959" s="19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row>
    <row r="960" spans="1:38" ht="12.5">
      <c r="A960" s="4"/>
      <c r="B960" s="4"/>
      <c r="C960" s="194"/>
      <c r="D960" s="194"/>
      <c r="E960" s="194"/>
      <c r="F960" s="194"/>
      <c r="G960" s="19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row>
    <row r="961" spans="1:38" ht="12.5">
      <c r="A961" s="4"/>
      <c r="B961" s="4"/>
      <c r="C961" s="194"/>
      <c r="D961" s="194"/>
      <c r="E961" s="194"/>
      <c r="F961" s="194"/>
      <c r="G961" s="19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row>
    <row r="962" spans="1:38" ht="12.5">
      <c r="A962" s="4"/>
      <c r="B962" s="4"/>
      <c r="C962" s="194"/>
      <c r="D962" s="194"/>
      <c r="E962" s="194"/>
      <c r="F962" s="194"/>
      <c r="G962" s="19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row>
    <row r="963" spans="1:38" ht="12.5">
      <c r="A963" s="4"/>
      <c r="B963" s="4"/>
      <c r="C963" s="194"/>
      <c r="D963" s="194"/>
      <c r="E963" s="194"/>
      <c r="F963" s="194"/>
      <c r="G963" s="19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row>
    <row r="964" spans="1:38" ht="12.5">
      <c r="A964" s="4"/>
      <c r="B964" s="4"/>
      <c r="C964" s="194"/>
      <c r="D964" s="194"/>
      <c r="E964" s="194"/>
      <c r="F964" s="194"/>
      <c r="G964" s="19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row>
    <row r="965" spans="1:38" ht="12.5">
      <c r="A965" s="4"/>
      <c r="B965" s="4"/>
      <c r="C965" s="194"/>
      <c r="D965" s="194"/>
      <c r="E965" s="194"/>
      <c r="F965" s="194"/>
      <c r="G965" s="19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row>
    <row r="966" spans="1:38" ht="12.5">
      <c r="A966" s="4"/>
      <c r="B966" s="4"/>
      <c r="C966" s="194"/>
      <c r="D966" s="194"/>
      <c r="E966" s="194"/>
      <c r="F966" s="194"/>
      <c r="G966" s="19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row>
    <row r="967" spans="1:38" ht="12.5">
      <c r="A967" s="4"/>
      <c r="B967" s="4"/>
      <c r="C967" s="194"/>
      <c r="D967" s="194"/>
      <c r="E967" s="194"/>
      <c r="F967" s="194"/>
      <c r="G967" s="19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row>
    <row r="968" spans="1:38" ht="12.5">
      <c r="A968" s="4"/>
      <c r="B968" s="4"/>
      <c r="C968" s="194"/>
      <c r="D968" s="194"/>
      <c r="E968" s="194"/>
      <c r="F968" s="194"/>
      <c r="G968" s="19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row>
    <row r="969" spans="1:38" ht="12.5">
      <c r="A969" s="4"/>
      <c r="B969" s="4"/>
      <c r="C969" s="194"/>
      <c r="D969" s="194"/>
      <c r="E969" s="194"/>
      <c r="F969" s="194"/>
      <c r="G969" s="19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row>
    <row r="970" spans="1:38" ht="12.5">
      <c r="A970" s="4"/>
      <c r="B970" s="4"/>
      <c r="C970" s="194"/>
      <c r="D970" s="194"/>
      <c r="E970" s="194"/>
      <c r="F970" s="194"/>
      <c r="G970" s="19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row>
    <row r="971" spans="1:38" ht="12.5">
      <c r="A971" s="4"/>
      <c r="B971" s="4"/>
      <c r="C971" s="194"/>
      <c r="D971" s="194"/>
      <c r="E971" s="194"/>
      <c r="F971" s="194"/>
      <c r="G971" s="19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row>
    <row r="972" spans="1:38" ht="12.5">
      <c r="A972" s="4"/>
      <c r="B972" s="4"/>
      <c r="C972" s="194"/>
      <c r="D972" s="194"/>
      <c r="E972" s="194"/>
      <c r="F972" s="194"/>
      <c r="G972" s="19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row>
    <row r="973" spans="1:38" ht="12.5">
      <c r="A973" s="4"/>
      <c r="B973" s="4"/>
      <c r="C973" s="194"/>
      <c r="D973" s="194"/>
      <c r="E973" s="194"/>
      <c r="F973" s="194"/>
      <c r="G973" s="19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row>
    <row r="974" spans="1:38" ht="12.5">
      <c r="A974" s="4"/>
      <c r="B974" s="4"/>
      <c r="C974" s="194"/>
      <c r="D974" s="194"/>
      <c r="E974" s="194"/>
      <c r="F974" s="194"/>
      <c r="G974" s="19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row>
    <row r="975" spans="1:38" ht="12.5">
      <c r="A975" s="4"/>
      <c r="B975" s="4"/>
      <c r="C975" s="194"/>
      <c r="D975" s="194"/>
      <c r="E975" s="194"/>
      <c r="F975" s="194"/>
      <c r="G975" s="19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row>
    <row r="976" spans="1:38" ht="12.5">
      <c r="A976" s="4"/>
      <c r="B976" s="4"/>
      <c r="C976" s="194"/>
      <c r="D976" s="194"/>
      <c r="E976" s="194"/>
      <c r="F976" s="194"/>
      <c r="G976" s="19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row>
    <row r="977" spans="1:38" ht="12.5">
      <c r="A977" s="4"/>
      <c r="B977" s="4"/>
      <c r="C977" s="194"/>
      <c r="D977" s="194"/>
      <c r="E977" s="194"/>
      <c r="F977" s="194"/>
      <c r="G977" s="19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row>
    <row r="978" spans="1:38" ht="12.5">
      <c r="A978" s="4"/>
      <c r="B978" s="4"/>
      <c r="C978" s="194"/>
      <c r="D978" s="194"/>
      <c r="E978" s="194"/>
      <c r="F978" s="194"/>
      <c r="G978" s="19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row>
    <row r="979" spans="1:38" ht="12.5">
      <c r="A979" s="4"/>
      <c r="B979" s="4"/>
      <c r="C979" s="194"/>
      <c r="D979" s="194"/>
      <c r="E979" s="194"/>
      <c r="F979" s="194"/>
      <c r="G979" s="19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row>
    <row r="980" spans="1:38" ht="12.5">
      <c r="A980" s="4"/>
      <c r="B980" s="4"/>
      <c r="C980" s="194"/>
      <c r="D980" s="194"/>
      <c r="E980" s="194"/>
      <c r="F980" s="194"/>
      <c r="G980" s="19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row>
    <row r="981" spans="1:38" ht="12.5">
      <c r="A981" s="4"/>
      <c r="B981" s="4"/>
      <c r="C981" s="194"/>
      <c r="D981" s="194"/>
      <c r="E981" s="194"/>
      <c r="F981" s="194"/>
      <c r="G981" s="19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row>
    <row r="982" spans="1:38" ht="12.5">
      <c r="A982" s="4"/>
      <c r="B982" s="4"/>
      <c r="C982" s="194"/>
      <c r="D982" s="194"/>
      <c r="E982" s="194"/>
      <c r="F982" s="194"/>
      <c r="G982" s="19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row>
    <row r="983" spans="1:38" ht="12.5">
      <c r="A983" s="4"/>
      <c r="B983" s="4"/>
      <c r="C983" s="194"/>
      <c r="D983" s="194"/>
      <c r="E983" s="194"/>
      <c r="F983" s="194"/>
      <c r="G983" s="19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row>
    <row r="984" spans="1:38" ht="12.5">
      <c r="A984" s="4"/>
      <c r="B984" s="4"/>
      <c r="C984" s="194"/>
      <c r="D984" s="194"/>
      <c r="E984" s="194"/>
      <c r="F984" s="194"/>
      <c r="G984" s="19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row>
    <row r="985" spans="1:38" ht="12.5">
      <c r="A985" s="4"/>
      <c r="B985" s="4"/>
      <c r="C985" s="194"/>
      <c r="D985" s="194"/>
      <c r="E985" s="194"/>
      <c r="F985" s="194"/>
      <c r="G985" s="19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row>
    <row r="986" spans="1:38" ht="12.5">
      <c r="A986" s="4"/>
      <c r="B986" s="4"/>
      <c r="C986" s="194"/>
      <c r="D986" s="194"/>
      <c r="E986" s="194"/>
      <c r="F986" s="194"/>
      <c r="G986" s="19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row>
    <row r="987" spans="1:38" ht="12.5">
      <c r="A987" s="4"/>
      <c r="B987" s="4"/>
      <c r="C987" s="194"/>
      <c r="D987" s="194"/>
      <c r="E987" s="194"/>
      <c r="F987" s="194"/>
      <c r="G987" s="19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row>
    <row r="988" spans="1:38" ht="12.5">
      <c r="A988" s="4"/>
      <c r="B988" s="4"/>
      <c r="C988" s="194"/>
      <c r="D988" s="194"/>
      <c r="E988" s="194"/>
      <c r="F988" s="194"/>
      <c r="G988" s="19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row>
    <row r="989" spans="1:38" ht="12.5">
      <c r="A989" s="4"/>
      <c r="B989" s="4"/>
      <c r="C989" s="194"/>
      <c r="D989" s="194"/>
      <c r="E989" s="194"/>
      <c r="F989" s="194"/>
      <c r="G989" s="19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row>
  </sheetData>
  <customSheetViews>
    <customSheetView guid="{9318B355-911F-4D11-A924-4F85D8B28D43}" filter="1" showAutoFilter="1">
      <pageMargins left="0.7" right="0.7" top="0.75" bottom="0.75" header="0.3" footer="0.3"/>
      <autoFilter ref="A1:AL989" xr:uid="{6FAD83D7-C31D-4C42-9DD8-ED0F0AF105B2}">
        <filterColumn colId="1">
          <filters>
            <filter val="Cees"/>
            <filter val="Coder"/>
            <filter val="Helge"/>
            <filter val="Joanna"/>
            <filter val="Johanna"/>
            <filter val="Maartje"/>
            <filter val="Rutger"/>
            <filter val="Viggo"/>
            <filter val="Winnie"/>
            <filter val="Yamine"/>
          </filters>
        </filterColumn>
      </autoFilter>
    </customSheetView>
  </customSheetViews>
  <mergeCells count="7">
    <mergeCell ref="X2:AC2"/>
    <mergeCell ref="AD2:AG2"/>
    <mergeCell ref="E1:L1"/>
    <mergeCell ref="E2:I2"/>
    <mergeCell ref="J2:L2"/>
    <mergeCell ref="M2:Q2"/>
    <mergeCell ref="R2:W2"/>
  </mergeCells>
  <dataValidations count="6">
    <dataValidation type="list" allowBlank="1" showErrorMessage="1" sqref="I8 I11 I25 I34 I45 I54 I62 I68 I80 I87 I94 I101 I106 I113 I120 I127 I134 I141 I148 I155 I162 I169 I176 I183 I190 I197" xr:uid="{00000000-0002-0000-0100-000000000000}">
      <formula1>"Tweet,Thread,Reply"</formula1>
    </dataValidation>
    <dataValidation type="list" allowBlank="1" showErrorMessage="1" sqref="L8:AG8 M11:V11 X11:AG11 V19 M21:U23 X21:AG23 M25:U316 X25:AG316" xr:uid="{00000000-0002-0000-0100-000001000000}">
      <formula1>"1,2,3"</formula1>
    </dataValidation>
    <dataValidation type="list" allowBlank="1" showErrorMessage="1" sqref="J5:K64 J69:K316" xr:uid="{00000000-0002-0000-0100-000002000000}">
      <formula1>"Yes,No"</formula1>
    </dataValidation>
    <dataValidation type="list" allowBlank="1" showErrorMessage="1" sqref="I5:I7 I9:I10 I12:I24 I26:I33 I35:I44 I46:I53 I55:I61 I63:I67 I69:I79 I81:I86 I88:I93 I95:I100 I102:I105 I107:I112 I114:I119 I121:I126 I128:I133 I135:I140 I142:I147 I149:I154 I156:I161 I163:I168 I170:I175 I177:I182 I184:I189 I191:I196 I198:I316" xr:uid="{00000000-0002-0000-0100-000003000000}">
      <formula1>"Tweet,Thread "</formula1>
    </dataValidation>
    <dataValidation type="list" allowBlank="1" showErrorMessage="1" sqref="L5:AG7 L9:AG10 L11 W11 L12:AG18 L19:U19 W19:AG19 L20:AG20 L21:L23 V21:W23 L24:AG24 L25:L316 V25:W316" xr:uid="{00000000-0002-0000-0100-000004000000}">
      <formula1>"1,2,3,Unsure"</formula1>
    </dataValidation>
    <dataValidation type="list" allowBlank="1" showErrorMessage="1" sqref="J65:K68" xr:uid="{00000000-0002-0000-0100-000005000000}">
      <formula1>"1,0,Unsure"</formula1>
    </dataValidation>
  </dataValidations>
  <hyperlinks>
    <hyperlink ref="E5" r:id="rId1" xr:uid="{00000000-0004-0000-0100-000000000000}"/>
    <hyperlink ref="G5" r:id="rId2" xr:uid="{00000000-0004-0000-0100-000001000000}"/>
    <hyperlink ref="E6" r:id="rId3" xr:uid="{00000000-0004-0000-0100-000002000000}"/>
    <hyperlink ref="G6" r:id="rId4" xr:uid="{00000000-0004-0000-0100-000003000000}"/>
    <hyperlink ref="E7" r:id="rId5" xr:uid="{00000000-0004-0000-0100-000004000000}"/>
    <hyperlink ref="G7" r:id="rId6" xr:uid="{00000000-0004-0000-0100-000005000000}"/>
    <hyperlink ref="E8" r:id="rId7" xr:uid="{00000000-0004-0000-0100-000006000000}"/>
    <hyperlink ref="G8" r:id="rId8" xr:uid="{00000000-0004-0000-0100-000007000000}"/>
    <hyperlink ref="E9" r:id="rId9" xr:uid="{00000000-0004-0000-0100-000008000000}"/>
    <hyperlink ref="G9" r:id="rId10" xr:uid="{00000000-0004-0000-0100-000009000000}"/>
    <hyperlink ref="E10" r:id="rId11" xr:uid="{00000000-0004-0000-0100-00000A000000}"/>
    <hyperlink ref="G10" r:id="rId12" xr:uid="{00000000-0004-0000-0100-00000B000000}"/>
    <hyperlink ref="E11" r:id="rId13" xr:uid="{00000000-0004-0000-0100-00000C000000}"/>
    <hyperlink ref="G11" r:id="rId14" xr:uid="{00000000-0004-0000-0100-00000D000000}"/>
    <hyperlink ref="E12" r:id="rId15" xr:uid="{00000000-0004-0000-0100-00000E000000}"/>
    <hyperlink ref="G12" r:id="rId16" xr:uid="{00000000-0004-0000-0100-00000F000000}"/>
    <hyperlink ref="E13" r:id="rId17" xr:uid="{00000000-0004-0000-0100-000010000000}"/>
    <hyperlink ref="G13" r:id="rId18" xr:uid="{00000000-0004-0000-0100-000011000000}"/>
    <hyperlink ref="E14" r:id="rId19" xr:uid="{00000000-0004-0000-0100-000012000000}"/>
    <hyperlink ref="G14" r:id="rId20" xr:uid="{00000000-0004-0000-0100-000013000000}"/>
    <hyperlink ref="E15" r:id="rId21" xr:uid="{00000000-0004-0000-0100-000014000000}"/>
    <hyperlink ref="G15" r:id="rId22" xr:uid="{00000000-0004-0000-0100-000015000000}"/>
    <hyperlink ref="E16" r:id="rId23" xr:uid="{00000000-0004-0000-0100-000016000000}"/>
    <hyperlink ref="G16" r:id="rId24" xr:uid="{00000000-0004-0000-0100-000017000000}"/>
    <hyperlink ref="E17" r:id="rId25" xr:uid="{00000000-0004-0000-0100-000018000000}"/>
    <hyperlink ref="G17" r:id="rId26" xr:uid="{00000000-0004-0000-0100-000019000000}"/>
    <hyperlink ref="E18" r:id="rId27" xr:uid="{00000000-0004-0000-0100-00001A000000}"/>
    <hyperlink ref="G18" r:id="rId28" xr:uid="{00000000-0004-0000-0100-00001B000000}"/>
    <hyperlink ref="E19" r:id="rId29" xr:uid="{00000000-0004-0000-0100-00001C000000}"/>
    <hyperlink ref="G19" r:id="rId30" xr:uid="{00000000-0004-0000-0100-00001D000000}"/>
    <hyperlink ref="E20" r:id="rId31" xr:uid="{00000000-0004-0000-0100-00001E000000}"/>
    <hyperlink ref="G20" r:id="rId32" xr:uid="{00000000-0004-0000-0100-00001F000000}"/>
    <hyperlink ref="E21" r:id="rId33" xr:uid="{00000000-0004-0000-0100-000020000000}"/>
    <hyperlink ref="E22" r:id="rId34" xr:uid="{00000000-0004-0000-0100-000021000000}"/>
    <hyperlink ref="E23" r:id="rId35" xr:uid="{00000000-0004-0000-0100-000022000000}"/>
    <hyperlink ref="E24" r:id="rId36" xr:uid="{00000000-0004-0000-0100-000023000000}"/>
    <hyperlink ref="G24" r:id="rId37" xr:uid="{00000000-0004-0000-0100-000024000000}"/>
    <hyperlink ref="E25" r:id="rId38" xr:uid="{00000000-0004-0000-0100-000025000000}"/>
    <hyperlink ref="G25" r:id="rId39" xr:uid="{00000000-0004-0000-0100-000026000000}"/>
    <hyperlink ref="E26" r:id="rId40" xr:uid="{00000000-0004-0000-0100-000027000000}"/>
    <hyperlink ref="G26" r:id="rId41" xr:uid="{00000000-0004-0000-0100-000028000000}"/>
    <hyperlink ref="E27" r:id="rId42" xr:uid="{00000000-0004-0000-0100-000029000000}"/>
    <hyperlink ref="G27" r:id="rId43" xr:uid="{00000000-0004-0000-0100-00002A000000}"/>
    <hyperlink ref="E28" r:id="rId44" xr:uid="{00000000-0004-0000-0100-00002B000000}"/>
    <hyperlink ref="G28" r:id="rId45" xr:uid="{00000000-0004-0000-0100-00002C000000}"/>
    <hyperlink ref="E29" r:id="rId46" xr:uid="{00000000-0004-0000-0100-00002D000000}"/>
    <hyperlink ref="G29" r:id="rId47" xr:uid="{00000000-0004-0000-0100-00002E000000}"/>
    <hyperlink ref="E30" r:id="rId48" xr:uid="{00000000-0004-0000-0100-00002F000000}"/>
    <hyperlink ref="G30" r:id="rId49" xr:uid="{00000000-0004-0000-0100-000030000000}"/>
    <hyperlink ref="E31" r:id="rId50" xr:uid="{00000000-0004-0000-0100-000031000000}"/>
    <hyperlink ref="G31" r:id="rId51" xr:uid="{00000000-0004-0000-0100-000032000000}"/>
    <hyperlink ref="E32" r:id="rId52" xr:uid="{00000000-0004-0000-0100-000033000000}"/>
    <hyperlink ref="G32" r:id="rId53" xr:uid="{00000000-0004-0000-0100-000034000000}"/>
    <hyperlink ref="E33" r:id="rId54" xr:uid="{00000000-0004-0000-0100-000035000000}"/>
    <hyperlink ref="G33" r:id="rId55" xr:uid="{00000000-0004-0000-0100-000036000000}"/>
    <hyperlink ref="E34" r:id="rId56" xr:uid="{00000000-0004-0000-0100-000037000000}"/>
    <hyperlink ref="E35" r:id="rId57" xr:uid="{00000000-0004-0000-0100-000038000000}"/>
    <hyperlink ref="G35" r:id="rId58" xr:uid="{00000000-0004-0000-0100-000039000000}"/>
    <hyperlink ref="E36" r:id="rId59" xr:uid="{00000000-0004-0000-0100-00003A000000}"/>
    <hyperlink ref="G36" r:id="rId60" xr:uid="{00000000-0004-0000-0100-00003B000000}"/>
    <hyperlink ref="E37" r:id="rId61" xr:uid="{00000000-0004-0000-0100-00003C000000}"/>
    <hyperlink ref="E38" r:id="rId62" xr:uid="{00000000-0004-0000-0100-00003D000000}"/>
    <hyperlink ref="E39" r:id="rId63" xr:uid="{00000000-0004-0000-0100-00003E000000}"/>
    <hyperlink ref="E40" r:id="rId64" xr:uid="{00000000-0004-0000-0100-00003F000000}"/>
    <hyperlink ref="E41" r:id="rId65" xr:uid="{00000000-0004-0000-0100-000040000000}"/>
    <hyperlink ref="E42" r:id="rId66" xr:uid="{00000000-0004-0000-0100-000041000000}"/>
    <hyperlink ref="E43" r:id="rId67" xr:uid="{00000000-0004-0000-0100-000042000000}"/>
    <hyperlink ref="E44" r:id="rId68" xr:uid="{00000000-0004-0000-0100-000043000000}"/>
    <hyperlink ref="E45" r:id="rId69" xr:uid="{00000000-0004-0000-0100-000044000000}"/>
    <hyperlink ref="E46" r:id="rId70" xr:uid="{00000000-0004-0000-0100-000045000000}"/>
    <hyperlink ref="G46" r:id="rId71" xr:uid="{00000000-0004-0000-0100-000046000000}"/>
    <hyperlink ref="E47" r:id="rId72" xr:uid="{00000000-0004-0000-0100-000047000000}"/>
    <hyperlink ref="G47" r:id="rId73" xr:uid="{00000000-0004-0000-0100-000048000000}"/>
    <hyperlink ref="E48" r:id="rId74" xr:uid="{00000000-0004-0000-0100-000049000000}"/>
    <hyperlink ref="E49" r:id="rId75" xr:uid="{00000000-0004-0000-0100-00004A000000}"/>
    <hyperlink ref="E50" r:id="rId76" xr:uid="{00000000-0004-0000-0100-00004B000000}"/>
    <hyperlink ref="E51" r:id="rId77" xr:uid="{00000000-0004-0000-0100-00004C000000}"/>
    <hyperlink ref="E52" r:id="rId78" xr:uid="{00000000-0004-0000-0100-00004D000000}"/>
    <hyperlink ref="E53" r:id="rId79" xr:uid="{00000000-0004-0000-0100-00004E000000}"/>
    <hyperlink ref="E54" r:id="rId80" xr:uid="{00000000-0004-0000-0100-00004F000000}"/>
    <hyperlink ref="E55" r:id="rId81" xr:uid="{00000000-0004-0000-0100-000050000000}"/>
    <hyperlink ref="E56" r:id="rId82" xr:uid="{00000000-0004-0000-0100-000051000000}"/>
    <hyperlink ref="E57" r:id="rId83" xr:uid="{00000000-0004-0000-0100-000052000000}"/>
    <hyperlink ref="E58" r:id="rId84" xr:uid="{00000000-0004-0000-0100-000053000000}"/>
    <hyperlink ref="E59" r:id="rId85" xr:uid="{00000000-0004-0000-0100-000054000000}"/>
    <hyperlink ref="E60" r:id="rId86" xr:uid="{00000000-0004-0000-0100-000055000000}"/>
    <hyperlink ref="E61" r:id="rId87" xr:uid="{00000000-0004-0000-0100-000056000000}"/>
    <hyperlink ref="G61" r:id="rId88" xr:uid="{00000000-0004-0000-0100-000057000000}"/>
    <hyperlink ref="E62" r:id="rId89" xr:uid="{00000000-0004-0000-0100-000058000000}"/>
    <hyperlink ref="E63" r:id="rId90" xr:uid="{00000000-0004-0000-0100-000059000000}"/>
    <hyperlink ref="E64" r:id="rId91" xr:uid="{00000000-0004-0000-0100-00005A000000}"/>
    <hyperlink ref="E65" r:id="rId92" xr:uid="{00000000-0004-0000-0100-00005B000000}"/>
    <hyperlink ref="E66" r:id="rId93" xr:uid="{00000000-0004-0000-0100-00005C000000}"/>
    <hyperlink ref="E67" r:id="rId94" xr:uid="{00000000-0004-0000-0100-00005D000000}"/>
    <hyperlink ref="G67" r:id="rId95" xr:uid="{00000000-0004-0000-0100-00005E000000}"/>
    <hyperlink ref="E68" r:id="rId96" xr:uid="{00000000-0004-0000-0100-00005F000000}"/>
    <hyperlink ref="G68" r:id="rId97" xr:uid="{00000000-0004-0000-0100-000060000000}"/>
    <hyperlink ref="E69" r:id="rId98" xr:uid="{00000000-0004-0000-0100-000061000000}"/>
    <hyperlink ref="G69" r:id="rId99" xr:uid="{00000000-0004-0000-0100-000062000000}"/>
    <hyperlink ref="E70" r:id="rId100" xr:uid="{00000000-0004-0000-0100-000063000000}"/>
    <hyperlink ref="E71" r:id="rId101" xr:uid="{00000000-0004-0000-0100-000064000000}"/>
    <hyperlink ref="E72" r:id="rId102" xr:uid="{00000000-0004-0000-0100-000065000000}"/>
    <hyperlink ref="E73" r:id="rId103" xr:uid="{00000000-0004-0000-0100-000066000000}"/>
    <hyperlink ref="E74" r:id="rId104" xr:uid="{00000000-0004-0000-0100-000067000000}"/>
    <hyperlink ref="G74" r:id="rId105" xr:uid="{00000000-0004-0000-0100-000068000000}"/>
    <hyperlink ref="E75" r:id="rId106" xr:uid="{00000000-0004-0000-0100-000069000000}"/>
    <hyperlink ref="G75" r:id="rId107" xr:uid="{00000000-0004-0000-0100-00006A000000}"/>
    <hyperlink ref="E76" r:id="rId108" xr:uid="{00000000-0004-0000-0100-00006B000000}"/>
    <hyperlink ref="G76" r:id="rId109" xr:uid="{00000000-0004-0000-0100-00006C000000}"/>
    <hyperlink ref="E77" r:id="rId110" xr:uid="{00000000-0004-0000-0100-00006D000000}"/>
    <hyperlink ref="G77" r:id="rId111" xr:uid="{00000000-0004-0000-0100-00006E000000}"/>
    <hyperlink ref="E78" r:id="rId112" xr:uid="{00000000-0004-0000-0100-00006F000000}"/>
    <hyperlink ref="G78" r:id="rId113" xr:uid="{00000000-0004-0000-0100-000070000000}"/>
    <hyperlink ref="E79" r:id="rId114" xr:uid="{00000000-0004-0000-0100-000071000000}"/>
    <hyperlink ref="G79" r:id="rId115" xr:uid="{00000000-0004-0000-0100-000072000000}"/>
    <hyperlink ref="E80" r:id="rId116" xr:uid="{00000000-0004-0000-0100-000073000000}"/>
    <hyperlink ref="E81" r:id="rId117" xr:uid="{00000000-0004-0000-0100-000074000000}"/>
    <hyperlink ref="G81" r:id="rId118" xr:uid="{00000000-0004-0000-0100-000075000000}"/>
    <hyperlink ref="E82" r:id="rId119" xr:uid="{00000000-0004-0000-0100-000076000000}"/>
    <hyperlink ref="G82" r:id="rId120" xr:uid="{00000000-0004-0000-0100-000077000000}"/>
    <hyperlink ref="E83" r:id="rId121" xr:uid="{00000000-0004-0000-0100-000078000000}"/>
    <hyperlink ref="G83" r:id="rId122" xr:uid="{00000000-0004-0000-0100-000079000000}"/>
    <hyperlink ref="E84" r:id="rId123" xr:uid="{00000000-0004-0000-0100-00007A000000}"/>
    <hyperlink ref="G84" r:id="rId124" xr:uid="{00000000-0004-0000-0100-00007B000000}"/>
    <hyperlink ref="E85" r:id="rId125" xr:uid="{00000000-0004-0000-0100-00007C000000}"/>
    <hyperlink ref="G85" r:id="rId126" xr:uid="{00000000-0004-0000-0100-00007D000000}"/>
    <hyperlink ref="E86" r:id="rId127" xr:uid="{00000000-0004-0000-0100-00007E000000}"/>
    <hyperlink ref="G86" r:id="rId128" xr:uid="{00000000-0004-0000-0100-00007F000000}"/>
    <hyperlink ref="E87" r:id="rId129" xr:uid="{00000000-0004-0000-0100-000080000000}"/>
    <hyperlink ref="E88" r:id="rId130" xr:uid="{00000000-0004-0000-0100-000081000000}"/>
    <hyperlink ref="G88" r:id="rId131" xr:uid="{00000000-0004-0000-0100-000082000000}"/>
    <hyperlink ref="E89" r:id="rId132" xr:uid="{00000000-0004-0000-0100-000083000000}"/>
    <hyperlink ref="G89" r:id="rId133" xr:uid="{00000000-0004-0000-0100-000084000000}"/>
    <hyperlink ref="E90" r:id="rId134" xr:uid="{00000000-0004-0000-0100-000085000000}"/>
    <hyperlink ref="E91" r:id="rId135" xr:uid="{00000000-0004-0000-0100-000086000000}"/>
    <hyperlink ref="E92" r:id="rId136" xr:uid="{00000000-0004-0000-0100-000087000000}"/>
    <hyperlink ref="G92" r:id="rId137" xr:uid="{00000000-0004-0000-0100-000088000000}"/>
    <hyperlink ref="E93" r:id="rId138" xr:uid="{00000000-0004-0000-0100-000089000000}"/>
    <hyperlink ref="G93" r:id="rId139" xr:uid="{00000000-0004-0000-0100-00008A000000}"/>
    <hyperlink ref="E94" r:id="rId140" xr:uid="{00000000-0004-0000-0100-00008B000000}"/>
    <hyperlink ref="G94" r:id="rId141" xr:uid="{00000000-0004-0000-0100-00008C000000}"/>
    <hyperlink ref="E95" r:id="rId142" xr:uid="{00000000-0004-0000-0100-00008D000000}"/>
    <hyperlink ref="G95" r:id="rId143" xr:uid="{00000000-0004-0000-0100-00008E000000}"/>
    <hyperlink ref="E96" r:id="rId144" xr:uid="{00000000-0004-0000-0100-00008F000000}"/>
    <hyperlink ref="G96" r:id="rId145" xr:uid="{00000000-0004-0000-0100-000090000000}"/>
    <hyperlink ref="E97" r:id="rId146" xr:uid="{00000000-0004-0000-0100-000091000000}"/>
    <hyperlink ref="G97" r:id="rId147" xr:uid="{00000000-0004-0000-0100-000092000000}"/>
    <hyperlink ref="E98" r:id="rId148" xr:uid="{00000000-0004-0000-0100-000093000000}"/>
    <hyperlink ref="G98" r:id="rId149" xr:uid="{00000000-0004-0000-0100-000094000000}"/>
    <hyperlink ref="E99" r:id="rId150" xr:uid="{00000000-0004-0000-0100-000095000000}"/>
    <hyperlink ref="G99" r:id="rId151" xr:uid="{00000000-0004-0000-0100-000096000000}"/>
    <hyperlink ref="E100" r:id="rId152" xr:uid="{00000000-0004-0000-0100-000097000000}"/>
    <hyperlink ref="G100" r:id="rId153" xr:uid="{00000000-0004-0000-0100-000098000000}"/>
    <hyperlink ref="E101" r:id="rId154" xr:uid="{00000000-0004-0000-0100-000099000000}"/>
    <hyperlink ref="G101" r:id="rId155" xr:uid="{00000000-0004-0000-0100-00009A000000}"/>
    <hyperlink ref="E102" r:id="rId156" xr:uid="{00000000-0004-0000-0100-00009B000000}"/>
    <hyperlink ref="G102" r:id="rId157" xr:uid="{00000000-0004-0000-0100-00009C000000}"/>
    <hyperlink ref="E103" r:id="rId158" xr:uid="{00000000-0004-0000-0100-00009D000000}"/>
    <hyperlink ref="G103" r:id="rId159" xr:uid="{00000000-0004-0000-0100-00009E000000}"/>
    <hyperlink ref="E104" r:id="rId160" xr:uid="{00000000-0004-0000-0100-00009F000000}"/>
    <hyperlink ref="E105" r:id="rId161" xr:uid="{00000000-0004-0000-0100-0000A0000000}"/>
    <hyperlink ref="E106" r:id="rId162" xr:uid="{00000000-0004-0000-0100-0000A1000000}"/>
    <hyperlink ref="E107" r:id="rId163" xr:uid="{00000000-0004-0000-0100-0000A2000000}"/>
    <hyperlink ref="E108" r:id="rId164" xr:uid="{00000000-0004-0000-0100-0000A3000000}"/>
    <hyperlink ref="E109" r:id="rId165" xr:uid="{00000000-0004-0000-0100-0000A4000000}"/>
    <hyperlink ref="E110" r:id="rId166" xr:uid="{00000000-0004-0000-0100-0000A5000000}"/>
    <hyperlink ref="E111" r:id="rId167" xr:uid="{00000000-0004-0000-0100-0000A6000000}"/>
    <hyperlink ref="E112" r:id="rId168" xr:uid="{00000000-0004-0000-0100-0000A7000000}"/>
    <hyperlink ref="E113" r:id="rId169" xr:uid="{00000000-0004-0000-0100-0000A8000000}"/>
    <hyperlink ref="E114" r:id="rId170" xr:uid="{00000000-0004-0000-0100-0000A9000000}"/>
    <hyperlink ref="E115" r:id="rId171" xr:uid="{00000000-0004-0000-0100-0000AA000000}"/>
    <hyperlink ref="E116" r:id="rId172" xr:uid="{00000000-0004-0000-0100-0000AB000000}"/>
    <hyperlink ref="E117" r:id="rId173" xr:uid="{00000000-0004-0000-0100-0000AC000000}"/>
    <hyperlink ref="E118" r:id="rId174" xr:uid="{00000000-0004-0000-0100-0000AD000000}"/>
    <hyperlink ref="E119" r:id="rId175" xr:uid="{00000000-0004-0000-0100-0000AE000000}"/>
    <hyperlink ref="E120" r:id="rId176" xr:uid="{00000000-0004-0000-0100-0000AF000000}"/>
    <hyperlink ref="E121" r:id="rId177" xr:uid="{00000000-0004-0000-0100-0000B0000000}"/>
    <hyperlink ref="E122" r:id="rId178" xr:uid="{00000000-0004-0000-0100-0000B1000000}"/>
    <hyperlink ref="E123" r:id="rId179" xr:uid="{00000000-0004-0000-0100-0000B2000000}"/>
    <hyperlink ref="E124" r:id="rId180" xr:uid="{00000000-0004-0000-0100-0000B3000000}"/>
    <hyperlink ref="E125" r:id="rId181" xr:uid="{00000000-0004-0000-0100-0000B4000000}"/>
    <hyperlink ref="G125" r:id="rId182" xr:uid="{00000000-0004-0000-0100-0000B5000000}"/>
    <hyperlink ref="E126" r:id="rId183" xr:uid="{00000000-0004-0000-0100-0000B6000000}"/>
    <hyperlink ref="G126" r:id="rId184" xr:uid="{00000000-0004-0000-0100-0000B7000000}"/>
    <hyperlink ref="E127" r:id="rId185" xr:uid="{00000000-0004-0000-0100-0000B8000000}"/>
    <hyperlink ref="E128" r:id="rId186" xr:uid="{00000000-0004-0000-0100-0000B9000000}"/>
    <hyperlink ref="E129" r:id="rId187" xr:uid="{00000000-0004-0000-0100-0000BA000000}"/>
    <hyperlink ref="G129" r:id="rId188" xr:uid="{00000000-0004-0000-0100-0000BB000000}"/>
    <hyperlink ref="E130" r:id="rId189" xr:uid="{00000000-0004-0000-0100-0000BC000000}"/>
    <hyperlink ref="E131" r:id="rId190" xr:uid="{00000000-0004-0000-0100-0000BD000000}"/>
    <hyperlink ref="G131" r:id="rId191" xr:uid="{00000000-0004-0000-0100-0000BE000000}"/>
    <hyperlink ref="E132" r:id="rId192" xr:uid="{00000000-0004-0000-0100-0000BF000000}"/>
    <hyperlink ref="G132" r:id="rId193" xr:uid="{00000000-0004-0000-0100-0000C0000000}"/>
    <hyperlink ref="E133" r:id="rId194" xr:uid="{00000000-0004-0000-0100-0000C1000000}"/>
    <hyperlink ref="G133" r:id="rId195" xr:uid="{00000000-0004-0000-0100-0000C2000000}"/>
    <hyperlink ref="E134" r:id="rId196" xr:uid="{00000000-0004-0000-0100-0000C3000000}"/>
    <hyperlink ref="E135" r:id="rId197" xr:uid="{00000000-0004-0000-0100-0000C4000000}"/>
    <hyperlink ref="G135" r:id="rId198" xr:uid="{00000000-0004-0000-0100-0000C5000000}"/>
    <hyperlink ref="E136" r:id="rId199" xr:uid="{00000000-0004-0000-0100-0000C6000000}"/>
    <hyperlink ref="G136" r:id="rId200" xr:uid="{00000000-0004-0000-0100-0000C7000000}"/>
    <hyperlink ref="E137" r:id="rId201" xr:uid="{00000000-0004-0000-0100-0000C8000000}"/>
    <hyperlink ref="G137" r:id="rId202" xr:uid="{00000000-0004-0000-0100-0000C9000000}"/>
    <hyperlink ref="E138" r:id="rId203" xr:uid="{00000000-0004-0000-0100-0000CA000000}"/>
    <hyperlink ref="G138" r:id="rId204" xr:uid="{00000000-0004-0000-0100-0000CB000000}"/>
    <hyperlink ref="E139" r:id="rId205" xr:uid="{00000000-0004-0000-0100-0000CC000000}"/>
    <hyperlink ref="G139" r:id="rId206" xr:uid="{00000000-0004-0000-0100-0000CD000000}"/>
    <hyperlink ref="E140" r:id="rId207" xr:uid="{00000000-0004-0000-0100-0000CE000000}"/>
    <hyperlink ref="G140" r:id="rId208" xr:uid="{00000000-0004-0000-0100-0000CF000000}"/>
    <hyperlink ref="E141" r:id="rId209" xr:uid="{00000000-0004-0000-0100-0000D0000000}"/>
    <hyperlink ref="G141" r:id="rId210" xr:uid="{00000000-0004-0000-0100-0000D1000000}"/>
    <hyperlink ref="E142" r:id="rId211" xr:uid="{00000000-0004-0000-0100-0000D2000000}"/>
    <hyperlink ref="G142" r:id="rId212" xr:uid="{00000000-0004-0000-0100-0000D3000000}"/>
    <hyperlink ref="E143" r:id="rId213" xr:uid="{00000000-0004-0000-0100-0000D4000000}"/>
    <hyperlink ref="G143" r:id="rId214" xr:uid="{00000000-0004-0000-0100-0000D5000000}"/>
    <hyperlink ref="E144" r:id="rId215" xr:uid="{00000000-0004-0000-0100-0000D6000000}"/>
    <hyperlink ref="G144" r:id="rId216" xr:uid="{00000000-0004-0000-0100-0000D7000000}"/>
    <hyperlink ref="E145" r:id="rId217" xr:uid="{00000000-0004-0000-0100-0000D8000000}"/>
    <hyperlink ref="G145" r:id="rId218" xr:uid="{00000000-0004-0000-0100-0000D9000000}"/>
    <hyperlink ref="E146" r:id="rId219" xr:uid="{00000000-0004-0000-0100-0000DA000000}"/>
    <hyperlink ref="G146" r:id="rId220" xr:uid="{00000000-0004-0000-0100-0000DB000000}"/>
    <hyperlink ref="E147" r:id="rId221" xr:uid="{00000000-0004-0000-0100-0000DC000000}"/>
    <hyperlink ref="E148" r:id="rId222" xr:uid="{00000000-0004-0000-0100-0000DD000000}"/>
    <hyperlink ref="G148" r:id="rId223" xr:uid="{00000000-0004-0000-0100-0000DE000000}"/>
    <hyperlink ref="E149" r:id="rId224" xr:uid="{00000000-0004-0000-0100-0000DF000000}"/>
    <hyperlink ref="G149" r:id="rId225" xr:uid="{00000000-0004-0000-0100-0000E0000000}"/>
    <hyperlink ref="E150" r:id="rId226" xr:uid="{00000000-0004-0000-0100-0000E1000000}"/>
    <hyperlink ref="G150" r:id="rId227" xr:uid="{00000000-0004-0000-0100-0000E2000000}"/>
    <hyperlink ref="E151" r:id="rId228" xr:uid="{00000000-0004-0000-0100-0000E3000000}"/>
    <hyperlink ref="G151" r:id="rId229" xr:uid="{00000000-0004-0000-0100-0000E4000000}"/>
    <hyperlink ref="E152" r:id="rId230" xr:uid="{00000000-0004-0000-0100-0000E5000000}"/>
    <hyperlink ref="E153" r:id="rId231" xr:uid="{00000000-0004-0000-0100-0000E6000000}"/>
    <hyperlink ref="G153" r:id="rId232" xr:uid="{00000000-0004-0000-0100-0000E7000000}"/>
    <hyperlink ref="E154" r:id="rId233" xr:uid="{00000000-0004-0000-0100-0000E8000000}"/>
    <hyperlink ref="G154" r:id="rId234" xr:uid="{00000000-0004-0000-0100-0000E9000000}"/>
    <hyperlink ref="E155" r:id="rId235" xr:uid="{00000000-0004-0000-0100-0000EA000000}"/>
    <hyperlink ref="G155" r:id="rId236" xr:uid="{00000000-0004-0000-0100-0000EB000000}"/>
    <hyperlink ref="E156" r:id="rId237" xr:uid="{00000000-0004-0000-0100-0000EC000000}"/>
    <hyperlink ref="G156" r:id="rId238" xr:uid="{00000000-0004-0000-0100-0000ED000000}"/>
    <hyperlink ref="E157" r:id="rId239" xr:uid="{00000000-0004-0000-0100-0000EE000000}"/>
    <hyperlink ref="E158" r:id="rId240" xr:uid="{00000000-0004-0000-0100-0000EF000000}"/>
    <hyperlink ref="E159" r:id="rId241" xr:uid="{00000000-0004-0000-0100-0000F0000000}"/>
    <hyperlink ref="E160" r:id="rId242" xr:uid="{00000000-0004-0000-0100-0000F1000000}"/>
    <hyperlink ref="G160" r:id="rId243" xr:uid="{00000000-0004-0000-0100-0000F2000000}"/>
    <hyperlink ref="E161" r:id="rId244" xr:uid="{00000000-0004-0000-0100-0000F3000000}"/>
    <hyperlink ref="G161" r:id="rId245" xr:uid="{00000000-0004-0000-0100-0000F4000000}"/>
    <hyperlink ref="E162" r:id="rId246" xr:uid="{00000000-0004-0000-0100-0000F5000000}"/>
    <hyperlink ref="G162" r:id="rId247" xr:uid="{00000000-0004-0000-0100-0000F6000000}"/>
    <hyperlink ref="E163" r:id="rId248" xr:uid="{00000000-0004-0000-0100-0000F7000000}"/>
    <hyperlink ref="G163" r:id="rId249" xr:uid="{00000000-0004-0000-0100-0000F8000000}"/>
    <hyperlink ref="E164" r:id="rId250" xr:uid="{00000000-0004-0000-0100-0000F9000000}"/>
    <hyperlink ref="G164" r:id="rId251" xr:uid="{00000000-0004-0000-0100-0000FA000000}"/>
    <hyperlink ref="E165" r:id="rId252" xr:uid="{00000000-0004-0000-0100-0000FB000000}"/>
    <hyperlink ref="E166" r:id="rId253" xr:uid="{00000000-0004-0000-0100-0000FC000000}"/>
    <hyperlink ref="G166" r:id="rId254" xr:uid="{00000000-0004-0000-0100-0000FD000000}"/>
    <hyperlink ref="E167" r:id="rId255" xr:uid="{00000000-0004-0000-0100-0000FE000000}"/>
    <hyperlink ref="G167" r:id="rId256" xr:uid="{00000000-0004-0000-0100-0000FF000000}"/>
    <hyperlink ref="E168" r:id="rId257" xr:uid="{00000000-0004-0000-0100-000000010000}"/>
    <hyperlink ref="G168" r:id="rId258" xr:uid="{00000000-0004-0000-0100-000001010000}"/>
    <hyperlink ref="E169" r:id="rId259" xr:uid="{00000000-0004-0000-0100-000002010000}"/>
    <hyperlink ref="E170" r:id="rId260" xr:uid="{00000000-0004-0000-0100-000003010000}"/>
    <hyperlink ref="G170" r:id="rId261" xr:uid="{00000000-0004-0000-0100-000004010000}"/>
    <hyperlink ref="E171" r:id="rId262" xr:uid="{00000000-0004-0000-0100-000005010000}"/>
    <hyperlink ref="G171" r:id="rId263" xr:uid="{00000000-0004-0000-0100-000006010000}"/>
    <hyperlink ref="E172" r:id="rId264" xr:uid="{00000000-0004-0000-0100-000007010000}"/>
    <hyperlink ref="G172" r:id="rId265" xr:uid="{00000000-0004-0000-0100-000008010000}"/>
    <hyperlink ref="E173" r:id="rId266" xr:uid="{00000000-0004-0000-0100-000009010000}"/>
    <hyperlink ref="E174" r:id="rId267" xr:uid="{00000000-0004-0000-0100-00000A010000}"/>
    <hyperlink ref="G174" r:id="rId268" xr:uid="{00000000-0004-0000-0100-00000B010000}"/>
    <hyperlink ref="E175" r:id="rId269" xr:uid="{00000000-0004-0000-0100-00000C010000}"/>
    <hyperlink ref="G175" r:id="rId270" xr:uid="{00000000-0004-0000-0100-00000D010000}"/>
    <hyperlink ref="E176" r:id="rId271" xr:uid="{00000000-0004-0000-0100-00000E010000}"/>
    <hyperlink ref="G176" r:id="rId272" xr:uid="{00000000-0004-0000-0100-00000F010000}"/>
    <hyperlink ref="E177" r:id="rId273" xr:uid="{00000000-0004-0000-0100-000010010000}"/>
    <hyperlink ref="G177" r:id="rId274" xr:uid="{00000000-0004-0000-0100-000011010000}"/>
    <hyperlink ref="E178" r:id="rId275" xr:uid="{00000000-0004-0000-0100-000012010000}"/>
    <hyperlink ref="G178" r:id="rId276" xr:uid="{00000000-0004-0000-0100-000013010000}"/>
    <hyperlink ref="E179" r:id="rId277" xr:uid="{00000000-0004-0000-0100-000014010000}"/>
    <hyperlink ref="G179" r:id="rId278" xr:uid="{00000000-0004-0000-0100-000015010000}"/>
    <hyperlink ref="E180" r:id="rId279" xr:uid="{00000000-0004-0000-0100-000016010000}"/>
    <hyperlink ref="G180" r:id="rId280" xr:uid="{00000000-0004-0000-0100-000017010000}"/>
    <hyperlink ref="E181" r:id="rId281" xr:uid="{00000000-0004-0000-0100-000018010000}"/>
    <hyperlink ref="G181" r:id="rId282" xr:uid="{00000000-0004-0000-0100-000019010000}"/>
    <hyperlink ref="E182" r:id="rId283" xr:uid="{00000000-0004-0000-0100-00001A010000}"/>
    <hyperlink ref="G182" r:id="rId284" xr:uid="{00000000-0004-0000-0100-00001B010000}"/>
    <hyperlink ref="E183" r:id="rId285" xr:uid="{00000000-0004-0000-0100-00001C010000}"/>
    <hyperlink ref="G183" r:id="rId286" xr:uid="{00000000-0004-0000-0100-00001D010000}"/>
    <hyperlink ref="E184" r:id="rId287" xr:uid="{00000000-0004-0000-0100-00001E010000}"/>
    <hyperlink ref="G184" r:id="rId288" xr:uid="{00000000-0004-0000-0100-00001F010000}"/>
    <hyperlink ref="E185" r:id="rId289" xr:uid="{00000000-0004-0000-0100-000020010000}"/>
    <hyperlink ref="E186" r:id="rId290" xr:uid="{00000000-0004-0000-0100-000021010000}"/>
    <hyperlink ref="G186" r:id="rId291" xr:uid="{00000000-0004-0000-0100-000022010000}"/>
    <hyperlink ref="E187" r:id="rId292" xr:uid="{00000000-0004-0000-0100-000023010000}"/>
    <hyperlink ref="G187" r:id="rId293" xr:uid="{00000000-0004-0000-0100-000024010000}"/>
    <hyperlink ref="E188" r:id="rId294" xr:uid="{00000000-0004-0000-0100-000025010000}"/>
    <hyperlink ref="G188" r:id="rId295" xr:uid="{00000000-0004-0000-0100-000026010000}"/>
    <hyperlink ref="E189" r:id="rId296" xr:uid="{00000000-0004-0000-0100-000027010000}"/>
    <hyperlink ref="G189" r:id="rId297" xr:uid="{00000000-0004-0000-0100-000028010000}"/>
    <hyperlink ref="E190" r:id="rId298" xr:uid="{00000000-0004-0000-0100-000029010000}"/>
    <hyperlink ref="G190" r:id="rId299" xr:uid="{00000000-0004-0000-0100-00002A010000}"/>
    <hyperlink ref="E191" r:id="rId300" xr:uid="{00000000-0004-0000-0100-00002B010000}"/>
    <hyperlink ref="E192" r:id="rId301" xr:uid="{00000000-0004-0000-0100-00002C010000}"/>
    <hyperlink ref="G192" r:id="rId302" xr:uid="{00000000-0004-0000-0100-00002D010000}"/>
    <hyperlink ref="E193" r:id="rId303" xr:uid="{00000000-0004-0000-0100-00002E010000}"/>
    <hyperlink ref="G193" r:id="rId304" xr:uid="{00000000-0004-0000-0100-00002F010000}"/>
    <hyperlink ref="E194" r:id="rId305" xr:uid="{00000000-0004-0000-0100-000030010000}"/>
    <hyperlink ref="G194" r:id="rId306" xr:uid="{00000000-0004-0000-0100-000031010000}"/>
    <hyperlink ref="E195" r:id="rId307" xr:uid="{00000000-0004-0000-0100-000032010000}"/>
    <hyperlink ref="E196" r:id="rId308" xr:uid="{00000000-0004-0000-0100-000033010000}"/>
    <hyperlink ref="E197" r:id="rId309" xr:uid="{00000000-0004-0000-0100-000034010000}"/>
    <hyperlink ref="E198" r:id="rId310" xr:uid="{00000000-0004-0000-0100-000035010000}"/>
    <hyperlink ref="E199" r:id="rId311" xr:uid="{00000000-0004-0000-0100-000036010000}"/>
    <hyperlink ref="G199" r:id="rId312" xr:uid="{00000000-0004-0000-0100-000037010000}"/>
    <hyperlink ref="E200" r:id="rId313" xr:uid="{00000000-0004-0000-0100-000038010000}"/>
    <hyperlink ref="E201" r:id="rId314" xr:uid="{00000000-0004-0000-0100-000039010000}"/>
    <hyperlink ref="E202" r:id="rId315" xr:uid="{00000000-0004-0000-0100-00003A010000}"/>
    <hyperlink ref="E203" r:id="rId316" xr:uid="{00000000-0004-0000-0100-00003B010000}"/>
    <hyperlink ref="E204" r:id="rId317" xr:uid="{00000000-0004-0000-0100-00003C010000}"/>
    <hyperlink ref="E205" r:id="rId318" xr:uid="{00000000-0004-0000-0100-00003D010000}"/>
    <hyperlink ref="E206" r:id="rId319" xr:uid="{00000000-0004-0000-0100-00003E010000}"/>
    <hyperlink ref="E207" r:id="rId320" xr:uid="{00000000-0004-0000-0100-00003F010000}"/>
    <hyperlink ref="E208" r:id="rId321" xr:uid="{00000000-0004-0000-0100-000040010000}"/>
    <hyperlink ref="E209" r:id="rId322" xr:uid="{00000000-0004-0000-0100-000041010000}"/>
    <hyperlink ref="E210" r:id="rId323" xr:uid="{00000000-0004-0000-0100-000042010000}"/>
    <hyperlink ref="E211" r:id="rId324" xr:uid="{00000000-0004-0000-0100-000043010000}"/>
    <hyperlink ref="E212" r:id="rId325" xr:uid="{00000000-0004-0000-0100-000044010000}"/>
    <hyperlink ref="E213" r:id="rId326" xr:uid="{00000000-0004-0000-0100-000045010000}"/>
    <hyperlink ref="E214" r:id="rId327" xr:uid="{00000000-0004-0000-0100-000046010000}"/>
    <hyperlink ref="E215" r:id="rId328" xr:uid="{00000000-0004-0000-0100-000047010000}"/>
    <hyperlink ref="E216" r:id="rId329" xr:uid="{00000000-0004-0000-0100-000048010000}"/>
    <hyperlink ref="E217" r:id="rId330" xr:uid="{00000000-0004-0000-0100-000049010000}"/>
    <hyperlink ref="E218" r:id="rId331" xr:uid="{00000000-0004-0000-0100-00004A010000}"/>
    <hyperlink ref="E219" r:id="rId332" xr:uid="{00000000-0004-0000-0100-00004B010000}"/>
    <hyperlink ref="E220" r:id="rId333" xr:uid="{00000000-0004-0000-0100-00004C010000}"/>
    <hyperlink ref="E221" r:id="rId334" xr:uid="{00000000-0004-0000-0100-00004D010000}"/>
    <hyperlink ref="E222" r:id="rId335" xr:uid="{00000000-0004-0000-0100-00004E010000}"/>
    <hyperlink ref="E223" r:id="rId336" xr:uid="{00000000-0004-0000-0100-00004F010000}"/>
    <hyperlink ref="E224" r:id="rId337" xr:uid="{00000000-0004-0000-0100-000050010000}"/>
    <hyperlink ref="E225" r:id="rId338" xr:uid="{00000000-0004-0000-0100-000051010000}"/>
    <hyperlink ref="E226" r:id="rId339" xr:uid="{00000000-0004-0000-0100-000052010000}"/>
    <hyperlink ref="E227" r:id="rId340" xr:uid="{00000000-0004-0000-0100-000053010000}"/>
    <hyperlink ref="E228" r:id="rId341" xr:uid="{00000000-0004-0000-0100-000054010000}"/>
    <hyperlink ref="E229" r:id="rId342" xr:uid="{00000000-0004-0000-0100-000055010000}"/>
    <hyperlink ref="E230" r:id="rId343" xr:uid="{00000000-0004-0000-0100-000056010000}"/>
    <hyperlink ref="E231" r:id="rId344" xr:uid="{00000000-0004-0000-0100-000057010000}"/>
    <hyperlink ref="E232" r:id="rId345" xr:uid="{00000000-0004-0000-0100-000058010000}"/>
    <hyperlink ref="E233" r:id="rId346" xr:uid="{00000000-0004-0000-0100-000059010000}"/>
    <hyperlink ref="E234" r:id="rId347" xr:uid="{00000000-0004-0000-0100-00005A010000}"/>
    <hyperlink ref="E235" r:id="rId348" xr:uid="{00000000-0004-0000-0100-00005B010000}"/>
    <hyperlink ref="E236" r:id="rId349" xr:uid="{00000000-0004-0000-0100-00005C010000}"/>
    <hyperlink ref="E237" r:id="rId350" xr:uid="{00000000-0004-0000-0100-00005D010000}"/>
    <hyperlink ref="E238" r:id="rId351" xr:uid="{00000000-0004-0000-0100-00005E010000}"/>
    <hyperlink ref="E239" r:id="rId352" xr:uid="{00000000-0004-0000-0100-00005F010000}"/>
    <hyperlink ref="E240" r:id="rId353" xr:uid="{00000000-0004-0000-0100-000060010000}"/>
    <hyperlink ref="E241" r:id="rId354" xr:uid="{00000000-0004-0000-0100-000061010000}"/>
    <hyperlink ref="E242" r:id="rId355" xr:uid="{00000000-0004-0000-0100-000062010000}"/>
    <hyperlink ref="E243" r:id="rId356" xr:uid="{00000000-0004-0000-0100-000063010000}"/>
    <hyperlink ref="E244" r:id="rId357" xr:uid="{00000000-0004-0000-0100-000064010000}"/>
    <hyperlink ref="E245" r:id="rId358" xr:uid="{00000000-0004-0000-0100-000065010000}"/>
    <hyperlink ref="E246" r:id="rId359" xr:uid="{00000000-0004-0000-0100-000066010000}"/>
    <hyperlink ref="E247" r:id="rId360" xr:uid="{00000000-0004-0000-0100-000067010000}"/>
    <hyperlink ref="E248" r:id="rId361" xr:uid="{00000000-0004-0000-0100-000068010000}"/>
    <hyperlink ref="E249" r:id="rId362" xr:uid="{00000000-0004-0000-0100-000069010000}"/>
    <hyperlink ref="E250" r:id="rId363" xr:uid="{00000000-0004-0000-0100-00006A010000}"/>
    <hyperlink ref="E251" r:id="rId364" xr:uid="{00000000-0004-0000-0100-00006B010000}"/>
    <hyperlink ref="E252" r:id="rId365" xr:uid="{00000000-0004-0000-0100-00006C010000}"/>
    <hyperlink ref="E253" r:id="rId366" xr:uid="{00000000-0004-0000-0100-00006D010000}"/>
    <hyperlink ref="E254" r:id="rId367" xr:uid="{00000000-0004-0000-0100-00006E010000}"/>
    <hyperlink ref="E255" r:id="rId368" xr:uid="{00000000-0004-0000-0100-00006F010000}"/>
    <hyperlink ref="E256" r:id="rId369" xr:uid="{00000000-0004-0000-0100-000070010000}"/>
    <hyperlink ref="E257" r:id="rId370" xr:uid="{00000000-0004-0000-0100-000071010000}"/>
    <hyperlink ref="E258" r:id="rId371" xr:uid="{00000000-0004-0000-0100-000072010000}"/>
    <hyperlink ref="E259" r:id="rId372" xr:uid="{00000000-0004-0000-0100-000073010000}"/>
    <hyperlink ref="E260" r:id="rId373" xr:uid="{00000000-0004-0000-0100-000074010000}"/>
    <hyperlink ref="E261" r:id="rId374" xr:uid="{00000000-0004-0000-0100-000075010000}"/>
    <hyperlink ref="E262" r:id="rId375" xr:uid="{00000000-0004-0000-0100-000076010000}"/>
    <hyperlink ref="E263" r:id="rId376" xr:uid="{00000000-0004-0000-0100-000077010000}"/>
    <hyperlink ref="E264" r:id="rId377" xr:uid="{00000000-0004-0000-0100-000078010000}"/>
    <hyperlink ref="E265" r:id="rId378" xr:uid="{00000000-0004-0000-0100-000079010000}"/>
    <hyperlink ref="E266" r:id="rId379" xr:uid="{00000000-0004-0000-0100-00007A010000}"/>
    <hyperlink ref="E267" r:id="rId380" xr:uid="{00000000-0004-0000-0100-00007B010000}"/>
    <hyperlink ref="E268" r:id="rId381" xr:uid="{00000000-0004-0000-0100-00007C010000}"/>
    <hyperlink ref="E269" r:id="rId382" xr:uid="{00000000-0004-0000-0100-00007D010000}"/>
    <hyperlink ref="E270" r:id="rId383" xr:uid="{00000000-0004-0000-0100-00007E010000}"/>
    <hyperlink ref="E271" r:id="rId384" xr:uid="{00000000-0004-0000-0100-00007F010000}"/>
    <hyperlink ref="E272" r:id="rId385" xr:uid="{00000000-0004-0000-0100-000080010000}"/>
    <hyperlink ref="E273" r:id="rId386" xr:uid="{00000000-0004-0000-0100-000081010000}"/>
    <hyperlink ref="E274" r:id="rId387" xr:uid="{00000000-0004-0000-0100-000082010000}"/>
    <hyperlink ref="E275" r:id="rId388" xr:uid="{00000000-0004-0000-0100-000083010000}"/>
    <hyperlink ref="E276" r:id="rId389" xr:uid="{00000000-0004-0000-0100-000084010000}"/>
    <hyperlink ref="E277" r:id="rId390" xr:uid="{00000000-0004-0000-0100-000085010000}"/>
    <hyperlink ref="E278" r:id="rId391" xr:uid="{00000000-0004-0000-0100-000086010000}"/>
    <hyperlink ref="E279" r:id="rId392" xr:uid="{00000000-0004-0000-0100-000087010000}"/>
    <hyperlink ref="E280" r:id="rId393" xr:uid="{00000000-0004-0000-0100-000088010000}"/>
    <hyperlink ref="E281" r:id="rId394" xr:uid="{00000000-0004-0000-0100-000089010000}"/>
    <hyperlink ref="E282" r:id="rId395" xr:uid="{00000000-0004-0000-0100-00008A010000}"/>
    <hyperlink ref="E283" r:id="rId396" xr:uid="{00000000-0004-0000-0100-00008B010000}"/>
    <hyperlink ref="E284" r:id="rId397" xr:uid="{00000000-0004-0000-0100-00008C010000}"/>
    <hyperlink ref="E285" r:id="rId398" xr:uid="{00000000-0004-0000-0100-00008D010000}"/>
    <hyperlink ref="E286" r:id="rId399" xr:uid="{00000000-0004-0000-0100-00008E010000}"/>
    <hyperlink ref="E287" r:id="rId400" xr:uid="{00000000-0004-0000-0100-00008F010000}"/>
    <hyperlink ref="E288" r:id="rId401" xr:uid="{00000000-0004-0000-0100-000090010000}"/>
    <hyperlink ref="E289" r:id="rId402" xr:uid="{00000000-0004-0000-0100-000091010000}"/>
    <hyperlink ref="E290" r:id="rId403" xr:uid="{00000000-0004-0000-0100-000092010000}"/>
    <hyperlink ref="E291" r:id="rId404" xr:uid="{00000000-0004-0000-0100-000093010000}"/>
    <hyperlink ref="E292" r:id="rId405" xr:uid="{00000000-0004-0000-0100-000094010000}"/>
    <hyperlink ref="E293" r:id="rId406" xr:uid="{00000000-0004-0000-0100-000095010000}"/>
    <hyperlink ref="E294" r:id="rId407" xr:uid="{00000000-0004-0000-0100-000096010000}"/>
    <hyperlink ref="E295" r:id="rId408" xr:uid="{00000000-0004-0000-0100-000097010000}"/>
    <hyperlink ref="E296" r:id="rId409" xr:uid="{00000000-0004-0000-0100-000098010000}"/>
    <hyperlink ref="E297" r:id="rId410" xr:uid="{00000000-0004-0000-0100-000099010000}"/>
    <hyperlink ref="E298" r:id="rId411" xr:uid="{00000000-0004-0000-0100-00009A010000}"/>
    <hyperlink ref="E299" r:id="rId412" xr:uid="{00000000-0004-0000-0100-00009B010000}"/>
    <hyperlink ref="E300" r:id="rId413" xr:uid="{00000000-0004-0000-0100-00009C010000}"/>
    <hyperlink ref="E301" r:id="rId414" xr:uid="{00000000-0004-0000-0100-00009D010000}"/>
    <hyperlink ref="E302" r:id="rId415" xr:uid="{00000000-0004-0000-0100-00009E010000}"/>
    <hyperlink ref="E303" r:id="rId416" xr:uid="{00000000-0004-0000-0100-00009F010000}"/>
    <hyperlink ref="E304" r:id="rId417" xr:uid="{00000000-0004-0000-0100-0000A0010000}"/>
    <hyperlink ref="E305" r:id="rId418" xr:uid="{00000000-0004-0000-0100-0000A1010000}"/>
    <hyperlink ref="E306" r:id="rId419" xr:uid="{00000000-0004-0000-0100-0000A2010000}"/>
    <hyperlink ref="E307" r:id="rId420" xr:uid="{00000000-0004-0000-0100-0000A3010000}"/>
    <hyperlink ref="E308" r:id="rId421" xr:uid="{00000000-0004-0000-0100-0000A4010000}"/>
    <hyperlink ref="E309" r:id="rId422" xr:uid="{00000000-0004-0000-0100-0000A5010000}"/>
    <hyperlink ref="E310" r:id="rId423" xr:uid="{00000000-0004-0000-0100-0000A6010000}"/>
    <hyperlink ref="E311" r:id="rId424" xr:uid="{00000000-0004-0000-0100-0000A7010000}"/>
    <hyperlink ref="E312" r:id="rId425" xr:uid="{00000000-0004-0000-0100-0000A8010000}"/>
    <hyperlink ref="E313" r:id="rId426" xr:uid="{00000000-0004-0000-0100-0000A9010000}"/>
    <hyperlink ref="E314" r:id="rId427" xr:uid="{00000000-0004-0000-0100-0000AA010000}"/>
    <hyperlink ref="E315" r:id="rId428" xr:uid="{00000000-0004-0000-0100-0000AB010000}"/>
    <hyperlink ref="E316" r:id="rId429" xr:uid="{00000000-0004-0000-0100-0000AC010000}"/>
  </hyperlinks>
  <pageMargins left="0.7" right="0.7" top="0.75" bottom="0.75" header="0.3" footer="0.3"/>
  <legacyDrawing r:id="rId43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G316"/>
  <sheetViews>
    <sheetView tabSelected="1" workbookViewId="0"/>
  </sheetViews>
  <sheetFormatPr defaultColWidth="12.6328125" defaultRowHeight="15.75" customHeight="1"/>
  <sheetData>
    <row r="1" spans="1:33" ht="15.75" customHeight="1">
      <c r="A1" s="102"/>
      <c r="B1" s="102"/>
      <c r="C1" s="103"/>
      <c r="D1" s="103"/>
      <c r="E1" s="279" t="s">
        <v>88</v>
      </c>
      <c r="F1" s="265"/>
      <c r="G1" s="265"/>
      <c r="H1" s="265"/>
      <c r="I1" s="265"/>
      <c r="J1" s="265"/>
      <c r="K1" s="265"/>
      <c r="L1" s="266"/>
      <c r="M1" s="104"/>
      <c r="N1" s="105"/>
      <c r="O1" s="105"/>
      <c r="P1" s="105"/>
      <c r="Q1" s="105"/>
      <c r="R1" s="106"/>
      <c r="S1" s="106"/>
      <c r="T1" s="106"/>
      <c r="U1" s="106"/>
      <c r="V1" s="106"/>
      <c r="W1" s="106"/>
      <c r="X1" s="106"/>
      <c r="Y1" s="106"/>
      <c r="Z1" s="106"/>
      <c r="AA1" s="106"/>
      <c r="AB1" s="106"/>
      <c r="AC1" s="106"/>
      <c r="AD1" s="106"/>
      <c r="AE1" s="106"/>
      <c r="AF1" s="106"/>
      <c r="AG1" s="106"/>
    </row>
    <row r="2" spans="1:33" ht="15.75" customHeight="1">
      <c r="A2" s="107" t="s">
        <v>89</v>
      </c>
      <c r="B2" s="108" t="s">
        <v>4</v>
      </c>
      <c r="C2" s="109" t="s">
        <v>90</v>
      </c>
      <c r="D2" s="109"/>
      <c r="E2" s="280" t="s">
        <v>5</v>
      </c>
      <c r="F2" s="261"/>
      <c r="G2" s="261"/>
      <c r="H2" s="261"/>
      <c r="I2" s="272"/>
      <c r="J2" s="281" t="s">
        <v>91</v>
      </c>
      <c r="K2" s="274"/>
      <c r="L2" s="275"/>
      <c r="M2" s="282" t="s">
        <v>7</v>
      </c>
      <c r="N2" s="274"/>
      <c r="O2" s="274"/>
      <c r="P2" s="274"/>
      <c r="Q2" s="275"/>
      <c r="R2" s="283" t="s">
        <v>8</v>
      </c>
      <c r="S2" s="261"/>
      <c r="T2" s="261"/>
      <c r="U2" s="261"/>
      <c r="V2" s="261"/>
      <c r="W2" s="262"/>
      <c r="X2" s="277" t="s">
        <v>9</v>
      </c>
      <c r="Y2" s="261"/>
      <c r="Z2" s="261"/>
      <c r="AA2" s="261"/>
      <c r="AB2" s="261"/>
      <c r="AC2" s="262"/>
      <c r="AD2" s="278" t="s">
        <v>10</v>
      </c>
      <c r="AE2" s="261"/>
      <c r="AF2" s="261"/>
      <c r="AG2" s="262"/>
    </row>
    <row r="3" spans="1:33" ht="15.75" customHeight="1">
      <c r="A3" s="110"/>
      <c r="B3" s="111"/>
      <c r="C3" s="112"/>
      <c r="D3" s="112" t="s">
        <v>92</v>
      </c>
      <c r="E3" s="113" t="s">
        <v>11</v>
      </c>
      <c r="F3" s="113" t="s">
        <v>93</v>
      </c>
      <c r="G3" s="114" t="s">
        <v>94</v>
      </c>
      <c r="H3" s="115" t="s">
        <v>13</v>
      </c>
      <c r="I3" s="116" t="s">
        <v>14</v>
      </c>
      <c r="J3" s="117" t="s">
        <v>15</v>
      </c>
      <c r="K3" s="117" t="s">
        <v>16</v>
      </c>
      <c r="L3" s="117" t="s">
        <v>95</v>
      </c>
      <c r="M3" s="118" t="s">
        <v>17</v>
      </c>
      <c r="N3" s="119" t="s">
        <v>96</v>
      </c>
      <c r="O3" s="119" t="s">
        <v>19</v>
      </c>
      <c r="P3" s="119" t="s">
        <v>20</v>
      </c>
      <c r="Q3" s="120" t="s">
        <v>21</v>
      </c>
      <c r="R3" s="121" t="s">
        <v>97</v>
      </c>
      <c r="S3" s="122" t="s">
        <v>98</v>
      </c>
      <c r="T3" s="123" t="s">
        <v>99</v>
      </c>
      <c r="U3" s="122" t="s">
        <v>100</v>
      </c>
      <c r="V3" s="122" t="s">
        <v>101</v>
      </c>
      <c r="W3" s="124" t="s">
        <v>102</v>
      </c>
      <c r="X3" s="125" t="s">
        <v>103</v>
      </c>
      <c r="Y3" s="126" t="s">
        <v>30</v>
      </c>
      <c r="Z3" s="126" t="s">
        <v>104</v>
      </c>
      <c r="AA3" s="126" t="s">
        <v>32</v>
      </c>
      <c r="AB3" s="126" t="s">
        <v>33</v>
      </c>
      <c r="AC3" s="127" t="s">
        <v>105</v>
      </c>
      <c r="AD3" s="128" t="s">
        <v>106</v>
      </c>
      <c r="AE3" s="129" t="s">
        <v>107</v>
      </c>
      <c r="AF3" s="129" t="s">
        <v>37</v>
      </c>
      <c r="AG3" s="130" t="s">
        <v>38</v>
      </c>
    </row>
    <row r="4" spans="1:33" ht="15.75" customHeight="1">
      <c r="A4" s="131"/>
      <c r="B4" s="132"/>
      <c r="C4" s="133"/>
      <c r="D4" s="133"/>
      <c r="E4" s="133"/>
      <c r="F4" s="134"/>
      <c r="G4" s="135"/>
      <c r="H4" s="136"/>
      <c r="I4" s="137" t="s">
        <v>685</v>
      </c>
      <c r="J4" s="138" t="s">
        <v>686</v>
      </c>
      <c r="K4" s="139" t="s">
        <v>687</v>
      </c>
      <c r="L4" s="140" t="s">
        <v>688</v>
      </c>
      <c r="M4" s="141" t="s">
        <v>689</v>
      </c>
      <c r="N4" s="142" t="s">
        <v>690</v>
      </c>
      <c r="O4" s="142" t="s">
        <v>114</v>
      </c>
      <c r="P4" s="143" t="s">
        <v>691</v>
      </c>
      <c r="Q4" s="144" t="s">
        <v>692</v>
      </c>
      <c r="R4" s="145" t="s">
        <v>693</v>
      </c>
      <c r="S4" s="146" t="s">
        <v>118</v>
      </c>
      <c r="T4" s="147" t="s">
        <v>694</v>
      </c>
      <c r="U4" s="147" t="s">
        <v>695</v>
      </c>
      <c r="V4" s="147" t="s">
        <v>696</v>
      </c>
      <c r="W4" s="148" t="s">
        <v>697</v>
      </c>
      <c r="X4" s="149" t="s">
        <v>698</v>
      </c>
      <c r="Y4" s="150" t="s">
        <v>699</v>
      </c>
      <c r="Z4" s="150" t="s">
        <v>700</v>
      </c>
      <c r="AA4" s="150" t="s">
        <v>126</v>
      </c>
      <c r="AB4" s="150" t="s">
        <v>701</v>
      </c>
      <c r="AC4" s="151" t="s">
        <v>702</v>
      </c>
      <c r="AD4" s="152" t="s">
        <v>129</v>
      </c>
      <c r="AE4" s="153" t="s">
        <v>703</v>
      </c>
      <c r="AF4" s="153" t="s">
        <v>62</v>
      </c>
      <c r="AG4" s="154" t="s">
        <v>704</v>
      </c>
    </row>
    <row r="5" spans="1:33" ht="15.75" customHeight="1">
      <c r="A5" s="65" t="s">
        <v>133</v>
      </c>
      <c r="B5" s="65" t="s">
        <v>73</v>
      </c>
      <c r="C5" s="155"/>
      <c r="D5" s="155" t="s">
        <v>134</v>
      </c>
      <c r="E5" s="156" t="s">
        <v>135</v>
      </c>
      <c r="F5" s="157" t="str">
        <f ca="1">IFERROR(__xludf.DUMMYFUNCTION("INDEX(SPLIT(E5,""/""),,COUNTA(SPLIT(E5,""/"")))"),"1701278887978692899")</f>
        <v>1701278887978692899</v>
      </c>
      <c r="G5" s="158" t="s">
        <v>136</v>
      </c>
      <c r="H5" s="159" t="s">
        <v>137</v>
      </c>
      <c r="I5" s="159" t="s">
        <v>70</v>
      </c>
      <c r="J5" s="106" t="s">
        <v>138</v>
      </c>
      <c r="K5" s="106" t="s">
        <v>138</v>
      </c>
      <c r="L5" s="159">
        <v>1</v>
      </c>
      <c r="M5" s="159">
        <v>1</v>
      </c>
      <c r="N5" s="159">
        <v>1</v>
      </c>
      <c r="O5" s="159">
        <v>1</v>
      </c>
      <c r="P5" s="159">
        <v>2</v>
      </c>
      <c r="Q5" s="159">
        <v>1</v>
      </c>
      <c r="R5" s="159">
        <v>1</v>
      </c>
      <c r="S5" s="159">
        <v>1</v>
      </c>
      <c r="T5" s="159">
        <v>1</v>
      </c>
      <c r="U5" s="159">
        <v>3</v>
      </c>
      <c r="V5" s="159">
        <v>1</v>
      </c>
      <c r="W5" s="159">
        <v>1</v>
      </c>
      <c r="X5" s="159">
        <v>1</v>
      </c>
      <c r="Y5" s="159">
        <v>1</v>
      </c>
      <c r="Z5" s="159">
        <v>1</v>
      </c>
      <c r="AA5" s="159">
        <v>1</v>
      </c>
      <c r="AB5" s="159">
        <v>1</v>
      </c>
      <c r="AC5" s="159">
        <v>1</v>
      </c>
      <c r="AD5" s="159">
        <v>1</v>
      </c>
      <c r="AE5" s="159">
        <v>1</v>
      </c>
      <c r="AF5" s="159">
        <v>3</v>
      </c>
      <c r="AG5" s="159">
        <v>1</v>
      </c>
    </row>
    <row r="6" spans="1:33" ht="15.75" customHeight="1">
      <c r="A6" s="65" t="s">
        <v>133</v>
      </c>
      <c r="B6" s="65" t="s">
        <v>73</v>
      </c>
      <c r="C6" s="160"/>
      <c r="D6" s="155" t="s">
        <v>139</v>
      </c>
      <c r="E6" s="161" t="s">
        <v>140</v>
      </c>
      <c r="F6" s="157" t="str">
        <f ca="1">IFERROR(__xludf.DUMMYFUNCTION("INDEX(SPLIT(E6,""/""),,COUNTA(SPLIT(E6,""/"")))"),"1714179012723867752")</f>
        <v>1714179012723867752</v>
      </c>
      <c r="G6" s="158" t="s">
        <v>141</v>
      </c>
      <c r="H6" s="162" t="s">
        <v>142</v>
      </c>
      <c r="I6" s="163" t="s">
        <v>81</v>
      </c>
      <c r="J6" s="106" t="s">
        <v>138</v>
      </c>
      <c r="K6" s="106" t="s">
        <v>138</v>
      </c>
      <c r="L6" s="159">
        <v>1</v>
      </c>
      <c r="M6" s="162">
        <v>1</v>
      </c>
      <c r="N6" s="162">
        <v>1</v>
      </c>
      <c r="O6" s="162">
        <v>1</v>
      </c>
      <c r="P6" s="162">
        <v>1</v>
      </c>
      <c r="Q6" s="162">
        <v>1</v>
      </c>
      <c r="R6" s="162">
        <v>1</v>
      </c>
      <c r="S6" s="162">
        <v>2</v>
      </c>
      <c r="T6" s="162">
        <v>1</v>
      </c>
      <c r="U6" s="162">
        <v>2</v>
      </c>
      <c r="V6" s="162">
        <v>1</v>
      </c>
      <c r="W6" s="159">
        <v>1</v>
      </c>
      <c r="X6" s="162">
        <v>1</v>
      </c>
      <c r="Y6" s="162">
        <v>1</v>
      </c>
      <c r="Z6" s="162">
        <v>1</v>
      </c>
      <c r="AA6" s="162">
        <v>1</v>
      </c>
      <c r="AB6" s="162">
        <v>1</v>
      </c>
      <c r="AC6" s="162">
        <v>1</v>
      </c>
      <c r="AD6" s="162">
        <v>1</v>
      </c>
      <c r="AE6" s="162">
        <v>1</v>
      </c>
      <c r="AF6" s="162">
        <v>1</v>
      </c>
      <c r="AG6" s="162">
        <v>1</v>
      </c>
    </row>
    <row r="7" spans="1:33" ht="15.75" customHeight="1">
      <c r="A7" s="65" t="s">
        <v>133</v>
      </c>
      <c r="B7" s="65" t="s">
        <v>77</v>
      </c>
      <c r="C7" s="70"/>
      <c r="D7" s="155" t="s">
        <v>143</v>
      </c>
      <c r="E7" s="164" t="s">
        <v>144</v>
      </c>
      <c r="F7" s="157" t="str">
        <f ca="1">IFERROR(__xludf.DUMMYFUNCTION("INDEX(SPLIT(E7,""/""),,COUNTA(SPLIT(E7,""/"")))"),"1681325307863728129")</f>
        <v>1681325307863728129</v>
      </c>
      <c r="G7" s="165" t="s">
        <v>145</v>
      </c>
      <c r="H7" s="65" t="s">
        <v>80</v>
      </c>
      <c r="I7" s="65" t="s">
        <v>70</v>
      </c>
      <c r="J7" s="106" t="s">
        <v>138</v>
      </c>
      <c r="K7" s="106" t="s">
        <v>146</v>
      </c>
      <c r="L7" s="159">
        <v>3</v>
      </c>
      <c r="M7" s="65">
        <v>3</v>
      </c>
      <c r="N7" s="65">
        <v>3</v>
      </c>
      <c r="O7" s="65">
        <v>3</v>
      </c>
      <c r="P7" s="65">
        <v>3</v>
      </c>
      <c r="Q7" s="65">
        <v>3</v>
      </c>
      <c r="R7" s="65">
        <v>3</v>
      </c>
      <c r="S7" s="65">
        <v>3</v>
      </c>
      <c r="T7" s="65">
        <v>2</v>
      </c>
      <c r="U7" s="65">
        <v>3</v>
      </c>
      <c r="V7" s="65">
        <v>3</v>
      </c>
      <c r="W7" s="159">
        <v>1</v>
      </c>
      <c r="X7" s="65">
        <v>1</v>
      </c>
      <c r="Y7" s="65">
        <v>2</v>
      </c>
      <c r="Z7" s="65">
        <v>3</v>
      </c>
      <c r="AA7" s="65">
        <v>1</v>
      </c>
      <c r="AB7" s="65">
        <v>1</v>
      </c>
      <c r="AC7" s="65">
        <v>3</v>
      </c>
      <c r="AD7" s="65">
        <v>3</v>
      </c>
      <c r="AE7" s="65">
        <v>3</v>
      </c>
      <c r="AF7" s="65">
        <v>3</v>
      </c>
      <c r="AG7" s="65">
        <v>1</v>
      </c>
    </row>
    <row r="8" spans="1:33" ht="15.75" customHeight="1">
      <c r="A8" s="65" t="s">
        <v>133</v>
      </c>
      <c r="B8" s="65" t="s">
        <v>77</v>
      </c>
      <c r="C8" s="70"/>
      <c r="D8" s="155" t="s">
        <v>147</v>
      </c>
      <c r="E8" s="164" t="s">
        <v>67</v>
      </c>
      <c r="F8" s="157" t="str">
        <f ca="1">IFERROR(__xludf.DUMMYFUNCTION("INDEX(SPLIT(E8,""/""),,COUNTA(SPLIT(E8,""/"")))"),"1681096634854436865")</f>
        <v>1681096634854436865</v>
      </c>
      <c r="G8" s="164" t="s">
        <v>67</v>
      </c>
      <c r="H8" s="65" t="s">
        <v>80</v>
      </c>
      <c r="I8" s="76" t="s">
        <v>70</v>
      </c>
      <c r="J8" s="106" t="s">
        <v>138</v>
      </c>
      <c r="K8" s="106" t="s">
        <v>146</v>
      </c>
      <c r="L8" s="76">
        <v>3</v>
      </c>
      <c r="M8" s="76">
        <v>3</v>
      </c>
      <c r="N8" s="76">
        <v>3</v>
      </c>
      <c r="O8" s="76">
        <v>3</v>
      </c>
      <c r="P8" s="76">
        <v>2</v>
      </c>
      <c r="Q8" s="76">
        <v>3</v>
      </c>
      <c r="R8" s="76">
        <v>3</v>
      </c>
      <c r="S8" s="76">
        <v>3</v>
      </c>
      <c r="T8" s="76">
        <v>3</v>
      </c>
      <c r="U8" s="76">
        <v>3</v>
      </c>
      <c r="V8" s="76">
        <v>3</v>
      </c>
      <c r="W8" s="76">
        <v>1</v>
      </c>
      <c r="X8" s="76">
        <v>1</v>
      </c>
      <c r="Y8" s="76">
        <v>1</v>
      </c>
      <c r="Z8" s="76">
        <v>1</v>
      </c>
      <c r="AA8" s="76">
        <v>2</v>
      </c>
      <c r="AB8" s="76">
        <v>1</v>
      </c>
      <c r="AC8" s="76">
        <v>3</v>
      </c>
      <c r="AD8" s="76">
        <v>3</v>
      </c>
      <c r="AE8" s="76">
        <v>3</v>
      </c>
      <c r="AF8" s="76">
        <v>3</v>
      </c>
      <c r="AG8" s="76">
        <v>1</v>
      </c>
    </row>
    <row r="9" spans="1:33" ht="15.75" customHeight="1">
      <c r="A9" s="65" t="s">
        <v>133</v>
      </c>
      <c r="B9" s="65" t="s">
        <v>77</v>
      </c>
      <c r="C9" s="70"/>
      <c r="D9" s="155" t="s">
        <v>148</v>
      </c>
      <c r="E9" s="164" t="s">
        <v>149</v>
      </c>
      <c r="F9" s="157" t="str">
        <f ca="1">IFERROR(__xludf.DUMMYFUNCTION("INDEX(SPLIT(E9,""/""),,COUNTA(SPLIT(E9,""/"")))"),"1695781931240091721")</f>
        <v>1695781931240091721</v>
      </c>
      <c r="G9" s="164" t="s">
        <v>149</v>
      </c>
      <c r="H9" s="65" t="s">
        <v>80</v>
      </c>
      <c r="I9" s="65" t="s">
        <v>70</v>
      </c>
      <c r="J9" s="106" t="s">
        <v>138</v>
      </c>
      <c r="K9" s="106" t="s">
        <v>138</v>
      </c>
      <c r="L9" s="159">
        <v>1</v>
      </c>
      <c r="M9" s="65">
        <v>1</v>
      </c>
      <c r="N9" s="65">
        <v>1</v>
      </c>
      <c r="O9" s="65">
        <v>1</v>
      </c>
      <c r="P9" s="65">
        <v>1</v>
      </c>
      <c r="Q9" s="65">
        <v>3</v>
      </c>
      <c r="R9" s="65">
        <v>3</v>
      </c>
      <c r="S9" s="65">
        <v>3</v>
      </c>
      <c r="T9" s="65">
        <v>1</v>
      </c>
      <c r="U9" s="65">
        <v>3</v>
      </c>
      <c r="V9" s="65">
        <v>1</v>
      </c>
      <c r="W9" s="159">
        <v>3</v>
      </c>
      <c r="X9" s="65">
        <v>1</v>
      </c>
      <c r="Y9" s="65">
        <v>1</v>
      </c>
      <c r="Z9" s="65">
        <v>3</v>
      </c>
      <c r="AA9" s="65">
        <v>1</v>
      </c>
      <c r="AB9" s="65">
        <v>1</v>
      </c>
      <c r="AC9" s="65">
        <v>1</v>
      </c>
      <c r="AD9" s="65">
        <v>3</v>
      </c>
      <c r="AE9" s="65">
        <v>3</v>
      </c>
      <c r="AF9" s="65">
        <v>1</v>
      </c>
      <c r="AG9" s="65">
        <v>1</v>
      </c>
    </row>
    <row r="10" spans="1:33" ht="15.75" customHeight="1">
      <c r="A10" s="65" t="s">
        <v>133</v>
      </c>
      <c r="B10" s="65" t="s">
        <v>77</v>
      </c>
      <c r="C10" s="70" t="s">
        <v>66</v>
      </c>
      <c r="D10" s="155" t="s">
        <v>150</v>
      </c>
      <c r="E10" s="164" t="s">
        <v>151</v>
      </c>
      <c r="F10" s="157" t="str">
        <f ca="1">IFERROR(__xludf.DUMMYFUNCTION("INDEX(SPLIT(E10,""/""),,COUNTA(SPLIT(E10,""/"")))"),"1685451792258351104")</f>
        <v>1685451792258351104</v>
      </c>
      <c r="G10" s="164" t="s">
        <v>151</v>
      </c>
      <c r="H10" s="65" t="s">
        <v>80</v>
      </c>
      <c r="I10" s="65" t="s">
        <v>70</v>
      </c>
      <c r="J10" s="106" t="s">
        <v>146</v>
      </c>
      <c r="K10" s="106" t="s">
        <v>146</v>
      </c>
      <c r="L10" s="159">
        <v>3</v>
      </c>
      <c r="M10" s="65">
        <v>2</v>
      </c>
      <c r="N10" s="65">
        <v>2</v>
      </c>
      <c r="O10" s="65">
        <v>1</v>
      </c>
      <c r="P10" s="65">
        <v>2</v>
      </c>
      <c r="Q10" s="65">
        <v>2</v>
      </c>
      <c r="R10" s="65">
        <v>1</v>
      </c>
      <c r="S10" s="65">
        <v>3</v>
      </c>
      <c r="T10" s="65">
        <v>3</v>
      </c>
      <c r="U10" s="65">
        <v>2</v>
      </c>
      <c r="V10" s="65">
        <v>2</v>
      </c>
      <c r="W10" s="159">
        <v>1</v>
      </c>
      <c r="X10" s="65">
        <v>1</v>
      </c>
      <c r="Y10" s="65">
        <v>1</v>
      </c>
      <c r="Z10" s="65">
        <v>1</v>
      </c>
      <c r="AA10" s="65">
        <v>1</v>
      </c>
      <c r="AB10" s="65">
        <v>1</v>
      </c>
      <c r="AC10" s="65">
        <v>1</v>
      </c>
      <c r="AD10" s="65">
        <v>2</v>
      </c>
      <c r="AE10" s="65">
        <v>1</v>
      </c>
      <c r="AF10" s="65">
        <v>1</v>
      </c>
      <c r="AG10" s="65">
        <v>1</v>
      </c>
    </row>
    <row r="11" spans="1:33" ht="15.75" customHeight="1">
      <c r="A11" s="65"/>
      <c r="B11" s="65" t="s">
        <v>77</v>
      </c>
      <c r="C11" s="70"/>
      <c r="D11" s="155" t="s">
        <v>152</v>
      </c>
      <c r="E11" s="164" t="s">
        <v>153</v>
      </c>
      <c r="F11" s="157" t="str">
        <f ca="1">IFERROR(__xludf.DUMMYFUNCTION("INDEX(SPLIT(E11,""/""),,COUNTA(SPLIT(E11,""/"")))"),"1720179582123254009")</f>
        <v>1720179582123254009</v>
      </c>
      <c r="G11" s="165" t="s">
        <v>154</v>
      </c>
      <c r="H11" s="65" t="s">
        <v>80</v>
      </c>
      <c r="I11" s="76" t="s">
        <v>70</v>
      </c>
      <c r="J11" s="106" t="s">
        <v>138</v>
      </c>
      <c r="K11" s="106" t="s">
        <v>138</v>
      </c>
      <c r="L11" s="159">
        <v>2</v>
      </c>
      <c r="M11" s="76">
        <v>3</v>
      </c>
      <c r="N11" s="76">
        <v>2</v>
      </c>
      <c r="O11" s="76">
        <v>3</v>
      </c>
      <c r="P11" s="76">
        <v>3</v>
      </c>
      <c r="Q11" s="76">
        <v>3</v>
      </c>
      <c r="R11" s="76">
        <v>3</v>
      </c>
      <c r="S11" s="76">
        <v>3</v>
      </c>
      <c r="T11" s="76">
        <v>3</v>
      </c>
      <c r="U11" s="76">
        <v>3</v>
      </c>
      <c r="V11" s="76">
        <v>3</v>
      </c>
      <c r="W11" s="159">
        <v>1</v>
      </c>
      <c r="X11" s="76">
        <v>3</v>
      </c>
      <c r="Y11" s="76">
        <v>2</v>
      </c>
      <c r="Z11" s="76">
        <v>1</v>
      </c>
      <c r="AA11" s="76">
        <v>1</v>
      </c>
      <c r="AB11" s="76">
        <v>1</v>
      </c>
      <c r="AC11" s="76">
        <v>1</v>
      </c>
      <c r="AD11" s="76">
        <v>3</v>
      </c>
      <c r="AE11" s="76">
        <v>1</v>
      </c>
      <c r="AF11" s="76">
        <v>3</v>
      </c>
      <c r="AG11" s="76">
        <v>1</v>
      </c>
    </row>
    <row r="12" spans="1:33" ht="15.75" customHeight="1">
      <c r="A12" s="65"/>
      <c r="B12" s="65" t="s">
        <v>77</v>
      </c>
      <c r="C12" s="70"/>
      <c r="D12" s="155" t="s">
        <v>155</v>
      </c>
      <c r="E12" s="164" t="s">
        <v>156</v>
      </c>
      <c r="F12" s="157" t="str">
        <f ca="1">IFERROR(__xludf.DUMMYFUNCTION("INDEX(SPLIT(E12,""/""),,COUNTA(SPLIT(E12,""/"")))"),"1683253882397552641")</f>
        <v>1683253882397552641</v>
      </c>
      <c r="G12" s="165" t="s">
        <v>157</v>
      </c>
      <c r="H12" s="76" t="s">
        <v>80</v>
      </c>
      <c r="I12" s="76" t="s">
        <v>81</v>
      </c>
      <c r="J12" s="106" t="s">
        <v>138</v>
      </c>
      <c r="K12" s="106" t="s">
        <v>138</v>
      </c>
      <c r="L12" s="159">
        <v>1</v>
      </c>
      <c r="M12" s="76">
        <v>3</v>
      </c>
      <c r="N12" s="76">
        <v>2</v>
      </c>
      <c r="O12" s="76">
        <v>1</v>
      </c>
      <c r="P12" s="76">
        <v>1</v>
      </c>
      <c r="Q12" s="76">
        <v>1</v>
      </c>
      <c r="R12" s="76">
        <v>3</v>
      </c>
      <c r="S12" s="76">
        <v>3</v>
      </c>
      <c r="T12" s="76">
        <v>2</v>
      </c>
      <c r="U12" s="76">
        <v>1</v>
      </c>
      <c r="V12" s="76">
        <v>1</v>
      </c>
      <c r="W12" s="159">
        <v>1</v>
      </c>
      <c r="X12" s="76">
        <v>1</v>
      </c>
      <c r="Y12" s="76">
        <v>1</v>
      </c>
      <c r="Z12" s="76">
        <v>2</v>
      </c>
      <c r="AA12" s="76">
        <v>3</v>
      </c>
      <c r="AB12" s="76">
        <v>2</v>
      </c>
      <c r="AC12" s="76">
        <v>1</v>
      </c>
      <c r="AD12" s="76">
        <v>3</v>
      </c>
      <c r="AE12" s="76">
        <v>3</v>
      </c>
      <c r="AF12" s="76">
        <v>1</v>
      </c>
      <c r="AG12" s="76">
        <v>1</v>
      </c>
    </row>
    <row r="13" spans="1:33" ht="15.75" customHeight="1">
      <c r="A13" s="65"/>
      <c r="B13" s="65" t="s">
        <v>73</v>
      </c>
      <c r="C13" s="70"/>
      <c r="D13" s="155" t="s">
        <v>158</v>
      </c>
      <c r="E13" s="166" t="s">
        <v>159</v>
      </c>
      <c r="F13" s="157" t="str">
        <f ca="1">IFERROR(__xludf.DUMMYFUNCTION("INDEX(SPLIT(E13,""/""),,COUNTA(SPLIT(E13,""/"")))"),"1703401067944214675")</f>
        <v>1703401067944214675</v>
      </c>
      <c r="G13" s="165" t="s">
        <v>160</v>
      </c>
      <c r="H13" s="65" t="s">
        <v>137</v>
      </c>
      <c r="I13" s="167" t="s">
        <v>70</v>
      </c>
      <c r="J13" s="106" t="s">
        <v>138</v>
      </c>
      <c r="K13" s="106" t="s">
        <v>146</v>
      </c>
      <c r="L13" s="159">
        <v>3</v>
      </c>
      <c r="M13" s="65">
        <v>3</v>
      </c>
      <c r="N13" s="65">
        <v>3</v>
      </c>
      <c r="O13" s="65">
        <v>2</v>
      </c>
      <c r="P13" s="65">
        <v>2</v>
      </c>
      <c r="Q13" s="65">
        <v>2</v>
      </c>
      <c r="R13" s="65">
        <v>2</v>
      </c>
      <c r="S13" s="65">
        <v>3</v>
      </c>
      <c r="T13" s="65">
        <v>3</v>
      </c>
      <c r="U13" s="65">
        <v>3</v>
      </c>
      <c r="V13" s="159">
        <v>2</v>
      </c>
      <c r="W13" s="159">
        <v>1</v>
      </c>
      <c r="X13" s="65">
        <v>3</v>
      </c>
      <c r="Y13" s="65">
        <v>2</v>
      </c>
      <c r="Z13" s="65">
        <v>3</v>
      </c>
      <c r="AA13" s="65">
        <v>1</v>
      </c>
      <c r="AB13" s="65">
        <v>1</v>
      </c>
      <c r="AC13" s="65">
        <v>1</v>
      </c>
      <c r="AD13" s="65">
        <v>3</v>
      </c>
      <c r="AE13" s="65">
        <v>3</v>
      </c>
      <c r="AF13" s="65">
        <v>3</v>
      </c>
      <c r="AG13" s="65">
        <v>1</v>
      </c>
    </row>
    <row r="14" spans="1:33" ht="15.75" customHeight="1">
      <c r="A14" s="76" t="s">
        <v>161</v>
      </c>
      <c r="B14" s="65" t="s">
        <v>73</v>
      </c>
      <c r="C14" s="70"/>
      <c r="D14" s="155" t="s">
        <v>162</v>
      </c>
      <c r="E14" s="166" t="s">
        <v>163</v>
      </c>
      <c r="F14" s="157" t="str">
        <f ca="1">IFERROR(__xludf.DUMMYFUNCTION("INDEX(SPLIT(E14,""/""),,COUNTA(SPLIT(E14,""/"")))"),"1640432067543441420")</f>
        <v>1640432067543441420</v>
      </c>
      <c r="G14" s="165" t="s">
        <v>164</v>
      </c>
      <c r="H14" s="65" t="s">
        <v>137</v>
      </c>
      <c r="I14" s="167" t="s">
        <v>70</v>
      </c>
      <c r="J14" s="106" t="s">
        <v>138</v>
      </c>
      <c r="K14" s="106" t="s">
        <v>146</v>
      </c>
      <c r="L14" s="159">
        <v>3</v>
      </c>
      <c r="M14" s="167"/>
      <c r="N14" s="167"/>
      <c r="O14" s="167"/>
      <c r="P14" s="167"/>
      <c r="Q14" s="167"/>
      <c r="R14" s="167"/>
      <c r="S14" s="167"/>
      <c r="T14" s="167"/>
      <c r="U14" s="167"/>
      <c r="V14" s="162"/>
      <c r="W14" s="159"/>
      <c r="X14" s="167"/>
      <c r="Y14" s="167"/>
      <c r="Z14" s="167"/>
      <c r="AA14" s="167"/>
      <c r="AB14" s="167"/>
      <c r="AC14" s="167"/>
      <c r="AD14" s="167"/>
      <c r="AE14" s="167"/>
      <c r="AF14" s="167"/>
      <c r="AG14" s="167"/>
    </row>
    <row r="15" spans="1:33" ht="15.75" customHeight="1">
      <c r="A15" s="65" t="s">
        <v>133</v>
      </c>
      <c r="B15" s="65" t="s">
        <v>73</v>
      </c>
      <c r="C15" s="70"/>
      <c r="D15" s="155" t="s">
        <v>165</v>
      </c>
      <c r="E15" s="166" t="s">
        <v>166</v>
      </c>
      <c r="F15" s="157" t="str">
        <f ca="1">IFERROR(__xludf.DUMMYFUNCTION("INDEX(SPLIT(E15,""/""),,COUNTA(SPLIT(E15,""/"")))"),"1597216249670692864")</f>
        <v>1597216249670692864</v>
      </c>
      <c r="G15" s="165" t="s">
        <v>167</v>
      </c>
      <c r="H15" s="65" t="s">
        <v>137</v>
      </c>
      <c r="I15" s="65" t="s">
        <v>70</v>
      </c>
      <c r="J15" s="106" t="s">
        <v>138</v>
      </c>
      <c r="K15" s="106" t="s">
        <v>138</v>
      </c>
      <c r="L15" s="159">
        <v>1</v>
      </c>
      <c r="M15" s="65">
        <v>3</v>
      </c>
      <c r="N15" s="65">
        <v>2</v>
      </c>
      <c r="O15" s="65">
        <v>2</v>
      </c>
      <c r="P15" s="65">
        <v>1</v>
      </c>
      <c r="Q15" s="65">
        <v>1</v>
      </c>
      <c r="R15" s="65">
        <v>1</v>
      </c>
      <c r="S15" s="65">
        <v>2</v>
      </c>
      <c r="T15" s="65">
        <v>2</v>
      </c>
      <c r="U15" s="65">
        <v>3</v>
      </c>
      <c r="V15" s="65">
        <v>1</v>
      </c>
      <c r="W15" s="159">
        <v>1</v>
      </c>
      <c r="X15" s="65">
        <v>1</v>
      </c>
      <c r="Y15" s="65">
        <v>2</v>
      </c>
      <c r="Z15" s="65">
        <v>1</v>
      </c>
      <c r="AA15" s="65">
        <v>1</v>
      </c>
      <c r="AB15" s="65">
        <v>1</v>
      </c>
      <c r="AC15" s="65">
        <v>1</v>
      </c>
      <c r="AD15" s="65">
        <v>2</v>
      </c>
      <c r="AE15" s="65">
        <v>3</v>
      </c>
      <c r="AF15" s="65">
        <v>3</v>
      </c>
      <c r="AG15" s="65">
        <v>2</v>
      </c>
    </row>
    <row r="16" spans="1:33" ht="15.75" customHeight="1">
      <c r="A16" s="65" t="s">
        <v>133</v>
      </c>
      <c r="B16" s="65" t="s">
        <v>73</v>
      </c>
      <c r="C16" s="70"/>
      <c r="D16" s="155" t="s">
        <v>168</v>
      </c>
      <c r="E16" s="166" t="s">
        <v>169</v>
      </c>
      <c r="F16" s="157" t="str">
        <f ca="1">IFERROR(__xludf.DUMMYFUNCTION("INDEX(SPLIT(E16,""/""),,COUNTA(SPLIT(E16,""/"")))"),"1739023982970438103")</f>
        <v>1739023982970438103</v>
      </c>
      <c r="G16" s="165" t="s">
        <v>170</v>
      </c>
      <c r="H16" s="168" t="s">
        <v>137</v>
      </c>
      <c r="I16" s="65" t="s">
        <v>81</v>
      </c>
      <c r="J16" s="106" t="s">
        <v>138</v>
      </c>
      <c r="K16" s="106" t="s">
        <v>138</v>
      </c>
      <c r="L16" s="159">
        <v>2</v>
      </c>
      <c r="M16" s="65">
        <v>3</v>
      </c>
      <c r="N16" s="65">
        <v>2</v>
      </c>
      <c r="O16" s="65">
        <v>3</v>
      </c>
      <c r="P16" s="65">
        <v>1</v>
      </c>
      <c r="Q16" s="65">
        <v>1</v>
      </c>
      <c r="R16" s="65">
        <v>2</v>
      </c>
      <c r="S16" s="65">
        <v>3</v>
      </c>
      <c r="T16" s="65">
        <v>2</v>
      </c>
      <c r="U16" s="65">
        <v>2</v>
      </c>
      <c r="V16" s="65">
        <v>1</v>
      </c>
      <c r="W16" s="159">
        <v>2</v>
      </c>
      <c r="X16" s="65">
        <v>1</v>
      </c>
      <c r="Y16" s="65">
        <v>1</v>
      </c>
      <c r="Z16" s="65">
        <v>1</v>
      </c>
      <c r="AA16" s="65">
        <v>1</v>
      </c>
      <c r="AB16" s="65">
        <v>1</v>
      </c>
      <c r="AC16" s="65">
        <v>1</v>
      </c>
      <c r="AD16" s="65">
        <v>3</v>
      </c>
      <c r="AE16" s="65">
        <v>3</v>
      </c>
      <c r="AF16" s="65">
        <v>3</v>
      </c>
      <c r="AG16" s="65">
        <v>1</v>
      </c>
    </row>
    <row r="17" spans="1:33" ht="15.75" customHeight="1">
      <c r="A17" s="65" t="s">
        <v>133</v>
      </c>
      <c r="B17" s="65" t="s">
        <v>77</v>
      </c>
      <c r="C17" s="169"/>
      <c r="D17" s="155" t="s">
        <v>171</v>
      </c>
      <c r="E17" s="170" t="s">
        <v>172</v>
      </c>
      <c r="F17" s="157" t="str">
        <f ca="1">IFERROR(__xludf.DUMMYFUNCTION("INDEX(SPLIT(E17,""/""),,COUNTA(SPLIT(E17,""/"")))"),"1731358374183276761")</f>
        <v>1731358374183276761</v>
      </c>
      <c r="G17" s="171" t="s">
        <v>173</v>
      </c>
      <c r="H17" s="168" t="s">
        <v>174</v>
      </c>
      <c r="I17" s="65" t="s">
        <v>81</v>
      </c>
      <c r="J17" s="106" t="s">
        <v>138</v>
      </c>
      <c r="K17" s="106" t="s">
        <v>138</v>
      </c>
      <c r="L17" s="159">
        <v>1</v>
      </c>
      <c r="M17" s="65">
        <v>1</v>
      </c>
      <c r="N17" s="65">
        <v>1</v>
      </c>
      <c r="O17" s="65">
        <v>1</v>
      </c>
      <c r="P17" s="65">
        <v>2</v>
      </c>
      <c r="Q17" s="65">
        <v>1</v>
      </c>
      <c r="R17" s="65">
        <v>2</v>
      </c>
      <c r="S17" s="65">
        <v>1</v>
      </c>
      <c r="T17" s="65">
        <v>1</v>
      </c>
      <c r="U17" s="65">
        <v>1</v>
      </c>
      <c r="V17" s="65">
        <v>1</v>
      </c>
      <c r="W17" s="159">
        <v>1</v>
      </c>
      <c r="X17" s="65">
        <v>1</v>
      </c>
      <c r="Y17" s="65">
        <v>1</v>
      </c>
      <c r="Z17" s="65">
        <v>1</v>
      </c>
      <c r="AA17" s="65">
        <v>1</v>
      </c>
      <c r="AB17" s="65">
        <v>1</v>
      </c>
      <c r="AC17" s="65">
        <v>1</v>
      </c>
      <c r="AD17" s="65">
        <v>1</v>
      </c>
      <c r="AE17" s="65">
        <v>1</v>
      </c>
      <c r="AF17" s="65">
        <v>1</v>
      </c>
      <c r="AG17" s="65">
        <v>1</v>
      </c>
    </row>
    <row r="18" spans="1:33" ht="15.75" customHeight="1">
      <c r="A18" s="65"/>
      <c r="B18" s="65" t="s">
        <v>77</v>
      </c>
      <c r="C18" s="169"/>
      <c r="D18" s="155" t="s">
        <v>175</v>
      </c>
      <c r="E18" s="170" t="s">
        <v>176</v>
      </c>
      <c r="F18" s="157" t="str">
        <f ca="1">IFERROR(__xludf.DUMMYFUNCTION("INDEX(SPLIT(E18,""/""),,COUNTA(SPLIT(E18,""/"")))"),"1724014055705227380")</f>
        <v>1724014055705227380</v>
      </c>
      <c r="G18" s="165" t="s">
        <v>177</v>
      </c>
      <c r="H18" s="168" t="s">
        <v>174</v>
      </c>
      <c r="I18" s="65" t="s">
        <v>81</v>
      </c>
      <c r="J18" s="106" t="s">
        <v>138</v>
      </c>
      <c r="K18" s="106" t="s">
        <v>138</v>
      </c>
      <c r="L18" s="159">
        <v>1</v>
      </c>
      <c r="M18" s="65">
        <v>3</v>
      </c>
      <c r="N18" s="65">
        <v>3</v>
      </c>
      <c r="O18" s="65">
        <v>1</v>
      </c>
      <c r="P18" s="65">
        <v>2</v>
      </c>
      <c r="Q18" s="65">
        <v>1</v>
      </c>
      <c r="R18" s="65">
        <v>1</v>
      </c>
      <c r="S18" s="65">
        <v>2</v>
      </c>
      <c r="T18" s="65">
        <v>1</v>
      </c>
      <c r="U18" s="65">
        <v>2</v>
      </c>
      <c r="V18" s="65">
        <v>1</v>
      </c>
      <c r="W18" s="159">
        <v>1</v>
      </c>
      <c r="X18" s="65">
        <v>1</v>
      </c>
      <c r="Y18" s="65">
        <v>1</v>
      </c>
      <c r="Z18" s="65">
        <v>1</v>
      </c>
      <c r="AA18" s="65">
        <v>1</v>
      </c>
      <c r="AB18" s="65">
        <v>1</v>
      </c>
      <c r="AC18" s="65">
        <v>1</v>
      </c>
      <c r="AD18" s="65">
        <v>2</v>
      </c>
      <c r="AE18" s="65">
        <v>1</v>
      </c>
      <c r="AF18" s="65">
        <v>1</v>
      </c>
      <c r="AG18" s="65">
        <v>1</v>
      </c>
    </row>
    <row r="19" spans="1:33" ht="15.75" customHeight="1">
      <c r="A19" s="65"/>
      <c r="B19" s="65" t="s">
        <v>77</v>
      </c>
      <c r="C19" s="169"/>
      <c r="D19" s="155" t="s">
        <v>178</v>
      </c>
      <c r="E19" s="170" t="s">
        <v>179</v>
      </c>
      <c r="F19" s="157" t="str">
        <f ca="1">IFERROR(__xludf.DUMMYFUNCTION("INDEX(SPLIT(E19,""/""),,COUNTA(SPLIT(E19,""/"")))"),"1719287930286375233")</f>
        <v>1719287930286375233</v>
      </c>
      <c r="G19" s="165" t="s">
        <v>177</v>
      </c>
      <c r="H19" s="172" t="s">
        <v>174</v>
      </c>
      <c r="I19" s="76" t="s">
        <v>81</v>
      </c>
      <c r="J19" s="106" t="s">
        <v>138</v>
      </c>
      <c r="K19" s="106" t="s">
        <v>138</v>
      </c>
      <c r="L19" s="159">
        <v>1</v>
      </c>
      <c r="M19" s="76">
        <v>1</v>
      </c>
      <c r="N19" s="76">
        <v>3</v>
      </c>
      <c r="O19" s="76">
        <v>1</v>
      </c>
      <c r="P19" s="76">
        <v>1</v>
      </c>
      <c r="Q19" s="76">
        <v>2</v>
      </c>
      <c r="R19" s="76">
        <v>1</v>
      </c>
      <c r="S19" s="76">
        <v>2</v>
      </c>
      <c r="T19" s="76">
        <v>1</v>
      </c>
      <c r="U19" s="76">
        <v>2</v>
      </c>
      <c r="V19" s="76">
        <v>1</v>
      </c>
      <c r="W19" s="159">
        <v>1</v>
      </c>
      <c r="X19" s="76">
        <v>1</v>
      </c>
      <c r="Y19" s="76">
        <v>1</v>
      </c>
      <c r="Z19" s="76">
        <v>1</v>
      </c>
      <c r="AA19" s="76">
        <v>1</v>
      </c>
      <c r="AB19" s="76">
        <v>1</v>
      </c>
      <c r="AC19" s="76">
        <v>1</v>
      </c>
      <c r="AD19" s="76">
        <v>2</v>
      </c>
      <c r="AE19" s="76">
        <v>1</v>
      </c>
      <c r="AF19" s="76">
        <v>1</v>
      </c>
      <c r="AG19" s="76">
        <v>1</v>
      </c>
    </row>
    <row r="20" spans="1:33" ht="15.75" customHeight="1">
      <c r="A20" s="65"/>
      <c r="B20" s="65" t="s">
        <v>77</v>
      </c>
      <c r="C20" s="70"/>
      <c r="D20" s="155" t="s">
        <v>180</v>
      </c>
      <c r="E20" s="173" t="s">
        <v>181</v>
      </c>
      <c r="F20" s="157" t="str">
        <f ca="1">IFERROR(__xludf.DUMMYFUNCTION("INDEX(SPLIT(E20,""/""),,COUNTA(SPLIT(E20,""/"")))"),"1724065501750452561")</f>
        <v>1724065501750452561</v>
      </c>
      <c r="G20" s="165" t="s">
        <v>177</v>
      </c>
      <c r="H20" s="172" t="s">
        <v>174</v>
      </c>
      <c r="I20" s="65" t="s">
        <v>81</v>
      </c>
      <c r="J20" s="106" t="s">
        <v>138</v>
      </c>
      <c r="K20" s="106" t="s">
        <v>138</v>
      </c>
      <c r="L20" s="159">
        <v>1</v>
      </c>
      <c r="M20" s="65">
        <v>1</v>
      </c>
      <c r="N20" s="65">
        <v>3</v>
      </c>
      <c r="O20" s="65">
        <v>1</v>
      </c>
      <c r="P20" s="65">
        <v>1</v>
      </c>
      <c r="Q20" s="65">
        <v>1</v>
      </c>
      <c r="R20" s="65">
        <v>1</v>
      </c>
      <c r="S20" s="65">
        <v>2</v>
      </c>
      <c r="T20" s="65">
        <v>1</v>
      </c>
      <c r="U20" s="65">
        <v>2</v>
      </c>
      <c r="V20" s="76">
        <v>1</v>
      </c>
      <c r="W20" s="159">
        <v>1</v>
      </c>
      <c r="X20" s="65">
        <v>1</v>
      </c>
      <c r="Y20" s="65">
        <v>1</v>
      </c>
      <c r="Z20" s="65">
        <v>1</v>
      </c>
      <c r="AA20" s="65">
        <v>1</v>
      </c>
      <c r="AB20" s="65">
        <v>1</v>
      </c>
      <c r="AC20" s="65">
        <v>1</v>
      </c>
      <c r="AD20" s="65">
        <v>2</v>
      </c>
      <c r="AE20" s="65">
        <v>1</v>
      </c>
      <c r="AF20" s="65">
        <v>1</v>
      </c>
      <c r="AG20" s="65">
        <v>1</v>
      </c>
    </row>
    <row r="21" spans="1:33" ht="15.75" customHeight="1">
      <c r="A21" s="106"/>
      <c r="B21" s="65" t="s">
        <v>77</v>
      </c>
      <c r="C21" s="169"/>
      <c r="D21" s="155" t="s">
        <v>182</v>
      </c>
      <c r="E21" s="170" t="s">
        <v>183</v>
      </c>
      <c r="F21" s="157" t="str">
        <f ca="1">IFERROR(__xludf.DUMMYFUNCTION("INDEX(SPLIT(E21,""/""),,COUNTA(SPLIT(E21,""/"")))"),"1715389024230166698")</f>
        <v>1715389024230166698</v>
      </c>
      <c r="G21" s="70" t="s">
        <v>184</v>
      </c>
      <c r="H21" s="106" t="s">
        <v>174</v>
      </c>
      <c r="I21" s="65" t="s">
        <v>81</v>
      </c>
      <c r="J21" s="106" t="s">
        <v>138</v>
      </c>
      <c r="K21" s="106" t="s">
        <v>138</v>
      </c>
      <c r="L21" s="159">
        <v>1</v>
      </c>
      <c r="M21" s="76">
        <v>1</v>
      </c>
      <c r="N21" s="76">
        <v>1</v>
      </c>
      <c r="O21" s="76">
        <v>1</v>
      </c>
      <c r="P21" s="76">
        <v>1</v>
      </c>
      <c r="Q21" s="76">
        <v>1</v>
      </c>
      <c r="R21" s="76">
        <v>2</v>
      </c>
      <c r="S21" s="76">
        <v>2</v>
      </c>
      <c r="T21" s="76">
        <v>1</v>
      </c>
      <c r="U21" s="76">
        <v>2</v>
      </c>
      <c r="V21" s="162">
        <v>1</v>
      </c>
      <c r="W21" s="159">
        <v>1</v>
      </c>
      <c r="X21" s="76">
        <v>3</v>
      </c>
      <c r="Y21" s="76">
        <v>1</v>
      </c>
      <c r="Z21" s="76">
        <v>2</v>
      </c>
      <c r="AA21" s="76">
        <v>2</v>
      </c>
      <c r="AB21" s="76">
        <v>1</v>
      </c>
      <c r="AC21" s="76">
        <v>1</v>
      </c>
      <c r="AD21" s="76">
        <v>3</v>
      </c>
      <c r="AE21" s="76">
        <v>2</v>
      </c>
      <c r="AF21" s="76">
        <v>1</v>
      </c>
      <c r="AG21" s="76">
        <v>1</v>
      </c>
    </row>
    <row r="22" spans="1:33" ht="15.75" customHeight="1">
      <c r="A22" s="106"/>
      <c r="B22" s="65" t="s">
        <v>77</v>
      </c>
      <c r="C22" s="169"/>
      <c r="D22" s="155" t="s">
        <v>185</v>
      </c>
      <c r="E22" s="170" t="s">
        <v>186</v>
      </c>
      <c r="F22" s="157" t="str">
        <f ca="1">IFERROR(__xludf.DUMMYFUNCTION("INDEX(SPLIT(E22,""/""),,COUNTA(SPLIT(E22,""/"")))"),"1723986697929531399")</f>
        <v>1723986697929531399</v>
      </c>
      <c r="G22" s="70" t="s">
        <v>187</v>
      </c>
      <c r="H22" s="106" t="s">
        <v>174</v>
      </c>
      <c r="I22" s="65" t="s">
        <v>81</v>
      </c>
      <c r="J22" s="106" t="s">
        <v>138</v>
      </c>
      <c r="K22" s="106" t="s">
        <v>138</v>
      </c>
      <c r="L22" s="159">
        <v>1</v>
      </c>
      <c r="M22" s="76">
        <v>1</v>
      </c>
      <c r="N22" s="76">
        <v>2</v>
      </c>
      <c r="O22" s="76">
        <v>2</v>
      </c>
      <c r="P22" s="76">
        <v>1</v>
      </c>
      <c r="Q22" s="76">
        <v>1</v>
      </c>
      <c r="R22" s="76">
        <v>2</v>
      </c>
      <c r="S22" s="76">
        <v>3</v>
      </c>
      <c r="T22" s="76">
        <v>2</v>
      </c>
      <c r="U22" s="76">
        <v>2</v>
      </c>
      <c r="V22" s="162">
        <v>2</v>
      </c>
      <c r="W22" s="159">
        <v>1</v>
      </c>
      <c r="X22" s="76">
        <v>3</v>
      </c>
      <c r="Y22" s="76">
        <v>1</v>
      </c>
      <c r="Z22" s="76">
        <v>3</v>
      </c>
      <c r="AA22" s="76">
        <v>2</v>
      </c>
      <c r="AB22" s="76">
        <v>1</v>
      </c>
      <c r="AC22" s="76">
        <v>3</v>
      </c>
      <c r="AD22" s="76">
        <v>3</v>
      </c>
      <c r="AE22" s="76">
        <v>3</v>
      </c>
      <c r="AF22" s="76">
        <v>3</v>
      </c>
      <c r="AG22" s="76">
        <v>1</v>
      </c>
    </row>
    <row r="23" spans="1:33" ht="15.75" customHeight="1">
      <c r="A23" s="106" t="s">
        <v>188</v>
      </c>
      <c r="B23" s="65" t="s">
        <v>77</v>
      </c>
      <c r="C23" s="169"/>
      <c r="D23" s="155" t="s">
        <v>189</v>
      </c>
      <c r="E23" s="170" t="s">
        <v>190</v>
      </c>
      <c r="F23" s="157" t="str">
        <f ca="1">IFERROR(__xludf.DUMMYFUNCTION("INDEX(SPLIT(E23,""/""),,COUNTA(SPLIT(E23,""/"")))"),"1714720877017760165")</f>
        <v>1714720877017760165</v>
      </c>
      <c r="G23" s="70" t="s">
        <v>191</v>
      </c>
      <c r="H23" s="106" t="s">
        <v>174</v>
      </c>
      <c r="I23" s="76" t="s">
        <v>70</v>
      </c>
      <c r="J23" s="106" t="s">
        <v>138</v>
      </c>
      <c r="K23" s="106" t="s">
        <v>146</v>
      </c>
      <c r="L23" s="159">
        <v>3</v>
      </c>
      <c r="M23" s="76"/>
      <c r="N23" s="76"/>
      <c r="O23" s="76"/>
      <c r="P23" s="76"/>
      <c r="Q23" s="76"/>
      <c r="R23" s="76"/>
      <c r="S23" s="76"/>
      <c r="T23" s="76"/>
      <c r="U23" s="76"/>
      <c r="V23" s="162"/>
      <c r="W23" s="159"/>
      <c r="X23" s="76"/>
      <c r="Y23" s="76"/>
      <c r="Z23" s="76"/>
      <c r="AA23" s="76"/>
      <c r="AB23" s="76"/>
      <c r="AC23" s="76"/>
      <c r="AD23" s="76"/>
      <c r="AE23" s="76"/>
      <c r="AF23" s="76"/>
      <c r="AG23" s="76"/>
    </row>
    <row r="24" spans="1:33" ht="15.75" customHeight="1">
      <c r="A24" s="65"/>
      <c r="B24" s="65" t="s">
        <v>66</v>
      </c>
      <c r="C24" s="70" t="s">
        <v>76</v>
      </c>
      <c r="D24" s="155" t="s">
        <v>192</v>
      </c>
      <c r="E24" s="173" t="s">
        <v>193</v>
      </c>
      <c r="F24" s="157">
        <f ca="1">IFERROR(__xludf.DUMMYFUNCTION("INDEX(SPLIT(E24,""/""),,COUNTA(SPLIT(E24,""/"")))"),1)</f>
        <v>1</v>
      </c>
      <c r="G24" s="165" t="s">
        <v>194</v>
      </c>
      <c r="H24" s="76" t="s">
        <v>80</v>
      </c>
      <c r="I24" s="76" t="s">
        <v>81</v>
      </c>
      <c r="J24" s="106" t="s">
        <v>138</v>
      </c>
      <c r="K24" s="106" t="s">
        <v>138</v>
      </c>
      <c r="L24" s="159">
        <v>1</v>
      </c>
      <c r="M24" s="76">
        <v>3</v>
      </c>
      <c r="N24" s="76">
        <v>2</v>
      </c>
      <c r="O24" s="76">
        <v>1</v>
      </c>
      <c r="P24" s="76">
        <v>1</v>
      </c>
      <c r="Q24" s="76">
        <v>1</v>
      </c>
      <c r="R24" s="76">
        <v>1</v>
      </c>
      <c r="S24" s="76">
        <v>3</v>
      </c>
      <c r="T24" s="76">
        <v>3</v>
      </c>
      <c r="U24" s="76">
        <v>3</v>
      </c>
      <c r="V24" s="159">
        <v>3</v>
      </c>
      <c r="W24" s="159">
        <v>1</v>
      </c>
      <c r="X24" s="76">
        <v>1</v>
      </c>
      <c r="Y24" s="76">
        <v>3</v>
      </c>
      <c r="Z24" s="76">
        <v>1</v>
      </c>
      <c r="AA24" s="76">
        <v>1</v>
      </c>
      <c r="AB24" s="76">
        <v>1</v>
      </c>
      <c r="AC24" s="76">
        <v>1</v>
      </c>
      <c r="AD24" s="76">
        <v>3</v>
      </c>
      <c r="AE24" s="76">
        <v>1</v>
      </c>
      <c r="AF24" s="76">
        <v>1</v>
      </c>
      <c r="AG24" s="76">
        <v>1</v>
      </c>
    </row>
    <row r="25" spans="1:33" ht="15.75" customHeight="1">
      <c r="A25" s="65"/>
      <c r="B25" s="65" t="s">
        <v>66</v>
      </c>
      <c r="C25" s="70" t="s">
        <v>76</v>
      </c>
      <c r="D25" s="155" t="s">
        <v>195</v>
      </c>
      <c r="E25" s="174" t="s">
        <v>196</v>
      </c>
      <c r="F25" s="157" t="str">
        <f ca="1">IFERROR(__xludf.DUMMYFUNCTION("INDEX(SPLIT(E25,""/""),,COUNTA(SPLIT(E25,""/"")))"),"1497689664530042880")</f>
        <v>1497689664530042880</v>
      </c>
      <c r="G25" s="165" t="s">
        <v>197</v>
      </c>
      <c r="H25" s="175" t="s">
        <v>80</v>
      </c>
      <c r="I25" s="76" t="s">
        <v>70</v>
      </c>
      <c r="J25" s="106" t="s">
        <v>138</v>
      </c>
      <c r="K25" s="106" t="s">
        <v>138</v>
      </c>
      <c r="L25" s="159">
        <v>1</v>
      </c>
      <c r="M25" s="76">
        <v>3</v>
      </c>
      <c r="N25" s="76">
        <v>3</v>
      </c>
      <c r="O25" s="76">
        <v>3</v>
      </c>
      <c r="P25" s="76">
        <v>1</v>
      </c>
      <c r="Q25" s="76">
        <v>1</v>
      </c>
      <c r="R25" s="76">
        <v>3</v>
      </c>
      <c r="S25" s="76">
        <v>3</v>
      </c>
      <c r="T25" s="76">
        <v>3</v>
      </c>
      <c r="U25" s="76">
        <v>3</v>
      </c>
      <c r="V25" s="162">
        <v>3</v>
      </c>
      <c r="W25" s="159">
        <v>1</v>
      </c>
      <c r="X25" s="76">
        <v>1</v>
      </c>
      <c r="Y25" s="76">
        <v>2</v>
      </c>
      <c r="Z25" s="76">
        <v>1</v>
      </c>
      <c r="AA25" s="76">
        <v>1</v>
      </c>
      <c r="AB25" s="76">
        <v>1</v>
      </c>
      <c r="AC25" s="76">
        <v>1</v>
      </c>
      <c r="AD25" s="76">
        <v>3</v>
      </c>
      <c r="AE25" s="76">
        <v>2</v>
      </c>
      <c r="AF25" s="76">
        <v>3</v>
      </c>
      <c r="AG25" s="76">
        <v>2</v>
      </c>
    </row>
    <row r="26" spans="1:33" ht="15.75" customHeight="1">
      <c r="A26" s="65"/>
      <c r="B26" s="65" t="s">
        <v>66</v>
      </c>
      <c r="C26" s="70" t="s">
        <v>76</v>
      </c>
      <c r="D26" s="155" t="s">
        <v>198</v>
      </c>
      <c r="E26" s="173" t="s">
        <v>199</v>
      </c>
      <c r="F26" s="157" t="str">
        <f ca="1">IFERROR(__xludf.DUMMYFUNCTION("INDEX(SPLIT(E26,""/""),,COUNTA(SPLIT(E26,""/"")))"),"1555721053938253829")</f>
        <v>1555721053938253829</v>
      </c>
      <c r="G26" s="165" t="s">
        <v>200</v>
      </c>
      <c r="H26" s="76" t="s">
        <v>80</v>
      </c>
      <c r="I26" s="76" t="s">
        <v>70</v>
      </c>
      <c r="J26" s="106" t="s">
        <v>138</v>
      </c>
      <c r="K26" s="106" t="s">
        <v>138</v>
      </c>
      <c r="L26" s="159">
        <v>3</v>
      </c>
      <c r="M26" s="76"/>
      <c r="N26" s="76"/>
      <c r="O26" s="76"/>
      <c r="P26" s="76"/>
      <c r="Q26" s="76"/>
      <c r="R26" s="76"/>
      <c r="S26" s="76"/>
      <c r="T26" s="76"/>
      <c r="U26" s="76"/>
      <c r="V26" s="162"/>
      <c r="W26" s="159"/>
      <c r="X26" s="76"/>
      <c r="Y26" s="76"/>
      <c r="Z26" s="76"/>
      <c r="AA26" s="76"/>
      <c r="AB26" s="76"/>
      <c r="AC26" s="76"/>
      <c r="AD26" s="76"/>
      <c r="AE26" s="76"/>
      <c r="AF26" s="76"/>
      <c r="AG26" s="76"/>
    </row>
    <row r="27" spans="1:33" ht="15.75" customHeight="1">
      <c r="A27" s="65"/>
      <c r="B27" s="65" t="s">
        <v>66</v>
      </c>
      <c r="C27" s="70" t="s">
        <v>76</v>
      </c>
      <c r="D27" s="155" t="s">
        <v>201</v>
      </c>
      <c r="E27" s="173" t="s">
        <v>202</v>
      </c>
      <c r="F27" s="157" t="str">
        <f ca="1">IFERROR(__xludf.DUMMYFUNCTION("INDEX(SPLIT(E27,""/""),,COUNTA(SPLIT(E27,""/"")))"),"1576409629147660288")</f>
        <v>1576409629147660288</v>
      </c>
      <c r="G27" s="165" t="s">
        <v>203</v>
      </c>
      <c r="H27" s="175" t="s">
        <v>80</v>
      </c>
      <c r="I27" s="65" t="s">
        <v>70</v>
      </c>
      <c r="J27" s="106" t="s">
        <v>138</v>
      </c>
      <c r="K27" s="106" t="s">
        <v>146</v>
      </c>
      <c r="L27" s="159">
        <v>3</v>
      </c>
      <c r="M27" s="76"/>
      <c r="N27" s="76"/>
      <c r="O27" s="76"/>
      <c r="P27" s="76"/>
      <c r="Q27" s="76"/>
      <c r="R27" s="76"/>
      <c r="S27" s="76"/>
      <c r="T27" s="76"/>
      <c r="U27" s="76"/>
      <c r="V27" s="162"/>
      <c r="W27" s="159"/>
      <c r="X27" s="76"/>
      <c r="Y27" s="76"/>
      <c r="Z27" s="76"/>
      <c r="AA27" s="76"/>
      <c r="AB27" s="76"/>
      <c r="AC27" s="76"/>
      <c r="AD27" s="76"/>
      <c r="AE27" s="76"/>
      <c r="AF27" s="76"/>
      <c r="AG27" s="76"/>
    </row>
    <row r="28" spans="1:33" ht="15.75" customHeight="1">
      <c r="A28" s="65" t="s">
        <v>133</v>
      </c>
      <c r="B28" s="65" t="s">
        <v>66</v>
      </c>
      <c r="C28" s="70" t="s">
        <v>76</v>
      </c>
      <c r="D28" s="155" t="s">
        <v>204</v>
      </c>
      <c r="E28" s="170" t="s">
        <v>205</v>
      </c>
      <c r="F28" s="157" t="str">
        <f ca="1">IFERROR(__xludf.DUMMYFUNCTION("INDEX(SPLIT(E28,""/""),,COUNTA(SPLIT(E28,""/"")))"),"1565807467765932033")</f>
        <v>1565807467765932033</v>
      </c>
      <c r="G28" s="165" t="s">
        <v>206</v>
      </c>
      <c r="H28" s="106" t="s">
        <v>80</v>
      </c>
      <c r="I28" s="159" t="s">
        <v>81</v>
      </c>
      <c r="J28" s="106" t="s">
        <v>138</v>
      </c>
      <c r="K28" s="106" t="s">
        <v>138</v>
      </c>
      <c r="L28" s="159">
        <v>1</v>
      </c>
      <c r="M28" s="76">
        <v>1</v>
      </c>
      <c r="N28" s="76">
        <v>1</v>
      </c>
      <c r="O28" s="76">
        <v>1</v>
      </c>
      <c r="P28" s="76">
        <v>1</v>
      </c>
      <c r="Q28" s="76">
        <v>1</v>
      </c>
      <c r="R28" s="76">
        <v>1</v>
      </c>
      <c r="S28" s="76">
        <v>1</v>
      </c>
      <c r="T28" s="76">
        <v>1</v>
      </c>
      <c r="U28" s="76">
        <v>1</v>
      </c>
      <c r="V28" s="162">
        <v>1</v>
      </c>
      <c r="W28" s="159">
        <v>1</v>
      </c>
      <c r="X28" s="76">
        <v>1</v>
      </c>
      <c r="Y28" s="76">
        <v>1</v>
      </c>
      <c r="Z28" s="76">
        <v>1</v>
      </c>
      <c r="AA28" s="76">
        <v>1</v>
      </c>
      <c r="AB28" s="76">
        <v>1</v>
      </c>
      <c r="AC28" s="76">
        <v>1</v>
      </c>
      <c r="AD28" s="76">
        <v>1</v>
      </c>
      <c r="AE28" s="76">
        <v>1</v>
      </c>
      <c r="AF28" s="76">
        <v>1</v>
      </c>
      <c r="AG28" s="76">
        <v>1</v>
      </c>
    </row>
    <row r="29" spans="1:33" ht="15.75" customHeight="1">
      <c r="A29" s="65" t="s">
        <v>133</v>
      </c>
      <c r="B29" s="65" t="s">
        <v>66</v>
      </c>
      <c r="C29" s="70" t="s">
        <v>76</v>
      </c>
      <c r="D29" s="155" t="s">
        <v>207</v>
      </c>
      <c r="E29" s="170" t="s">
        <v>208</v>
      </c>
      <c r="F29" s="157" t="str">
        <f ca="1">IFERROR(__xludf.DUMMYFUNCTION("INDEX(SPLIT(E29,""/""),,COUNTA(SPLIT(E29,""/"")))"),"1605199916519018497")</f>
        <v>1605199916519018497</v>
      </c>
      <c r="G29" s="165" t="s">
        <v>206</v>
      </c>
      <c r="H29" s="106" t="s">
        <v>80</v>
      </c>
      <c r="I29" s="163" t="s">
        <v>81</v>
      </c>
      <c r="J29" s="106" t="s">
        <v>138</v>
      </c>
      <c r="K29" s="106" t="s">
        <v>138</v>
      </c>
      <c r="L29" s="159">
        <v>1</v>
      </c>
      <c r="M29" s="76">
        <v>2</v>
      </c>
      <c r="N29" s="76">
        <v>2</v>
      </c>
      <c r="O29" s="76">
        <v>1</v>
      </c>
      <c r="P29" s="76">
        <v>1</v>
      </c>
      <c r="Q29" s="76">
        <v>1</v>
      </c>
      <c r="R29" s="76">
        <v>1</v>
      </c>
      <c r="S29" s="76">
        <v>2</v>
      </c>
      <c r="T29" s="76">
        <v>2</v>
      </c>
      <c r="U29" s="76">
        <v>1</v>
      </c>
      <c r="V29" s="162">
        <v>2</v>
      </c>
      <c r="W29" s="159">
        <v>1</v>
      </c>
      <c r="X29" s="76">
        <v>1</v>
      </c>
      <c r="Y29" s="76">
        <v>1</v>
      </c>
      <c r="Z29" s="76">
        <v>1</v>
      </c>
      <c r="AA29" s="76">
        <v>1</v>
      </c>
      <c r="AB29" s="76">
        <v>1</v>
      </c>
      <c r="AC29" s="76">
        <v>1</v>
      </c>
      <c r="AD29" s="76">
        <v>2</v>
      </c>
      <c r="AE29" s="76">
        <v>1</v>
      </c>
      <c r="AF29" s="76">
        <v>2</v>
      </c>
      <c r="AG29" s="76">
        <v>1</v>
      </c>
    </row>
    <row r="30" spans="1:33" ht="15.75" customHeight="1">
      <c r="A30" s="65" t="s">
        <v>133</v>
      </c>
      <c r="B30" s="65" t="s">
        <v>66</v>
      </c>
      <c r="C30" s="176" t="s">
        <v>76</v>
      </c>
      <c r="D30" s="155" t="s">
        <v>209</v>
      </c>
      <c r="E30" s="164" t="s">
        <v>210</v>
      </c>
      <c r="F30" s="157" t="str">
        <f ca="1">IFERROR(__xludf.DUMMYFUNCTION("INDEX(SPLIT(E30,""/""),,COUNTA(SPLIT(E30,""/"")))"),"1743715113859739833")</f>
        <v>1743715113859739833</v>
      </c>
      <c r="G30" s="165" t="s">
        <v>85</v>
      </c>
      <c r="H30" s="106" t="s">
        <v>80</v>
      </c>
      <c r="I30" s="65" t="s">
        <v>81</v>
      </c>
      <c r="J30" s="106" t="s">
        <v>138</v>
      </c>
      <c r="K30" s="106" t="s">
        <v>138</v>
      </c>
      <c r="L30" s="159">
        <v>1</v>
      </c>
      <c r="M30" s="76">
        <v>1</v>
      </c>
      <c r="N30" s="76">
        <v>3</v>
      </c>
      <c r="O30" s="76">
        <v>2</v>
      </c>
      <c r="P30" s="76">
        <v>2</v>
      </c>
      <c r="Q30" s="76">
        <v>3</v>
      </c>
      <c r="R30" s="76">
        <v>1</v>
      </c>
      <c r="S30" s="76">
        <v>3</v>
      </c>
      <c r="T30" s="76">
        <v>3</v>
      </c>
      <c r="U30" s="76">
        <v>3</v>
      </c>
      <c r="V30" s="162">
        <v>3</v>
      </c>
      <c r="W30" s="159">
        <v>2</v>
      </c>
      <c r="X30" s="76">
        <v>1</v>
      </c>
      <c r="Y30" s="76">
        <v>1</v>
      </c>
      <c r="Z30" s="76">
        <v>1</v>
      </c>
      <c r="AA30" s="76">
        <v>1</v>
      </c>
      <c r="AB30" s="76">
        <v>1</v>
      </c>
      <c r="AC30" s="76">
        <v>1</v>
      </c>
      <c r="AD30" s="76">
        <v>3</v>
      </c>
      <c r="AE30" s="76">
        <v>1</v>
      </c>
      <c r="AF30" s="76">
        <v>3</v>
      </c>
      <c r="AG30" s="76">
        <v>1</v>
      </c>
    </row>
    <row r="31" spans="1:33" ht="15.75" customHeight="1">
      <c r="A31" s="65" t="s">
        <v>133</v>
      </c>
      <c r="B31" s="65" t="s">
        <v>66</v>
      </c>
      <c r="C31" s="176" t="s">
        <v>76</v>
      </c>
      <c r="D31" s="155" t="s">
        <v>211</v>
      </c>
      <c r="E31" s="164" t="s">
        <v>212</v>
      </c>
      <c r="F31" s="157" t="str">
        <f ca="1">IFERROR(__xludf.DUMMYFUNCTION("INDEX(SPLIT(E31,""/""),,COUNTA(SPLIT(E31,""/"")))"),"1743701090569208244")</f>
        <v>1743701090569208244</v>
      </c>
      <c r="G31" s="165" t="s">
        <v>85</v>
      </c>
      <c r="H31" s="106" t="s">
        <v>80</v>
      </c>
      <c r="I31" s="65" t="s">
        <v>70</v>
      </c>
      <c r="J31" s="106" t="s">
        <v>138</v>
      </c>
      <c r="K31" s="106" t="s">
        <v>138</v>
      </c>
      <c r="L31" s="159">
        <v>1</v>
      </c>
      <c r="M31" s="76">
        <v>3</v>
      </c>
      <c r="N31" s="76">
        <v>3</v>
      </c>
      <c r="O31" s="76">
        <v>2</v>
      </c>
      <c r="P31" s="76">
        <v>1</v>
      </c>
      <c r="Q31" s="76">
        <v>1</v>
      </c>
      <c r="R31" s="76">
        <v>1</v>
      </c>
      <c r="S31" s="76">
        <v>3</v>
      </c>
      <c r="T31" s="76">
        <v>3</v>
      </c>
      <c r="U31" s="76">
        <v>2</v>
      </c>
      <c r="V31" s="162">
        <v>3</v>
      </c>
      <c r="W31" s="159">
        <v>2</v>
      </c>
      <c r="X31" s="76">
        <v>1</v>
      </c>
      <c r="Y31" s="76">
        <v>1</v>
      </c>
      <c r="Z31" s="76">
        <v>1</v>
      </c>
      <c r="AA31" s="76">
        <v>1</v>
      </c>
      <c r="AB31" s="76">
        <v>1</v>
      </c>
      <c r="AC31" s="76">
        <v>1</v>
      </c>
      <c r="AD31" s="76">
        <v>3</v>
      </c>
      <c r="AE31" s="76">
        <v>3</v>
      </c>
      <c r="AF31" s="76">
        <v>3</v>
      </c>
      <c r="AG31" s="76">
        <v>1</v>
      </c>
    </row>
    <row r="32" spans="1:33" ht="15.75" customHeight="1">
      <c r="A32" s="106"/>
      <c r="B32" s="65" t="s">
        <v>66</v>
      </c>
      <c r="C32" s="176" t="s">
        <v>76</v>
      </c>
      <c r="D32" s="155" t="s">
        <v>213</v>
      </c>
      <c r="E32" s="164" t="s">
        <v>214</v>
      </c>
      <c r="F32" s="157" t="str">
        <f ca="1">IFERROR(__xludf.DUMMYFUNCTION("INDEX(SPLIT(E32,""/""),,COUNTA(SPLIT(E32,""/"")))"),"1563780511604117504")</f>
        <v>1563780511604117504</v>
      </c>
      <c r="G32" s="165" t="s">
        <v>194</v>
      </c>
      <c r="H32" s="76" t="s">
        <v>80</v>
      </c>
      <c r="I32" s="65" t="s">
        <v>70</v>
      </c>
      <c r="J32" s="106" t="s">
        <v>146</v>
      </c>
      <c r="K32" s="106" t="s">
        <v>146</v>
      </c>
      <c r="L32" s="159">
        <v>3</v>
      </c>
      <c r="M32" s="76"/>
      <c r="N32" s="76"/>
      <c r="O32" s="76"/>
      <c r="P32" s="76"/>
      <c r="Q32" s="76"/>
      <c r="R32" s="76"/>
      <c r="S32" s="76"/>
      <c r="T32" s="76"/>
      <c r="U32" s="76"/>
      <c r="V32" s="162"/>
      <c r="W32" s="159"/>
      <c r="X32" s="76"/>
      <c r="Y32" s="76"/>
      <c r="Z32" s="76"/>
      <c r="AA32" s="76"/>
      <c r="AB32" s="76"/>
      <c r="AC32" s="76"/>
      <c r="AD32" s="76"/>
      <c r="AE32" s="76"/>
      <c r="AF32" s="76"/>
      <c r="AG32" s="76"/>
    </row>
    <row r="33" spans="1:33" ht="15.75" customHeight="1">
      <c r="A33" s="65" t="s">
        <v>133</v>
      </c>
      <c r="B33" s="65" t="s">
        <v>66</v>
      </c>
      <c r="C33" s="176" t="s">
        <v>76</v>
      </c>
      <c r="D33" s="155" t="s">
        <v>215</v>
      </c>
      <c r="E33" s="164" t="s">
        <v>216</v>
      </c>
      <c r="F33" s="157" t="str">
        <f ca="1">IFERROR(__xludf.DUMMYFUNCTION("INDEX(SPLIT(E33,""/""),,COUNTA(SPLIT(E33,""/"")))"),"1496254107660738568")</f>
        <v>1496254107660738568</v>
      </c>
      <c r="G33" s="165" t="s">
        <v>217</v>
      </c>
      <c r="H33" s="106" t="s">
        <v>80</v>
      </c>
      <c r="I33" s="65" t="s">
        <v>81</v>
      </c>
      <c r="J33" s="106" t="s">
        <v>138</v>
      </c>
      <c r="K33" s="106" t="s">
        <v>138</v>
      </c>
      <c r="L33" s="159">
        <v>1</v>
      </c>
      <c r="M33" s="76">
        <v>3</v>
      </c>
      <c r="N33" s="76">
        <v>3</v>
      </c>
      <c r="O33" s="76">
        <v>1</v>
      </c>
      <c r="P33" s="76">
        <v>1</v>
      </c>
      <c r="Q33" s="76">
        <v>1</v>
      </c>
      <c r="R33" s="76">
        <v>1</v>
      </c>
      <c r="S33" s="76">
        <v>2</v>
      </c>
      <c r="T33" s="76">
        <v>2</v>
      </c>
      <c r="U33" s="76">
        <v>2</v>
      </c>
      <c r="V33" s="162">
        <v>1</v>
      </c>
      <c r="W33" s="159">
        <v>1</v>
      </c>
      <c r="X33" s="76">
        <v>2</v>
      </c>
      <c r="Y33" s="76">
        <v>1</v>
      </c>
      <c r="Z33" s="76">
        <v>1</v>
      </c>
      <c r="AA33" s="76">
        <v>1</v>
      </c>
      <c r="AB33" s="76">
        <v>1</v>
      </c>
      <c r="AC33" s="76">
        <v>1</v>
      </c>
      <c r="AD33" s="76">
        <v>2</v>
      </c>
      <c r="AE33" s="76">
        <v>1</v>
      </c>
      <c r="AF33" s="76">
        <v>3</v>
      </c>
      <c r="AG33" s="76">
        <v>1</v>
      </c>
    </row>
    <row r="34" spans="1:33" ht="15.75" customHeight="1">
      <c r="A34" s="65" t="s">
        <v>133</v>
      </c>
      <c r="B34" s="106" t="s">
        <v>75</v>
      </c>
      <c r="C34" s="70" t="s">
        <v>73</v>
      </c>
      <c r="D34" s="155" t="s">
        <v>218</v>
      </c>
      <c r="E34" s="164" t="s">
        <v>219</v>
      </c>
      <c r="F34" s="157" t="str">
        <f ca="1">IFERROR(__xludf.DUMMYFUNCTION("INDEX(SPLIT(E34,""/""),,COUNTA(SPLIT(E34,""/"")))"),"1496824540466401287")</f>
        <v>1496824540466401287</v>
      </c>
      <c r="G34" s="70" t="s">
        <v>220</v>
      </c>
      <c r="H34" s="106" t="s">
        <v>80</v>
      </c>
      <c r="I34" s="76" t="s">
        <v>70</v>
      </c>
      <c r="J34" s="106" t="s">
        <v>138</v>
      </c>
      <c r="K34" s="106" t="s">
        <v>138</v>
      </c>
      <c r="L34" s="159">
        <v>1</v>
      </c>
      <c r="M34" s="76">
        <v>3</v>
      </c>
      <c r="N34" s="76">
        <v>3</v>
      </c>
      <c r="O34" s="76">
        <v>1</v>
      </c>
      <c r="P34" s="76">
        <v>3</v>
      </c>
      <c r="Q34" s="76">
        <v>1</v>
      </c>
      <c r="R34" s="76">
        <v>1</v>
      </c>
      <c r="S34" s="76">
        <v>3</v>
      </c>
      <c r="T34" s="76">
        <v>3</v>
      </c>
      <c r="U34" s="76">
        <v>3</v>
      </c>
      <c r="V34" s="162">
        <v>2</v>
      </c>
      <c r="W34" s="159">
        <v>1</v>
      </c>
      <c r="X34" s="76">
        <v>1</v>
      </c>
      <c r="Y34" s="76">
        <v>2</v>
      </c>
      <c r="Z34" s="76">
        <v>1</v>
      </c>
      <c r="AA34" s="76">
        <v>1</v>
      </c>
      <c r="AB34" s="76">
        <v>1</v>
      </c>
      <c r="AC34" s="76">
        <v>1</v>
      </c>
      <c r="AD34" s="76">
        <v>3</v>
      </c>
      <c r="AE34" s="76">
        <v>3</v>
      </c>
      <c r="AF34" s="76">
        <v>3</v>
      </c>
      <c r="AG34" s="76">
        <v>1</v>
      </c>
    </row>
    <row r="35" spans="1:33" ht="15.75" customHeight="1">
      <c r="A35" s="65" t="s">
        <v>133</v>
      </c>
      <c r="B35" s="106" t="s">
        <v>75</v>
      </c>
      <c r="C35" s="70" t="s">
        <v>73</v>
      </c>
      <c r="D35" s="155" t="s">
        <v>221</v>
      </c>
      <c r="E35" s="164" t="s">
        <v>222</v>
      </c>
      <c r="F35" s="157" t="str">
        <f ca="1">IFERROR(__xludf.DUMMYFUNCTION("INDEX(SPLIT(E35,""/""),,COUNTA(SPLIT(E35,""/"")))"),"1744478209054310874")</f>
        <v>1744478209054310874</v>
      </c>
      <c r="G35" s="165" t="s">
        <v>85</v>
      </c>
      <c r="H35" s="106" t="s">
        <v>80</v>
      </c>
      <c r="I35" s="167" t="s">
        <v>81</v>
      </c>
      <c r="J35" s="106" t="s">
        <v>138</v>
      </c>
      <c r="K35" s="106" t="s">
        <v>138</v>
      </c>
      <c r="L35" s="159">
        <v>1</v>
      </c>
      <c r="M35" s="76">
        <v>1</v>
      </c>
      <c r="N35" s="76">
        <v>3</v>
      </c>
      <c r="O35" s="76">
        <v>1</v>
      </c>
      <c r="P35" s="76">
        <v>2</v>
      </c>
      <c r="Q35" s="76">
        <v>3</v>
      </c>
      <c r="R35" s="76">
        <v>1</v>
      </c>
      <c r="S35" s="76">
        <v>3</v>
      </c>
      <c r="T35" s="76">
        <v>2</v>
      </c>
      <c r="U35" s="76">
        <v>3</v>
      </c>
      <c r="V35" s="162">
        <v>1</v>
      </c>
      <c r="W35" s="159">
        <v>1</v>
      </c>
      <c r="X35" s="76">
        <v>1</v>
      </c>
      <c r="Y35" s="76">
        <v>1</v>
      </c>
      <c r="Z35" s="76">
        <v>2</v>
      </c>
      <c r="AA35" s="76">
        <v>1</v>
      </c>
      <c r="AB35" s="76">
        <v>1</v>
      </c>
      <c r="AC35" s="76">
        <v>1</v>
      </c>
      <c r="AD35" s="76">
        <v>3</v>
      </c>
      <c r="AE35" s="76">
        <v>1</v>
      </c>
      <c r="AF35" s="76">
        <v>3</v>
      </c>
      <c r="AG35" s="76">
        <v>1</v>
      </c>
    </row>
    <row r="36" spans="1:33" ht="15.75" customHeight="1">
      <c r="A36" s="65" t="s">
        <v>133</v>
      </c>
      <c r="B36" s="106" t="s">
        <v>75</v>
      </c>
      <c r="C36" s="70" t="s">
        <v>73</v>
      </c>
      <c r="D36" s="155" t="s">
        <v>223</v>
      </c>
      <c r="E36" s="164" t="s">
        <v>79</v>
      </c>
      <c r="F36" s="157" t="str">
        <f ca="1">IFERROR(__xludf.DUMMYFUNCTION("INDEX(SPLIT(E36,""/""),,COUNTA(SPLIT(E36,""/"")))"),"1743934358673649996")</f>
        <v>1743934358673649996</v>
      </c>
      <c r="G36" s="165" t="s">
        <v>85</v>
      </c>
      <c r="H36" s="106" t="s">
        <v>80</v>
      </c>
      <c r="I36" s="167" t="s">
        <v>81</v>
      </c>
      <c r="J36" s="106" t="s">
        <v>138</v>
      </c>
      <c r="K36" s="106" t="s">
        <v>138</v>
      </c>
      <c r="L36" s="159">
        <v>1</v>
      </c>
      <c r="M36" s="76">
        <v>1</v>
      </c>
      <c r="N36" s="76">
        <v>3</v>
      </c>
      <c r="O36" s="76">
        <v>1</v>
      </c>
      <c r="P36" s="76">
        <v>2</v>
      </c>
      <c r="Q36" s="76">
        <v>3</v>
      </c>
      <c r="R36" s="76">
        <v>1</v>
      </c>
      <c r="S36" s="76">
        <v>3</v>
      </c>
      <c r="T36" s="76">
        <v>2</v>
      </c>
      <c r="U36" s="76">
        <v>3</v>
      </c>
      <c r="V36" s="162">
        <v>1</v>
      </c>
      <c r="W36" s="159">
        <v>1</v>
      </c>
      <c r="X36" s="76">
        <v>1</v>
      </c>
      <c r="Y36" s="76">
        <v>1</v>
      </c>
      <c r="Z36" s="76">
        <v>2</v>
      </c>
      <c r="AA36" s="76">
        <v>1</v>
      </c>
      <c r="AB36" s="76">
        <v>1</v>
      </c>
      <c r="AC36" s="76">
        <v>1</v>
      </c>
      <c r="AD36" s="76">
        <v>3</v>
      </c>
      <c r="AE36" s="76">
        <v>1</v>
      </c>
      <c r="AF36" s="76">
        <v>3</v>
      </c>
      <c r="AG36" s="76">
        <v>1</v>
      </c>
    </row>
    <row r="37" spans="1:33" ht="15.75" customHeight="1">
      <c r="A37" s="65" t="s">
        <v>133</v>
      </c>
      <c r="B37" s="106" t="s">
        <v>75</v>
      </c>
      <c r="C37" s="70" t="s">
        <v>73</v>
      </c>
      <c r="D37" s="155" t="s">
        <v>224</v>
      </c>
      <c r="E37" s="177" t="s">
        <v>225</v>
      </c>
      <c r="F37" s="157" t="str">
        <f ca="1">IFERROR(__xludf.DUMMYFUNCTION("INDEX(SPLIT(E37,""/""),,COUNTA(SPLIT(E37,""/"")))"),"1744000869182435383")</f>
        <v>1744000869182435383</v>
      </c>
      <c r="G37" s="178" t="s">
        <v>226</v>
      </c>
      <c r="H37" s="106" t="s">
        <v>80</v>
      </c>
      <c r="I37" s="65" t="s">
        <v>70</v>
      </c>
      <c r="J37" s="106" t="s">
        <v>138</v>
      </c>
      <c r="K37" s="106" t="s">
        <v>138</v>
      </c>
      <c r="L37" s="159" t="s">
        <v>72</v>
      </c>
      <c r="M37" s="76">
        <v>1</v>
      </c>
      <c r="N37" s="76">
        <v>2</v>
      </c>
      <c r="O37" s="76">
        <v>3</v>
      </c>
      <c r="P37" s="76">
        <v>1</v>
      </c>
      <c r="Q37" s="76">
        <v>1</v>
      </c>
      <c r="R37" s="76">
        <v>3</v>
      </c>
      <c r="S37" s="76">
        <v>1</v>
      </c>
      <c r="T37" s="76">
        <v>1</v>
      </c>
      <c r="U37" s="76">
        <v>1</v>
      </c>
      <c r="V37" s="162">
        <v>1</v>
      </c>
      <c r="W37" s="159">
        <v>2</v>
      </c>
      <c r="X37" s="76">
        <v>1</v>
      </c>
      <c r="Y37" s="76">
        <v>1</v>
      </c>
      <c r="Z37" s="76">
        <v>1</v>
      </c>
      <c r="AA37" s="76">
        <v>1</v>
      </c>
      <c r="AB37" s="76">
        <v>1</v>
      </c>
      <c r="AC37" s="76">
        <v>1</v>
      </c>
      <c r="AD37" s="76">
        <v>3</v>
      </c>
      <c r="AE37" s="76">
        <v>3</v>
      </c>
      <c r="AF37" s="76">
        <v>3</v>
      </c>
      <c r="AG37" s="76">
        <v>1</v>
      </c>
    </row>
    <row r="38" spans="1:33" ht="15.75" customHeight="1">
      <c r="A38" s="65" t="s">
        <v>133</v>
      </c>
      <c r="B38" s="106" t="s">
        <v>75</v>
      </c>
      <c r="C38" s="70"/>
      <c r="D38" s="155" t="s">
        <v>227</v>
      </c>
      <c r="E38" s="177" t="s">
        <v>228</v>
      </c>
      <c r="F38" s="157" t="str">
        <f ca="1">IFERROR(__xludf.DUMMYFUNCTION("INDEX(SPLIT(E38,""/""),,COUNTA(SPLIT(E38,""/"")))"),"1744291196313182515")</f>
        <v>1744291196313182515</v>
      </c>
      <c r="G38" s="178" t="s">
        <v>229</v>
      </c>
      <c r="H38" s="106" t="s">
        <v>80</v>
      </c>
      <c r="I38" s="65" t="s">
        <v>81</v>
      </c>
      <c r="J38" s="106" t="s">
        <v>138</v>
      </c>
      <c r="K38" s="106" t="s">
        <v>138</v>
      </c>
      <c r="L38" s="159">
        <v>1</v>
      </c>
      <c r="M38" s="76">
        <v>1</v>
      </c>
      <c r="N38" s="76">
        <v>2</v>
      </c>
      <c r="O38" s="76">
        <v>1</v>
      </c>
      <c r="P38" s="76">
        <v>1</v>
      </c>
      <c r="Q38" s="76">
        <v>1</v>
      </c>
      <c r="R38" s="76">
        <v>2</v>
      </c>
      <c r="S38" s="76">
        <v>2</v>
      </c>
      <c r="T38" s="76">
        <v>1</v>
      </c>
      <c r="U38" s="76">
        <v>2</v>
      </c>
      <c r="V38" s="162">
        <v>2</v>
      </c>
      <c r="W38" s="159">
        <v>1</v>
      </c>
      <c r="X38" s="76">
        <v>1</v>
      </c>
      <c r="Y38" s="76">
        <v>1</v>
      </c>
      <c r="Z38" s="76">
        <v>1</v>
      </c>
      <c r="AA38" s="76">
        <v>1</v>
      </c>
      <c r="AB38" s="76">
        <v>1</v>
      </c>
      <c r="AC38" s="76">
        <v>1</v>
      </c>
      <c r="AD38" s="76">
        <v>3</v>
      </c>
      <c r="AE38" s="76">
        <v>1</v>
      </c>
      <c r="AF38" s="76">
        <v>3</v>
      </c>
      <c r="AG38" s="76">
        <v>1</v>
      </c>
    </row>
    <row r="39" spans="1:33" ht="15.75" customHeight="1">
      <c r="A39" s="65" t="s">
        <v>133</v>
      </c>
      <c r="B39" s="106" t="s">
        <v>75</v>
      </c>
      <c r="C39" s="70"/>
      <c r="D39" s="155" t="s">
        <v>230</v>
      </c>
      <c r="E39" s="70" t="s">
        <v>231</v>
      </c>
      <c r="F39" s="157" t="str">
        <f ca="1">IFERROR(__xludf.DUMMYFUNCTION("INDEX(SPLIT(E39,""/""),,COUNTA(SPLIT(E39,""/"")))"),"1725397839650459719")</f>
        <v>1725397839650459719</v>
      </c>
      <c r="G39" s="70" t="s">
        <v>232</v>
      </c>
      <c r="H39" s="106" t="s">
        <v>80</v>
      </c>
      <c r="I39" s="65" t="s">
        <v>81</v>
      </c>
      <c r="J39" s="106" t="s">
        <v>138</v>
      </c>
      <c r="K39" s="106" t="s">
        <v>138</v>
      </c>
      <c r="L39" s="159">
        <v>1</v>
      </c>
      <c r="M39" s="76">
        <v>1</v>
      </c>
      <c r="N39" s="76">
        <v>1</v>
      </c>
      <c r="O39" s="76">
        <v>1</v>
      </c>
      <c r="P39" s="76">
        <v>1</v>
      </c>
      <c r="Q39" s="76">
        <v>1</v>
      </c>
      <c r="R39" s="76">
        <v>1</v>
      </c>
      <c r="S39" s="76">
        <v>1</v>
      </c>
      <c r="T39" s="76">
        <v>2</v>
      </c>
      <c r="U39" s="76">
        <v>3</v>
      </c>
      <c r="V39" s="162">
        <v>1</v>
      </c>
      <c r="W39" s="159">
        <v>1</v>
      </c>
      <c r="X39" s="76">
        <v>1</v>
      </c>
      <c r="Y39" s="76">
        <v>2</v>
      </c>
      <c r="Z39" s="76">
        <v>1</v>
      </c>
      <c r="AA39" s="76">
        <v>1</v>
      </c>
      <c r="AB39" s="76">
        <v>1</v>
      </c>
      <c r="AC39" s="76">
        <v>1</v>
      </c>
      <c r="AD39" s="76">
        <v>3</v>
      </c>
      <c r="AE39" s="76">
        <v>1</v>
      </c>
      <c r="AF39" s="76">
        <v>1</v>
      </c>
      <c r="AG39" s="76">
        <v>1</v>
      </c>
    </row>
    <row r="40" spans="1:33" ht="14">
      <c r="A40" s="65" t="s">
        <v>133</v>
      </c>
      <c r="B40" s="106" t="s">
        <v>75</v>
      </c>
      <c r="C40" s="70"/>
      <c r="D40" s="155" t="s">
        <v>233</v>
      </c>
      <c r="E40" s="166" t="s">
        <v>234</v>
      </c>
      <c r="F40" s="157" t="str">
        <f ca="1">IFERROR(__xludf.DUMMYFUNCTION("INDEX(SPLIT(E40,""/""),,COUNTA(SPLIT(E40,""/"")))"),"1742863600685908176")</f>
        <v>1742863600685908176</v>
      </c>
      <c r="G40" s="70" t="s">
        <v>160</v>
      </c>
      <c r="H40" s="106" t="s">
        <v>80</v>
      </c>
      <c r="I40" s="65" t="s">
        <v>70</v>
      </c>
      <c r="J40" s="106" t="s">
        <v>138</v>
      </c>
      <c r="K40" s="106" t="s">
        <v>138</v>
      </c>
      <c r="L40" s="159">
        <v>1</v>
      </c>
      <c r="M40" s="76">
        <v>3</v>
      </c>
      <c r="N40" s="76">
        <v>3</v>
      </c>
      <c r="O40" s="76">
        <v>2</v>
      </c>
      <c r="P40" s="76">
        <v>1</v>
      </c>
      <c r="Q40" s="76">
        <v>1</v>
      </c>
      <c r="R40" s="76">
        <v>3</v>
      </c>
      <c r="S40" s="76">
        <v>3</v>
      </c>
      <c r="T40" s="76">
        <v>2</v>
      </c>
      <c r="U40" s="76">
        <v>3</v>
      </c>
      <c r="V40" s="162">
        <v>3</v>
      </c>
      <c r="W40" s="159">
        <v>1</v>
      </c>
      <c r="X40" s="76">
        <v>2</v>
      </c>
      <c r="Y40" s="76">
        <v>1</v>
      </c>
      <c r="Z40" s="76">
        <v>2</v>
      </c>
      <c r="AA40" s="76">
        <v>2</v>
      </c>
      <c r="AB40" s="76">
        <v>1</v>
      </c>
      <c r="AC40" s="76">
        <v>3</v>
      </c>
      <c r="AD40" s="76">
        <v>3</v>
      </c>
      <c r="AE40" s="76">
        <v>1</v>
      </c>
      <c r="AF40" s="76">
        <v>3</v>
      </c>
      <c r="AG40" s="76">
        <v>1</v>
      </c>
    </row>
    <row r="41" spans="1:33" ht="14">
      <c r="A41" s="65" t="s">
        <v>133</v>
      </c>
      <c r="B41" s="106" t="s">
        <v>75</v>
      </c>
      <c r="C41" s="160"/>
      <c r="D41" s="155" t="s">
        <v>235</v>
      </c>
      <c r="E41" s="179" t="s">
        <v>236</v>
      </c>
      <c r="F41" s="157" t="str">
        <f ca="1">IFERROR(__xludf.DUMMYFUNCTION("INDEX(SPLIT(E41,""/""),,COUNTA(SPLIT(E41,""/"")))"),"1733026025150222482")</f>
        <v>1733026025150222482</v>
      </c>
      <c r="G41" s="70" t="s">
        <v>237</v>
      </c>
      <c r="H41" s="106" t="s">
        <v>80</v>
      </c>
      <c r="I41" s="76" t="s">
        <v>81</v>
      </c>
      <c r="J41" s="106" t="s">
        <v>138</v>
      </c>
      <c r="K41" s="106" t="s">
        <v>138</v>
      </c>
      <c r="L41" s="159">
        <v>1</v>
      </c>
      <c r="M41" s="76">
        <v>3</v>
      </c>
      <c r="N41" s="76">
        <v>2</v>
      </c>
      <c r="O41" s="76">
        <v>1</v>
      </c>
      <c r="P41" s="76">
        <v>2</v>
      </c>
      <c r="Q41" s="76">
        <v>1</v>
      </c>
      <c r="R41" s="76">
        <v>3</v>
      </c>
      <c r="S41" s="76">
        <v>3</v>
      </c>
      <c r="T41" s="76">
        <v>1</v>
      </c>
      <c r="U41" s="76">
        <v>3</v>
      </c>
      <c r="V41" s="162">
        <v>3</v>
      </c>
      <c r="W41" s="159">
        <v>2</v>
      </c>
      <c r="X41" s="76">
        <v>1</v>
      </c>
      <c r="Y41" s="76">
        <v>1</v>
      </c>
      <c r="Z41" s="76">
        <v>2</v>
      </c>
      <c r="AA41" s="76">
        <v>3</v>
      </c>
      <c r="AB41" s="76">
        <v>2</v>
      </c>
      <c r="AC41" s="76">
        <v>1</v>
      </c>
      <c r="AD41" s="76">
        <v>3</v>
      </c>
      <c r="AE41" s="76">
        <v>2</v>
      </c>
      <c r="AF41" s="76">
        <v>3</v>
      </c>
      <c r="AG41" s="76">
        <v>1</v>
      </c>
    </row>
    <row r="42" spans="1:33" ht="14">
      <c r="A42" s="65" t="s">
        <v>133</v>
      </c>
      <c r="B42" s="106" t="s">
        <v>75</v>
      </c>
      <c r="C42" s="70"/>
      <c r="D42" s="155" t="s">
        <v>238</v>
      </c>
      <c r="E42" s="164" t="s">
        <v>239</v>
      </c>
      <c r="F42" s="157" t="str">
        <f ca="1">IFERROR(__xludf.DUMMYFUNCTION("INDEX(SPLIT(E42,""/""),,COUNTA(SPLIT(E42,""/"")))"),"1744478270328860865")</f>
        <v>1744478270328860865</v>
      </c>
      <c r="G42" s="70" t="s">
        <v>226</v>
      </c>
      <c r="H42" s="106" t="s">
        <v>80</v>
      </c>
      <c r="I42" s="65" t="s">
        <v>70</v>
      </c>
      <c r="J42" s="106" t="s">
        <v>138</v>
      </c>
      <c r="K42" s="106" t="s">
        <v>138</v>
      </c>
      <c r="L42" s="159">
        <v>1</v>
      </c>
      <c r="M42" s="76">
        <v>3</v>
      </c>
      <c r="N42" s="76">
        <v>3</v>
      </c>
      <c r="O42" s="76">
        <v>1</v>
      </c>
      <c r="P42" s="76">
        <v>1</v>
      </c>
      <c r="Q42" s="76">
        <v>2</v>
      </c>
      <c r="R42" s="76">
        <v>3</v>
      </c>
      <c r="S42" s="76">
        <v>3</v>
      </c>
      <c r="T42" s="76">
        <v>1</v>
      </c>
      <c r="U42" s="76">
        <v>3</v>
      </c>
      <c r="V42" s="162">
        <v>1</v>
      </c>
      <c r="W42" s="159">
        <v>1</v>
      </c>
      <c r="X42" s="76">
        <v>2</v>
      </c>
      <c r="Y42" s="76">
        <v>2</v>
      </c>
      <c r="Z42" s="76">
        <v>1</v>
      </c>
      <c r="AA42" s="76">
        <v>1</v>
      </c>
      <c r="AB42" s="76">
        <v>1</v>
      </c>
      <c r="AC42" s="76">
        <v>1</v>
      </c>
      <c r="AD42" s="76">
        <v>3</v>
      </c>
      <c r="AE42" s="76">
        <v>3</v>
      </c>
      <c r="AF42" s="76">
        <v>3</v>
      </c>
      <c r="AG42" s="76">
        <v>1</v>
      </c>
    </row>
    <row r="43" spans="1:33" ht="14">
      <c r="A43" s="106"/>
      <c r="B43" s="106" t="s">
        <v>75</v>
      </c>
      <c r="C43" s="70"/>
      <c r="D43" s="155" t="s">
        <v>240</v>
      </c>
      <c r="E43" s="180" t="s">
        <v>241</v>
      </c>
      <c r="F43" s="157" t="str">
        <f ca="1">IFERROR(__xludf.DUMMYFUNCTION("INDEX(SPLIT(E43,""/""),,COUNTA(SPLIT(E43,""/"")))"),"1743013959681351869")</f>
        <v>1743013959681351869</v>
      </c>
      <c r="G43" s="70" t="s">
        <v>242</v>
      </c>
      <c r="H43" s="106" t="s">
        <v>80</v>
      </c>
      <c r="I43" s="65" t="s">
        <v>70</v>
      </c>
      <c r="J43" s="106" t="s">
        <v>146</v>
      </c>
      <c r="K43" s="106" t="s">
        <v>146</v>
      </c>
      <c r="L43" s="159">
        <v>3</v>
      </c>
      <c r="M43" s="76"/>
      <c r="N43" s="76"/>
      <c r="O43" s="76"/>
      <c r="P43" s="76"/>
      <c r="Q43" s="76"/>
      <c r="R43" s="76"/>
      <c r="S43" s="76"/>
      <c r="T43" s="76"/>
      <c r="U43" s="76"/>
      <c r="V43" s="162"/>
      <c r="W43" s="159"/>
      <c r="X43" s="76"/>
      <c r="Y43" s="76"/>
      <c r="Z43" s="76"/>
      <c r="AA43" s="76"/>
      <c r="AB43" s="76"/>
      <c r="AC43" s="76"/>
      <c r="AD43" s="76"/>
      <c r="AE43" s="76"/>
      <c r="AF43" s="76"/>
      <c r="AG43" s="76"/>
    </row>
    <row r="44" spans="1:33" ht="14">
      <c r="A44" s="65" t="s">
        <v>133</v>
      </c>
      <c r="B44" s="106" t="s">
        <v>76</v>
      </c>
      <c r="C44" s="70" t="s">
        <v>66</v>
      </c>
      <c r="D44" s="155" t="s">
        <v>243</v>
      </c>
      <c r="E44" s="180" t="s">
        <v>244</v>
      </c>
      <c r="F44" s="157" t="str">
        <f ca="1">IFERROR(__xludf.DUMMYFUNCTION("INDEX(SPLIT(E44,""/""),,COUNTA(SPLIT(E44,""/"")))"),"1743590019116265868")</f>
        <v>1743590019116265868</v>
      </c>
      <c r="G44" s="70" t="s">
        <v>160</v>
      </c>
      <c r="H44" s="106" t="s">
        <v>80</v>
      </c>
      <c r="I44" s="76" t="s">
        <v>70</v>
      </c>
      <c r="J44" s="106" t="s">
        <v>138</v>
      </c>
      <c r="K44" s="106" t="s">
        <v>138</v>
      </c>
      <c r="L44" s="159">
        <v>1</v>
      </c>
      <c r="M44" s="76">
        <v>3</v>
      </c>
      <c r="N44" s="76">
        <v>3</v>
      </c>
      <c r="O44" s="76">
        <v>2</v>
      </c>
      <c r="P44" s="76">
        <v>2</v>
      </c>
      <c r="Q44" s="76">
        <v>2</v>
      </c>
      <c r="R44" s="76">
        <v>1</v>
      </c>
      <c r="S44" s="76">
        <v>3</v>
      </c>
      <c r="T44" s="76">
        <v>3</v>
      </c>
      <c r="U44" s="76">
        <v>3</v>
      </c>
      <c r="V44" s="162">
        <v>3</v>
      </c>
      <c r="W44" s="159">
        <v>2</v>
      </c>
      <c r="X44" s="76">
        <v>3</v>
      </c>
      <c r="Y44" s="76">
        <v>1</v>
      </c>
      <c r="Z44" s="76">
        <v>1</v>
      </c>
      <c r="AA44" s="76">
        <v>1</v>
      </c>
      <c r="AB44" s="76">
        <v>1</v>
      </c>
      <c r="AC44" s="76">
        <v>1</v>
      </c>
      <c r="AD44" s="76">
        <v>3</v>
      </c>
      <c r="AE44" s="76">
        <v>3</v>
      </c>
      <c r="AF44" s="76">
        <v>3</v>
      </c>
      <c r="AG44" s="76">
        <v>1</v>
      </c>
    </row>
    <row r="45" spans="1:33" ht="14">
      <c r="A45" s="65" t="s">
        <v>133</v>
      </c>
      <c r="B45" s="106" t="s">
        <v>76</v>
      </c>
      <c r="C45" s="70" t="s">
        <v>66</v>
      </c>
      <c r="D45" s="155" t="s">
        <v>245</v>
      </c>
      <c r="E45" s="180" t="s">
        <v>246</v>
      </c>
      <c r="F45" s="157" t="str">
        <f ca="1">IFERROR(__xludf.DUMMYFUNCTION("INDEX(SPLIT(E45,""/""),,COUNTA(SPLIT(E45,""/"")))"),"1744015340294586654")</f>
        <v>1744015340294586654</v>
      </c>
      <c r="G45" s="70" t="s">
        <v>160</v>
      </c>
      <c r="H45" s="106" t="s">
        <v>80</v>
      </c>
      <c r="I45" s="76" t="s">
        <v>70</v>
      </c>
      <c r="J45" s="106" t="s">
        <v>138</v>
      </c>
      <c r="K45" s="106" t="s">
        <v>138</v>
      </c>
      <c r="L45" s="159">
        <v>1</v>
      </c>
      <c r="M45" s="76">
        <v>3</v>
      </c>
      <c r="N45" s="76">
        <v>3</v>
      </c>
      <c r="O45" s="76">
        <v>2</v>
      </c>
      <c r="P45" s="76">
        <v>1</v>
      </c>
      <c r="Q45" s="76">
        <v>1</v>
      </c>
      <c r="R45" s="76">
        <v>1</v>
      </c>
      <c r="S45" s="76">
        <v>3</v>
      </c>
      <c r="T45" s="76">
        <v>3</v>
      </c>
      <c r="U45" s="76">
        <v>3</v>
      </c>
      <c r="V45" s="162">
        <v>3</v>
      </c>
      <c r="W45" s="159">
        <v>1</v>
      </c>
      <c r="X45" s="76">
        <v>3</v>
      </c>
      <c r="Y45" s="76">
        <v>1</v>
      </c>
      <c r="Z45" s="76">
        <v>1</v>
      </c>
      <c r="AA45" s="76">
        <v>1</v>
      </c>
      <c r="AB45" s="76">
        <v>1</v>
      </c>
      <c r="AC45" s="76">
        <v>1</v>
      </c>
      <c r="AD45" s="76">
        <v>3</v>
      </c>
      <c r="AE45" s="76">
        <v>3</v>
      </c>
      <c r="AF45" s="76">
        <v>3</v>
      </c>
      <c r="AG45" s="76">
        <v>1</v>
      </c>
    </row>
    <row r="46" spans="1:33" ht="14">
      <c r="A46" s="65" t="s">
        <v>133</v>
      </c>
      <c r="B46" s="106" t="s">
        <v>76</v>
      </c>
      <c r="C46" s="70" t="s">
        <v>66</v>
      </c>
      <c r="D46" s="155" t="s">
        <v>247</v>
      </c>
      <c r="E46" s="180" t="s">
        <v>248</v>
      </c>
      <c r="F46" s="157" t="str">
        <f ca="1">IFERROR(__xludf.DUMMYFUNCTION("INDEX(SPLIT(E46,""/""),,COUNTA(SPLIT(E46,""/"")))"),"1744373861074759753")</f>
        <v>1744373861074759753</v>
      </c>
      <c r="G46" s="171" t="s">
        <v>249</v>
      </c>
      <c r="H46" s="106" t="s">
        <v>80</v>
      </c>
      <c r="I46" s="76" t="s">
        <v>70</v>
      </c>
      <c r="J46" s="106" t="s">
        <v>138</v>
      </c>
      <c r="K46" s="106" t="s">
        <v>138</v>
      </c>
      <c r="L46" s="159">
        <v>1</v>
      </c>
      <c r="M46" s="76">
        <v>1</v>
      </c>
      <c r="N46" s="76">
        <v>1</v>
      </c>
      <c r="O46" s="76">
        <v>1</v>
      </c>
      <c r="P46" s="76">
        <v>2</v>
      </c>
      <c r="Q46" s="76">
        <v>2</v>
      </c>
      <c r="R46" s="76">
        <v>3</v>
      </c>
      <c r="S46" s="76">
        <v>2</v>
      </c>
      <c r="T46" s="76">
        <v>3</v>
      </c>
      <c r="U46" s="76">
        <v>3</v>
      </c>
      <c r="V46" s="162">
        <v>2</v>
      </c>
      <c r="W46" s="159">
        <v>3</v>
      </c>
      <c r="X46" s="76">
        <v>1</v>
      </c>
      <c r="Y46" s="76">
        <v>1</v>
      </c>
      <c r="Z46" s="76">
        <v>1</v>
      </c>
      <c r="AA46" s="76">
        <v>1</v>
      </c>
      <c r="AB46" s="76">
        <v>1</v>
      </c>
      <c r="AC46" s="76">
        <v>1</v>
      </c>
      <c r="AD46" s="76">
        <v>3</v>
      </c>
      <c r="AE46" s="76">
        <v>3</v>
      </c>
      <c r="AF46" s="76">
        <v>1</v>
      </c>
      <c r="AG46" s="76">
        <v>1</v>
      </c>
    </row>
    <row r="47" spans="1:33" ht="14">
      <c r="A47" s="65" t="s">
        <v>133</v>
      </c>
      <c r="B47" s="106" t="s">
        <v>76</v>
      </c>
      <c r="C47" s="70"/>
      <c r="D47" s="155" t="s">
        <v>250</v>
      </c>
      <c r="E47" s="180" t="s">
        <v>251</v>
      </c>
      <c r="F47" s="157" t="str">
        <f ca="1">IFERROR(__xludf.DUMMYFUNCTION("INDEX(SPLIT(E47,""/""),,COUNTA(SPLIT(E47,""/"")))"),"1735052613970702480")</f>
        <v>1735052613970702480</v>
      </c>
      <c r="G47" s="171" t="s">
        <v>249</v>
      </c>
      <c r="H47" s="106" t="s">
        <v>80</v>
      </c>
      <c r="I47" s="65" t="s">
        <v>81</v>
      </c>
      <c r="J47" s="106" t="s">
        <v>138</v>
      </c>
      <c r="K47" s="106" t="s">
        <v>138</v>
      </c>
      <c r="L47" s="159">
        <v>1</v>
      </c>
      <c r="M47" s="76">
        <v>1</v>
      </c>
      <c r="N47" s="76">
        <v>1</v>
      </c>
      <c r="O47" s="76">
        <v>1</v>
      </c>
      <c r="P47" s="76">
        <v>1</v>
      </c>
      <c r="Q47" s="76">
        <v>1</v>
      </c>
      <c r="R47" s="76">
        <v>1</v>
      </c>
      <c r="S47" s="76">
        <v>2</v>
      </c>
      <c r="T47" s="76">
        <v>2</v>
      </c>
      <c r="U47" s="76">
        <v>3</v>
      </c>
      <c r="V47" s="162">
        <v>1</v>
      </c>
      <c r="W47" s="159">
        <v>2</v>
      </c>
      <c r="X47" s="76">
        <v>1</v>
      </c>
      <c r="Y47" s="76">
        <v>1</v>
      </c>
      <c r="Z47" s="76">
        <v>2</v>
      </c>
      <c r="AA47" s="76">
        <v>2</v>
      </c>
      <c r="AB47" s="76">
        <v>1</v>
      </c>
      <c r="AC47" s="76">
        <v>1</v>
      </c>
      <c r="AD47" s="76">
        <v>3</v>
      </c>
      <c r="AE47" s="76">
        <v>3</v>
      </c>
      <c r="AF47" s="76">
        <v>3</v>
      </c>
      <c r="AG47" s="76">
        <v>1</v>
      </c>
    </row>
    <row r="48" spans="1:33" ht="14">
      <c r="A48" s="65" t="s">
        <v>133</v>
      </c>
      <c r="B48" s="106" t="s">
        <v>76</v>
      </c>
      <c r="C48" s="70"/>
      <c r="D48" s="155" t="s">
        <v>252</v>
      </c>
      <c r="E48" s="180" t="s">
        <v>253</v>
      </c>
      <c r="F48" s="157" t="str">
        <f ca="1">IFERROR(__xludf.DUMMYFUNCTION("INDEX(SPLIT(E48,""/""),,COUNTA(SPLIT(E48,""/"")))"),"1745449465195159853")</f>
        <v>1745449465195159853</v>
      </c>
      <c r="G48" s="70" t="s">
        <v>254</v>
      </c>
      <c r="H48" s="106" t="s">
        <v>80</v>
      </c>
      <c r="I48" s="159" t="s">
        <v>70</v>
      </c>
      <c r="J48" s="106" t="s">
        <v>138</v>
      </c>
      <c r="K48" s="106" t="s">
        <v>138</v>
      </c>
      <c r="L48" s="159">
        <v>1</v>
      </c>
      <c r="M48" s="76">
        <v>3</v>
      </c>
      <c r="N48" s="76">
        <v>3</v>
      </c>
      <c r="O48" s="76">
        <v>1</v>
      </c>
      <c r="P48" s="76">
        <v>2</v>
      </c>
      <c r="Q48" s="76">
        <v>1</v>
      </c>
      <c r="R48" s="76">
        <v>2</v>
      </c>
      <c r="S48" s="76">
        <v>3</v>
      </c>
      <c r="T48" s="76">
        <v>3</v>
      </c>
      <c r="U48" s="76">
        <v>3</v>
      </c>
      <c r="V48" s="162">
        <v>3</v>
      </c>
      <c r="W48" s="159">
        <v>2</v>
      </c>
      <c r="X48" s="76">
        <v>1</v>
      </c>
      <c r="Y48" s="76">
        <v>2</v>
      </c>
      <c r="Z48" s="76">
        <v>1</v>
      </c>
      <c r="AA48" s="76">
        <v>1</v>
      </c>
      <c r="AB48" s="76">
        <v>1</v>
      </c>
      <c r="AC48" s="76">
        <v>1</v>
      </c>
      <c r="AD48" s="76">
        <v>3</v>
      </c>
      <c r="AE48" s="76">
        <v>3</v>
      </c>
      <c r="AF48" s="76">
        <v>3</v>
      </c>
      <c r="AG48" s="76">
        <v>1</v>
      </c>
    </row>
    <row r="49" spans="1:33" ht="14">
      <c r="A49" s="65" t="s">
        <v>133</v>
      </c>
      <c r="B49" s="106" t="s">
        <v>76</v>
      </c>
      <c r="C49" s="70"/>
      <c r="D49" s="155" t="s">
        <v>255</v>
      </c>
      <c r="E49" s="166" t="s">
        <v>256</v>
      </c>
      <c r="F49" s="157" t="str">
        <f ca="1">IFERROR(__xludf.DUMMYFUNCTION("INDEX(SPLIT(E49,""/""),,COUNTA(SPLIT(E49,""/"")))"),"1744741761107579198")</f>
        <v>1744741761107579198</v>
      </c>
      <c r="G49" s="70" t="s">
        <v>254</v>
      </c>
      <c r="H49" s="106" t="s">
        <v>80</v>
      </c>
      <c r="I49" s="163" t="s">
        <v>70</v>
      </c>
      <c r="J49" s="106" t="s">
        <v>138</v>
      </c>
      <c r="K49" s="106" t="s">
        <v>138</v>
      </c>
      <c r="L49" s="159">
        <v>1</v>
      </c>
      <c r="M49" s="76">
        <v>3</v>
      </c>
      <c r="N49" s="76">
        <v>3</v>
      </c>
      <c r="O49" s="76">
        <v>1</v>
      </c>
      <c r="P49" s="76">
        <v>1</v>
      </c>
      <c r="Q49" s="76">
        <v>1</v>
      </c>
      <c r="R49" s="76">
        <v>3</v>
      </c>
      <c r="S49" s="76">
        <v>3</v>
      </c>
      <c r="T49" s="76">
        <v>1</v>
      </c>
      <c r="U49" s="76">
        <v>3</v>
      </c>
      <c r="V49" s="162">
        <v>2</v>
      </c>
      <c r="W49" s="159">
        <v>2</v>
      </c>
      <c r="X49" s="76">
        <v>1</v>
      </c>
      <c r="Y49" s="76">
        <v>1</v>
      </c>
      <c r="Z49" s="76">
        <v>1</v>
      </c>
      <c r="AA49" s="76">
        <v>1</v>
      </c>
      <c r="AB49" s="76">
        <v>1</v>
      </c>
      <c r="AC49" s="76">
        <v>1</v>
      </c>
      <c r="AD49" s="76">
        <v>3</v>
      </c>
      <c r="AE49" s="76">
        <v>3</v>
      </c>
      <c r="AF49" s="76">
        <v>3</v>
      </c>
      <c r="AG49" s="76">
        <v>1</v>
      </c>
    </row>
    <row r="50" spans="1:33" ht="14">
      <c r="A50" s="65" t="s">
        <v>133</v>
      </c>
      <c r="B50" s="106" t="s">
        <v>76</v>
      </c>
      <c r="C50" s="70"/>
      <c r="D50" s="155" t="s">
        <v>257</v>
      </c>
      <c r="E50" s="177" t="s">
        <v>179</v>
      </c>
      <c r="F50" s="157" t="str">
        <f ca="1">IFERROR(__xludf.DUMMYFUNCTION("INDEX(SPLIT(E50,""/""),,COUNTA(SPLIT(E50,""/"")))"),"1719287930286375233")</f>
        <v>1719287930286375233</v>
      </c>
      <c r="G50" s="70" t="s">
        <v>258</v>
      </c>
      <c r="H50" s="106" t="s">
        <v>174</v>
      </c>
      <c r="I50" s="65" t="s">
        <v>81</v>
      </c>
      <c r="J50" s="106" t="s">
        <v>138</v>
      </c>
      <c r="K50" s="106" t="s">
        <v>138</v>
      </c>
      <c r="L50" s="159">
        <v>1</v>
      </c>
      <c r="M50" s="76">
        <v>1</v>
      </c>
      <c r="N50" s="76">
        <v>3</v>
      </c>
      <c r="O50" s="76">
        <v>1</v>
      </c>
      <c r="P50" s="76">
        <v>1</v>
      </c>
      <c r="Q50" s="76">
        <v>1</v>
      </c>
      <c r="R50" s="76">
        <v>1</v>
      </c>
      <c r="S50" s="76">
        <v>1</v>
      </c>
      <c r="T50" s="76">
        <v>1</v>
      </c>
      <c r="U50" s="76">
        <v>3</v>
      </c>
      <c r="V50" s="162">
        <v>2</v>
      </c>
      <c r="W50" s="159">
        <v>1</v>
      </c>
      <c r="X50" s="76">
        <v>1</v>
      </c>
      <c r="Y50" s="76">
        <v>1</v>
      </c>
      <c r="Z50" s="76">
        <v>1</v>
      </c>
      <c r="AA50" s="76">
        <v>1</v>
      </c>
      <c r="AB50" s="76">
        <v>1</v>
      </c>
      <c r="AC50" s="76">
        <v>1</v>
      </c>
      <c r="AD50" s="76">
        <v>3</v>
      </c>
      <c r="AE50" s="76">
        <v>1</v>
      </c>
      <c r="AF50" s="76">
        <v>1</v>
      </c>
      <c r="AG50" s="76">
        <v>1</v>
      </c>
    </row>
    <row r="51" spans="1:33" ht="14">
      <c r="A51" s="65" t="s">
        <v>133</v>
      </c>
      <c r="B51" s="106" t="s">
        <v>76</v>
      </c>
      <c r="C51" s="70"/>
      <c r="D51" s="155" t="s">
        <v>259</v>
      </c>
      <c r="E51" s="174" t="s">
        <v>260</v>
      </c>
      <c r="F51" s="157" t="str">
        <f ca="1">IFERROR(__xludf.DUMMYFUNCTION("INDEX(SPLIT(E51,""/""),,COUNTA(SPLIT(E51,""/"")))"),"1744848220457439335")</f>
        <v>1744848220457439335</v>
      </c>
      <c r="G51" s="70" t="s">
        <v>261</v>
      </c>
      <c r="H51" s="106" t="s">
        <v>262</v>
      </c>
      <c r="I51" s="65" t="s">
        <v>70</v>
      </c>
      <c r="J51" s="106" t="s">
        <v>138</v>
      </c>
      <c r="K51" s="106" t="s">
        <v>138</v>
      </c>
      <c r="L51" s="159">
        <v>1</v>
      </c>
      <c r="M51" s="76">
        <v>3</v>
      </c>
      <c r="N51" s="76">
        <v>3</v>
      </c>
      <c r="O51" s="76">
        <v>1</v>
      </c>
      <c r="P51" s="76">
        <v>1</v>
      </c>
      <c r="Q51" s="76">
        <v>1</v>
      </c>
      <c r="R51" s="76">
        <v>3</v>
      </c>
      <c r="S51" s="76">
        <v>3</v>
      </c>
      <c r="T51" s="76">
        <v>3</v>
      </c>
      <c r="U51" s="76">
        <v>3</v>
      </c>
      <c r="V51" s="162">
        <v>2</v>
      </c>
      <c r="W51" s="159">
        <v>3</v>
      </c>
      <c r="X51" s="76">
        <v>1</v>
      </c>
      <c r="Y51" s="76">
        <v>1</v>
      </c>
      <c r="Z51" s="76">
        <v>1</v>
      </c>
      <c r="AA51" s="76">
        <v>1</v>
      </c>
      <c r="AB51" s="76">
        <v>2</v>
      </c>
      <c r="AC51" s="76">
        <v>1</v>
      </c>
      <c r="AD51" s="76">
        <v>3</v>
      </c>
      <c r="AE51" s="76">
        <v>3</v>
      </c>
      <c r="AF51" s="76">
        <v>3</v>
      </c>
      <c r="AG51" s="76">
        <v>1</v>
      </c>
    </row>
    <row r="52" spans="1:33" ht="14">
      <c r="A52" s="65" t="s">
        <v>133</v>
      </c>
      <c r="B52" s="106" t="s">
        <v>76</v>
      </c>
      <c r="C52" s="70"/>
      <c r="D52" s="155" t="s">
        <v>263</v>
      </c>
      <c r="E52" s="164" t="s">
        <v>264</v>
      </c>
      <c r="F52" s="157" t="str">
        <f ca="1">IFERROR(__xludf.DUMMYFUNCTION("INDEX(SPLIT(E52,""/""),,COUNTA(SPLIT(E52,""/"")))"),"1587039251484614656")</f>
        <v>1587039251484614656</v>
      </c>
      <c r="G52" s="70" t="s">
        <v>197</v>
      </c>
      <c r="H52" s="106" t="s">
        <v>80</v>
      </c>
      <c r="I52" s="65" t="s">
        <v>70</v>
      </c>
      <c r="J52" s="106" t="s">
        <v>146</v>
      </c>
      <c r="K52" s="106" t="s">
        <v>138</v>
      </c>
      <c r="L52" s="159">
        <v>3</v>
      </c>
      <c r="M52" s="76">
        <v>1</v>
      </c>
      <c r="N52" s="76">
        <v>3</v>
      </c>
      <c r="O52" s="76">
        <v>3</v>
      </c>
      <c r="P52" s="76">
        <v>1</v>
      </c>
      <c r="Q52" s="76">
        <v>1</v>
      </c>
      <c r="R52" s="76">
        <v>3</v>
      </c>
      <c r="S52" s="76">
        <v>3</v>
      </c>
      <c r="T52" s="76">
        <v>3</v>
      </c>
      <c r="U52" s="76">
        <v>3</v>
      </c>
      <c r="V52" s="162">
        <v>1</v>
      </c>
      <c r="W52" s="159">
        <v>1</v>
      </c>
      <c r="X52" s="76">
        <v>3</v>
      </c>
      <c r="Y52" s="76">
        <v>1</v>
      </c>
      <c r="Z52" s="76">
        <v>1</v>
      </c>
      <c r="AA52" s="76">
        <v>1</v>
      </c>
      <c r="AB52" s="76">
        <v>1</v>
      </c>
      <c r="AC52" s="76">
        <v>1</v>
      </c>
      <c r="AD52" s="76">
        <v>3</v>
      </c>
      <c r="AE52" s="76">
        <v>3</v>
      </c>
      <c r="AF52" s="76">
        <v>1</v>
      </c>
      <c r="AG52" s="76">
        <v>1</v>
      </c>
    </row>
    <row r="53" spans="1:33" ht="14">
      <c r="A53" s="65" t="s">
        <v>133</v>
      </c>
      <c r="B53" s="106" t="s">
        <v>76</v>
      </c>
      <c r="C53" s="70"/>
      <c r="D53" s="155" t="s">
        <v>265</v>
      </c>
      <c r="E53" s="164" t="s">
        <v>266</v>
      </c>
      <c r="F53" s="157" t="str">
        <f ca="1">IFERROR(__xludf.DUMMYFUNCTION("INDEX(SPLIT(E53,""/""),,COUNTA(SPLIT(E53,""/"")))"),"1584909435348074508")</f>
        <v>1584909435348074508</v>
      </c>
      <c r="G53" s="70" t="s">
        <v>141</v>
      </c>
      <c r="H53" s="106" t="s">
        <v>80</v>
      </c>
      <c r="I53" s="65" t="s">
        <v>81</v>
      </c>
      <c r="J53" s="106" t="s">
        <v>138</v>
      </c>
      <c r="K53" s="106" t="s">
        <v>138</v>
      </c>
      <c r="L53" s="159">
        <v>1</v>
      </c>
      <c r="M53" s="76">
        <v>3</v>
      </c>
      <c r="N53" s="76">
        <v>3</v>
      </c>
      <c r="O53" s="76">
        <v>1</v>
      </c>
      <c r="P53" s="76">
        <v>2</v>
      </c>
      <c r="Q53" s="76">
        <v>1</v>
      </c>
      <c r="R53" s="76">
        <v>2</v>
      </c>
      <c r="S53" s="76">
        <v>3</v>
      </c>
      <c r="T53" s="76">
        <v>1</v>
      </c>
      <c r="U53" s="76">
        <v>2</v>
      </c>
      <c r="V53" s="162">
        <v>3</v>
      </c>
      <c r="W53" s="159">
        <v>1</v>
      </c>
      <c r="X53" s="76">
        <v>1</v>
      </c>
      <c r="Y53" s="76">
        <v>1</v>
      </c>
      <c r="Z53" s="76">
        <v>1</v>
      </c>
      <c r="AA53" s="76">
        <v>1</v>
      </c>
      <c r="AB53" s="76">
        <v>1</v>
      </c>
      <c r="AC53" s="76">
        <v>1</v>
      </c>
      <c r="AD53" s="76">
        <v>3</v>
      </c>
      <c r="AE53" s="76">
        <v>3</v>
      </c>
      <c r="AF53" s="76">
        <v>3</v>
      </c>
      <c r="AG53" s="76">
        <v>1</v>
      </c>
    </row>
    <row r="54" spans="1:33" ht="14">
      <c r="A54" s="106" t="s">
        <v>267</v>
      </c>
      <c r="B54" s="106" t="s">
        <v>66</v>
      </c>
      <c r="C54" s="169"/>
      <c r="D54" s="155" t="s">
        <v>268</v>
      </c>
      <c r="E54" s="181" t="s">
        <v>269</v>
      </c>
      <c r="F54" s="157" t="str">
        <f ca="1">IFERROR(__xludf.DUMMYFUNCTION("INDEX(SPLIT(E54,""/""),,COUNTA(SPLIT(E54,""/"")))"),"1581903839137239040")</f>
        <v>1581903839137239040</v>
      </c>
      <c r="G54" s="70" t="s">
        <v>270</v>
      </c>
      <c r="H54" s="106" t="s">
        <v>80</v>
      </c>
      <c r="I54" s="76" t="s">
        <v>70</v>
      </c>
      <c r="J54" s="106" t="s">
        <v>138</v>
      </c>
      <c r="K54" s="106" t="s">
        <v>146</v>
      </c>
      <c r="L54" s="159">
        <v>3</v>
      </c>
      <c r="M54" s="76"/>
      <c r="N54" s="76"/>
      <c r="O54" s="76"/>
      <c r="P54" s="76"/>
      <c r="Q54" s="76"/>
      <c r="R54" s="76"/>
      <c r="S54" s="76"/>
      <c r="T54" s="76"/>
      <c r="U54" s="76"/>
      <c r="V54" s="162"/>
      <c r="W54" s="159"/>
      <c r="X54" s="76"/>
      <c r="Y54" s="76"/>
      <c r="Z54" s="76"/>
      <c r="AA54" s="76"/>
      <c r="AB54" s="76"/>
      <c r="AC54" s="76"/>
      <c r="AD54" s="76"/>
      <c r="AE54" s="76"/>
      <c r="AF54" s="76"/>
      <c r="AG54" s="76"/>
    </row>
    <row r="55" spans="1:33" ht="14">
      <c r="A55" s="106" t="s">
        <v>267</v>
      </c>
      <c r="B55" s="106" t="s">
        <v>66</v>
      </c>
      <c r="C55" s="169"/>
      <c r="D55" s="155" t="s">
        <v>271</v>
      </c>
      <c r="E55" s="170" t="s">
        <v>272</v>
      </c>
      <c r="F55" s="157" t="str">
        <f ca="1">IFERROR(__xludf.DUMMYFUNCTION("INDEX(SPLIT(E55,""/""),,COUNTA(SPLIT(E55,""/"")))"),"1577455925690249216")</f>
        <v>1577455925690249216</v>
      </c>
      <c r="G55" s="70" t="s">
        <v>273</v>
      </c>
      <c r="H55" s="106" t="s">
        <v>80</v>
      </c>
      <c r="I55" s="76" t="s">
        <v>81</v>
      </c>
      <c r="J55" s="106" t="s">
        <v>138</v>
      </c>
      <c r="K55" s="106" t="s">
        <v>138</v>
      </c>
      <c r="L55" s="159">
        <v>3</v>
      </c>
      <c r="M55" s="76"/>
      <c r="N55" s="76"/>
      <c r="O55" s="76"/>
      <c r="P55" s="76"/>
      <c r="Q55" s="76"/>
      <c r="R55" s="76"/>
      <c r="S55" s="76"/>
      <c r="T55" s="76"/>
      <c r="U55" s="76"/>
      <c r="V55" s="162"/>
      <c r="W55" s="159"/>
      <c r="X55" s="76"/>
      <c r="Y55" s="76"/>
      <c r="Z55" s="76"/>
      <c r="AA55" s="76"/>
      <c r="AB55" s="76"/>
      <c r="AC55" s="76"/>
      <c r="AD55" s="76"/>
      <c r="AE55" s="76"/>
      <c r="AF55" s="76"/>
      <c r="AG55" s="76"/>
    </row>
    <row r="56" spans="1:33" ht="14">
      <c r="A56" s="106" t="s">
        <v>267</v>
      </c>
      <c r="B56" s="106" t="s">
        <v>66</v>
      </c>
      <c r="C56" s="169"/>
      <c r="D56" s="155" t="s">
        <v>274</v>
      </c>
      <c r="E56" s="170" t="s">
        <v>275</v>
      </c>
      <c r="F56" s="157" t="str">
        <f ca="1">IFERROR(__xludf.DUMMYFUNCTION("INDEX(SPLIT(E56,""/""),,COUNTA(SPLIT(E56,""/"")))"),"1576242968700264448")</f>
        <v>1576242968700264448</v>
      </c>
      <c r="G56" s="70" t="s">
        <v>276</v>
      </c>
      <c r="H56" s="106" t="s">
        <v>80</v>
      </c>
      <c r="I56" s="167" t="s">
        <v>70</v>
      </c>
      <c r="J56" s="106" t="s">
        <v>138</v>
      </c>
      <c r="K56" s="106" t="s">
        <v>138</v>
      </c>
      <c r="L56" s="159">
        <v>3</v>
      </c>
      <c r="M56" s="76"/>
      <c r="N56" s="76"/>
      <c r="O56" s="76"/>
      <c r="P56" s="76"/>
      <c r="Q56" s="76"/>
      <c r="R56" s="76"/>
      <c r="S56" s="76"/>
      <c r="T56" s="76"/>
      <c r="U56" s="76"/>
      <c r="V56" s="162"/>
      <c r="W56" s="159"/>
      <c r="X56" s="76"/>
      <c r="Y56" s="76"/>
      <c r="Z56" s="76"/>
      <c r="AA56" s="76"/>
      <c r="AB56" s="76"/>
      <c r="AC56" s="76"/>
      <c r="AD56" s="76"/>
      <c r="AE56" s="76"/>
      <c r="AF56" s="76"/>
      <c r="AG56" s="76"/>
    </row>
    <row r="57" spans="1:33" ht="14">
      <c r="A57" s="106" t="s">
        <v>267</v>
      </c>
      <c r="B57" s="106" t="s">
        <v>66</v>
      </c>
      <c r="C57" s="169"/>
      <c r="D57" s="155" t="s">
        <v>277</v>
      </c>
      <c r="E57" s="170" t="s">
        <v>278</v>
      </c>
      <c r="F57" s="157" t="str">
        <f ca="1">IFERROR(__xludf.DUMMYFUNCTION("INDEX(SPLIT(E57,""/""),,COUNTA(SPLIT(E57,""/"")))"),"1576234829753950208")</f>
        <v>1576234829753950208</v>
      </c>
      <c r="G57" s="70" t="s">
        <v>279</v>
      </c>
      <c r="H57" s="106" t="s">
        <v>80</v>
      </c>
      <c r="I57" s="167" t="s">
        <v>70</v>
      </c>
      <c r="J57" s="106" t="s">
        <v>138</v>
      </c>
      <c r="K57" s="106" t="s">
        <v>138</v>
      </c>
      <c r="L57" s="159">
        <v>3</v>
      </c>
      <c r="M57" s="76"/>
      <c r="N57" s="76"/>
      <c r="O57" s="76"/>
      <c r="P57" s="76"/>
      <c r="Q57" s="76"/>
      <c r="R57" s="76"/>
      <c r="S57" s="76"/>
      <c r="T57" s="76"/>
      <c r="U57" s="76"/>
      <c r="V57" s="162"/>
      <c r="W57" s="159"/>
      <c r="X57" s="76"/>
      <c r="Y57" s="76"/>
      <c r="Z57" s="76"/>
      <c r="AA57" s="76"/>
      <c r="AB57" s="76"/>
      <c r="AC57" s="76"/>
      <c r="AD57" s="76"/>
      <c r="AE57" s="76"/>
      <c r="AF57" s="76"/>
      <c r="AG57" s="76"/>
    </row>
    <row r="58" spans="1:33" ht="14">
      <c r="A58" s="106" t="s">
        <v>267</v>
      </c>
      <c r="B58" s="106" t="s">
        <v>66</v>
      </c>
      <c r="C58" s="169"/>
      <c r="D58" s="155" t="s">
        <v>280</v>
      </c>
      <c r="E58" s="170" t="s">
        <v>281</v>
      </c>
      <c r="F58" s="157" t="str">
        <f ca="1">IFERROR(__xludf.DUMMYFUNCTION("INDEX(SPLIT(E58,""/""),,COUNTA(SPLIT(E58,""/"")))"),"1555972455210033154")</f>
        <v>1555972455210033154</v>
      </c>
      <c r="G58" s="70" t="s">
        <v>141</v>
      </c>
      <c r="H58" s="106" t="s">
        <v>80</v>
      </c>
      <c r="I58" s="65" t="s">
        <v>70</v>
      </c>
      <c r="J58" s="106" t="s">
        <v>146</v>
      </c>
      <c r="K58" s="106" t="s">
        <v>138</v>
      </c>
      <c r="L58" s="159">
        <v>3</v>
      </c>
      <c r="M58" s="76"/>
      <c r="N58" s="76"/>
      <c r="O58" s="76"/>
      <c r="P58" s="76"/>
      <c r="Q58" s="76"/>
      <c r="R58" s="76"/>
      <c r="S58" s="76"/>
      <c r="T58" s="76"/>
      <c r="U58" s="76"/>
      <c r="V58" s="162"/>
      <c r="W58" s="159"/>
      <c r="X58" s="76"/>
      <c r="Y58" s="76"/>
      <c r="Z58" s="76"/>
      <c r="AA58" s="76"/>
      <c r="AB58" s="76"/>
      <c r="AC58" s="76"/>
      <c r="AD58" s="76"/>
      <c r="AE58" s="76"/>
      <c r="AF58" s="76"/>
      <c r="AG58" s="76"/>
    </row>
    <row r="59" spans="1:33" ht="14">
      <c r="A59" s="106" t="s">
        <v>267</v>
      </c>
      <c r="B59" s="106" t="s">
        <v>66</v>
      </c>
      <c r="C59" s="169"/>
      <c r="D59" s="155" t="s">
        <v>282</v>
      </c>
      <c r="E59" s="170" t="s">
        <v>283</v>
      </c>
      <c r="F59" s="157" t="str">
        <f ca="1">IFERROR(__xludf.DUMMYFUNCTION("INDEX(SPLIT(E59,""/""),,COUNTA(SPLIT(E59,""/"")))"),"1540808820796010496")</f>
        <v>1540808820796010496</v>
      </c>
      <c r="G59" s="70" t="s">
        <v>284</v>
      </c>
      <c r="H59" s="106" t="s">
        <v>80</v>
      </c>
      <c r="I59" s="65" t="s">
        <v>70</v>
      </c>
      <c r="J59" s="106" t="s">
        <v>138</v>
      </c>
      <c r="K59" s="106" t="s">
        <v>138</v>
      </c>
      <c r="L59" s="159">
        <v>3</v>
      </c>
      <c r="M59" s="76"/>
      <c r="N59" s="76"/>
      <c r="O59" s="76"/>
      <c r="P59" s="76"/>
      <c r="Q59" s="76"/>
      <c r="R59" s="76"/>
      <c r="S59" s="76"/>
      <c r="T59" s="76"/>
      <c r="U59" s="76"/>
      <c r="V59" s="162"/>
      <c r="W59" s="159"/>
      <c r="X59" s="76"/>
      <c r="Y59" s="76"/>
      <c r="Z59" s="76"/>
      <c r="AA59" s="76"/>
      <c r="AB59" s="76"/>
      <c r="AC59" s="76"/>
      <c r="AD59" s="76"/>
      <c r="AE59" s="76"/>
      <c r="AF59" s="76"/>
      <c r="AG59" s="76"/>
    </row>
    <row r="60" spans="1:33" ht="14">
      <c r="A60" s="65" t="s">
        <v>133</v>
      </c>
      <c r="B60" s="106" t="s">
        <v>73</v>
      </c>
      <c r="C60" s="169"/>
      <c r="D60" s="155" t="s">
        <v>285</v>
      </c>
      <c r="E60" s="181" t="s">
        <v>286</v>
      </c>
      <c r="F60" s="157" t="str">
        <f ca="1">IFERROR(__xludf.DUMMYFUNCTION("INDEX(SPLIT(E60,""/""),,COUNTA(SPLIT(E60,""/"")))"),"1744514052670345639")</f>
        <v>1744514052670345639</v>
      </c>
      <c r="G60" s="70" t="s">
        <v>85</v>
      </c>
      <c r="H60" s="106" t="s">
        <v>80</v>
      </c>
      <c r="I60" s="65" t="s">
        <v>81</v>
      </c>
      <c r="J60" s="106" t="s">
        <v>138</v>
      </c>
      <c r="K60" s="106" t="s">
        <v>138</v>
      </c>
      <c r="L60" s="159">
        <v>1</v>
      </c>
      <c r="M60" s="76">
        <v>1</v>
      </c>
      <c r="N60" s="76">
        <v>1</v>
      </c>
      <c r="O60" s="76">
        <v>1</v>
      </c>
      <c r="P60" s="76">
        <v>1</v>
      </c>
      <c r="Q60" s="76">
        <v>1</v>
      </c>
      <c r="R60" s="76">
        <v>1</v>
      </c>
      <c r="S60" s="76">
        <v>1</v>
      </c>
      <c r="T60" s="76">
        <v>1</v>
      </c>
      <c r="U60" s="76">
        <v>3</v>
      </c>
      <c r="V60" s="162">
        <v>1</v>
      </c>
      <c r="W60" s="159">
        <v>3</v>
      </c>
      <c r="X60" s="76">
        <v>1</v>
      </c>
      <c r="Y60" s="76">
        <v>1</v>
      </c>
      <c r="Z60" s="76">
        <v>1</v>
      </c>
      <c r="AA60" s="76">
        <v>1</v>
      </c>
      <c r="AB60" s="76">
        <v>1</v>
      </c>
      <c r="AC60" s="76">
        <v>1</v>
      </c>
      <c r="AD60" s="76">
        <v>1</v>
      </c>
      <c r="AE60" s="76">
        <v>1</v>
      </c>
      <c r="AF60" s="76">
        <v>1</v>
      </c>
      <c r="AG60" s="76">
        <v>1</v>
      </c>
    </row>
    <row r="61" spans="1:33" ht="14">
      <c r="A61" s="65" t="s">
        <v>133</v>
      </c>
      <c r="B61" s="106" t="s">
        <v>73</v>
      </c>
      <c r="C61" s="70"/>
      <c r="D61" s="155" t="s">
        <v>287</v>
      </c>
      <c r="E61" s="164" t="s">
        <v>288</v>
      </c>
      <c r="F61" s="157" t="str">
        <f ca="1">IFERROR(__xludf.DUMMYFUNCTION("INDEX(SPLIT(E61,""/""),,COUNTA(SPLIT(E61,""/"")))"),"1592594788444172288")</f>
        <v>1592594788444172288</v>
      </c>
      <c r="G61" s="182" t="s">
        <v>289</v>
      </c>
      <c r="H61" s="106" t="s">
        <v>80</v>
      </c>
      <c r="I61" s="76" t="s">
        <v>70</v>
      </c>
      <c r="J61" s="106" t="s">
        <v>138</v>
      </c>
      <c r="K61" s="106" t="s">
        <v>138</v>
      </c>
      <c r="L61" s="159">
        <v>1</v>
      </c>
      <c r="M61" s="76">
        <v>3</v>
      </c>
      <c r="N61" s="76">
        <v>3</v>
      </c>
      <c r="O61" s="76">
        <v>2</v>
      </c>
      <c r="P61" s="76">
        <v>2</v>
      </c>
      <c r="Q61" s="76">
        <v>2</v>
      </c>
      <c r="R61" s="76">
        <v>3</v>
      </c>
      <c r="S61" s="76">
        <v>3</v>
      </c>
      <c r="T61" s="76">
        <v>3</v>
      </c>
      <c r="U61" s="76">
        <v>3</v>
      </c>
      <c r="V61" s="162">
        <v>2</v>
      </c>
      <c r="W61" s="159">
        <v>3</v>
      </c>
      <c r="X61" s="76">
        <v>1</v>
      </c>
      <c r="Y61" s="76">
        <v>1</v>
      </c>
      <c r="Z61" s="76">
        <v>1</v>
      </c>
      <c r="AA61" s="76">
        <v>1</v>
      </c>
      <c r="AB61" s="76">
        <v>1</v>
      </c>
      <c r="AC61" s="76">
        <v>1</v>
      </c>
      <c r="AD61" s="76">
        <v>3</v>
      </c>
      <c r="AE61" s="76">
        <v>3</v>
      </c>
      <c r="AF61" s="76">
        <v>3</v>
      </c>
      <c r="AG61" s="76">
        <v>2</v>
      </c>
    </row>
    <row r="62" spans="1:33" ht="14">
      <c r="A62" s="65" t="s">
        <v>133</v>
      </c>
      <c r="B62" s="106" t="s">
        <v>73</v>
      </c>
      <c r="C62" s="70"/>
      <c r="D62" s="155" t="s">
        <v>290</v>
      </c>
      <c r="E62" s="174" t="s">
        <v>291</v>
      </c>
      <c r="F62" s="157" t="str">
        <f ca="1">IFERROR(__xludf.DUMMYFUNCTION("INDEX(SPLIT(E62,""/""),,COUNTA(SPLIT(E62,""/"")))"),"1744494071618367548")</f>
        <v>1744494071618367548</v>
      </c>
      <c r="G62" s="70" t="s">
        <v>292</v>
      </c>
      <c r="H62" s="106" t="s">
        <v>80</v>
      </c>
      <c r="I62" s="76" t="s">
        <v>86</v>
      </c>
      <c r="J62" s="106" t="s">
        <v>138</v>
      </c>
      <c r="K62" s="106" t="s">
        <v>138</v>
      </c>
      <c r="L62" s="159">
        <v>1</v>
      </c>
      <c r="M62" s="76">
        <v>3</v>
      </c>
      <c r="N62" s="76">
        <v>2</v>
      </c>
      <c r="O62" s="76">
        <v>2</v>
      </c>
      <c r="P62" s="76">
        <v>1</v>
      </c>
      <c r="Q62" s="76">
        <v>1</v>
      </c>
      <c r="R62" s="76">
        <v>3</v>
      </c>
      <c r="S62" s="76">
        <v>3</v>
      </c>
      <c r="T62" s="76">
        <v>2</v>
      </c>
      <c r="U62" s="76">
        <v>3</v>
      </c>
      <c r="V62" s="162">
        <v>1</v>
      </c>
      <c r="W62" s="159">
        <v>3</v>
      </c>
      <c r="X62" s="76">
        <v>1</v>
      </c>
      <c r="Y62" s="76">
        <v>2</v>
      </c>
      <c r="Z62" s="76"/>
      <c r="AA62" s="76"/>
      <c r="AB62" s="76"/>
      <c r="AC62" s="76"/>
      <c r="AD62" s="76"/>
      <c r="AE62" s="76"/>
      <c r="AF62" s="76"/>
      <c r="AG62" s="76"/>
    </row>
    <row r="63" spans="1:33" ht="14">
      <c r="A63" s="183"/>
      <c r="B63" s="106" t="s">
        <v>73</v>
      </c>
      <c r="C63" s="70"/>
      <c r="D63" s="155" t="s">
        <v>293</v>
      </c>
      <c r="E63" s="164" t="s">
        <v>705</v>
      </c>
      <c r="F63" s="157" t="str">
        <f ca="1">IFERROR(__xludf.DUMMYFUNCTION("INDEX(SPLIT(E63,""/""),,COUNTA(SPLIT(E63,""/"")))"),"1744714373996892349")</f>
        <v>1744714373996892349</v>
      </c>
      <c r="G63" s="70" t="s">
        <v>295</v>
      </c>
      <c r="H63" s="106" t="s">
        <v>80</v>
      </c>
      <c r="I63" s="76"/>
      <c r="J63" s="106"/>
      <c r="K63" s="106"/>
      <c r="L63" s="159"/>
      <c r="M63" s="76"/>
      <c r="N63" s="76"/>
      <c r="O63" s="76"/>
      <c r="P63" s="76"/>
      <c r="Q63" s="76"/>
      <c r="R63" s="76"/>
      <c r="S63" s="76"/>
      <c r="T63" s="76"/>
      <c r="U63" s="76"/>
      <c r="V63" s="162"/>
      <c r="W63" s="159"/>
      <c r="X63" s="76"/>
      <c r="Y63" s="76"/>
      <c r="Z63" s="76"/>
      <c r="AA63" s="76"/>
      <c r="AB63" s="76"/>
      <c r="AC63" s="76"/>
      <c r="AD63" s="76"/>
      <c r="AE63" s="76"/>
      <c r="AF63" s="76"/>
      <c r="AG63" s="76"/>
    </row>
    <row r="64" spans="1:33" ht="14">
      <c r="A64" s="183"/>
      <c r="B64" s="106" t="s">
        <v>73</v>
      </c>
      <c r="C64" s="70"/>
      <c r="D64" s="155" t="s">
        <v>296</v>
      </c>
      <c r="E64" s="174" t="s">
        <v>297</v>
      </c>
      <c r="F64" s="157" t="str">
        <f ca="1">IFERROR(__xludf.DUMMYFUNCTION("INDEX(SPLIT(E64,""/""),,COUNTA(SPLIT(E64,""/"")))"),"1744663250438852685")</f>
        <v>1744663250438852685</v>
      </c>
      <c r="G64" s="70" t="s">
        <v>298</v>
      </c>
      <c r="H64" s="106" t="s">
        <v>80</v>
      </c>
      <c r="I64" s="65"/>
      <c r="J64" s="106"/>
      <c r="K64" s="106"/>
      <c r="L64" s="159"/>
      <c r="M64" s="76"/>
      <c r="N64" s="76"/>
      <c r="O64" s="76"/>
      <c r="P64" s="76"/>
      <c r="Q64" s="76"/>
      <c r="R64" s="76"/>
      <c r="S64" s="76"/>
      <c r="T64" s="76"/>
      <c r="U64" s="76"/>
      <c r="V64" s="162"/>
      <c r="W64" s="159"/>
      <c r="X64" s="76"/>
      <c r="Y64" s="76"/>
      <c r="Z64" s="76"/>
      <c r="AA64" s="76"/>
      <c r="AB64" s="76"/>
      <c r="AC64" s="76"/>
      <c r="AD64" s="76"/>
      <c r="AE64" s="76"/>
      <c r="AF64" s="76"/>
      <c r="AG64" s="76"/>
    </row>
    <row r="65" spans="1:33" ht="14">
      <c r="A65" s="183"/>
      <c r="B65" s="106" t="s">
        <v>73</v>
      </c>
      <c r="C65" s="70"/>
      <c r="D65" s="155" t="s">
        <v>299</v>
      </c>
      <c r="E65" s="164" t="s">
        <v>300</v>
      </c>
      <c r="F65" s="157" t="str">
        <f ca="1">IFERROR(__xludf.DUMMYFUNCTION("INDEX(SPLIT(E65,""/""),,COUNTA(SPLIT(E65,""/"")))"),"1744338502005710853")</f>
        <v>1744338502005710853</v>
      </c>
      <c r="G65" s="70" t="s">
        <v>160</v>
      </c>
      <c r="H65" s="106" t="s">
        <v>80</v>
      </c>
      <c r="I65" s="163"/>
      <c r="J65" s="167"/>
      <c r="K65" s="167"/>
      <c r="L65" s="159"/>
      <c r="M65" s="76"/>
      <c r="N65" s="76"/>
      <c r="O65" s="76"/>
      <c r="P65" s="76"/>
      <c r="Q65" s="76"/>
      <c r="R65" s="76"/>
      <c r="S65" s="76"/>
      <c r="T65" s="76"/>
      <c r="U65" s="76"/>
      <c r="V65" s="162"/>
      <c r="W65" s="159"/>
      <c r="X65" s="76"/>
      <c r="Y65" s="76"/>
      <c r="Z65" s="76"/>
      <c r="AA65" s="76"/>
      <c r="AB65" s="76"/>
      <c r="AC65" s="76"/>
      <c r="AD65" s="76"/>
      <c r="AE65" s="76"/>
      <c r="AF65" s="76"/>
      <c r="AG65" s="76"/>
    </row>
    <row r="66" spans="1:33" ht="14">
      <c r="A66" s="65" t="s">
        <v>133</v>
      </c>
      <c r="B66" s="106" t="s">
        <v>71</v>
      </c>
      <c r="C66" s="70"/>
      <c r="D66" s="155" t="s">
        <v>301</v>
      </c>
      <c r="E66" s="166" t="s">
        <v>302</v>
      </c>
      <c r="F66" s="157" t="str">
        <f ca="1">IFERROR(__xludf.DUMMYFUNCTION("INDEX(SPLIT(E66,""/""),,COUNTA(SPLIT(E66,""/"")))"),"1744000766845559189")</f>
        <v>1744000766845559189</v>
      </c>
      <c r="G66" s="70" t="s">
        <v>160</v>
      </c>
      <c r="H66" s="106" t="s">
        <v>80</v>
      </c>
      <c r="I66" s="65" t="s">
        <v>70</v>
      </c>
      <c r="J66" s="167">
        <v>1</v>
      </c>
      <c r="K66" s="167">
        <v>1</v>
      </c>
      <c r="L66" s="159">
        <v>1</v>
      </c>
      <c r="M66" s="76">
        <v>3</v>
      </c>
      <c r="N66" s="76">
        <v>3</v>
      </c>
      <c r="O66" s="76">
        <v>1</v>
      </c>
      <c r="P66" s="76">
        <v>2</v>
      </c>
      <c r="Q66" s="76">
        <v>2</v>
      </c>
      <c r="R66" s="76">
        <v>1</v>
      </c>
      <c r="S66" s="76">
        <v>3</v>
      </c>
      <c r="T66" s="76">
        <v>2</v>
      </c>
      <c r="U66" s="76">
        <v>3</v>
      </c>
      <c r="V66" s="162">
        <v>2</v>
      </c>
      <c r="W66" s="159">
        <v>1</v>
      </c>
      <c r="X66" s="76">
        <v>1</v>
      </c>
      <c r="Y66" s="76">
        <v>1</v>
      </c>
      <c r="Z66" s="76">
        <v>1</v>
      </c>
      <c r="AA66" s="76">
        <v>1</v>
      </c>
      <c r="AB66" s="76">
        <v>1</v>
      </c>
      <c r="AC66" s="76">
        <v>1</v>
      </c>
      <c r="AD66" s="76">
        <v>3</v>
      </c>
      <c r="AE66" s="76">
        <v>3</v>
      </c>
      <c r="AF66" s="76">
        <v>3</v>
      </c>
      <c r="AG66" s="76">
        <v>1</v>
      </c>
    </row>
    <row r="67" spans="1:33" ht="14">
      <c r="A67" s="65" t="s">
        <v>133</v>
      </c>
      <c r="B67" s="106" t="s">
        <v>71</v>
      </c>
      <c r="C67" s="70"/>
      <c r="D67" s="155" t="s">
        <v>303</v>
      </c>
      <c r="E67" s="166" t="s">
        <v>304</v>
      </c>
      <c r="F67" s="157" t="str">
        <f ca="1">IFERROR(__xludf.DUMMYFUNCTION("INDEX(SPLIT(E67,""/""),,COUNTA(SPLIT(E67,""/"")))"),"1743281978038788252")</f>
        <v>1743281978038788252</v>
      </c>
      <c r="G67" s="171" t="s">
        <v>305</v>
      </c>
      <c r="H67" s="106" t="s">
        <v>80</v>
      </c>
      <c r="I67" s="65" t="s">
        <v>81</v>
      </c>
      <c r="J67" s="167">
        <v>1</v>
      </c>
      <c r="K67" s="167">
        <v>1</v>
      </c>
      <c r="L67" s="159">
        <v>1</v>
      </c>
      <c r="M67" s="76">
        <v>3</v>
      </c>
      <c r="N67" s="76">
        <v>1</v>
      </c>
      <c r="O67" s="76">
        <v>2</v>
      </c>
      <c r="P67" s="76">
        <v>1</v>
      </c>
      <c r="Q67" s="76">
        <v>1</v>
      </c>
      <c r="R67" s="76">
        <v>1</v>
      </c>
      <c r="S67" s="76">
        <v>2</v>
      </c>
      <c r="T67" s="76">
        <v>1</v>
      </c>
      <c r="U67" s="76">
        <v>3</v>
      </c>
      <c r="V67" s="162">
        <v>2</v>
      </c>
      <c r="W67" s="159">
        <v>1</v>
      </c>
      <c r="X67" s="76">
        <v>1</v>
      </c>
      <c r="Y67" s="76">
        <v>1</v>
      </c>
      <c r="Z67" s="76">
        <v>1</v>
      </c>
      <c r="AA67" s="76">
        <v>1</v>
      </c>
      <c r="AB67" s="76">
        <v>1</v>
      </c>
      <c r="AC67" s="76">
        <v>1</v>
      </c>
      <c r="AD67" s="76">
        <v>2</v>
      </c>
      <c r="AE67" s="76">
        <v>2</v>
      </c>
      <c r="AF67" s="76">
        <v>1</v>
      </c>
      <c r="AG67" s="76">
        <v>1</v>
      </c>
    </row>
    <row r="68" spans="1:33" ht="14">
      <c r="A68" s="106"/>
      <c r="B68" s="106" t="s">
        <v>71</v>
      </c>
      <c r="C68" s="70"/>
      <c r="D68" s="155" t="s">
        <v>306</v>
      </c>
      <c r="E68" s="166" t="s">
        <v>307</v>
      </c>
      <c r="F68" s="157" t="str">
        <f ca="1">IFERROR(__xludf.DUMMYFUNCTION("INDEX(SPLIT(E68,""/""),,COUNTA(SPLIT(E68,""/"")))"),"1743552123852247315")</f>
        <v>1743552123852247315</v>
      </c>
      <c r="G68" s="171" t="s">
        <v>308</v>
      </c>
      <c r="H68" s="106" t="s">
        <v>80</v>
      </c>
      <c r="I68" s="76"/>
      <c r="J68" s="167"/>
      <c r="K68" s="167"/>
      <c r="L68" s="159"/>
      <c r="M68" s="76"/>
      <c r="N68" s="76"/>
      <c r="O68" s="76"/>
      <c r="P68" s="76"/>
      <c r="Q68" s="76"/>
      <c r="R68" s="76"/>
      <c r="S68" s="76"/>
      <c r="T68" s="76"/>
      <c r="U68" s="76"/>
      <c r="V68" s="162"/>
      <c r="W68" s="159"/>
      <c r="X68" s="76"/>
      <c r="Y68" s="76"/>
      <c r="Z68" s="76"/>
      <c r="AA68" s="76"/>
      <c r="AB68" s="76"/>
      <c r="AC68" s="76"/>
      <c r="AD68" s="76"/>
      <c r="AE68" s="76"/>
      <c r="AF68" s="76"/>
      <c r="AG68" s="76"/>
    </row>
    <row r="69" spans="1:33" ht="14">
      <c r="A69" s="106"/>
      <c r="B69" s="106"/>
      <c r="C69" s="70"/>
      <c r="D69" s="155" t="s">
        <v>309</v>
      </c>
      <c r="E69" s="180" t="s">
        <v>310</v>
      </c>
      <c r="F69" s="157" t="str">
        <f ca="1">IFERROR(__xludf.DUMMYFUNCTION("INDEX(SPLIT(E69,""/""),,COUNTA(SPLIT(E69,""/"")))"),"1742278065147801929")</f>
        <v>1742278065147801929</v>
      </c>
      <c r="G69" s="171" t="s">
        <v>305</v>
      </c>
      <c r="H69" s="106" t="s">
        <v>80</v>
      </c>
      <c r="I69" s="76"/>
      <c r="J69" s="106"/>
      <c r="K69" s="106"/>
      <c r="L69" s="159"/>
      <c r="M69" s="76"/>
      <c r="N69" s="76"/>
      <c r="O69" s="76"/>
      <c r="P69" s="76"/>
      <c r="Q69" s="76"/>
      <c r="R69" s="76"/>
      <c r="S69" s="76"/>
      <c r="T69" s="76"/>
      <c r="U69" s="76"/>
      <c r="V69" s="162"/>
      <c r="W69" s="159"/>
      <c r="X69" s="76"/>
      <c r="Y69" s="76"/>
      <c r="Z69" s="76"/>
      <c r="AA69" s="76"/>
      <c r="AB69" s="76"/>
      <c r="AC69" s="76"/>
      <c r="AD69" s="76"/>
      <c r="AE69" s="76"/>
      <c r="AF69" s="76"/>
      <c r="AG69" s="76"/>
    </row>
    <row r="70" spans="1:33" ht="14">
      <c r="A70" s="106"/>
      <c r="B70" s="106"/>
      <c r="C70" s="70"/>
      <c r="D70" s="155" t="s">
        <v>311</v>
      </c>
      <c r="E70" s="166" t="s">
        <v>312</v>
      </c>
      <c r="F70" s="157" t="str">
        <f ca="1">IFERROR(__xludf.DUMMYFUNCTION("INDEX(SPLIT(E70,""/""),,COUNTA(SPLIT(E70,""/"")))"),"1743553833241038989")</f>
        <v>1743553833241038989</v>
      </c>
      <c r="G70" s="70" t="s">
        <v>313</v>
      </c>
      <c r="H70" s="106" t="s">
        <v>80</v>
      </c>
      <c r="I70" s="167"/>
      <c r="J70" s="106"/>
      <c r="K70" s="106"/>
      <c r="L70" s="159"/>
      <c r="M70" s="76"/>
      <c r="N70" s="76"/>
      <c r="O70" s="76"/>
      <c r="P70" s="76"/>
      <c r="Q70" s="76"/>
      <c r="R70" s="76"/>
      <c r="S70" s="76"/>
      <c r="T70" s="76"/>
      <c r="U70" s="76"/>
      <c r="V70" s="162"/>
      <c r="W70" s="159"/>
      <c r="X70" s="76"/>
      <c r="Y70" s="76"/>
      <c r="Z70" s="76"/>
      <c r="AA70" s="76"/>
      <c r="AB70" s="76"/>
      <c r="AC70" s="76"/>
      <c r="AD70" s="76"/>
      <c r="AE70" s="76"/>
      <c r="AF70" s="76"/>
      <c r="AG70" s="76"/>
    </row>
    <row r="71" spans="1:33" ht="14">
      <c r="A71" s="106"/>
      <c r="B71" s="106"/>
      <c r="C71" s="70"/>
      <c r="D71" s="155" t="s">
        <v>314</v>
      </c>
      <c r="E71" s="166" t="s">
        <v>315</v>
      </c>
      <c r="F71" s="157" t="str">
        <f ca="1">IFERROR(__xludf.DUMMYFUNCTION("INDEX(SPLIT(E71,""/""),,COUNTA(SPLIT(E71,""/"")))"),"1742731787204210956")</f>
        <v>1742731787204210956</v>
      </c>
      <c r="G71" s="70" t="s">
        <v>316</v>
      </c>
      <c r="H71" s="106" t="s">
        <v>317</v>
      </c>
      <c r="I71" s="65"/>
      <c r="J71" s="106"/>
      <c r="K71" s="106"/>
      <c r="L71" s="159"/>
      <c r="M71" s="76"/>
      <c r="N71" s="76"/>
      <c r="O71" s="76"/>
      <c r="P71" s="76"/>
      <c r="Q71" s="76"/>
      <c r="R71" s="76"/>
      <c r="S71" s="76"/>
      <c r="T71" s="76"/>
      <c r="U71" s="76"/>
      <c r="V71" s="162"/>
      <c r="W71" s="159"/>
      <c r="X71" s="76"/>
      <c r="Y71" s="76"/>
      <c r="Z71" s="76"/>
      <c r="AA71" s="76"/>
      <c r="AB71" s="76"/>
      <c r="AC71" s="76"/>
      <c r="AD71" s="76"/>
      <c r="AE71" s="76"/>
      <c r="AF71" s="76"/>
      <c r="AG71" s="76"/>
    </row>
    <row r="72" spans="1:33" ht="14">
      <c r="A72" s="65" t="s">
        <v>133</v>
      </c>
      <c r="B72" s="106" t="s">
        <v>78</v>
      </c>
      <c r="C72" s="70"/>
      <c r="D72" s="155" t="s">
        <v>318</v>
      </c>
      <c r="E72" s="166" t="s">
        <v>319</v>
      </c>
      <c r="F72" s="157" t="str">
        <f ca="1">IFERROR(__xludf.DUMMYFUNCTION("INDEX(SPLIT(E72,""/""),,COUNTA(SPLIT(E72,""/"")))"),"1739802241312211184")</f>
        <v>1739802241312211184</v>
      </c>
      <c r="G72" s="70" t="s">
        <v>320</v>
      </c>
      <c r="H72" s="106" t="s">
        <v>80</v>
      </c>
      <c r="I72" s="167" t="s">
        <v>70</v>
      </c>
      <c r="J72" s="106" t="s">
        <v>138</v>
      </c>
      <c r="K72" s="106" t="s">
        <v>138</v>
      </c>
      <c r="L72" s="159">
        <v>1</v>
      </c>
      <c r="M72" s="76">
        <v>3</v>
      </c>
      <c r="N72" s="76">
        <v>1</v>
      </c>
      <c r="O72" s="76">
        <v>1</v>
      </c>
      <c r="P72" s="76">
        <v>1</v>
      </c>
      <c r="Q72" s="76">
        <v>1</v>
      </c>
      <c r="R72" s="76">
        <v>2</v>
      </c>
      <c r="S72" s="76">
        <v>3</v>
      </c>
      <c r="T72" s="76">
        <v>2</v>
      </c>
      <c r="U72" s="76">
        <v>2</v>
      </c>
      <c r="V72" s="162">
        <v>2</v>
      </c>
      <c r="W72" s="159">
        <v>2</v>
      </c>
      <c r="X72" s="76">
        <v>1</v>
      </c>
      <c r="Y72" s="76">
        <v>3</v>
      </c>
      <c r="Z72" s="76">
        <v>1</v>
      </c>
      <c r="AA72" s="76">
        <v>1</v>
      </c>
      <c r="AB72" s="76">
        <v>1</v>
      </c>
      <c r="AC72" s="76">
        <v>1</v>
      </c>
      <c r="AD72" s="76">
        <v>3</v>
      </c>
      <c r="AE72" s="76">
        <v>3</v>
      </c>
      <c r="AF72" s="76">
        <v>3</v>
      </c>
      <c r="AG72" s="76">
        <v>1</v>
      </c>
    </row>
    <row r="73" spans="1:33" ht="14">
      <c r="A73" s="65" t="s">
        <v>133</v>
      </c>
      <c r="B73" s="106" t="s">
        <v>78</v>
      </c>
      <c r="C73" s="70"/>
      <c r="D73" s="155" t="s">
        <v>321</v>
      </c>
      <c r="E73" s="166" t="s">
        <v>322</v>
      </c>
      <c r="F73" s="157" t="str">
        <f ca="1">IFERROR(__xludf.DUMMYFUNCTION("INDEX(SPLIT(E73,""/""),,COUNTA(SPLIT(E73,""/"")))"),"1743771126214320533")</f>
        <v>1743771126214320533</v>
      </c>
      <c r="G73" s="70" t="s">
        <v>160</v>
      </c>
      <c r="H73" s="106" t="s">
        <v>80</v>
      </c>
      <c r="I73" s="65" t="s">
        <v>70</v>
      </c>
      <c r="J73" s="106" t="s">
        <v>138</v>
      </c>
      <c r="K73" s="106" t="s">
        <v>138</v>
      </c>
      <c r="L73" s="159">
        <v>1</v>
      </c>
      <c r="M73" s="76">
        <v>3</v>
      </c>
      <c r="N73" s="76">
        <v>3</v>
      </c>
      <c r="O73" s="76">
        <v>3</v>
      </c>
      <c r="P73" s="76">
        <v>1</v>
      </c>
      <c r="Q73" s="76">
        <v>1</v>
      </c>
      <c r="R73" s="76">
        <v>3</v>
      </c>
      <c r="S73" s="76">
        <v>3</v>
      </c>
      <c r="T73" s="76">
        <v>2</v>
      </c>
      <c r="U73" s="76">
        <v>1</v>
      </c>
      <c r="V73" s="162">
        <v>3</v>
      </c>
      <c r="W73" s="159">
        <v>1</v>
      </c>
      <c r="X73" s="76">
        <v>3</v>
      </c>
      <c r="Y73" s="76">
        <v>1</v>
      </c>
      <c r="Z73" s="76">
        <v>1</v>
      </c>
      <c r="AA73" s="76">
        <v>1</v>
      </c>
      <c r="AB73" s="76">
        <v>1</v>
      </c>
      <c r="AC73" s="76">
        <v>1</v>
      </c>
      <c r="AD73" s="76">
        <v>3</v>
      </c>
      <c r="AE73" s="76">
        <v>3</v>
      </c>
      <c r="AF73" s="76">
        <v>3</v>
      </c>
      <c r="AG73" s="76">
        <v>1</v>
      </c>
    </row>
    <row r="74" spans="1:33" ht="14">
      <c r="A74" s="65" t="s">
        <v>133</v>
      </c>
      <c r="B74" s="106" t="s">
        <v>78</v>
      </c>
      <c r="C74" s="70"/>
      <c r="D74" s="155" t="s">
        <v>323</v>
      </c>
      <c r="E74" s="166" t="s">
        <v>324</v>
      </c>
      <c r="F74" s="157" t="str">
        <f ca="1">IFERROR(__xludf.DUMMYFUNCTION("INDEX(SPLIT(E74,""/""),,COUNTA(SPLIT(E74,""/"")))"),"1744148861533278685")</f>
        <v>1744148861533278685</v>
      </c>
      <c r="G74" s="171" t="s">
        <v>325</v>
      </c>
      <c r="H74" s="106" t="s">
        <v>80</v>
      </c>
      <c r="I74" s="65" t="s">
        <v>70</v>
      </c>
      <c r="J74" s="106" t="s">
        <v>138</v>
      </c>
      <c r="K74" s="106" t="s">
        <v>138</v>
      </c>
      <c r="L74" s="159">
        <v>1</v>
      </c>
      <c r="M74" s="76">
        <v>3</v>
      </c>
      <c r="N74" s="76">
        <v>3</v>
      </c>
      <c r="O74" s="76">
        <v>1</v>
      </c>
      <c r="P74" s="76">
        <v>1</v>
      </c>
      <c r="Q74" s="76">
        <v>1</v>
      </c>
      <c r="R74" s="76">
        <v>1</v>
      </c>
      <c r="S74" s="76">
        <v>3</v>
      </c>
      <c r="T74" s="76">
        <v>1</v>
      </c>
      <c r="U74" s="76">
        <v>1</v>
      </c>
      <c r="V74" s="162">
        <v>2</v>
      </c>
      <c r="W74" s="159">
        <v>1</v>
      </c>
      <c r="X74" s="76">
        <v>2</v>
      </c>
      <c r="Y74" s="76">
        <v>3</v>
      </c>
      <c r="Z74" s="76">
        <v>1</v>
      </c>
      <c r="AA74" s="76">
        <v>1</v>
      </c>
      <c r="AB74" s="76">
        <v>1</v>
      </c>
      <c r="AC74" s="76">
        <v>1</v>
      </c>
      <c r="AD74" s="76">
        <v>3</v>
      </c>
      <c r="AE74" s="76">
        <v>3</v>
      </c>
      <c r="AF74" s="76">
        <v>3</v>
      </c>
      <c r="AG74" s="76">
        <v>1</v>
      </c>
    </row>
    <row r="75" spans="1:33" ht="14">
      <c r="A75" s="65" t="s">
        <v>133</v>
      </c>
      <c r="B75" s="106" t="s">
        <v>78</v>
      </c>
      <c r="C75" s="70"/>
      <c r="D75" s="155" t="s">
        <v>326</v>
      </c>
      <c r="E75" s="166" t="s">
        <v>327</v>
      </c>
      <c r="F75" s="157" t="str">
        <f ca="1">IFERROR(__xludf.DUMMYFUNCTION("INDEX(SPLIT(E75,""/""),,COUNTA(SPLIT(E75,""/"")))"),"1743401785560084825")</f>
        <v>1743401785560084825</v>
      </c>
      <c r="G75" s="171" t="s">
        <v>328</v>
      </c>
      <c r="H75" s="106" t="s">
        <v>80</v>
      </c>
      <c r="I75" s="65" t="s">
        <v>81</v>
      </c>
      <c r="J75" s="106" t="s">
        <v>138</v>
      </c>
      <c r="K75" s="106" t="s">
        <v>138</v>
      </c>
      <c r="L75" s="159">
        <v>1</v>
      </c>
      <c r="M75" s="76">
        <v>3</v>
      </c>
      <c r="N75" s="76">
        <v>1</v>
      </c>
      <c r="O75" s="76">
        <v>1</v>
      </c>
      <c r="P75" s="76">
        <v>1</v>
      </c>
      <c r="Q75" s="76">
        <v>1</v>
      </c>
      <c r="R75" s="76">
        <v>1</v>
      </c>
      <c r="S75" s="76">
        <v>1</v>
      </c>
      <c r="T75" s="76">
        <v>1</v>
      </c>
      <c r="U75" s="76">
        <v>1</v>
      </c>
      <c r="V75" s="162">
        <v>1</v>
      </c>
      <c r="W75" s="159">
        <v>1</v>
      </c>
      <c r="X75" s="76">
        <v>1</v>
      </c>
      <c r="Y75" s="76">
        <v>1</v>
      </c>
      <c r="Z75" s="76">
        <v>1</v>
      </c>
      <c r="AA75" s="76">
        <v>1</v>
      </c>
      <c r="AB75" s="76">
        <v>1</v>
      </c>
      <c r="AC75" s="76">
        <v>1</v>
      </c>
      <c r="AD75" s="76">
        <v>3</v>
      </c>
      <c r="AE75" s="76">
        <v>3</v>
      </c>
      <c r="AF75" s="76">
        <v>1</v>
      </c>
      <c r="AG75" s="76">
        <v>1</v>
      </c>
    </row>
    <row r="76" spans="1:33" ht="14">
      <c r="A76" s="65" t="s">
        <v>133</v>
      </c>
      <c r="B76" s="106" t="s">
        <v>78</v>
      </c>
      <c r="C76" s="70"/>
      <c r="D76" s="155" t="s">
        <v>329</v>
      </c>
      <c r="E76" s="180" t="s">
        <v>330</v>
      </c>
      <c r="F76" s="157" t="str">
        <f ca="1">IFERROR(__xludf.DUMMYFUNCTION("INDEX(SPLIT(E76,""/""),,COUNTA(SPLIT(E76,""/"")))"),"1742993745732124991")</f>
        <v>1742993745732124991</v>
      </c>
      <c r="G76" s="171" t="s">
        <v>331</v>
      </c>
      <c r="H76" s="106" t="s">
        <v>80</v>
      </c>
      <c r="I76" s="65" t="s">
        <v>70</v>
      </c>
      <c r="J76" s="106" t="s">
        <v>138</v>
      </c>
      <c r="K76" s="106" t="s">
        <v>146</v>
      </c>
      <c r="L76" s="159">
        <v>3</v>
      </c>
      <c r="M76" s="76">
        <v>3</v>
      </c>
      <c r="N76" s="76">
        <v>3</v>
      </c>
      <c r="O76" s="76">
        <v>3</v>
      </c>
      <c r="P76" s="76">
        <v>1</v>
      </c>
      <c r="Q76" s="76">
        <v>1</v>
      </c>
      <c r="R76" s="76">
        <v>2</v>
      </c>
      <c r="S76" s="76">
        <v>3</v>
      </c>
      <c r="T76" s="76">
        <v>1</v>
      </c>
      <c r="U76" s="76">
        <v>3</v>
      </c>
      <c r="V76" s="162">
        <v>3</v>
      </c>
      <c r="W76" s="159">
        <v>2</v>
      </c>
      <c r="X76" s="76">
        <v>1</v>
      </c>
      <c r="Y76" s="76">
        <v>1</v>
      </c>
      <c r="Z76" s="76">
        <v>1</v>
      </c>
      <c r="AA76" s="76">
        <v>2</v>
      </c>
      <c r="AB76" s="76">
        <v>1</v>
      </c>
      <c r="AC76" s="76">
        <v>2</v>
      </c>
      <c r="AD76" s="76">
        <v>3</v>
      </c>
      <c r="AE76" s="76">
        <v>3</v>
      </c>
      <c r="AF76" s="76">
        <v>3</v>
      </c>
      <c r="AG76" s="76">
        <v>1</v>
      </c>
    </row>
    <row r="77" spans="1:33" ht="14">
      <c r="A77" s="65" t="s">
        <v>133</v>
      </c>
      <c r="B77" s="106" t="s">
        <v>78</v>
      </c>
      <c r="C77" s="70"/>
      <c r="D77" s="155" t="s">
        <v>332</v>
      </c>
      <c r="E77" s="166" t="s">
        <v>333</v>
      </c>
      <c r="F77" s="157" t="str">
        <f ca="1">IFERROR(__xludf.DUMMYFUNCTION("INDEX(SPLIT(E77,""/""),,COUNTA(SPLIT(E77,""/"")))"),"1710518671855042718")</f>
        <v>1710518671855042718</v>
      </c>
      <c r="G77" s="171" t="s">
        <v>334</v>
      </c>
      <c r="H77" s="106" t="s">
        <v>80</v>
      </c>
      <c r="I77" s="76" t="s">
        <v>70</v>
      </c>
      <c r="J77" s="106" t="s">
        <v>138</v>
      </c>
      <c r="K77" s="106" t="s">
        <v>138</v>
      </c>
      <c r="L77" s="159">
        <v>1</v>
      </c>
      <c r="M77" s="76">
        <v>1</v>
      </c>
      <c r="N77" s="76">
        <v>2</v>
      </c>
      <c r="O77" s="76">
        <v>1</v>
      </c>
      <c r="P77" s="76">
        <v>1</v>
      </c>
      <c r="Q77" s="76">
        <v>1</v>
      </c>
      <c r="R77" s="76">
        <v>1</v>
      </c>
      <c r="S77" s="76">
        <v>3</v>
      </c>
      <c r="T77" s="76">
        <v>2</v>
      </c>
      <c r="U77" s="76">
        <v>1</v>
      </c>
      <c r="V77" s="162">
        <v>3</v>
      </c>
      <c r="W77" s="159">
        <v>1</v>
      </c>
      <c r="X77" s="76">
        <v>1</v>
      </c>
      <c r="Y77" s="76">
        <v>1</v>
      </c>
      <c r="Z77" s="76">
        <v>1</v>
      </c>
      <c r="AA77" s="76">
        <v>1</v>
      </c>
      <c r="AB77" s="76">
        <v>1</v>
      </c>
      <c r="AC77" s="76">
        <v>3</v>
      </c>
      <c r="AD77" s="76">
        <v>3</v>
      </c>
      <c r="AE77" s="76">
        <v>3</v>
      </c>
      <c r="AF77" s="76">
        <v>3</v>
      </c>
      <c r="AG77" s="76">
        <v>1</v>
      </c>
    </row>
    <row r="78" spans="1:33" ht="14">
      <c r="A78" s="65" t="s">
        <v>133</v>
      </c>
      <c r="B78" s="106" t="s">
        <v>78</v>
      </c>
      <c r="C78" s="70"/>
      <c r="D78" s="155" t="s">
        <v>335</v>
      </c>
      <c r="E78" s="166" t="s">
        <v>336</v>
      </c>
      <c r="F78" s="157" t="str">
        <f ca="1">IFERROR(__xludf.DUMMYFUNCTION("INDEX(SPLIT(E78,""/""),,COUNTA(SPLIT(E78,""/"")))"),"1740021446997368846")</f>
        <v>1740021446997368846</v>
      </c>
      <c r="G78" s="171" t="s">
        <v>337</v>
      </c>
      <c r="H78" s="106" t="s">
        <v>80</v>
      </c>
      <c r="I78" s="65" t="s">
        <v>70</v>
      </c>
      <c r="J78" s="106" t="s">
        <v>138</v>
      </c>
      <c r="K78" s="106" t="s">
        <v>138</v>
      </c>
      <c r="L78" s="159">
        <v>1</v>
      </c>
      <c r="M78" s="76">
        <v>3</v>
      </c>
      <c r="N78" s="76">
        <v>1</v>
      </c>
      <c r="O78" s="76">
        <v>1</v>
      </c>
      <c r="P78" s="76">
        <v>1</v>
      </c>
      <c r="Q78" s="76">
        <v>1</v>
      </c>
      <c r="R78" s="76">
        <v>1</v>
      </c>
      <c r="S78" s="76">
        <v>3</v>
      </c>
      <c r="T78" s="76">
        <v>1</v>
      </c>
      <c r="U78" s="76">
        <v>2</v>
      </c>
      <c r="V78" s="162">
        <v>1</v>
      </c>
      <c r="W78" s="159">
        <v>1</v>
      </c>
      <c r="X78" s="76">
        <v>1</v>
      </c>
      <c r="Y78" s="76">
        <v>1</v>
      </c>
      <c r="Z78" s="76">
        <v>1</v>
      </c>
      <c r="AA78" s="76">
        <v>1</v>
      </c>
      <c r="AB78" s="76">
        <v>1</v>
      </c>
      <c r="AC78" s="76">
        <v>1</v>
      </c>
      <c r="AD78" s="76">
        <v>3</v>
      </c>
      <c r="AE78" s="76">
        <v>3</v>
      </c>
      <c r="AF78" s="76">
        <v>3</v>
      </c>
      <c r="AG78" s="76">
        <v>1</v>
      </c>
    </row>
    <row r="79" spans="1:33" ht="14">
      <c r="A79" s="65" t="s">
        <v>133</v>
      </c>
      <c r="B79" s="106" t="s">
        <v>78</v>
      </c>
      <c r="C79" s="70"/>
      <c r="D79" s="155" t="s">
        <v>338</v>
      </c>
      <c r="E79" s="166" t="s">
        <v>339</v>
      </c>
      <c r="F79" s="157" t="str">
        <f ca="1">IFERROR(__xludf.DUMMYFUNCTION("INDEX(SPLIT(E79,""/""),,COUNTA(SPLIT(E79,""/"")))"),"1738190439235170378")</f>
        <v>1738190439235170378</v>
      </c>
      <c r="G79" s="171" t="s">
        <v>337</v>
      </c>
      <c r="H79" s="106" t="s">
        <v>80</v>
      </c>
      <c r="I79" s="76" t="s">
        <v>81</v>
      </c>
      <c r="J79" s="106" t="s">
        <v>138</v>
      </c>
      <c r="K79" s="106" t="s">
        <v>138</v>
      </c>
      <c r="L79" s="159">
        <v>1</v>
      </c>
      <c r="M79" s="76">
        <v>1</v>
      </c>
      <c r="N79" s="76">
        <v>1</v>
      </c>
      <c r="O79" s="76">
        <v>1</v>
      </c>
      <c r="P79" s="76">
        <v>1</v>
      </c>
      <c r="Q79" s="76">
        <v>1</v>
      </c>
      <c r="R79" s="76">
        <v>1</v>
      </c>
      <c r="S79" s="76">
        <v>1</v>
      </c>
      <c r="T79" s="76">
        <v>1</v>
      </c>
      <c r="U79" s="76">
        <v>1</v>
      </c>
      <c r="V79" s="162">
        <v>1</v>
      </c>
      <c r="W79" s="159">
        <v>1</v>
      </c>
      <c r="X79" s="76">
        <v>1</v>
      </c>
      <c r="Y79" s="76">
        <v>1</v>
      </c>
      <c r="Z79" s="76">
        <v>1</v>
      </c>
      <c r="AA79" s="76">
        <v>1</v>
      </c>
      <c r="AB79" s="76">
        <v>1</v>
      </c>
      <c r="AC79" s="76">
        <v>1</v>
      </c>
      <c r="AD79" s="76">
        <v>3</v>
      </c>
      <c r="AE79" s="76">
        <v>3</v>
      </c>
      <c r="AF79" s="76">
        <v>1</v>
      </c>
      <c r="AG79" s="76">
        <v>1</v>
      </c>
    </row>
    <row r="80" spans="1:33" ht="14">
      <c r="A80" s="65" t="s">
        <v>133</v>
      </c>
      <c r="B80" s="106" t="s">
        <v>78</v>
      </c>
      <c r="C80" s="70"/>
      <c r="D80" s="155" t="s">
        <v>340</v>
      </c>
      <c r="E80" s="166" t="s">
        <v>341</v>
      </c>
      <c r="F80" s="157" t="str">
        <f ca="1">IFERROR(__xludf.DUMMYFUNCTION("INDEX(SPLIT(E80,""/""),,COUNTA(SPLIT(E80,""/"")))"),"1718196319347442029")</f>
        <v>1718196319347442029</v>
      </c>
      <c r="G80" s="70" t="s">
        <v>342</v>
      </c>
      <c r="H80" s="106" t="s">
        <v>80</v>
      </c>
      <c r="I80" s="76" t="s">
        <v>70</v>
      </c>
      <c r="J80" s="106" t="s">
        <v>138</v>
      </c>
      <c r="K80" s="106" t="s">
        <v>138</v>
      </c>
      <c r="L80" s="159">
        <v>1</v>
      </c>
      <c r="M80" s="76">
        <v>3</v>
      </c>
      <c r="N80" s="76">
        <v>1</v>
      </c>
      <c r="O80" s="76">
        <v>1</v>
      </c>
      <c r="P80" s="76">
        <v>1</v>
      </c>
      <c r="Q80" s="76">
        <v>1</v>
      </c>
      <c r="R80" s="76">
        <v>1</v>
      </c>
      <c r="S80" s="76">
        <v>3</v>
      </c>
      <c r="T80" s="76">
        <v>2</v>
      </c>
      <c r="U80" s="76">
        <v>1</v>
      </c>
      <c r="V80" s="162">
        <v>1</v>
      </c>
      <c r="W80" s="159">
        <v>1</v>
      </c>
      <c r="X80" s="76">
        <v>1</v>
      </c>
      <c r="Y80" s="76">
        <v>3</v>
      </c>
      <c r="Z80" s="76">
        <v>1</v>
      </c>
      <c r="AA80" s="76">
        <v>1</v>
      </c>
      <c r="AB80" s="76">
        <v>1</v>
      </c>
      <c r="AC80" s="76">
        <v>1</v>
      </c>
      <c r="AD80" s="76">
        <v>3</v>
      </c>
      <c r="AE80" s="76">
        <v>3</v>
      </c>
      <c r="AF80" s="76">
        <v>3</v>
      </c>
      <c r="AG80" s="76">
        <v>1</v>
      </c>
    </row>
    <row r="81" spans="1:33" ht="14">
      <c r="A81" s="65" t="s">
        <v>133</v>
      </c>
      <c r="B81" s="106" t="s">
        <v>78</v>
      </c>
      <c r="C81" s="70"/>
      <c r="D81" s="155" t="s">
        <v>343</v>
      </c>
      <c r="E81" s="166" t="s">
        <v>344</v>
      </c>
      <c r="F81" s="157" t="str">
        <f ca="1">IFERROR(__xludf.DUMMYFUNCTION("INDEX(SPLIT(E81,""/""),,COUNTA(SPLIT(E81,""/"")))"),"1734975208367194235")</f>
        <v>1734975208367194235</v>
      </c>
      <c r="G81" s="171" t="s">
        <v>337</v>
      </c>
      <c r="H81" s="106" t="s">
        <v>80</v>
      </c>
      <c r="I81" s="76" t="s">
        <v>70</v>
      </c>
      <c r="J81" s="106" t="s">
        <v>138</v>
      </c>
      <c r="K81" s="106" t="s">
        <v>138</v>
      </c>
      <c r="L81" s="159">
        <v>1</v>
      </c>
      <c r="M81" s="76">
        <v>1</v>
      </c>
      <c r="N81" s="76">
        <v>1</v>
      </c>
      <c r="O81" s="76">
        <v>1</v>
      </c>
      <c r="P81" s="76">
        <v>1</v>
      </c>
      <c r="Q81" s="76">
        <v>1</v>
      </c>
      <c r="R81" s="76">
        <v>1</v>
      </c>
      <c r="S81" s="76">
        <v>2</v>
      </c>
      <c r="T81" s="76">
        <v>1</v>
      </c>
      <c r="U81" s="76">
        <v>1</v>
      </c>
      <c r="V81" s="162">
        <v>1</v>
      </c>
      <c r="W81" s="159">
        <v>1</v>
      </c>
      <c r="X81" s="76">
        <v>1</v>
      </c>
      <c r="Y81" s="76">
        <v>1</v>
      </c>
      <c r="Z81" s="76">
        <v>1</v>
      </c>
      <c r="AA81" s="76">
        <v>1</v>
      </c>
      <c r="AB81" s="76">
        <v>1</v>
      </c>
      <c r="AC81" s="76">
        <v>1</v>
      </c>
      <c r="AD81" s="76">
        <v>3</v>
      </c>
      <c r="AE81" s="76">
        <v>3</v>
      </c>
      <c r="AF81" s="76">
        <v>3</v>
      </c>
      <c r="AG81" s="76">
        <v>1</v>
      </c>
    </row>
    <row r="82" spans="1:33" ht="14">
      <c r="A82" s="106"/>
      <c r="B82" s="106" t="s">
        <v>78</v>
      </c>
      <c r="C82" s="70"/>
      <c r="D82" s="155" t="s">
        <v>345</v>
      </c>
      <c r="E82" s="166" t="s">
        <v>341</v>
      </c>
      <c r="F82" s="157" t="str">
        <f ca="1">IFERROR(__xludf.DUMMYFUNCTION("INDEX(SPLIT(E82,""/""),,COUNTA(SPLIT(E82,""/"")))"),"1718196319347442029")</f>
        <v>1718196319347442029</v>
      </c>
      <c r="G82" s="171" t="s">
        <v>342</v>
      </c>
      <c r="H82" s="106" t="s">
        <v>80</v>
      </c>
      <c r="I82" s="65"/>
      <c r="J82" s="106"/>
      <c r="K82" s="106"/>
      <c r="L82" s="159"/>
      <c r="M82" s="76"/>
      <c r="N82" s="76"/>
      <c r="O82" s="76"/>
      <c r="P82" s="76"/>
      <c r="Q82" s="76"/>
      <c r="R82" s="76"/>
      <c r="S82" s="76"/>
      <c r="T82" s="76"/>
      <c r="U82" s="76"/>
      <c r="V82" s="162"/>
      <c r="W82" s="159"/>
      <c r="X82" s="76"/>
      <c r="Y82" s="76"/>
      <c r="Z82" s="76"/>
      <c r="AA82" s="76"/>
      <c r="AB82" s="76"/>
      <c r="AC82" s="76"/>
      <c r="AD82" s="76"/>
      <c r="AE82" s="76"/>
      <c r="AF82" s="76"/>
      <c r="AG82" s="76"/>
    </row>
    <row r="83" spans="1:33" ht="14">
      <c r="A83" s="106"/>
      <c r="B83" s="106" t="s">
        <v>78</v>
      </c>
      <c r="C83" s="70"/>
      <c r="D83" s="155" t="s">
        <v>346</v>
      </c>
      <c r="E83" s="180" t="s">
        <v>347</v>
      </c>
      <c r="F83" s="157" t="str">
        <f ca="1">IFERROR(__xludf.DUMMYFUNCTION("INDEX(SPLIT(E83,""/""),,COUNTA(SPLIT(E83,""/"")))"),"1744842724988334465")</f>
        <v>1744842724988334465</v>
      </c>
      <c r="G83" s="184" t="s">
        <v>348</v>
      </c>
      <c r="H83" s="106" t="s">
        <v>80</v>
      </c>
      <c r="I83" s="65" t="s">
        <v>70</v>
      </c>
      <c r="J83" s="106" t="s">
        <v>138</v>
      </c>
      <c r="K83" s="106" t="s">
        <v>138</v>
      </c>
      <c r="L83" s="159">
        <v>1</v>
      </c>
      <c r="M83" s="76">
        <v>3</v>
      </c>
      <c r="N83" s="76">
        <v>2</v>
      </c>
      <c r="O83" s="76">
        <v>1</v>
      </c>
      <c r="P83" s="76">
        <v>1</v>
      </c>
      <c r="Q83" s="76">
        <v>1</v>
      </c>
      <c r="R83" s="76">
        <v>3</v>
      </c>
      <c r="S83" s="76">
        <v>3</v>
      </c>
      <c r="T83" s="76">
        <v>2</v>
      </c>
      <c r="U83" s="76">
        <v>2</v>
      </c>
      <c r="V83" s="162">
        <v>2</v>
      </c>
      <c r="W83" s="159">
        <v>1</v>
      </c>
      <c r="X83" s="76">
        <v>1</v>
      </c>
      <c r="Y83" s="76">
        <v>1</v>
      </c>
      <c r="Z83" s="76">
        <v>1</v>
      </c>
      <c r="AA83" s="76">
        <v>1</v>
      </c>
      <c r="AB83" s="76">
        <v>1</v>
      </c>
      <c r="AC83" s="76">
        <v>1</v>
      </c>
      <c r="AD83" s="76">
        <v>3</v>
      </c>
      <c r="AE83" s="76">
        <v>3</v>
      </c>
      <c r="AF83" s="76">
        <v>3</v>
      </c>
      <c r="AG83" s="76">
        <v>1</v>
      </c>
    </row>
    <row r="84" spans="1:33" ht="14">
      <c r="A84" s="65" t="s">
        <v>133</v>
      </c>
      <c r="B84" s="106" t="s">
        <v>71</v>
      </c>
      <c r="C84" s="70"/>
      <c r="D84" s="155" t="s">
        <v>349</v>
      </c>
      <c r="E84" s="166" t="s">
        <v>350</v>
      </c>
      <c r="F84" s="157" t="str">
        <f ca="1">IFERROR(__xludf.DUMMYFUNCTION("INDEX(SPLIT(E84,""/""),,COUNTA(SPLIT(E84,""/"")))"),"1744075778869150091")</f>
        <v>1744075778869150091</v>
      </c>
      <c r="G84" s="171" t="s">
        <v>351</v>
      </c>
      <c r="H84" s="106" t="s">
        <v>80</v>
      </c>
      <c r="I84" s="76" t="s">
        <v>81</v>
      </c>
      <c r="J84" s="106" t="s">
        <v>138</v>
      </c>
      <c r="K84" s="106" t="s">
        <v>138</v>
      </c>
      <c r="L84" s="159">
        <v>1</v>
      </c>
      <c r="M84" s="76">
        <v>1</v>
      </c>
      <c r="N84" s="76">
        <v>2</v>
      </c>
      <c r="O84" s="76">
        <v>1</v>
      </c>
      <c r="P84" s="76">
        <v>1</v>
      </c>
      <c r="Q84" s="76">
        <v>1</v>
      </c>
      <c r="R84" s="76">
        <v>3</v>
      </c>
      <c r="S84" s="76">
        <v>3</v>
      </c>
      <c r="T84" s="76">
        <v>2</v>
      </c>
      <c r="U84" s="76">
        <v>3</v>
      </c>
      <c r="V84" s="162">
        <v>1</v>
      </c>
      <c r="W84" s="159">
        <v>1</v>
      </c>
      <c r="X84" s="76">
        <v>1</v>
      </c>
      <c r="Y84" s="76">
        <v>1</v>
      </c>
      <c r="Z84" s="76">
        <v>1</v>
      </c>
      <c r="AA84" s="76">
        <v>1</v>
      </c>
      <c r="AB84" s="76">
        <v>1</v>
      </c>
      <c r="AC84" s="76">
        <v>1</v>
      </c>
      <c r="AD84" s="76">
        <v>1</v>
      </c>
      <c r="AE84" s="76">
        <v>1</v>
      </c>
      <c r="AF84" s="76">
        <v>1</v>
      </c>
      <c r="AG84" s="76">
        <v>2</v>
      </c>
    </row>
    <row r="85" spans="1:33" ht="14">
      <c r="A85" s="106"/>
      <c r="B85" s="106"/>
      <c r="C85" s="70"/>
      <c r="D85" s="155" t="s">
        <v>352</v>
      </c>
      <c r="E85" s="166" t="s">
        <v>353</v>
      </c>
      <c r="F85" s="157" t="str">
        <f ca="1">IFERROR(__xludf.DUMMYFUNCTION("INDEX(SPLIT(E85,""/""),,COUNTA(SPLIT(E85,""/"")))"),"1727704476125983060")</f>
        <v>1727704476125983060</v>
      </c>
      <c r="G85" s="171" t="s">
        <v>354</v>
      </c>
      <c r="H85" s="106" t="s">
        <v>80</v>
      </c>
      <c r="I85" s="65"/>
      <c r="J85" s="106"/>
      <c r="K85" s="106"/>
      <c r="L85" s="159"/>
      <c r="M85" s="76"/>
      <c r="N85" s="76"/>
      <c r="O85" s="76"/>
      <c r="P85" s="76"/>
      <c r="Q85" s="76"/>
      <c r="R85" s="76"/>
      <c r="S85" s="76"/>
      <c r="T85" s="76"/>
      <c r="U85" s="76"/>
      <c r="V85" s="162"/>
      <c r="W85" s="159"/>
      <c r="X85" s="76"/>
      <c r="Y85" s="76"/>
      <c r="Z85" s="76"/>
      <c r="AA85" s="76"/>
      <c r="AB85" s="76"/>
      <c r="AC85" s="76"/>
      <c r="AD85" s="76"/>
      <c r="AE85" s="76"/>
      <c r="AF85" s="76"/>
      <c r="AG85" s="76"/>
    </row>
    <row r="86" spans="1:33" ht="14">
      <c r="A86" s="106"/>
      <c r="B86" s="106"/>
      <c r="C86" s="70"/>
      <c r="D86" s="155" t="s">
        <v>355</v>
      </c>
      <c r="E86" s="166" t="s">
        <v>356</v>
      </c>
      <c r="F86" s="157" t="str">
        <f ca="1">IFERROR(__xludf.DUMMYFUNCTION("INDEX(SPLIT(E86,""/""),,COUNTA(SPLIT(E86,""/"")))"),"1714337456001085830")</f>
        <v>1714337456001085830</v>
      </c>
      <c r="G86" s="171" t="s">
        <v>357</v>
      </c>
      <c r="H86" s="106" t="s">
        <v>80</v>
      </c>
      <c r="I86" s="76"/>
      <c r="J86" s="106"/>
      <c r="K86" s="106"/>
      <c r="L86" s="159"/>
      <c r="M86" s="76"/>
      <c r="N86" s="76"/>
      <c r="O86" s="76"/>
      <c r="P86" s="76"/>
      <c r="Q86" s="76"/>
      <c r="R86" s="76"/>
      <c r="S86" s="76"/>
      <c r="T86" s="76"/>
      <c r="U86" s="76"/>
      <c r="V86" s="162"/>
      <c r="W86" s="159"/>
      <c r="X86" s="76"/>
      <c r="Y86" s="76"/>
      <c r="Z86" s="76"/>
      <c r="AA86" s="76"/>
      <c r="AB86" s="76"/>
      <c r="AC86" s="76"/>
      <c r="AD86" s="76"/>
      <c r="AE86" s="76"/>
      <c r="AF86" s="76"/>
      <c r="AG86" s="76"/>
    </row>
    <row r="87" spans="1:33" ht="14">
      <c r="A87" s="106"/>
      <c r="B87" s="106"/>
      <c r="C87" s="70"/>
      <c r="D87" s="155" t="s">
        <v>358</v>
      </c>
      <c r="E87" s="180" t="s">
        <v>359</v>
      </c>
      <c r="F87" s="157" t="str">
        <f ca="1">IFERROR(__xludf.DUMMYFUNCTION("INDEX(SPLIT(E87,""/""),,COUNTA(SPLIT(E87,""/"")))"),"1744835013814730792")</f>
        <v>1744835013814730792</v>
      </c>
      <c r="G87" s="70" t="s">
        <v>360</v>
      </c>
      <c r="H87" s="106" t="s">
        <v>80</v>
      </c>
      <c r="I87" s="76"/>
      <c r="J87" s="106"/>
      <c r="K87" s="106"/>
      <c r="L87" s="159"/>
      <c r="M87" s="76"/>
      <c r="N87" s="76"/>
      <c r="O87" s="76"/>
      <c r="P87" s="76"/>
      <c r="Q87" s="76"/>
      <c r="R87" s="76"/>
      <c r="S87" s="76"/>
      <c r="T87" s="76"/>
      <c r="U87" s="76"/>
      <c r="V87" s="162"/>
      <c r="W87" s="159"/>
      <c r="X87" s="76"/>
      <c r="Y87" s="76"/>
      <c r="Z87" s="76"/>
      <c r="AA87" s="76"/>
      <c r="AB87" s="76"/>
      <c r="AC87" s="76"/>
      <c r="AD87" s="76"/>
      <c r="AE87" s="76"/>
      <c r="AF87" s="76"/>
      <c r="AG87" s="76"/>
    </row>
    <row r="88" spans="1:33" ht="14">
      <c r="A88" s="106"/>
      <c r="B88" s="106"/>
      <c r="C88" s="70"/>
      <c r="D88" s="155" t="s">
        <v>361</v>
      </c>
      <c r="E88" s="180" t="s">
        <v>362</v>
      </c>
      <c r="F88" s="157" t="str">
        <f ca="1">IFERROR(__xludf.DUMMYFUNCTION("INDEX(SPLIT(E88,""/""),,COUNTA(SPLIT(E88,""/"")))"),"1730212198725636584")</f>
        <v>1730212198725636584</v>
      </c>
      <c r="G88" s="171" t="s">
        <v>363</v>
      </c>
      <c r="H88" s="106" t="s">
        <v>80</v>
      </c>
      <c r="I88" s="76"/>
      <c r="J88" s="106"/>
      <c r="K88" s="106"/>
      <c r="L88" s="159"/>
      <c r="M88" s="76"/>
      <c r="N88" s="76"/>
      <c r="O88" s="76"/>
      <c r="P88" s="76"/>
      <c r="Q88" s="76"/>
      <c r="R88" s="76"/>
      <c r="S88" s="76"/>
      <c r="T88" s="76"/>
      <c r="U88" s="76"/>
      <c r="V88" s="162"/>
      <c r="W88" s="159"/>
      <c r="X88" s="76"/>
      <c r="Y88" s="76"/>
      <c r="Z88" s="76"/>
      <c r="AA88" s="76"/>
      <c r="AB88" s="76"/>
      <c r="AC88" s="76"/>
      <c r="AD88" s="76"/>
      <c r="AE88" s="76"/>
      <c r="AF88" s="76"/>
      <c r="AG88" s="76"/>
    </row>
    <row r="89" spans="1:33" ht="14">
      <c r="A89" s="106"/>
      <c r="B89" s="106"/>
      <c r="C89" s="70"/>
      <c r="D89" s="155" t="s">
        <v>364</v>
      </c>
      <c r="E89" s="166" t="s">
        <v>365</v>
      </c>
      <c r="F89" s="157" t="str">
        <f ca="1">IFERROR(__xludf.DUMMYFUNCTION("INDEX(SPLIT(E89,""/""),,COUNTA(SPLIT(E89,""/"")))"),"1729973285801034095")</f>
        <v>1729973285801034095</v>
      </c>
      <c r="G89" s="171" t="s">
        <v>366</v>
      </c>
      <c r="H89" s="106" t="s">
        <v>80</v>
      </c>
      <c r="I89" s="65"/>
      <c r="J89" s="106"/>
      <c r="K89" s="106"/>
      <c r="L89" s="159"/>
      <c r="M89" s="76"/>
      <c r="N89" s="76"/>
      <c r="O89" s="76"/>
      <c r="P89" s="76"/>
      <c r="Q89" s="76"/>
      <c r="R89" s="76"/>
      <c r="S89" s="76"/>
      <c r="T89" s="76"/>
      <c r="U89" s="76"/>
      <c r="V89" s="162"/>
      <c r="W89" s="159"/>
      <c r="X89" s="76"/>
      <c r="Y89" s="76"/>
      <c r="Z89" s="76"/>
      <c r="AA89" s="76"/>
      <c r="AB89" s="76"/>
      <c r="AC89" s="76"/>
      <c r="AD89" s="76"/>
      <c r="AE89" s="76"/>
      <c r="AF89" s="76"/>
      <c r="AG89" s="76"/>
    </row>
    <row r="90" spans="1:33" ht="14">
      <c r="A90" s="106"/>
      <c r="B90" s="106"/>
      <c r="C90" s="70"/>
      <c r="D90" s="155" t="s">
        <v>367</v>
      </c>
      <c r="E90" s="176" t="s">
        <v>368</v>
      </c>
      <c r="F90" s="157" t="str">
        <f ca="1">IFERROR(__xludf.DUMMYFUNCTION("INDEX(SPLIT(E90,""/""),,COUNTA(SPLIT(E90,""/"")))"),"1664434008132923392")</f>
        <v>1664434008132923392</v>
      </c>
      <c r="G90" s="70" t="s">
        <v>337</v>
      </c>
      <c r="H90" s="106" t="s">
        <v>80</v>
      </c>
      <c r="I90" s="106"/>
      <c r="J90" s="106"/>
      <c r="K90" s="106"/>
      <c r="L90" s="159"/>
      <c r="M90" s="76"/>
      <c r="N90" s="76"/>
      <c r="O90" s="76"/>
      <c r="P90" s="76"/>
      <c r="Q90" s="76"/>
      <c r="R90" s="76"/>
      <c r="S90" s="76"/>
      <c r="T90" s="76"/>
      <c r="U90" s="76"/>
      <c r="V90" s="162"/>
      <c r="W90" s="159"/>
      <c r="X90" s="76"/>
      <c r="Y90" s="76"/>
      <c r="Z90" s="76"/>
      <c r="AA90" s="76"/>
      <c r="AB90" s="76"/>
      <c r="AC90" s="76"/>
      <c r="AD90" s="76"/>
      <c r="AE90" s="76"/>
      <c r="AF90" s="76"/>
      <c r="AG90" s="76"/>
    </row>
    <row r="91" spans="1:33" ht="14">
      <c r="A91" s="106"/>
      <c r="B91" s="106"/>
      <c r="C91" s="70"/>
      <c r="D91" s="155" t="s">
        <v>369</v>
      </c>
      <c r="E91" s="176" t="s">
        <v>370</v>
      </c>
      <c r="F91" s="157" t="str">
        <f ca="1">IFERROR(__xludf.DUMMYFUNCTION("INDEX(SPLIT(E91,""/""),,COUNTA(SPLIT(E91,""/"")))"),"1744739916842668151")</f>
        <v>1744739916842668151</v>
      </c>
      <c r="G91" s="70" t="s">
        <v>371</v>
      </c>
      <c r="H91" s="106" t="s">
        <v>80</v>
      </c>
      <c r="I91" s="106"/>
      <c r="J91" s="106"/>
      <c r="K91" s="106"/>
      <c r="L91" s="159"/>
      <c r="M91" s="76"/>
      <c r="N91" s="76"/>
      <c r="O91" s="76"/>
      <c r="P91" s="76"/>
      <c r="Q91" s="76"/>
      <c r="R91" s="76"/>
      <c r="S91" s="76"/>
      <c r="T91" s="76"/>
      <c r="U91" s="76"/>
      <c r="V91" s="162"/>
      <c r="W91" s="159"/>
      <c r="X91" s="76"/>
      <c r="Y91" s="76"/>
      <c r="Z91" s="76"/>
      <c r="AA91" s="76"/>
      <c r="AB91" s="76"/>
      <c r="AC91" s="76"/>
      <c r="AD91" s="76"/>
      <c r="AE91" s="76"/>
      <c r="AF91" s="76"/>
      <c r="AG91" s="76"/>
    </row>
    <row r="92" spans="1:33" ht="14">
      <c r="A92" s="106"/>
      <c r="B92" s="106"/>
      <c r="C92" s="70"/>
      <c r="D92" s="155" t="s">
        <v>372</v>
      </c>
      <c r="E92" s="176" t="s">
        <v>373</v>
      </c>
      <c r="F92" s="157" t="str">
        <f ca="1">IFERROR(__xludf.DUMMYFUNCTION("INDEX(SPLIT(E92,""/""),,COUNTA(SPLIT(E92,""/"")))"),"1728112023030907247")</f>
        <v>1728112023030907247</v>
      </c>
      <c r="G92" s="171" t="s">
        <v>374</v>
      </c>
      <c r="H92" s="106" t="s">
        <v>80</v>
      </c>
      <c r="I92" s="106"/>
      <c r="J92" s="106"/>
      <c r="K92" s="106"/>
      <c r="L92" s="159"/>
      <c r="M92" s="76"/>
      <c r="N92" s="76"/>
      <c r="O92" s="76"/>
      <c r="P92" s="76"/>
      <c r="Q92" s="76"/>
      <c r="R92" s="76"/>
      <c r="S92" s="76"/>
      <c r="T92" s="76"/>
      <c r="U92" s="76"/>
      <c r="V92" s="162"/>
      <c r="W92" s="159"/>
      <c r="X92" s="76"/>
      <c r="Y92" s="76"/>
      <c r="Z92" s="76"/>
      <c r="AA92" s="76"/>
      <c r="AB92" s="76"/>
      <c r="AC92" s="76"/>
      <c r="AD92" s="76"/>
      <c r="AE92" s="76"/>
      <c r="AF92" s="76"/>
      <c r="AG92" s="76"/>
    </row>
    <row r="93" spans="1:33" ht="14">
      <c r="A93" s="106"/>
      <c r="B93" s="106" t="s">
        <v>84</v>
      </c>
      <c r="C93" s="70"/>
      <c r="D93" s="155" t="s">
        <v>375</v>
      </c>
      <c r="E93" s="176" t="s">
        <v>376</v>
      </c>
      <c r="F93" s="157" t="str">
        <f ca="1">IFERROR(__xludf.DUMMYFUNCTION("INDEX(SPLIT(E93,""/""),,COUNTA(SPLIT(E93,""/"")))"),"1720557074466128178")</f>
        <v>1720557074466128178</v>
      </c>
      <c r="G93" s="171" t="s">
        <v>357</v>
      </c>
      <c r="H93" s="106" t="s">
        <v>80</v>
      </c>
      <c r="I93" s="106"/>
      <c r="J93" s="106"/>
      <c r="K93" s="106"/>
      <c r="L93" s="159"/>
      <c r="M93" s="76"/>
      <c r="N93" s="76"/>
      <c r="O93" s="76"/>
      <c r="P93" s="76"/>
      <c r="Q93" s="76"/>
      <c r="R93" s="76"/>
      <c r="S93" s="76"/>
      <c r="T93" s="76"/>
      <c r="U93" s="76"/>
      <c r="V93" s="162"/>
      <c r="W93" s="159"/>
      <c r="X93" s="76"/>
      <c r="Y93" s="76"/>
      <c r="Z93" s="76"/>
      <c r="AA93" s="76"/>
      <c r="AB93" s="76"/>
      <c r="AC93" s="76"/>
      <c r="AD93" s="76"/>
      <c r="AE93" s="76"/>
      <c r="AF93" s="76"/>
      <c r="AG93" s="76"/>
    </row>
    <row r="94" spans="1:33" ht="14">
      <c r="A94" s="106"/>
      <c r="B94" s="106" t="s">
        <v>84</v>
      </c>
      <c r="C94" s="70"/>
      <c r="D94" s="155" t="s">
        <v>377</v>
      </c>
      <c r="E94" s="176" t="s">
        <v>378</v>
      </c>
      <c r="F94" s="157" t="str">
        <f ca="1">IFERROR(__xludf.DUMMYFUNCTION("INDEX(SPLIT(E94,""/""),,COUNTA(SPLIT(E94,""/"")))"),"1727086501408977288")</f>
        <v>1727086501408977288</v>
      </c>
      <c r="G94" s="171" t="s">
        <v>379</v>
      </c>
      <c r="H94" s="106" t="s">
        <v>80</v>
      </c>
      <c r="I94" s="106" t="s">
        <v>70</v>
      </c>
      <c r="J94" s="106" t="s">
        <v>138</v>
      </c>
      <c r="K94" s="106" t="s">
        <v>138</v>
      </c>
      <c r="L94" s="159">
        <v>1</v>
      </c>
      <c r="M94" s="76">
        <v>3</v>
      </c>
      <c r="N94" s="76">
        <v>2</v>
      </c>
      <c r="O94" s="76">
        <v>3</v>
      </c>
      <c r="P94" s="76">
        <v>1</v>
      </c>
      <c r="Q94" s="76">
        <v>1</v>
      </c>
      <c r="R94" s="76">
        <v>1</v>
      </c>
      <c r="S94" s="76">
        <v>3</v>
      </c>
      <c r="T94" s="76">
        <v>2</v>
      </c>
      <c r="U94" s="76">
        <v>3</v>
      </c>
      <c r="V94" s="162">
        <v>3</v>
      </c>
      <c r="W94" s="159">
        <v>1</v>
      </c>
      <c r="X94" s="76">
        <v>1</v>
      </c>
      <c r="Y94" s="76">
        <v>1</v>
      </c>
      <c r="Z94" s="76">
        <v>1</v>
      </c>
      <c r="AA94" s="76">
        <v>1</v>
      </c>
      <c r="AB94" s="76">
        <v>1</v>
      </c>
      <c r="AC94" s="76">
        <v>1</v>
      </c>
      <c r="AD94" s="76">
        <v>2</v>
      </c>
      <c r="AE94" s="76">
        <v>1</v>
      </c>
      <c r="AF94" s="76">
        <v>1</v>
      </c>
      <c r="AG94" s="76">
        <v>1</v>
      </c>
    </row>
    <row r="95" spans="1:33" ht="14">
      <c r="A95" s="106"/>
      <c r="B95" s="106" t="s">
        <v>84</v>
      </c>
      <c r="C95" s="70"/>
      <c r="D95" s="155" t="s">
        <v>380</v>
      </c>
      <c r="E95" s="176" t="s">
        <v>381</v>
      </c>
      <c r="F95" s="157" t="str">
        <f ca="1">IFERROR(__xludf.DUMMYFUNCTION("INDEX(SPLIT(E95,""/""),,COUNTA(SPLIT(E95,""/"")))"),"1739009495739646310")</f>
        <v>1739009495739646310</v>
      </c>
      <c r="G95" s="171" t="s">
        <v>160</v>
      </c>
      <c r="H95" s="106" t="s">
        <v>80</v>
      </c>
      <c r="I95" s="106" t="s">
        <v>70</v>
      </c>
      <c r="J95" s="106" t="s">
        <v>138</v>
      </c>
      <c r="K95" s="106" t="s">
        <v>138</v>
      </c>
      <c r="L95" s="159">
        <v>1</v>
      </c>
      <c r="M95" s="76">
        <v>3</v>
      </c>
      <c r="N95" s="76">
        <v>3</v>
      </c>
      <c r="O95" s="76">
        <v>3</v>
      </c>
      <c r="P95" s="76">
        <v>1</v>
      </c>
      <c r="Q95" s="76">
        <v>1</v>
      </c>
      <c r="R95" s="76">
        <v>1</v>
      </c>
      <c r="S95" s="76">
        <v>1</v>
      </c>
      <c r="T95" s="76">
        <v>1</v>
      </c>
      <c r="U95" s="76">
        <v>2</v>
      </c>
      <c r="V95" s="162">
        <v>1</v>
      </c>
      <c r="W95" s="159">
        <v>1</v>
      </c>
      <c r="X95" s="76">
        <v>1</v>
      </c>
      <c r="Y95" s="76">
        <v>1</v>
      </c>
      <c r="Z95" s="76">
        <v>1</v>
      </c>
      <c r="AA95" s="76">
        <v>1</v>
      </c>
      <c r="AB95" s="76">
        <v>1</v>
      </c>
      <c r="AC95" s="76">
        <v>1</v>
      </c>
      <c r="AD95" s="76">
        <v>1</v>
      </c>
      <c r="AE95" s="76">
        <v>1</v>
      </c>
      <c r="AF95" s="76">
        <v>3</v>
      </c>
      <c r="AG95" s="76">
        <v>1</v>
      </c>
    </row>
    <row r="96" spans="1:33" ht="14">
      <c r="A96" s="106"/>
      <c r="B96" s="106" t="s">
        <v>84</v>
      </c>
      <c r="C96" s="70"/>
      <c r="D96" s="155" t="s">
        <v>382</v>
      </c>
      <c r="E96" s="174" t="s">
        <v>383</v>
      </c>
      <c r="F96" s="157" t="str">
        <f ca="1">IFERROR(__xludf.DUMMYFUNCTION("INDEX(SPLIT(E96,""/""),,COUNTA(SPLIT(E96,""/"")))"),"1725566974657249712")</f>
        <v>1725566974657249712</v>
      </c>
      <c r="G96" s="171" t="s">
        <v>337</v>
      </c>
      <c r="H96" s="106" t="s">
        <v>80</v>
      </c>
      <c r="I96" s="106" t="s">
        <v>70</v>
      </c>
      <c r="J96" s="106" t="s">
        <v>138</v>
      </c>
      <c r="K96" s="106" t="s">
        <v>138</v>
      </c>
      <c r="L96" s="159">
        <v>1</v>
      </c>
      <c r="M96" s="76">
        <v>3</v>
      </c>
      <c r="N96" s="76">
        <v>1</v>
      </c>
      <c r="O96" s="76">
        <v>3</v>
      </c>
      <c r="P96" s="76">
        <v>1</v>
      </c>
      <c r="Q96" s="76">
        <v>1</v>
      </c>
      <c r="R96" s="76">
        <v>1</v>
      </c>
      <c r="S96" s="76">
        <v>2</v>
      </c>
      <c r="T96" s="76">
        <v>1</v>
      </c>
      <c r="U96" s="76">
        <v>2</v>
      </c>
      <c r="V96" s="162">
        <v>1</v>
      </c>
      <c r="W96" s="159">
        <v>1</v>
      </c>
      <c r="X96" s="76">
        <v>1</v>
      </c>
      <c r="Y96" s="76">
        <v>1</v>
      </c>
      <c r="Z96" s="76">
        <v>1</v>
      </c>
      <c r="AA96" s="76">
        <v>1</v>
      </c>
      <c r="AB96" s="76">
        <v>1</v>
      </c>
      <c r="AC96" s="76">
        <v>1</v>
      </c>
      <c r="AD96" s="76">
        <v>1</v>
      </c>
      <c r="AE96" s="76">
        <v>2</v>
      </c>
      <c r="AF96" s="76">
        <v>1</v>
      </c>
      <c r="AG96" s="76">
        <v>1</v>
      </c>
    </row>
    <row r="97" spans="1:33" ht="14">
      <c r="A97" s="106"/>
      <c r="B97" s="106" t="s">
        <v>84</v>
      </c>
      <c r="C97" s="70"/>
      <c r="D97" s="155" t="s">
        <v>384</v>
      </c>
      <c r="E97" s="176" t="s">
        <v>385</v>
      </c>
      <c r="F97" s="157" t="str">
        <f ca="1">IFERROR(__xludf.DUMMYFUNCTION("INDEX(SPLIT(E97,""/""),,COUNTA(SPLIT(E97,""/"")))"),"1739045857880883387")</f>
        <v>1739045857880883387</v>
      </c>
      <c r="G97" s="171" t="s">
        <v>351</v>
      </c>
      <c r="H97" s="106" t="s">
        <v>80</v>
      </c>
      <c r="I97" s="106" t="s">
        <v>70</v>
      </c>
      <c r="J97" s="106" t="s">
        <v>138</v>
      </c>
      <c r="K97" s="106" t="s">
        <v>138</v>
      </c>
      <c r="L97" s="159">
        <v>1</v>
      </c>
      <c r="M97" s="76">
        <v>3</v>
      </c>
      <c r="N97" s="76">
        <v>1</v>
      </c>
      <c r="O97" s="76">
        <v>1</v>
      </c>
      <c r="P97" s="76">
        <v>1</v>
      </c>
      <c r="Q97" s="76">
        <v>1</v>
      </c>
      <c r="R97" s="76">
        <v>2</v>
      </c>
      <c r="S97" s="76">
        <v>2</v>
      </c>
      <c r="T97" s="76">
        <v>1</v>
      </c>
      <c r="U97" s="76">
        <v>3</v>
      </c>
      <c r="V97" s="162">
        <v>1</v>
      </c>
      <c r="W97" s="159">
        <v>1</v>
      </c>
      <c r="X97" s="76">
        <v>2</v>
      </c>
      <c r="Y97" s="76">
        <v>1</v>
      </c>
      <c r="Z97" s="76">
        <v>2</v>
      </c>
      <c r="AA97" s="76">
        <v>1</v>
      </c>
      <c r="AB97" s="76">
        <v>1</v>
      </c>
      <c r="AC97" s="76">
        <v>1</v>
      </c>
      <c r="AD97" s="76">
        <v>1</v>
      </c>
      <c r="AE97" s="76">
        <v>2</v>
      </c>
      <c r="AF97" s="76">
        <v>1</v>
      </c>
      <c r="AG97" s="76">
        <v>1</v>
      </c>
    </row>
    <row r="98" spans="1:33" ht="14">
      <c r="A98" s="106"/>
      <c r="B98" s="106"/>
      <c r="C98" s="70"/>
      <c r="D98" s="155" t="s">
        <v>386</v>
      </c>
      <c r="E98" s="174" t="s">
        <v>387</v>
      </c>
      <c r="F98" s="157" t="str">
        <f ca="1">IFERROR(__xludf.DUMMYFUNCTION("INDEX(SPLIT(E98,""/""),,COUNTA(SPLIT(E98,""/"")))"),"1724525717214396464")</f>
        <v>1724525717214396464</v>
      </c>
      <c r="G98" s="171" t="s">
        <v>388</v>
      </c>
      <c r="H98" s="106" t="s">
        <v>80</v>
      </c>
      <c r="I98" s="106" t="s">
        <v>81</v>
      </c>
      <c r="J98" s="106"/>
      <c r="K98" s="106"/>
      <c r="L98" s="159"/>
      <c r="M98" s="76"/>
      <c r="N98" s="76"/>
      <c r="O98" s="76"/>
      <c r="P98" s="76"/>
      <c r="Q98" s="76"/>
      <c r="R98" s="76"/>
      <c r="S98" s="76"/>
      <c r="T98" s="76"/>
      <c r="U98" s="76"/>
      <c r="V98" s="162"/>
      <c r="W98" s="159"/>
      <c r="X98" s="76"/>
      <c r="Y98" s="76"/>
      <c r="Z98" s="76"/>
      <c r="AA98" s="76"/>
      <c r="AB98" s="76"/>
      <c r="AC98" s="76"/>
      <c r="AD98" s="76"/>
      <c r="AE98" s="76"/>
      <c r="AF98" s="76"/>
      <c r="AG98" s="76"/>
    </row>
    <row r="99" spans="1:33" ht="14">
      <c r="A99" s="106"/>
      <c r="B99" s="106"/>
      <c r="C99" s="70"/>
      <c r="D99" s="155" t="s">
        <v>389</v>
      </c>
      <c r="E99" s="176" t="s">
        <v>390</v>
      </c>
      <c r="F99" s="157" t="str">
        <f ca="1">IFERROR(__xludf.DUMMYFUNCTION("INDEX(SPLIT(E99,""/""),,COUNTA(SPLIT(E99,""/"")))"),"1724513414092038348")</f>
        <v>1724513414092038348</v>
      </c>
      <c r="G99" s="184" t="s">
        <v>337</v>
      </c>
      <c r="H99" s="106" t="s">
        <v>80</v>
      </c>
      <c r="I99" s="106" t="s">
        <v>81</v>
      </c>
      <c r="J99" s="106"/>
      <c r="K99" s="106"/>
      <c r="L99" s="159"/>
      <c r="M99" s="76"/>
      <c r="N99" s="76"/>
      <c r="O99" s="76"/>
      <c r="P99" s="76"/>
      <c r="Q99" s="76"/>
      <c r="R99" s="76"/>
      <c r="S99" s="76"/>
      <c r="T99" s="76"/>
      <c r="U99" s="76"/>
      <c r="V99" s="162"/>
      <c r="W99" s="159"/>
      <c r="X99" s="76"/>
      <c r="Y99" s="76"/>
      <c r="Z99" s="76"/>
      <c r="AA99" s="76"/>
      <c r="AB99" s="76"/>
      <c r="AC99" s="76"/>
      <c r="AD99" s="76"/>
      <c r="AE99" s="76"/>
      <c r="AF99" s="76"/>
      <c r="AG99" s="76"/>
    </row>
    <row r="100" spans="1:33" ht="14">
      <c r="A100" s="106"/>
      <c r="B100" s="106"/>
      <c r="C100" s="70"/>
      <c r="D100" s="155" t="s">
        <v>391</v>
      </c>
      <c r="E100" s="174" t="s">
        <v>392</v>
      </c>
      <c r="F100" s="157" t="str">
        <f ca="1">IFERROR(__xludf.DUMMYFUNCTION("INDEX(SPLIT(E100,""/""),,COUNTA(SPLIT(E100,""/"")))"),"1721533312538186061")</f>
        <v>1721533312538186061</v>
      </c>
      <c r="G100" s="171" t="s">
        <v>393</v>
      </c>
      <c r="H100" s="106" t="s">
        <v>80</v>
      </c>
      <c r="I100" s="106" t="s">
        <v>81</v>
      </c>
      <c r="J100" s="106"/>
      <c r="K100" s="106"/>
      <c r="L100" s="159"/>
      <c r="M100" s="76"/>
      <c r="N100" s="76"/>
      <c r="O100" s="76"/>
      <c r="P100" s="76"/>
      <c r="Q100" s="76"/>
      <c r="R100" s="76"/>
      <c r="S100" s="76"/>
      <c r="T100" s="76"/>
      <c r="U100" s="76"/>
      <c r="V100" s="162"/>
      <c r="W100" s="159"/>
      <c r="X100" s="76"/>
      <c r="Y100" s="76"/>
      <c r="Z100" s="76"/>
      <c r="AA100" s="76"/>
      <c r="AB100" s="76"/>
      <c r="AC100" s="76"/>
      <c r="AD100" s="76"/>
      <c r="AE100" s="76"/>
      <c r="AF100" s="76"/>
      <c r="AG100" s="76"/>
    </row>
    <row r="101" spans="1:33" ht="14">
      <c r="A101" s="106"/>
      <c r="B101" s="106"/>
      <c r="C101" s="70"/>
      <c r="D101" s="155" t="s">
        <v>394</v>
      </c>
      <c r="E101" s="176" t="s">
        <v>395</v>
      </c>
      <c r="F101" s="157" t="str">
        <f ca="1">IFERROR(__xludf.DUMMYFUNCTION("INDEX(SPLIT(E101,""/""),,COUNTA(SPLIT(E101,""/"")))"),"1725516162715246880")</f>
        <v>1725516162715246880</v>
      </c>
      <c r="G101" s="171" t="s">
        <v>396</v>
      </c>
      <c r="H101" s="106" t="s">
        <v>80</v>
      </c>
      <c r="I101" s="106" t="s">
        <v>70</v>
      </c>
      <c r="J101" s="106"/>
      <c r="K101" s="106"/>
      <c r="L101" s="159"/>
      <c r="M101" s="76"/>
      <c r="N101" s="76"/>
      <c r="O101" s="76"/>
      <c r="P101" s="76"/>
      <c r="Q101" s="76"/>
      <c r="R101" s="76"/>
      <c r="S101" s="76"/>
      <c r="T101" s="76"/>
      <c r="U101" s="76"/>
      <c r="V101" s="162"/>
      <c r="W101" s="159"/>
      <c r="X101" s="76"/>
      <c r="Y101" s="76"/>
      <c r="Z101" s="76"/>
      <c r="AA101" s="76"/>
      <c r="AB101" s="76"/>
      <c r="AC101" s="76"/>
      <c r="AD101" s="76"/>
      <c r="AE101" s="76"/>
      <c r="AF101" s="76"/>
      <c r="AG101" s="76"/>
    </row>
    <row r="102" spans="1:33" ht="14">
      <c r="A102" s="106"/>
      <c r="B102" s="106"/>
      <c r="C102" s="70"/>
      <c r="D102" s="155" t="s">
        <v>397</v>
      </c>
      <c r="E102" s="176" t="s">
        <v>398</v>
      </c>
      <c r="F102" s="157" t="str">
        <f ca="1">IFERROR(__xludf.DUMMYFUNCTION("INDEX(SPLIT(E102,""/""),,COUNTA(SPLIT(E102,""/"")))"),"1712000443256082534")</f>
        <v>1712000443256082534</v>
      </c>
      <c r="G102" s="171" t="s">
        <v>399</v>
      </c>
      <c r="H102" s="106" t="s">
        <v>80</v>
      </c>
      <c r="I102" s="106" t="s">
        <v>70</v>
      </c>
      <c r="J102" s="106"/>
      <c r="K102" s="106"/>
      <c r="L102" s="159"/>
      <c r="M102" s="76"/>
      <c r="N102" s="76"/>
      <c r="O102" s="76"/>
      <c r="P102" s="76"/>
      <c r="Q102" s="76"/>
      <c r="R102" s="76"/>
      <c r="S102" s="76"/>
      <c r="T102" s="76"/>
      <c r="U102" s="76"/>
      <c r="V102" s="162"/>
      <c r="W102" s="159"/>
      <c r="X102" s="76"/>
      <c r="Y102" s="76"/>
      <c r="Z102" s="76"/>
      <c r="AA102" s="76"/>
      <c r="AB102" s="76"/>
      <c r="AC102" s="76"/>
      <c r="AD102" s="76"/>
      <c r="AE102" s="76"/>
      <c r="AF102" s="76"/>
      <c r="AG102" s="76"/>
    </row>
    <row r="103" spans="1:33" ht="14">
      <c r="A103" s="106"/>
      <c r="B103" s="106"/>
      <c r="C103" s="70"/>
      <c r="D103" s="155" t="s">
        <v>400</v>
      </c>
      <c r="E103" s="176" t="s">
        <v>401</v>
      </c>
      <c r="F103" s="157" t="str">
        <f ca="1">IFERROR(__xludf.DUMMYFUNCTION("INDEX(SPLIT(E103,""/""),,COUNTA(SPLIT(E103,""/"")))"),"1713987691757424994")</f>
        <v>1713987691757424994</v>
      </c>
      <c r="G103" s="171" t="s">
        <v>402</v>
      </c>
      <c r="H103" s="106" t="s">
        <v>80</v>
      </c>
      <c r="I103" s="106" t="s">
        <v>70</v>
      </c>
      <c r="J103" s="106"/>
      <c r="K103" s="106"/>
      <c r="L103" s="159"/>
      <c r="M103" s="76"/>
      <c r="N103" s="76"/>
      <c r="O103" s="76"/>
      <c r="P103" s="76"/>
      <c r="Q103" s="76"/>
      <c r="R103" s="76"/>
      <c r="S103" s="76"/>
      <c r="T103" s="76"/>
      <c r="U103" s="76"/>
      <c r="V103" s="162"/>
      <c r="W103" s="159"/>
      <c r="X103" s="76"/>
      <c r="Y103" s="76"/>
      <c r="Z103" s="76"/>
      <c r="AA103" s="76"/>
      <c r="AB103" s="76"/>
      <c r="AC103" s="76"/>
      <c r="AD103" s="76"/>
      <c r="AE103" s="76"/>
      <c r="AF103" s="76"/>
      <c r="AG103" s="76"/>
    </row>
    <row r="104" spans="1:33" ht="14">
      <c r="A104" s="106"/>
      <c r="B104" s="106" t="s">
        <v>403</v>
      </c>
      <c r="C104" s="70"/>
      <c r="D104" s="155" t="s">
        <v>404</v>
      </c>
      <c r="E104" s="164" t="s">
        <v>405</v>
      </c>
      <c r="F104" s="157" t="str">
        <f ca="1">IFERROR(__xludf.DUMMYFUNCTION("INDEX(SPLIT(E104,""/""),,COUNTA(SPLIT(E104,""/"")))"),"1745266581553246400")</f>
        <v>1745266581553246400</v>
      </c>
      <c r="G104" s="70" t="s">
        <v>406</v>
      </c>
      <c r="H104" s="106" t="s">
        <v>80</v>
      </c>
      <c r="I104" s="106" t="s">
        <v>70</v>
      </c>
      <c r="J104" s="106" t="s">
        <v>138</v>
      </c>
      <c r="K104" s="106" t="s">
        <v>138</v>
      </c>
      <c r="L104" s="159">
        <v>1</v>
      </c>
      <c r="M104" s="76">
        <v>1</v>
      </c>
      <c r="N104" s="76">
        <v>1</v>
      </c>
      <c r="O104" s="76">
        <v>1</v>
      </c>
      <c r="P104" s="76">
        <v>1</v>
      </c>
      <c r="Q104" s="76">
        <v>2</v>
      </c>
      <c r="R104" s="76">
        <v>1</v>
      </c>
      <c r="S104" s="76">
        <v>2</v>
      </c>
      <c r="T104" s="76">
        <v>2</v>
      </c>
      <c r="U104" s="76">
        <v>3</v>
      </c>
      <c r="V104" s="162">
        <v>3</v>
      </c>
      <c r="W104" s="159">
        <v>1</v>
      </c>
      <c r="X104" s="76">
        <v>2</v>
      </c>
      <c r="Y104" s="76">
        <v>1</v>
      </c>
      <c r="Z104" s="76">
        <v>1</v>
      </c>
      <c r="AA104" s="76">
        <v>1</v>
      </c>
      <c r="AB104" s="76">
        <v>1</v>
      </c>
      <c r="AC104" s="76">
        <v>1</v>
      </c>
      <c r="AD104" s="76">
        <v>3</v>
      </c>
      <c r="AE104" s="76">
        <v>1</v>
      </c>
      <c r="AF104" s="76">
        <v>3</v>
      </c>
      <c r="AG104" s="76">
        <v>1</v>
      </c>
    </row>
    <row r="105" spans="1:33" ht="14">
      <c r="A105" s="106"/>
      <c r="B105" s="106" t="s">
        <v>403</v>
      </c>
      <c r="C105" s="70"/>
      <c r="D105" s="155" t="s">
        <v>407</v>
      </c>
      <c r="E105" s="164" t="s">
        <v>408</v>
      </c>
      <c r="F105" s="157" t="str">
        <f ca="1">IFERROR(__xludf.DUMMYFUNCTION("INDEX(SPLIT(E105,""/""),,COUNTA(SPLIT(E105,""/"")))"),"1742989024871285182")</f>
        <v>1742989024871285182</v>
      </c>
      <c r="G105" s="70" t="s">
        <v>409</v>
      </c>
      <c r="H105" s="106" t="s">
        <v>80</v>
      </c>
      <c r="I105" s="106" t="s">
        <v>70</v>
      </c>
      <c r="J105" s="106" t="s">
        <v>138</v>
      </c>
      <c r="K105" s="106" t="s">
        <v>146</v>
      </c>
      <c r="L105" s="159">
        <v>2</v>
      </c>
      <c r="M105" s="76">
        <v>3</v>
      </c>
      <c r="N105" s="76">
        <v>3</v>
      </c>
      <c r="O105" s="76">
        <v>1</v>
      </c>
      <c r="P105" s="76">
        <v>1</v>
      </c>
      <c r="Q105" s="76">
        <v>2</v>
      </c>
      <c r="R105" s="76">
        <v>1</v>
      </c>
      <c r="S105" s="76">
        <v>2</v>
      </c>
      <c r="T105" s="76">
        <v>1</v>
      </c>
      <c r="U105" s="76">
        <v>3</v>
      </c>
      <c r="V105" s="162">
        <v>3</v>
      </c>
      <c r="W105" s="159">
        <v>3</v>
      </c>
      <c r="X105" s="76">
        <v>3</v>
      </c>
      <c r="Y105" s="76">
        <v>1</v>
      </c>
      <c r="Z105" s="76">
        <v>3</v>
      </c>
      <c r="AA105" s="76">
        <v>3</v>
      </c>
      <c r="AB105" s="76">
        <v>3</v>
      </c>
      <c r="AC105" s="76">
        <v>1</v>
      </c>
      <c r="AD105" s="76">
        <v>3</v>
      </c>
      <c r="AE105" s="76">
        <v>2</v>
      </c>
      <c r="AF105" s="76">
        <v>3</v>
      </c>
      <c r="AG105" s="76">
        <v>1</v>
      </c>
    </row>
    <row r="106" spans="1:33" ht="14">
      <c r="A106" s="106"/>
      <c r="B106" s="106" t="s">
        <v>403</v>
      </c>
      <c r="C106" s="70"/>
      <c r="D106" s="155" t="s">
        <v>410</v>
      </c>
      <c r="E106" s="164" t="s">
        <v>411</v>
      </c>
      <c r="F106" s="157" t="str">
        <f ca="1">IFERROR(__xludf.DUMMYFUNCTION("INDEX(SPLIT(E106,""/""),,COUNTA(SPLIT(E106,""/"")))"),"1742952390754468216")</f>
        <v>1742952390754468216</v>
      </c>
      <c r="G106" s="70" t="s">
        <v>412</v>
      </c>
      <c r="H106" s="106" t="s">
        <v>80</v>
      </c>
      <c r="I106" s="106" t="s">
        <v>70</v>
      </c>
      <c r="J106" s="106" t="s">
        <v>138</v>
      </c>
      <c r="K106" s="106" t="s">
        <v>138</v>
      </c>
      <c r="L106" s="159">
        <v>2</v>
      </c>
      <c r="M106" s="76">
        <v>3</v>
      </c>
      <c r="N106" s="76">
        <v>3</v>
      </c>
      <c r="O106" s="76">
        <v>1</v>
      </c>
      <c r="P106" s="76">
        <v>1</v>
      </c>
      <c r="Q106" s="76">
        <v>1</v>
      </c>
      <c r="R106" s="76">
        <v>1</v>
      </c>
      <c r="S106" s="76">
        <v>3</v>
      </c>
      <c r="T106" s="76">
        <v>1</v>
      </c>
      <c r="U106" s="76">
        <v>2</v>
      </c>
      <c r="V106" s="162">
        <v>2</v>
      </c>
      <c r="W106" s="159">
        <v>1</v>
      </c>
      <c r="X106" s="76">
        <v>1</v>
      </c>
      <c r="Y106" s="76">
        <v>1</v>
      </c>
      <c r="Z106" s="76">
        <v>1</v>
      </c>
      <c r="AA106" s="76">
        <v>1</v>
      </c>
      <c r="AB106" s="76">
        <v>1</v>
      </c>
      <c r="AC106" s="76">
        <v>1</v>
      </c>
      <c r="AD106" s="76">
        <v>3</v>
      </c>
      <c r="AE106" s="76">
        <v>2</v>
      </c>
      <c r="AF106" s="76">
        <v>3</v>
      </c>
      <c r="AG106" s="76">
        <v>1</v>
      </c>
    </row>
    <row r="107" spans="1:33" ht="14">
      <c r="A107" s="106"/>
      <c r="B107" s="106" t="s">
        <v>403</v>
      </c>
      <c r="C107" s="70"/>
      <c r="D107" s="155" t="s">
        <v>413</v>
      </c>
      <c r="E107" s="164" t="s">
        <v>414</v>
      </c>
      <c r="F107" s="157" t="str">
        <f ca="1">IFERROR(__xludf.DUMMYFUNCTION("INDEX(SPLIT(E107,""/""),,COUNTA(SPLIT(E107,""/"")))"),"1744594599618785739")</f>
        <v>1744594599618785739</v>
      </c>
      <c r="G107" s="70" t="s">
        <v>415</v>
      </c>
      <c r="H107" s="106" t="s">
        <v>80</v>
      </c>
      <c r="I107" s="106" t="s">
        <v>70</v>
      </c>
      <c r="J107" s="106" t="s">
        <v>138</v>
      </c>
      <c r="K107" s="106" t="s">
        <v>138</v>
      </c>
      <c r="L107" s="159">
        <v>1</v>
      </c>
      <c r="M107" s="76">
        <v>3</v>
      </c>
      <c r="N107" s="76">
        <v>2</v>
      </c>
      <c r="O107" s="76">
        <v>1</v>
      </c>
      <c r="P107" s="76">
        <v>2</v>
      </c>
      <c r="Q107" s="76">
        <v>3</v>
      </c>
      <c r="R107" s="76">
        <v>2</v>
      </c>
      <c r="S107" s="76">
        <v>3</v>
      </c>
      <c r="T107" s="76">
        <v>2</v>
      </c>
      <c r="U107" s="76">
        <v>3</v>
      </c>
      <c r="V107" s="162">
        <v>3</v>
      </c>
      <c r="W107" s="159">
        <v>2</v>
      </c>
      <c r="X107" s="76">
        <v>2</v>
      </c>
      <c r="Y107" s="76">
        <v>3</v>
      </c>
      <c r="Z107" s="76">
        <v>1</v>
      </c>
      <c r="AA107" s="76">
        <v>1</v>
      </c>
      <c r="AB107" s="76">
        <v>3</v>
      </c>
      <c r="AC107" s="76">
        <v>3</v>
      </c>
      <c r="AD107" s="76">
        <v>3</v>
      </c>
      <c r="AE107" s="76">
        <v>3</v>
      </c>
      <c r="AF107" s="76">
        <v>3</v>
      </c>
      <c r="AG107" s="76">
        <v>1</v>
      </c>
    </row>
    <row r="108" spans="1:33" ht="14">
      <c r="A108" s="106"/>
      <c r="B108" s="106" t="s">
        <v>403</v>
      </c>
      <c r="C108" s="70"/>
      <c r="D108" s="155" t="s">
        <v>416</v>
      </c>
      <c r="E108" s="164" t="s">
        <v>417</v>
      </c>
      <c r="F108" s="157" t="str">
        <f ca="1">IFERROR(__xludf.DUMMYFUNCTION("INDEX(SPLIT(E108,""/""),,COUNTA(SPLIT(E108,""/"")))"),"1745112662726279613")</f>
        <v>1745112662726279613</v>
      </c>
      <c r="G108" s="70" t="s">
        <v>160</v>
      </c>
      <c r="H108" s="106" t="s">
        <v>80</v>
      </c>
      <c r="I108" s="106" t="s">
        <v>70</v>
      </c>
      <c r="J108" s="106" t="s">
        <v>138</v>
      </c>
      <c r="K108" s="106" t="s">
        <v>146</v>
      </c>
      <c r="L108" s="159">
        <v>2</v>
      </c>
      <c r="M108" s="76">
        <v>3</v>
      </c>
      <c r="N108" s="76">
        <v>3</v>
      </c>
      <c r="O108" s="76">
        <v>1</v>
      </c>
      <c r="P108" s="76">
        <v>1</v>
      </c>
      <c r="Q108" s="76">
        <v>1</v>
      </c>
      <c r="R108" s="76">
        <v>1</v>
      </c>
      <c r="S108" s="76">
        <v>3</v>
      </c>
      <c r="T108" s="76">
        <v>1</v>
      </c>
      <c r="U108" s="76">
        <v>3</v>
      </c>
      <c r="V108" s="162">
        <v>2</v>
      </c>
      <c r="W108" s="159">
        <v>3</v>
      </c>
      <c r="X108" s="76">
        <v>3</v>
      </c>
      <c r="Y108" s="76">
        <v>1</v>
      </c>
      <c r="Z108" s="76">
        <v>1</v>
      </c>
      <c r="AA108" s="76">
        <v>1</v>
      </c>
      <c r="AB108" s="76">
        <v>1</v>
      </c>
      <c r="AC108" s="76">
        <v>1</v>
      </c>
      <c r="AD108" s="76">
        <v>3</v>
      </c>
      <c r="AE108" s="76">
        <v>2</v>
      </c>
      <c r="AF108" s="76">
        <v>3</v>
      </c>
      <c r="AG108" s="76">
        <v>1</v>
      </c>
    </row>
    <row r="109" spans="1:33" ht="14">
      <c r="A109" s="106"/>
      <c r="B109" s="106" t="s">
        <v>403</v>
      </c>
      <c r="C109" s="70"/>
      <c r="D109" s="155" t="s">
        <v>418</v>
      </c>
      <c r="E109" s="164" t="s">
        <v>419</v>
      </c>
      <c r="F109" s="157" t="str">
        <f ca="1">IFERROR(__xludf.DUMMYFUNCTION("INDEX(SPLIT(E109,""/""),,COUNTA(SPLIT(E109,""/"")))"),"1745159502478127453")</f>
        <v>1745159502478127453</v>
      </c>
      <c r="G109" s="70" t="s">
        <v>409</v>
      </c>
      <c r="H109" s="106" t="s">
        <v>80</v>
      </c>
      <c r="I109" s="106" t="s">
        <v>70</v>
      </c>
      <c r="J109" s="106" t="s">
        <v>138</v>
      </c>
      <c r="K109" s="106" t="s">
        <v>146</v>
      </c>
      <c r="L109" s="159">
        <v>1</v>
      </c>
      <c r="M109" s="76">
        <v>3</v>
      </c>
      <c r="N109" s="76">
        <v>2</v>
      </c>
      <c r="O109" s="76">
        <v>1</v>
      </c>
      <c r="P109" s="76">
        <v>2</v>
      </c>
      <c r="Q109" s="76">
        <v>3</v>
      </c>
      <c r="R109" s="76">
        <v>3</v>
      </c>
      <c r="S109" s="76">
        <v>3</v>
      </c>
      <c r="T109" s="76">
        <v>2</v>
      </c>
      <c r="U109" s="76">
        <v>3</v>
      </c>
      <c r="V109" s="162">
        <v>2</v>
      </c>
      <c r="W109" s="159">
        <v>2</v>
      </c>
      <c r="X109" s="76">
        <v>3</v>
      </c>
      <c r="Y109" s="76">
        <v>2</v>
      </c>
      <c r="Z109" s="76">
        <v>1</v>
      </c>
      <c r="AA109" s="76">
        <v>1</v>
      </c>
      <c r="AB109" s="76">
        <v>1</v>
      </c>
      <c r="AC109" s="76">
        <v>1</v>
      </c>
      <c r="AD109" s="76">
        <v>3</v>
      </c>
      <c r="AE109" s="76">
        <v>3</v>
      </c>
      <c r="AF109" s="76">
        <v>3</v>
      </c>
      <c r="AG109" s="76">
        <v>2</v>
      </c>
    </row>
    <row r="110" spans="1:33" ht="14">
      <c r="A110" s="106"/>
      <c r="B110" s="106" t="s">
        <v>403</v>
      </c>
      <c r="C110" s="70"/>
      <c r="D110" s="155" t="s">
        <v>420</v>
      </c>
      <c r="E110" s="164" t="s">
        <v>421</v>
      </c>
      <c r="F110" s="157" t="str">
        <f ca="1">IFERROR(__xludf.DUMMYFUNCTION("INDEX(SPLIT(E110,""/""),,COUNTA(SPLIT(E110,""/"")))"),"1744478615759143120")</f>
        <v>1744478615759143120</v>
      </c>
      <c r="G110" s="70" t="s">
        <v>422</v>
      </c>
      <c r="H110" s="106" t="s">
        <v>80</v>
      </c>
      <c r="I110" s="106" t="s">
        <v>70</v>
      </c>
      <c r="J110" s="106" t="s">
        <v>138</v>
      </c>
      <c r="K110" s="106" t="s">
        <v>138</v>
      </c>
      <c r="L110" s="159">
        <v>1</v>
      </c>
      <c r="M110" s="76">
        <v>3</v>
      </c>
      <c r="N110" s="76">
        <v>2</v>
      </c>
      <c r="O110" s="76">
        <v>1</v>
      </c>
      <c r="P110" s="76">
        <v>1</v>
      </c>
      <c r="Q110" s="76">
        <v>1</v>
      </c>
      <c r="R110" s="76">
        <v>1</v>
      </c>
      <c r="S110" s="76">
        <v>3</v>
      </c>
      <c r="T110" s="76">
        <v>2</v>
      </c>
      <c r="U110" s="76">
        <v>3</v>
      </c>
      <c r="V110" s="162">
        <v>1</v>
      </c>
      <c r="W110" s="159">
        <v>1</v>
      </c>
      <c r="X110" s="76">
        <v>1</v>
      </c>
      <c r="Y110" s="76">
        <v>2</v>
      </c>
      <c r="Z110" s="76">
        <v>1</v>
      </c>
      <c r="AA110" s="76">
        <v>1</v>
      </c>
      <c r="AB110" s="76">
        <v>1</v>
      </c>
      <c r="AC110" s="76">
        <v>1</v>
      </c>
      <c r="AD110" s="76">
        <v>2</v>
      </c>
      <c r="AE110" s="76">
        <v>1</v>
      </c>
      <c r="AF110" s="76">
        <v>3</v>
      </c>
      <c r="AG110" s="76">
        <v>3</v>
      </c>
    </row>
    <row r="111" spans="1:33" ht="14">
      <c r="A111" s="106"/>
      <c r="B111" s="106" t="s">
        <v>403</v>
      </c>
      <c r="C111" s="70"/>
      <c r="D111" s="155" t="s">
        <v>423</v>
      </c>
      <c r="E111" s="164" t="s">
        <v>424</v>
      </c>
      <c r="F111" s="157" t="str">
        <f ca="1">IFERROR(__xludf.DUMMYFUNCTION("INDEX(SPLIT(E111,""/""),,COUNTA(SPLIT(E111,""/"")))"),"1744670527493382170")</f>
        <v>1744670527493382170</v>
      </c>
      <c r="G111" s="70" t="s">
        <v>422</v>
      </c>
      <c r="H111" s="106" t="s">
        <v>80</v>
      </c>
      <c r="I111" s="106" t="s">
        <v>70</v>
      </c>
      <c r="J111" s="106" t="s">
        <v>138</v>
      </c>
      <c r="K111" s="106" t="s">
        <v>138</v>
      </c>
      <c r="L111" s="159">
        <v>1</v>
      </c>
      <c r="M111" s="76">
        <v>3</v>
      </c>
      <c r="N111" s="76">
        <v>2</v>
      </c>
      <c r="O111" s="76">
        <v>1</v>
      </c>
      <c r="P111" s="76">
        <v>1</v>
      </c>
      <c r="Q111" s="76">
        <v>1</v>
      </c>
      <c r="R111" s="76">
        <v>1</v>
      </c>
      <c r="S111" s="76">
        <v>3</v>
      </c>
      <c r="T111" s="76">
        <v>2</v>
      </c>
      <c r="U111" s="76">
        <v>3</v>
      </c>
      <c r="V111" s="162">
        <v>2</v>
      </c>
      <c r="W111" s="159">
        <v>1</v>
      </c>
      <c r="X111" s="76">
        <v>1</v>
      </c>
      <c r="Y111" s="76">
        <v>2</v>
      </c>
      <c r="Z111" s="76">
        <v>1</v>
      </c>
      <c r="AA111" s="76">
        <v>1</v>
      </c>
      <c r="AB111" s="76">
        <v>1</v>
      </c>
      <c r="AC111" s="76">
        <v>1</v>
      </c>
      <c r="AD111" s="76">
        <v>2</v>
      </c>
      <c r="AE111" s="76">
        <v>1</v>
      </c>
      <c r="AF111" s="76">
        <v>3</v>
      </c>
      <c r="AG111" s="76">
        <v>3</v>
      </c>
    </row>
    <row r="112" spans="1:33" ht="14">
      <c r="A112" s="106"/>
      <c r="B112" s="106" t="s">
        <v>403</v>
      </c>
      <c r="C112" s="70"/>
      <c r="D112" s="155" t="s">
        <v>425</v>
      </c>
      <c r="E112" s="164" t="s">
        <v>426</v>
      </c>
      <c r="F112" s="157" t="str">
        <f ca="1">IFERROR(__xludf.DUMMYFUNCTION("INDEX(SPLIT(E112,""/""),,COUNTA(SPLIT(E112,""/"")))"),"1745138472447353127")</f>
        <v>1745138472447353127</v>
      </c>
      <c r="G112" s="70" t="s">
        <v>427</v>
      </c>
      <c r="H112" s="106" t="s">
        <v>80</v>
      </c>
      <c r="I112" s="106" t="s">
        <v>70</v>
      </c>
      <c r="J112" s="106" t="s">
        <v>138</v>
      </c>
      <c r="K112" s="106" t="s">
        <v>146</v>
      </c>
      <c r="L112" s="159">
        <v>2</v>
      </c>
      <c r="M112" s="76">
        <v>3</v>
      </c>
      <c r="N112" s="76">
        <v>3</v>
      </c>
      <c r="O112" s="76">
        <v>1</v>
      </c>
      <c r="P112" s="76">
        <v>1</v>
      </c>
      <c r="Q112" s="76">
        <v>1</v>
      </c>
      <c r="R112" s="76">
        <v>3</v>
      </c>
      <c r="S112" s="76">
        <v>3</v>
      </c>
      <c r="T112" s="76">
        <v>1</v>
      </c>
      <c r="U112" s="76">
        <v>3</v>
      </c>
      <c r="V112" s="162">
        <v>2</v>
      </c>
      <c r="W112" s="159">
        <v>1</v>
      </c>
      <c r="X112" s="76">
        <v>1</v>
      </c>
      <c r="Y112" s="76">
        <v>1</v>
      </c>
      <c r="Z112" s="76">
        <v>1</v>
      </c>
      <c r="AA112" s="76">
        <v>1</v>
      </c>
      <c r="AB112" s="76">
        <v>1</v>
      </c>
      <c r="AC112" s="76">
        <v>1</v>
      </c>
      <c r="AD112" s="76">
        <v>3</v>
      </c>
      <c r="AE112" s="76">
        <v>3</v>
      </c>
      <c r="AF112" s="76">
        <v>3</v>
      </c>
      <c r="AG112" s="76">
        <v>1</v>
      </c>
    </row>
    <row r="113" spans="1:33" ht="14">
      <c r="A113" s="106"/>
      <c r="B113" s="106" t="s">
        <v>403</v>
      </c>
      <c r="C113" s="70"/>
      <c r="D113" s="155" t="s">
        <v>428</v>
      </c>
      <c r="E113" s="164" t="s">
        <v>429</v>
      </c>
      <c r="F113" s="157" t="str">
        <f ca="1">IFERROR(__xludf.DUMMYFUNCTION("INDEX(SPLIT(E113,""/""),,COUNTA(SPLIT(E113,""/"")))"),"1681265348098633748")</f>
        <v>1681265348098633748</v>
      </c>
      <c r="G113" s="70" t="s">
        <v>430</v>
      </c>
      <c r="H113" s="106" t="s">
        <v>80</v>
      </c>
      <c r="I113" s="106" t="s">
        <v>86</v>
      </c>
      <c r="J113" s="106" t="s">
        <v>138</v>
      </c>
      <c r="K113" s="106" t="s">
        <v>138</v>
      </c>
      <c r="L113" s="159">
        <v>1</v>
      </c>
      <c r="M113" s="76">
        <v>1</v>
      </c>
      <c r="N113" s="76">
        <v>2</v>
      </c>
      <c r="O113" s="76">
        <v>1</v>
      </c>
      <c r="P113" s="76">
        <v>1</v>
      </c>
      <c r="Q113" s="76">
        <v>1</v>
      </c>
      <c r="R113" s="76">
        <v>1</v>
      </c>
      <c r="S113" s="76">
        <v>1</v>
      </c>
      <c r="T113" s="76">
        <v>1</v>
      </c>
      <c r="U113" s="76">
        <v>3</v>
      </c>
      <c r="V113" s="162">
        <v>1</v>
      </c>
      <c r="W113" s="159">
        <v>1</v>
      </c>
      <c r="X113" s="76">
        <v>1</v>
      </c>
      <c r="Y113" s="76">
        <v>1</v>
      </c>
      <c r="Z113" s="76">
        <v>1</v>
      </c>
      <c r="AA113" s="76">
        <v>1</v>
      </c>
      <c r="AB113" s="76">
        <v>1</v>
      </c>
      <c r="AC113" s="76">
        <v>1</v>
      </c>
      <c r="AD113" s="76">
        <v>1</v>
      </c>
      <c r="AE113" s="76">
        <v>1</v>
      </c>
      <c r="AF113" s="76">
        <v>3</v>
      </c>
      <c r="AG113" s="76">
        <v>1</v>
      </c>
    </row>
    <row r="114" spans="1:33" ht="14">
      <c r="A114" s="106"/>
      <c r="B114" s="106"/>
      <c r="C114" s="70"/>
      <c r="D114" s="155" t="s">
        <v>431</v>
      </c>
      <c r="E114" s="164" t="s">
        <v>432</v>
      </c>
      <c r="F114" s="157" t="str">
        <f ca="1">IFERROR(__xludf.DUMMYFUNCTION("INDEX(SPLIT(E114,""/""),,COUNTA(SPLIT(E114,""/"")))"),"1745082085809737968")</f>
        <v>1745082085809737968</v>
      </c>
      <c r="G114" s="70" t="s">
        <v>430</v>
      </c>
      <c r="H114" s="106" t="s">
        <v>80</v>
      </c>
      <c r="I114" s="106" t="s">
        <v>70</v>
      </c>
      <c r="J114" s="106"/>
      <c r="K114" s="106"/>
      <c r="L114" s="159"/>
      <c r="M114" s="76"/>
      <c r="N114" s="76"/>
      <c r="O114" s="76"/>
      <c r="P114" s="76"/>
      <c r="Q114" s="76"/>
      <c r="R114" s="76"/>
      <c r="S114" s="76"/>
      <c r="T114" s="76"/>
      <c r="U114" s="76"/>
      <c r="V114" s="162"/>
      <c r="W114" s="159"/>
      <c r="X114" s="76"/>
      <c r="Y114" s="76"/>
      <c r="Z114" s="76"/>
      <c r="AA114" s="76"/>
      <c r="AB114" s="76"/>
      <c r="AC114" s="76"/>
      <c r="AD114" s="76"/>
      <c r="AE114" s="76"/>
      <c r="AF114" s="76"/>
      <c r="AG114" s="76"/>
    </row>
    <row r="115" spans="1:33" ht="14">
      <c r="A115" s="106"/>
      <c r="B115" s="106"/>
      <c r="C115" s="70"/>
      <c r="D115" s="155" t="s">
        <v>433</v>
      </c>
      <c r="E115" s="164" t="s">
        <v>434</v>
      </c>
      <c r="F115" s="157" t="str">
        <f ca="1">IFERROR(__xludf.DUMMYFUNCTION("INDEX(SPLIT(E115,""/""),,COUNTA(SPLIT(E115,""/"")))"),"1460047675097710592")</f>
        <v>1460047675097710592</v>
      </c>
      <c r="G115" s="70" t="s">
        <v>435</v>
      </c>
      <c r="H115" s="106" t="s">
        <v>80</v>
      </c>
      <c r="I115" s="106" t="s">
        <v>81</v>
      </c>
      <c r="J115" s="106"/>
      <c r="K115" s="106"/>
      <c r="L115" s="159"/>
      <c r="M115" s="76"/>
      <c r="N115" s="76"/>
      <c r="O115" s="76"/>
      <c r="P115" s="76"/>
      <c r="Q115" s="76"/>
      <c r="R115" s="76"/>
      <c r="S115" s="76"/>
      <c r="T115" s="76"/>
      <c r="U115" s="76"/>
      <c r="V115" s="162"/>
      <c r="W115" s="159"/>
      <c r="X115" s="76"/>
      <c r="Y115" s="76"/>
      <c r="Z115" s="76"/>
      <c r="AA115" s="76"/>
      <c r="AB115" s="76"/>
      <c r="AC115" s="76"/>
      <c r="AD115" s="76"/>
      <c r="AE115" s="76"/>
      <c r="AF115" s="76"/>
      <c r="AG115" s="76"/>
    </row>
    <row r="116" spans="1:33" ht="14">
      <c r="A116" s="106"/>
      <c r="B116" s="106"/>
      <c r="C116" s="70"/>
      <c r="D116" s="155" t="s">
        <v>436</v>
      </c>
      <c r="E116" s="164" t="s">
        <v>437</v>
      </c>
      <c r="F116" s="157" t="str">
        <f ca="1">IFERROR(__xludf.DUMMYFUNCTION("INDEX(SPLIT(E116,""/""),,COUNTA(SPLIT(E116,""/"")))"),"1471139015344771081")</f>
        <v>1471139015344771081</v>
      </c>
      <c r="G116" s="70" t="s">
        <v>438</v>
      </c>
      <c r="H116" s="106" t="s">
        <v>80</v>
      </c>
      <c r="I116" s="106" t="s">
        <v>81</v>
      </c>
      <c r="J116" s="106"/>
      <c r="K116" s="106"/>
      <c r="L116" s="159"/>
      <c r="M116" s="76"/>
      <c r="N116" s="76"/>
      <c r="O116" s="76"/>
      <c r="P116" s="76"/>
      <c r="Q116" s="76"/>
      <c r="R116" s="76"/>
      <c r="S116" s="76"/>
      <c r="T116" s="76"/>
      <c r="U116" s="76"/>
      <c r="V116" s="162"/>
      <c r="W116" s="159"/>
      <c r="X116" s="76"/>
      <c r="Y116" s="76"/>
      <c r="Z116" s="76"/>
      <c r="AA116" s="76"/>
      <c r="AB116" s="76"/>
      <c r="AC116" s="76"/>
      <c r="AD116" s="76"/>
      <c r="AE116" s="76"/>
      <c r="AF116" s="76"/>
      <c r="AG116" s="76"/>
    </row>
    <row r="117" spans="1:33" ht="14">
      <c r="A117" s="106"/>
      <c r="B117" s="106"/>
      <c r="C117" s="70"/>
      <c r="D117" s="155" t="s">
        <v>439</v>
      </c>
      <c r="E117" s="164" t="s">
        <v>440</v>
      </c>
      <c r="F117" s="157" t="str">
        <f ca="1">IFERROR(__xludf.DUMMYFUNCTION("INDEX(SPLIT(E117,""/""),,COUNTA(SPLIT(E117,""/"")))"),"1723304805781696883")</f>
        <v>1723304805781696883</v>
      </c>
      <c r="G117" s="70" t="s">
        <v>441</v>
      </c>
      <c r="H117" s="106" t="s">
        <v>80</v>
      </c>
      <c r="I117" s="106" t="s">
        <v>81</v>
      </c>
      <c r="J117" s="106"/>
      <c r="K117" s="106"/>
      <c r="L117" s="159"/>
      <c r="M117" s="76"/>
      <c r="N117" s="76"/>
      <c r="O117" s="76"/>
      <c r="P117" s="76"/>
      <c r="Q117" s="76"/>
      <c r="R117" s="76"/>
      <c r="S117" s="76"/>
      <c r="T117" s="76"/>
      <c r="U117" s="76"/>
      <c r="V117" s="162"/>
      <c r="W117" s="159"/>
      <c r="X117" s="76"/>
      <c r="Y117" s="76"/>
      <c r="Z117" s="76"/>
      <c r="AA117" s="76"/>
      <c r="AB117" s="76"/>
      <c r="AC117" s="76"/>
      <c r="AD117" s="76"/>
      <c r="AE117" s="76"/>
      <c r="AF117" s="76"/>
      <c r="AG117" s="76"/>
    </row>
    <row r="118" spans="1:33" ht="14">
      <c r="A118" s="106"/>
      <c r="B118" s="106"/>
      <c r="C118" s="70"/>
      <c r="D118" s="155" t="s">
        <v>442</v>
      </c>
      <c r="E118" s="176" t="s">
        <v>443</v>
      </c>
      <c r="F118" s="157" t="str">
        <f ca="1">IFERROR(__xludf.DUMMYFUNCTION("INDEX(SPLIT(E118,""/""),,COUNTA(SPLIT(E118,""/"")))"),"1745429937039757617")</f>
        <v>1745429937039757617</v>
      </c>
      <c r="G118" s="70" t="s">
        <v>444</v>
      </c>
      <c r="H118" s="106" t="s">
        <v>80</v>
      </c>
      <c r="I118" s="106" t="s">
        <v>81</v>
      </c>
      <c r="J118" s="106"/>
      <c r="K118" s="106"/>
      <c r="L118" s="159"/>
      <c r="M118" s="76"/>
      <c r="N118" s="76"/>
      <c r="O118" s="76"/>
      <c r="P118" s="76"/>
      <c r="Q118" s="76"/>
      <c r="R118" s="76"/>
      <c r="S118" s="76"/>
      <c r="T118" s="76"/>
      <c r="U118" s="76"/>
      <c r="V118" s="162"/>
      <c r="W118" s="159"/>
      <c r="X118" s="76"/>
      <c r="Y118" s="76"/>
      <c r="Z118" s="76"/>
      <c r="AA118" s="76"/>
      <c r="AB118" s="76"/>
      <c r="AC118" s="76"/>
      <c r="AD118" s="76"/>
      <c r="AE118" s="76"/>
      <c r="AF118" s="76"/>
      <c r="AG118" s="76"/>
    </row>
    <row r="119" spans="1:33" ht="14">
      <c r="A119" s="106"/>
      <c r="B119" s="106"/>
      <c r="C119" s="70"/>
      <c r="D119" s="155" t="s">
        <v>445</v>
      </c>
      <c r="E119" s="176" t="s">
        <v>446</v>
      </c>
      <c r="F119" s="157" t="str">
        <f ca="1">IFERROR(__xludf.DUMMYFUNCTION("INDEX(SPLIT(E119,""/""),,COUNTA(SPLIT(E119,""/"")))"),"1745397612243481083")</f>
        <v>1745397612243481083</v>
      </c>
      <c r="G119" s="70" t="s">
        <v>444</v>
      </c>
      <c r="H119" s="106" t="s">
        <v>80</v>
      </c>
      <c r="I119" s="106" t="s">
        <v>70</v>
      </c>
      <c r="J119" s="106"/>
      <c r="K119" s="106"/>
      <c r="L119" s="159"/>
      <c r="M119" s="76"/>
      <c r="N119" s="76"/>
      <c r="O119" s="76"/>
      <c r="P119" s="76"/>
      <c r="Q119" s="76"/>
      <c r="R119" s="76"/>
      <c r="S119" s="76"/>
      <c r="T119" s="76"/>
      <c r="U119" s="76"/>
      <c r="V119" s="162"/>
      <c r="W119" s="159"/>
      <c r="X119" s="76"/>
      <c r="Y119" s="76"/>
      <c r="Z119" s="76"/>
      <c r="AA119" s="76"/>
      <c r="AB119" s="76"/>
      <c r="AC119" s="76"/>
      <c r="AD119" s="76"/>
      <c r="AE119" s="76"/>
      <c r="AF119" s="76"/>
      <c r="AG119" s="76"/>
    </row>
    <row r="120" spans="1:33" ht="14">
      <c r="A120" s="106"/>
      <c r="B120" s="106"/>
      <c r="C120" s="70"/>
      <c r="D120" s="155" t="s">
        <v>447</v>
      </c>
      <c r="E120" s="176" t="s">
        <v>448</v>
      </c>
      <c r="F120" s="157" t="str">
        <f ca="1">IFERROR(__xludf.DUMMYFUNCTION("INDEX(SPLIT(E120,""/""),,COUNTA(SPLIT(E120,""/"")))"),"1745089441062867059")</f>
        <v>1745089441062867059</v>
      </c>
      <c r="G120" s="70" t="s">
        <v>444</v>
      </c>
      <c r="H120" s="106" t="s">
        <v>80</v>
      </c>
      <c r="I120" s="106" t="s">
        <v>70</v>
      </c>
      <c r="J120" s="106"/>
      <c r="K120" s="106"/>
      <c r="L120" s="159"/>
      <c r="M120" s="76"/>
      <c r="N120" s="76"/>
      <c r="O120" s="76"/>
      <c r="P120" s="76"/>
      <c r="Q120" s="76"/>
      <c r="R120" s="76"/>
      <c r="S120" s="76"/>
      <c r="T120" s="76"/>
      <c r="U120" s="76"/>
      <c r="V120" s="162"/>
      <c r="W120" s="159"/>
      <c r="X120" s="76"/>
      <c r="Y120" s="76"/>
      <c r="Z120" s="76"/>
      <c r="AA120" s="76"/>
      <c r="AB120" s="76"/>
      <c r="AC120" s="76"/>
      <c r="AD120" s="76"/>
      <c r="AE120" s="76"/>
      <c r="AF120" s="76"/>
      <c r="AG120" s="76"/>
    </row>
    <row r="121" spans="1:33" ht="14">
      <c r="A121" s="106"/>
      <c r="B121" s="106"/>
      <c r="C121" s="70"/>
      <c r="D121" s="155" t="s">
        <v>449</v>
      </c>
      <c r="E121" s="174" t="s">
        <v>450</v>
      </c>
      <c r="F121" s="157" t="str">
        <f ca="1">IFERROR(__xludf.DUMMYFUNCTION("INDEX(SPLIT(E121,""/""),,COUNTA(SPLIT(E121,""/"")))"),"1745080336885731388")</f>
        <v>1745080336885731388</v>
      </c>
      <c r="G121" s="70" t="s">
        <v>444</v>
      </c>
      <c r="H121" s="106" t="s">
        <v>80</v>
      </c>
      <c r="I121" s="106" t="s">
        <v>70</v>
      </c>
      <c r="J121" s="106"/>
      <c r="K121" s="106"/>
      <c r="L121" s="159"/>
      <c r="M121" s="76"/>
      <c r="N121" s="76"/>
      <c r="O121" s="76"/>
      <c r="P121" s="76"/>
      <c r="Q121" s="76"/>
      <c r="R121" s="76"/>
      <c r="S121" s="76"/>
      <c r="T121" s="76"/>
      <c r="U121" s="76"/>
      <c r="V121" s="162"/>
      <c r="W121" s="159"/>
      <c r="X121" s="76"/>
      <c r="Y121" s="76"/>
      <c r="Z121" s="76"/>
      <c r="AA121" s="76"/>
      <c r="AB121" s="76"/>
      <c r="AC121" s="76"/>
      <c r="AD121" s="76"/>
      <c r="AE121" s="76"/>
      <c r="AF121" s="76"/>
      <c r="AG121" s="76"/>
    </row>
    <row r="122" spans="1:33" ht="14">
      <c r="A122" s="106"/>
      <c r="B122" s="106"/>
      <c r="C122" s="70"/>
      <c r="D122" s="155" t="s">
        <v>451</v>
      </c>
      <c r="E122" s="176" t="s">
        <v>452</v>
      </c>
      <c r="F122" s="157" t="str">
        <f ca="1">IFERROR(__xludf.DUMMYFUNCTION("INDEX(SPLIT(E122,""/""),,COUNTA(SPLIT(E122,""/"")))"),"1719790323948220429")</f>
        <v>1719790323948220429</v>
      </c>
      <c r="G122" s="70" t="s">
        <v>396</v>
      </c>
      <c r="H122" s="106" t="s">
        <v>80</v>
      </c>
      <c r="I122" s="106" t="s">
        <v>81</v>
      </c>
      <c r="J122" s="106"/>
      <c r="K122" s="106"/>
      <c r="L122" s="159"/>
      <c r="M122" s="76"/>
      <c r="N122" s="76"/>
      <c r="O122" s="76"/>
      <c r="P122" s="76"/>
      <c r="Q122" s="76"/>
      <c r="R122" s="76"/>
      <c r="S122" s="76"/>
      <c r="T122" s="76"/>
      <c r="U122" s="76"/>
      <c r="V122" s="162"/>
      <c r="W122" s="159"/>
      <c r="X122" s="76"/>
      <c r="Y122" s="76"/>
      <c r="Z122" s="76"/>
      <c r="AA122" s="76"/>
      <c r="AB122" s="76"/>
      <c r="AC122" s="76"/>
      <c r="AD122" s="76"/>
      <c r="AE122" s="76"/>
      <c r="AF122" s="76"/>
      <c r="AG122" s="76"/>
    </row>
    <row r="123" spans="1:33" ht="14">
      <c r="A123" s="106"/>
      <c r="B123" s="106"/>
      <c r="C123" s="70"/>
      <c r="D123" s="155" t="s">
        <v>453</v>
      </c>
      <c r="E123" s="174" t="s">
        <v>454</v>
      </c>
      <c r="F123" s="157" t="str">
        <f ca="1">IFERROR(__xludf.DUMMYFUNCTION("INDEX(SPLIT(E123,""/""),,COUNTA(SPLIT(E123,""/"")))"),"1735971615039426701")</f>
        <v>1735971615039426701</v>
      </c>
      <c r="G123" s="70" t="s">
        <v>455</v>
      </c>
      <c r="H123" s="106" t="s">
        <v>80</v>
      </c>
      <c r="I123" s="106" t="s">
        <v>81</v>
      </c>
      <c r="J123" s="106"/>
      <c r="K123" s="106"/>
      <c r="L123" s="159"/>
      <c r="M123" s="76"/>
      <c r="N123" s="76"/>
      <c r="O123" s="76"/>
      <c r="P123" s="76"/>
      <c r="Q123" s="76"/>
      <c r="R123" s="76"/>
      <c r="S123" s="76"/>
      <c r="T123" s="76"/>
      <c r="U123" s="76"/>
      <c r="V123" s="162"/>
      <c r="W123" s="159"/>
      <c r="X123" s="76"/>
      <c r="Y123" s="76"/>
      <c r="Z123" s="76"/>
      <c r="AA123" s="76"/>
      <c r="AB123" s="76"/>
      <c r="AC123" s="76"/>
      <c r="AD123" s="76"/>
      <c r="AE123" s="76"/>
      <c r="AF123" s="76"/>
      <c r="AG123" s="76"/>
    </row>
    <row r="124" spans="1:33" ht="14">
      <c r="A124" s="106"/>
      <c r="B124" s="106"/>
      <c r="C124" s="70"/>
      <c r="D124" s="155" t="s">
        <v>456</v>
      </c>
      <c r="E124" s="176" t="s">
        <v>457</v>
      </c>
      <c r="F124" s="157" t="str">
        <f ca="1">IFERROR(__xludf.DUMMYFUNCTION("INDEX(SPLIT(E124,""/""),,COUNTA(SPLIT(E124,""/"")))"),"1733965871461134846")</f>
        <v>1733965871461134846</v>
      </c>
      <c r="G124" s="70" t="s">
        <v>458</v>
      </c>
      <c r="H124" s="106" t="s">
        <v>80</v>
      </c>
      <c r="I124" s="106" t="s">
        <v>81</v>
      </c>
      <c r="J124" s="106"/>
      <c r="K124" s="106"/>
      <c r="L124" s="159"/>
      <c r="M124" s="76"/>
      <c r="N124" s="76"/>
      <c r="O124" s="76"/>
      <c r="P124" s="76"/>
      <c r="Q124" s="76"/>
      <c r="R124" s="76"/>
      <c r="S124" s="76"/>
      <c r="T124" s="76"/>
      <c r="U124" s="76"/>
      <c r="V124" s="162"/>
      <c r="W124" s="159"/>
      <c r="X124" s="76"/>
      <c r="Y124" s="76"/>
      <c r="Z124" s="76"/>
      <c r="AA124" s="76"/>
      <c r="AB124" s="76"/>
      <c r="AC124" s="76"/>
      <c r="AD124" s="76"/>
      <c r="AE124" s="76"/>
      <c r="AF124" s="76"/>
      <c r="AG124" s="76"/>
    </row>
    <row r="125" spans="1:33" ht="14">
      <c r="A125" s="106"/>
      <c r="B125" s="106"/>
      <c r="C125" s="70"/>
      <c r="D125" s="155" t="s">
        <v>459</v>
      </c>
      <c r="E125" s="176" t="s">
        <v>460</v>
      </c>
      <c r="F125" s="157" t="str">
        <f ca="1">IFERROR(__xludf.DUMMYFUNCTION("INDEX(SPLIT(E125,""/""),,COUNTA(SPLIT(E125,""/"")))"),"1711637964004991142")</f>
        <v>1711637964004991142</v>
      </c>
      <c r="G125" s="171" t="s">
        <v>399</v>
      </c>
      <c r="H125" s="106" t="s">
        <v>80</v>
      </c>
      <c r="I125" s="106" t="s">
        <v>70</v>
      </c>
      <c r="J125" s="106"/>
      <c r="K125" s="106"/>
      <c r="L125" s="159"/>
      <c r="M125" s="76"/>
      <c r="N125" s="76"/>
      <c r="O125" s="76"/>
      <c r="P125" s="76"/>
      <c r="Q125" s="76"/>
      <c r="R125" s="76"/>
      <c r="S125" s="76"/>
      <c r="T125" s="76"/>
      <c r="U125" s="76"/>
      <c r="V125" s="162"/>
      <c r="W125" s="159"/>
      <c r="X125" s="76"/>
      <c r="Y125" s="76"/>
      <c r="Z125" s="76"/>
      <c r="AA125" s="76"/>
      <c r="AB125" s="76"/>
      <c r="AC125" s="76"/>
      <c r="AD125" s="76"/>
      <c r="AE125" s="76"/>
      <c r="AF125" s="76"/>
      <c r="AG125" s="76"/>
    </row>
    <row r="126" spans="1:33" ht="14">
      <c r="A126" s="106"/>
      <c r="B126" s="106"/>
      <c r="C126" s="70"/>
      <c r="D126" s="155" t="s">
        <v>461</v>
      </c>
      <c r="E126" s="176" t="s">
        <v>462</v>
      </c>
      <c r="F126" s="157" t="str">
        <f ca="1">IFERROR(__xludf.DUMMYFUNCTION("INDEX(SPLIT(E126,""/""),,COUNTA(SPLIT(E126,""/"")))"),"1745418194989232536")</f>
        <v>1745418194989232536</v>
      </c>
      <c r="G126" s="171" t="s">
        <v>298</v>
      </c>
      <c r="H126" s="106" t="s">
        <v>80</v>
      </c>
      <c r="I126" s="106" t="s">
        <v>70</v>
      </c>
      <c r="J126" s="106"/>
      <c r="K126" s="106"/>
      <c r="L126" s="159"/>
      <c r="M126" s="76"/>
      <c r="N126" s="76"/>
      <c r="O126" s="76"/>
      <c r="P126" s="76"/>
      <c r="Q126" s="76"/>
      <c r="R126" s="76"/>
      <c r="S126" s="76"/>
      <c r="T126" s="76"/>
      <c r="U126" s="76"/>
      <c r="V126" s="162"/>
      <c r="W126" s="159"/>
      <c r="X126" s="76"/>
      <c r="Y126" s="76"/>
      <c r="Z126" s="76"/>
      <c r="AA126" s="76"/>
      <c r="AB126" s="76"/>
      <c r="AC126" s="76"/>
      <c r="AD126" s="76"/>
      <c r="AE126" s="76"/>
      <c r="AF126" s="76"/>
      <c r="AG126" s="76"/>
    </row>
    <row r="127" spans="1:33" ht="14">
      <c r="A127" s="106"/>
      <c r="B127" s="106"/>
      <c r="C127" s="70"/>
      <c r="D127" s="155" t="s">
        <v>463</v>
      </c>
      <c r="E127" s="174" t="s">
        <v>464</v>
      </c>
      <c r="F127" s="157" t="str">
        <f ca="1">IFERROR(__xludf.DUMMYFUNCTION("INDEX(SPLIT(E127,""/""),,COUNTA(SPLIT(E127,""/"")))"),"1733889619974926438")</f>
        <v>1733889619974926438</v>
      </c>
      <c r="G127" s="70" t="s">
        <v>455</v>
      </c>
      <c r="H127" s="106" t="s">
        <v>80</v>
      </c>
      <c r="I127" s="106"/>
      <c r="J127" s="106"/>
      <c r="K127" s="106"/>
      <c r="L127" s="159"/>
      <c r="M127" s="76"/>
      <c r="N127" s="76"/>
      <c r="O127" s="76"/>
      <c r="P127" s="76"/>
      <c r="Q127" s="76"/>
      <c r="R127" s="76"/>
      <c r="S127" s="76"/>
      <c r="T127" s="76"/>
      <c r="U127" s="76"/>
      <c r="V127" s="162"/>
      <c r="W127" s="159"/>
      <c r="X127" s="76"/>
      <c r="Y127" s="76"/>
      <c r="Z127" s="76"/>
      <c r="AA127" s="76"/>
      <c r="AB127" s="76"/>
      <c r="AC127" s="76"/>
      <c r="AD127" s="76"/>
      <c r="AE127" s="76"/>
      <c r="AF127" s="76"/>
      <c r="AG127" s="76"/>
    </row>
    <row r="128" spans="1:33" ht="14">
      <c r="A128" s="106"/>
      <c r="B128" s="106"/>
      <c r="C128" s="70"/>
      <c r="D128" s="155" t="s">
        <v>465</v>
      </c>
      <c r="E128" s="174" t="s">
        <v>466</v>
      </c>
      <c r="F128" s="157" t="str">
        <f ca="1">IFERROR(__xludf.DUMMYFUNCTION("INDEX(SPLIT(E128,""/""),,COUNTA(SPLIT(E128,""/"")))"),"1745449109723717693")</f>
        <v>1745449109723717693</v>
      </c>
      <c r="G128" s="70" t="s">
        <v>427</v>
      </c>
      <c r="H128" s="106" t="s">
        <v>80</v>
      </c>
      <c r="I128" s="106"/>
      <c r="J128" s="106"/>
      <c r="K128" s="106"/>
      <c r="L128" s="159"/>
      <c r="M128" s="76"/>
      <c r="N128" s="76"/>
      <c r="O128" s="76"/>
      <c r="P128" s="76"/>
      <c r="Q128" s="76"/>
      <c r="R128" s="76"/>
      <c r="S128" s="76"/>
      <c r="T128" s="76"/>
      <c r="U128" s="76"/>
      <c r="V128" s="162"/>
      <c r="W128" s="159"/>
      <c r="X128" s="76"/>
      <c r="Y128" s="76"/>
      <c r="Z128" s="76"/>
      <c r="AA128" s="76"/>
      <c r="AB128" s="76"/>
      <c r="AC128" s="76"/>
      <c r="AD128" s="76"/>
      <c r="AE128" s="76"/>
      <c r="AF128" s="76"/>
      <c r="AG128" s="76"/>
    </row>
    <row r="129" spans="1:33" ht="14">
      <c r="A129" s="106"/>
      <c r="B129" s="106"/>
      <c r="C129" s="70"/>
      <c r="D129" s="155" t="s">
        <v>467</v>
      </c>
      <c r="E129" s="174" t="s">
        <v>468</v>
      </c>
      <c r="F129" s="157" t="str">
        <f ca="1">IFERROR(__xludf.DUMMYFUNCTION("INDEX(SPLIT(E129,""/""),,COUNTA(SPLIT(E129,""/"")))"),"1745053403569377704")</f>
        <v>1745053403569377704</v>
      </c>
      <c r="G129" s="171" t="s">
        <v>298</v>
      </c>
      <c r="H129" s="106" t="s">
        <v>80</v>
      </c>
      <c r="I129" s="106"/>
      <c r="J129" s="106"/>
      <c r="K129" s="106"/>
      <c r="L129" s="159"/>
      <c r="M129" s="76"/>
      <c r="N129" s="76"/>
      <c r="O129" s="76"/>
      <c r="P129" s="76"/>
      <c r="Q129" s="76"/>
      <c r="R129" s="76"/>
      <c r="S129" s="76"/>
      <c r="T129" s="76"/>
      <c r="U129" s="76"/>
      <c r="V129" s="162"/>
      <c r="W129" s="159"/>
      <c r="X129" s="76"/>
      <c r="Y129" s="76"/>
      <c r="Z129" s="76"/>
      <c r="AA129" s="76"/>
      <c r="AB129" s="76"/>
      <c r="AC129" s="76"/>
      <c r="AD129" s="76"/>
      <c r="AE129" s="76"/>
      <c r="AF129" s="76"/>
      <c r="AG129" s="76"/>
    </row>
    <row r="130" spans="1:33" ht="14">
      <c r="A130" s="106"/>
      <c r="B130" s="106"/>
      <c r="C130" s="70"/>
      <c r="D130" s="155" t="s">
        <v>469</v>
      </c>
      <c r="E130" s="176" t="s">
        <v>470</v>
      </c>
      <c r="F130" s="157" t="str">
        <f ca="1">IFERROR(__xludf.DUMMYFUNCTION("INDEX(SPLIT(E130,""/""),,COUNTA(SPLIT(E130,""/"")))"),"1744278032762974690")</f>
        <v>1744278032762974690</v>
      </c>
      <c r="G130" s="70" t="s">
        <v>471</v>
      </c>
      <c r="H130" s="106" t="s">
        <v>80</v>
      </c>
      <c r="I130" s="106"/>
      <c r="J130" s="106"/>
      <c r="K130" s="106"/>
      <c r="L130" s="159"/>
      <c r="M130" s="76"/>
      <c r="N130" s="76"/>
      <c r="O130" s="76"/>
      <c r="P130" s="76"/>
      <c r="Q130" s="76"/>
      <c r="R130" s="76"/>
      <c r="S130" s="76"/>
      <c r="T130" s="76"/>
      <c r="U130" s="76"/>
      <c r="V130" s="162"/>
      <c r="W130" s="159"/>
      <c r="X130" s="76"/>
      <c r="Y130" s="76"/>
      <c r="Z130" s="76"/>
      <c r="AA130" s="76"/>
      <c r="AB130" s="76"/>
      <c r="AC130" s="76"/>
      <c r="AD130" s="76"/>
      <c r="AE130" s="76"/>
      <c r="AF130" s="76"/>
      <c r="AG130" s="76"/>
    </row>
    <row r="131" spans="1:33" ht="14">
      <c r="A131" s="106"/>
      <c r="B131" s="106"/>
      <c r="C131" s="70"/>
      <c r="D131" s="155" t="s">
        <v>472</v>
      </c>
      <c r="E131" s="176" t="s">
        <v>473</v>
      </c>
      <c r="F131" s="157" t="str">
        <f ca="1">IFERROR(__xludf.DUMMYFUNCTION("INDEX(SPLIT(E131,""/""),,COUNTA(SPLIT(E131,""/"")))"),"1718278328811962718")</f>
        <v>1718278328811962718</v>
      </c>
      <c r="G131" s="171" t="s">
        <v>474</v>
      </c>
      <c r="H131" s="106" t="s">
        <v>80</v>
      </c>
      <c r="I131" s="106"/>
      <c r="J131" s="106"/>
      <c r="K131" s="106"/>
      <c r="L131" s="159"/>
      <c r="M131" s="76"/>
      <c r="N131" s="76"/>
      <c r="O131" s="76"/>
      <c r="P131" s="76"/>
      <c r="Q131" s="76"/>
      <c r="R131" s="76"/>
      <c r="S131" s="76"/>
      <c r="T131" s="76"/>
      <c r="U131" s="76"/>
      <c r="V131" s="162"/>
      <c r="W131" s="159"/>
      <c r="X131" s="76"/>
      <c r="Y131" s="76"/>
      <c r="Z131" s="76"/>
      <c r="AA131" s="76"/>
      <c r="AB131" s="76"/>
      <c r="AC131" s="76"/>
      <c r="AD131" s="76"/>
      <c r="AE131" s="76"/>
      <c r="AF131" s="76"/>
      <c r="AG131" s="76"/>
    </row>
    <row r="132" spans="1:33" ht="14">
      <c r="A132" s="106"/>
      <c r="B132" s="106"/>
      <c r="C132" s="70"/>
      <c r="D132" s="155" t="s">
        <v>475</v>
      </c>
      <c r="E132" s="174" t="s">
        <v>476</v>
      </c>
      <c r="F132" s="157" t="str">
        <f ca="1">IFERROR(__xludf.DUMMYFUNCTION("INDEX(SPLIT(E132,""/""),,COUNTA(SPLIT(E132,""/"")))"),"1744843254766415993")</f>
        <v>1744843254766415993</v>
      </c>
      <c r="G132" s="171" t="s">
        <v>298</v>
      </c>
      <c r="H132" s="106" t="s">
        <v>80</v>
      </c>
      <c r="I132" s="106"/>
      <c r="J132" s="106"/>
      <c r="K132" s="106"/>
      <c r="L132" s="159"/>
      <c r="M132" s="76"/>
      <c r="N132" s="76"/>
      <c r="O132" s="76"/>
      <c r="P132" s="76"/>
      <c r="Q132" s="76"/>
      <c r="R132" s="76"/>
      <c r="S132" s="76"/>
      <c r="T132" s="76"/>
      <c r="U132" s="76"/>
      <c r="V132" s="162"/>
      <c r="W132" s="159"/>
      <c r="X132" s="76"/>
      <c r="Y132" s="76"/>
      <c r="Z132" s="76"/>
      <c r="AA132" s="76"/>
      <c r="AB132" s="76"/>
      <c r="AC132" s="76"/>
      <c r="AD132" s="76"/>
      <c r="AE132" s="76"/>
      <c r="AF132" s="76"/>
      <c r="AG132" s="76"/>
    </row>
    <row r="133" spans="1:33" ht="14">
      <c r="A133" s="106"/>
      <c r="B133" s="106"/>
      <c r="C133" s="70"/>
      <c r="D133" s="155" t="s">
        <v>477</v>
      </c>
      <c r="E133" s="174" t="s">
        <v>478</v>
      </c>
      <c r="F133" s="157" t="str">
        <f ca="1">IFERROR(__xludf.DUMMYFUNCTION("INDEX(SPLIT(E133,""/""),,COUNTA(SPLIT(E133,""/"")))"),"1744792969482273110")</f>
        <v>1744792969482273110</v>
      </c>
      <c r="G133" s="171" t="s">
        <v>298</v>
      </c>
      <c r="H133" s="106" t="s">
        <v>80</v>
      </c>
      <c r="I133" s="106"/>
      <c r="J133" s="106"/>
      <c r="K133" s="106"/>
      <c r="L133" s="159"/>
      <c r="M133" s="76"/>
      <c r="N133" s="76"/>
      <c r="O133" s="76"/>
      <c r="P133" s="76"/>
      <c r="Q133" s="76"/>
      <c r="R133" s="76"/>
      <c r="S133" s="76"/>
      <c r="T133" s="76"/>
      <c r="U133" s="76"/>
      <c r="V133" s="162"/>
      <c r="W133" s="159"/>
      <c r="X133" s="76"/>
      <c r="Y133" s="76"/>
      <c r="Z133" s="76"/>
      <c r="AA133" s="76"/>
      <c r="AB133" s="76"/>
      <c r="AC133" s="76"/>
      <c r="AD133" s="76"/>
      <c r="AE133" s="76"/>
      <c r="AF133" s="76"/>
      <c r="AG133" s="76"/>
    </row>
    <row r="134" spans="1:33" ht="14">
      <c r="A134" s="106"/>
      <c r="B134" s="106"/>
      <c r="C134" s="70"/>
      <c r="D134" s="155" t="s">
        <v>479</v>
      </c>
      <c r="E134" s="174" t="s">
        <v>480</v>
      </c>
      <c r="F134" s="157" t="str">
        <f ca="1">IFERROR(__xludf.DUMMYFUNCTION("INDEX(SPLIT(E134,""/""),,COUNTA(SPLIT(E134,""/"")))"),"1743127134728544609")</f>
        <v>1743127134728544609</v>
      </c>
      <c r="G134" s="70" t="s">
        <v>481</v>
      </c>
      <c r="H134" s="106" t="s">
        <v>80</v>
      </c>
      <c r="I134" s="106"/>
      <c r="J134" s="106"/>
      <c r="K134" s="106"/>
      <c r="L134" s="159"/>
      <c r="M134" s="76"/>
      <c r="N134" s="76"/>
      <c r="O134" s="76"/>
      <c r="P134" s="76"/>
      <c r="Q134" s="76"/>
      <c r="R134" s="76"/>
      <c r="S134" s="76"/>
      <c r="T134" s="76"/>
      <c r="U134" s="76"/>
      <c r="V134" s="162"/>
      <c r="W134" s="159"/>
      <c r="X134" s="76"/>
      <c r="Y134" s="76"/>
      <c r="Z134" s="76"/>
      <c r="AA134" s="76"/>
      <c r="AB134" s="76"/>
      <c r="AC134" s="76"/>
      <c r="AD134" s="76"/>
      <c r="AE134" s="76"/>
      <c r="AF134" s="76"/>
      <c r="AG134" s="76"/>
    </row>
    <row r="135" spans="1:33" ht="14">
      <c r="A135" s="106"/>
      <c r="B135" s="106"/>
      <c r="C135" s="70"/>
      <c r="D135" s="155" t="s">
        <v>482</v>
      </c>
      <c r="E135" s="176" t="s">
        <v>483</v>
      </c>
      <c r="F135" s="157" t="str">
        <f ca="1">IFERROR(__xludf.DUMMYFUNCTION("INDEX(SPLIT(E135,""/""),,COUNTA(SPLIT(E135,""/"")))"),"1712775737256640725")</f>
        <v>1712775737256640725</v>
      </c>
      <c r="G135" s="185" t="s">
        <v>399</v>
      </c>
      <c r="H135" s="106" t="s">
        <v>80</v>
      </c>
      <c r="I135" s="106"/>
      <c r="J135" s="106"/>
      <c r="K135" s="106"/>
      <c r="L135" s="159"/>
      <c r="M135" s="76"/>
      <c r="N135" s="76"/>
      <c r="O135" s="76"/>
      <c r="P135" s="76"/>
      <c r="Q135" s="76"/>
      <c r="R135" s="76"/>
      <c r="S135" s="76"/>
      <c r="T135" s="76"/>
      <c r="U135" s="76"/>
      <c r="V135" s="162"/>
      <c r="W135" s="159"/>
      <c r="X135" s="76"/>
      <c r="Y135" s="76"/>
      <c r="Z135" s="76"/>
      <c r="AA135" s="76"/>
      <c r="AB135" s="76"/>
      <c r="AC135" s="76"/>
      <c r="AD135" s="76"/>
      <c r="AE135" s="76"/>
      <c r="AF135" s="76"/>
      <c r="AG135" s="76"/>
    </row>
    <row r="136" spans="1:33" ht="14">
      <c r="A136" s="106"/>
      <c r="B136" s="106"/>
      <c r="C136" s="70"/>
      <c r="D136" s="155" t="s">
        <v>484</v>
      </c>
      <c r="E136" s="174" t="s">
        <v>485</v>
      </c>
      <c r="F136" s="157" t="str">
        <f ca="1">IFERROR(__xludf.DUMMYFUNCTION("INDEX(SPLIT(E136,""/""),,COUNTA(SPLIT(E136,""/"")))"),"1744714855515672666")</f>
        <v>1744714855515672666</v>
      </c>
      <c r="G136" s="171" t="s">
        <v>298</v>
      </c>
      <c r="H136" s="106" t="s">
        <v>80</v>
      </c>
      <c r="I136" s="106"/>
      <c r="J136" s="106"/>
      <c r="K136" s="106"/>
      <c r="L136" s="159"/>
      <c r="M136" s="76"/>
      <c r="N136" s="76"/>
      <c r="O136" s="76"/>
      <c r="P136" s="76"/>
      <c r="Q136" s="76"/>
      <c r="R136" s="76"/>
      <c r="S136" s="76"/>
      <c r="T136" s="76"/>
      <c r="U136" s="76"/>
      <c r="V136" s="162"/>
      <c r="W136" s="159"/>
      <c r="X136" s="76"/>
      <c r="Y136" s="76"/>
      <c r="Z136" s="76"/>
      <c r="AA136" s="76"/>
      <c r="AB136" s="76"/>
      <c r="AC136" s="76"/>
      <c r="AD136" s="76"/>
      <c r="AE136" s="76"/>
      <c r="AF136" s="76"/>
      <c r="AG136" s="76"/>
    </row>
    <row r="137" spans="1:33" ht="14">
      <c r="A137" s="106"/>
      <c r="B137" s="106"/>
      <c r="C137" s="70"/>
      <c r="D137" s="155" t="s">
        <v>486</v>
      </c>
      <c r="E137" s="174" t="s">
        <v>487</v>
      </c>
      <c r="F137" s="157" t="str">
        <f ca="1">IFERROR(__xludf.DUMMYFUNCTION("INDEX(SPLIT(E137,""/""),,COUNTA(SPLIT(E137,""/"")))"),"1744689167970222569")</f>
        <v>1744689167970222569</v>
      </c>
      <c r="G137" s="171" t="s">
        <v>298</v>
      </c>
      <c r="H137" s="106" t="s">
        <v>80</v>
      </c>
      <c r="I137" s="106"/>
      <c r="J137" s="106"/>
      <c r="K137" s="106"/>
      <c r="L137" s="159"/>
      <c r="M137" s="76"/>
      <c r="N137" s="76"/>
      <c r="O137" s="76"/>
      <c r="P137" s="76"/>
      <c r="Q137" s="76"/>
      <c r="R137" s="76"/>
      <c r="S137" s="76"/>
      <c r="T137" s="76"/>
      <c r="U137" s="76"/>
      <c r="V137" s="162"/>
      <c r="W137" s="159"/>
      <c r="X137" s="76"/>
      <c r="Y137" s="76"/>
      <c r="Z137" s="76"/>
      <c r="AA137" s="76"/>
      <c r="AB137" s="76"/>
      <c r="AC137" s="76"/>
      <c r="AD137" s="76"/>
      <c r="AE137" s="76"/>
      <c r="AF137" s="76"/>
      <c r="AG137" s="76"/>
    </row>
    <row r="138" spans="1:33" ht="14">
      <c r="A138" s="106"/>
      <c r="B138" s="106"/>
      <c r="C138" s="70"/>
      <c r="D138" s="155" t="s">
        <v>488</v>
      </c>
      <c r="E138" s="176" t="s">
        <v>489</v>
      </c>
      <c r="F138" s="157" t="str">
        <f ca="1">IFERROR(__xludf.DUMMYFUNCTION("INDEX(SPLIT(E138,""/""),,COUNTA(SPLIT(E138,""/"")))"),"1744671475263779180")</f>
        <v>1744671475263779180</v>
      </c>
      <c r="G138" s="171" t="s">
        <v>298</v>
      </c>
      <c r="H138" s="106" t="s">
        <v>80</v>
      </c>
      <c r="I138" s="106"/>
      <c r="J138" s="106"/>
      <c r="K138" s="106"/>
      <c r="L138" s="159"/>
      <c r="M138" s="76"/>
      <c r="N138" s="76"/>
      <c r="O138" s="76"/>
      <c r="P138" s="76"/>
      <c r="Q138" s="76"/>
      <c r="R138" s="76"/>
      <c r="S138" s="76"/>
      <c r="T138" s="76"/>
      <c r="U138" s="76"/>
      <c r="V138" s="162"/>
      <c r="W138" s="159"/>
      <c r="X138" s="76"/>
      <c r="Y138" s="76"/>
      <c r="Z138" s="76"/>
      <c r="AA138" s="76"/>
      <c r="AB138" s="76"/>
      <c r="AC138" s="76"/>
      <c r="AD138" s="76"/>
      <c r="AE138" s="76"/>
      <c r="AF138" s="76"/>
      <c r="AG138" s="76"/>
    </row>
    <row r="139" spans="1:33" ht="14">
      <c r="A139" s="106"/>
      <c r="B139" s="106"/>
      <c r="C139" s="70"/>
      <c r="D139" s="155" t="s">
        <v>490</v>
      </c>
      <c r="E139" s="176" t="s">
        <v>491</v>
      </c>
      <c r="F139" s="157" t="str">
        <f ca="1">IFERROR(__xludf.DUMMYFUNCTION("INDEX(SPLIT(E139,""/""),,COUNTA(SPLIT(E139,""/"")))"),"1714667666634612842")</f>
        <v>1714667666634612842</v>
      </c>
      <c r="G139" s="171" t="s">
        <v>492</v>
      </c>
      <c r="H139" s="106" t="s">
        <v>80</v>
      </c>
      <c r="I139" s="106"/>
      <c r="J139" s="106"/>
      <c r="K139" s="106"/>
      <c r="L139" s="159"/>
      <c r="M139" s="76"/>
      <c r="N139" s="76"/>
      <c r="O139" s="76"/>
      <c r="P139" s="76"/>
      <c r="Q139" s="76"/>
      <c r="R139" s="76"/>
      <c r="S139" s="76"/>
      <c r="T139" s="76"/>
      <c r="U139" s="76"/>
      <c r="V139" s="162"/>
      <c r="W139" s="159"/>
      <c r="X139" s="76"/>
      <c r="Y139" s="76"/>
      <c r="Z139" s="76"/>
      <c r="AA139" s="76"/>
      <c r="AB139" s="76"/>
      <c r="AC139" s="76"/>
      <c r="AD139" s="76"/>
      <c r="AE139" s="76"/>
      <c r="AF139" s="76"/>
      <c r="AG139" s="76"/>
    </row>
    <row r="140" spans="1:33" ht="14">
      <c r="A140" s="106"/>
      <c r="B140" s="106"/>
      <c r="C140" s="70"/>
      <c r="D140" s="155" t="s">
        <v>493</v>
      </c>
      <c r="E140" s="176" t="s">
        <v>494</v>
      </c>
      <c r="F140" s="157" t="str">
        <f ca="1">IFERROR(__xludf.DUMMYFUNCTION("INDEX(SPLIT(E140,""/""),,COUNTA(SPLIT(E140,""/"")))"),"1744385276795896011")</f>
        <v>1744385276795896011</v>
      </c>
      <c r="G140" s="171" t="s">
        <v>298</v>
      </c>
      <c r="H140" s="106" t="s">
        <v>80</v>
      </c>
      <c r="I140" s="106"/>
      <c r="J140" s="106"/>
      <c r="K140" s="106"/>
      <c r="L140" s="159"/>
      <c r="M140" s="76"/>
      <c r="N140" s="76"/>
      <c r="O140" s="76"/>
      <c r="P140" s="76"/>
      <c r="Q140" s="76"/>
      <c r="R140" s="76"/>
      <c r="S140" s="76"/>
      <c r="T140" s="76"/>
      <c r="U140" s="76"/>
      <c r="V140" s="162"/>
      <c r="W140" s="159"/>
      <c r="X140" s="76"/>
      <c r="Y140" s="76"/>
      <c r="Z140" s="76"/>
      <c r="AA140" s="76"/>
      <c r="AB140" s="76"/>
      <c r="AC140" s="76"/>
      <c r="AD140" s="76"/>
      <c r="AE140" s="76"/>
      <c r="AF140" s="76"/>
      <c r="AG140" s="76"/>
    </row>
    <row r="141" spans="1:33" ht="14">
      <c r="A141" s="106"/>
      <c r="B141" s="106"/>
      <c r="C141" s="70"/>
      <c r="D141" s="155" t="s">
        <v>495</v>
      </c>
      <c r="E141" s="176" t="s">
        <v>496</v>
      </c>
      <c r="F141" s="157" t="str">
        <f ca="1">IFERROR(__xludf.DUMMYFUNCTION("INDEX(SPLIT(E141,""/""),,COUNTA(SPLIT(E141,""/"")))"),"1744033616680599674")</f>
        <v>1744033616680599674</v>
      </c>
      <c r="G141" s="171" t="s">
        <v>298</v>
      </c>
      <c r="H141" s="106" t="s">
        <v>80</v>
      </c>
      <c r="I141" s="106"/>
      <c r="J141" s="106"/>
      <c r="K141" s="106"/>
      <c r="L141" s="159"/>
      <c r="M141" s="76"/>
      <c r="N141" s="76"/>
      <c r="O141" s="76"/>
      <c r="P141" s="76"/>
      <c r="Q141" s="76"/>
      <c r="R141" s="76"/>
      <c r="S141" s="76"/>
      <c r="T141" s="76"/>
      <c r="U141" s="76"/>
      <c r="V141" s="162"/>
      <c r="W141" s="159"/>
      <c r="X141" s="76"/>
      <c r="Y141" s="76"/>
      <c r="Z141" s="76"/>
      <c r="AA141" s="76"/>
      <c r="AB141" s="76"/>
      <c r="AC141" s="76"/>
      <c r="AD141" s="76"/>
      <c r="AE141" s="76"/>
      <c r="AF141" s="76"/>
      <c r="AG141" s="76"/>
    </row>
    <row r="142" spans="1:33" ht="14">
      <c r="A142" s="106"/>
      <c r="B142" s="106"/>
      <c r="C142" s="70"/>
      <c r="D142" s="155" t="s">
        <v>497</v>
      </c>
      <c r="E142" s="174" t="s">
        <v>498</v>
      </c>
      <c r="F142" s="157" t="str">
        <f ca="1">IFERROR(__xludf.DUMMYFUNCTION("INDEX(SPLIT(E142,""/""),,COUNTA(SPLIT(E142,""/"")))"),"1744001939824673095")</f>
        <v>1744001939824673095</v>
      </c>
      <c r="G142" s="171" t="s">
        <v>298</v>
      </c>
      <c r="H142" s="106" t="s">
        <v>80</v>
      </c>
      <c r="I142" s="106"/>
      <c r="J142" s="106"/>
      <c r="K142" s="106"/>
      <c r="L142" s="159"/>
      <c r="M142" s="76"/>
      <c r="N142" s="76"/>
      <c r="O142" s="76"/>
      <c r="P142" s="76"/>
      <c r="Q142" s="76"/>
      <c r="R142" s="76"/>
      <c r="S142" s="76"/>
      <c r="T142" s="76"/>
      <c r="U142" s="76"/>
      <c r="V142" s="162"/>
      <c r="W142" s="159"/>
      <c r="X142" s="76"/>
      <c r="Y142" s="76"/>
      <c r="Z142" s="76"/>
      <c r="AA142" s="76"/>
      <c r="AB142" s="76"/>
      <c r="AC142" s="76"/>
      <c r="AD142" s="76"/>
      <c r="AE142" s="76"/>
      <c r="AF142" s="76"/>
      <c r="AG142" s="76"/>
    </row>
    <row r="143" spans="1:33" ht="14">
      <c r="A143" s="106"/>
      <c r="B143" s="106"/>
      <c r="C143" s="70"/>
      <c r="D143" s="155" t="s">
        <v>499</v>
      </c>
      <c r="E143" s="176" t="s">
        <v>500</v>
      </c>
      <c r="F143" s="157" t="str">
        <f ca="1">IFERROR(__xludf.DUMMYFUNCTION("INDEX(SPLIT(E143,""/""),,COUNTA(SPLIT(E143,""/"")))"),"1743797638523203926")</f>
        <v>1743797638523203926</v>
      </c>
      <c r="G143" s="171" t="s">
        <v>298</v>
      </c>
      <c r="H143" s="106" t="s">
        <v>80</v>
      </c>
      <c r="I143" s="106"/>
      <c r="J143" s="106"/>
      <c r="K143" s="106"/>
      <c r="L143" s="159"/>
      <c r="M143" s="76"/>
      <c r="N143" s="76"/>
      <c r="O143" s="76"/>
      <c r="P143" s="76"/>
      <c r="Q143" s="76"/>
      <c r="R143" s="76"/>
      <c r="S143" s="76"/>
      <c r="T143" s="76"/>
      <c r="U143" s="76"/>
      <c r="V143" s="162"/>
      <c r="W143" s="159"/>
      <c r="X143" s="76"/>
      <c r="Y143" s="76"/>
      <c r="Z143" s="76"/>
      <c r="AA143" s="76"/>
      <c r="AB143" s="76"/>
      <c r="AC143" s="76"/>
      <c r="AD143" s="76"/>
      <c r="AE143" s="76"/>
      <c r="AF143" s="76"/>
      <c r="AG143" s="76"/>
    </row>
    <row r="144" spans="1:33" ht="14">
      <c r="A144" s="106"/>
      <c r="B144" s="106"/>
      <c r="C144" s="70"/>
      <c r="D144" s="155" t="s">
        <v>501</v>
      </c>
      <c r="E144" s="176" t="s">
        <v>502</v>
      </c>
      <c r="F144" s="157" t="str">
        <f ca="1">IFERROR(__xludf.DUMMYFUNCTION("INDEX(SPLIT(E144,""/""),,COUNTA(SPLIT(E144,""/"")))"),"1743677607147610175")</f>
        <v>1743677607147610175</v>
      </c>
      <c r="G144" s="171" t="s">
        <v>298</v>
      </c>
      <c r="H144" s="106" t="s">
        <v>80</v>
      </c>
      <c r="I144" s="106"/>
      <c r="J144" s="106"/>
      <c r="K144" s="106"/>
      <c r="L144" s="159"/>
      <c r="M144" s="76"/>
      <c r="N144" s="76"/>
      <c r="O144" s="76"/>
      <c r="P144" s="76"/>
      <c r="Q144" s="76"/>
      <c r="R144" s="76"/>
      <c r="S144" s="76"/>
      <c r="T144" s="76"/>
      <c r="U144" s="76"/>
      <c r="V144" s="162"/>
      <c r="W144" s="159"/>
      <c r="X144" s="76"/>
      <c r="Y144" s="76"/>
      <c r="Z144" s="76"/>
      <c r="AA144" s="76"/>
      <c r="AB144" s="76"/>
      <c r="AC144" s="76"/>
      <c r="AD144" s="76"/>
      <c r="AE144" s="76"/>
      <c r="AF144" s="76"/>
      <c r="AG144" s="76"/>
    </row>
    <row r="145" spans="1:33" ht="14">
      <c r="A145" s="106"/>
      <c r="B145" s="106"/>
      <c r="C145" s="70"/>
      <c r="D145" s="155" t="s">
        <v>503</v>
      </c>
      <c r="E145" s="176" t="s">
        <v>504</v>
      </c>
      <c r="F145" s="157" t="str">
        <f ca="1">IFERROR(__xludf.DUMMYFUNCTION("INDEX(SPLIT(E145,""/""),,COUNTA(SPLIT(E145,""/"")))"),"1745441834506338475")</f>
        <v>1745441834506338475</v>
      </c>
      <c r="G145" s="171" t="s">
        <v>505</v>
      </c>
      <c r="H145" s="106" t="s">
        <v>80</v>
      </c>
      <c r="I145" s="106"/>
      <c r="J145" s="106"/>
      <c r="K145" s="106"/>
      <c r="L145" s="159"/>
      <c r="M145" s="76"/>
      <c r="N145" s="76"/>
      <c r="O145" s="76"/>
      <c r="P145" s="76"/>
      <c r="Q145" s="76"/>
      <c r="R145" s="76"/>
      <c r="S145" s="76"/>
      <c r="T145" s="76"/>
      <c r="U145" s="76"/>
      <c r="V145" s="162"/>
      <c r="W145" s="159"/>
      <c r="X145" s="76"/>
      <c r="Y145" s="76"/>
      <c r="Z145" s="76"/>
      <c r="AA145" s="76"/>
      <c r="AB145" s="76"/>
      <c r="AC145" s="76"/>
      <c r="AD145" s="76"/>
      <c r="AE145" s="76"/>
      <c r="AF145" s="76"/>
      <c r="AG145" s="76"/>
    </row>
    <row r="146" spans="1:33" ht="14">
      <c r="A146" s="106"/>
      <c r="B146" s="106"/>
      <c r="C146" s="70"/>
      <c r="D146" s="155" t="s">
        <v>506</v>
      </c>
      <c r="E146" s="176" t="s">
        <v>507</v>
      </c>
      <c r="F146" s="157" t="str">
        <f ca="1">IFERROR(__xludf.DUMMYFUNCTION("INDEX(SPLIT(E146,""/""),,COUNTA(SPLIT(E146,""/"")))"),"1745064458588766229")</f>
        <v>1745064458588766229</v>
      </c>
      <c r="G146" s="171" t="s">
        <v>505</v>
      </c>
      <c r="H146" s="106" t="s">
        <v>80</v>
      </c>
      <c r="I146" s="106"/>
      <c r="J146" s="106"/>
      <c r="K146" s="106"/>
      <c r="L146" s="159"/>
      <c r="M146" s="76"/>
      <c r="N146" s="76"/>
      <c r="O146" s="76"/>
      <c r="P146" s="76"/>
      <c r="Q146" s="76"/>
      <c r="R146" s="76"/>
      <c r="S146" s="76"/>
      <c r="T146" s="76"/>
      <c r="U146" s="76"/>
      <c r="V146" s="162"/>
      <c r="W146" s="159"/>
      <c r="X146" s="76"/>
      <c r="Y146" s="76"/>
      <c r="Z146" s="76"/>
      <c r="AA146" s="76"/>
      <c r="AB146" s="76"/>
      <c r="AC146" s="76"/>
      <c r="AD146" s="76"/>
      <c r="AE146" s="76"/>
      <c r="AF146" s="76"/>
      <c r="AG146" s="76"/>
    </row>
    <row r="147" spans="1:33" ht="14">
      <c r="A147" s="106"/>
      <c r="B147" s="106"/>
      <c r="C147" s="70"/>
      <c r="D147" s="155" t="s">
        <v>508</v>
      </c>
      <c r="E147" s="176" t="s">
        <v>509</v>
      </c>
      <c r="F147" s="157" t="str">
        <f ca="1">IFERROR(__xludf.DUMMYFUNCTION("INDEX(SPLIT(E147,""/""),,COUNTA(SPLIT(E147,""/"")))"),"1744758278507106585")</f>
        <v>1744758278507106585</v>
      </c>
      <c r="G147" s="70" t="s">
        <v>510</v>
      </c>
      <c r="H147" s="106" t="s">
        <v>80</v>
      </c>
      <c r="I147" s="106"/>
      <c r="J147" s="106"/>
      <c r="K147" s="106"/>
      <c r="L147" s="159"/>
      <c r="M147" s="76"/>
      <c r="N147" s="76"/>
      <c r="O147" s="76"/>
      <c r="P147" s="76"/>
      <c r="Q147" s="76"/>
      <c r="R147" s="76"/>
      <c r="S147" s="76"/>
      <c r="T147" s="76"/>
      <c r="U147" s="76"/>
      <c r="V147" s="162"/>
      <c r="W147" s="159"/>
      <c r="X147" s="76"/>
      <c r="Y147" s="76"/>
      <c r="Z147" s="76"/>
      <c r="AA147" s="76"/>
      <c r="AB147" s="76"/>
      <c r="AC147" s="76"/>
      <c r="AD147" s="76"/>
      <c r="AE147" s="76"/>
      <c r="AF147" s="76"/>
      <c r="AG147" s="76"/>
    </row>
    <row r="148" spans="1:33" ht="14">
      <c r="A148" s="106"/>
      <c r="B148" s="106"/>
      <c r="C148" s="70"/>
      <c r="D148" s="155" t="s">
        <v>511</v>
      </c>
      <c r="E148" s="176" t="s">
        <v>483</v>
      </c>
      <c r="F148" s="157" t="str">
        <f ca="1">IFERROR(__xludf.DUMMYFUNCTION("INDEX(SPLIT(E148,""/""),,COUNTA(SPLIT(E148,""/"")))"),"1712775737256640725")</f>
        <v>1712775737256640725</v>
      </c>
      <c r="G148" s="185" t="s">
        <v>399</v>
      </c>
      <c r="H148" s="106" t="s">
        <v>80</v>
      </c>
      <c r="I148" s="106"/>
      <c r="J148" s="106"/>
      <c r="K148" s="106"/>
      <c r="L148" s="159"/>
      <c r="M148" s="76"/>
      <c r="N148" s="76"/>
      <c r="O148" s="76"/>
      <c r="P148" s="76"/>
      <c r="Q148" s="76"/>
      <c r="R148" s="76"/>
      <c r="S148" s="76"/>
      <c r="T148" s="76"/>
      <c r="U148" s="76"/>
      <c r="V148" s="162"/>
      <c r="W148" s="159"/>
      <c r="X148" s="76"/>
      <c r="Y148" s="76"/>
      <c r="Z148" s="76"/>
      <c r="AA148" s="76"/>
      <c r="AB148" s="76"/>
      <c r="AC148" s="76"/>
      <c r="AD148" s="76"/>
      <c r="AE148" s="76"/>
      <c r="AF148" s="76"/>
      <c r="AG148" s="76"/>
    </row>
    <row r="149" spans="1:33" ht="14">
      <c r="A149" s="106"/>
      <c r="B149" s="106"/>
      <c r="C149" s="70"/>
      <c r="D149" s="155" t="s">
        <v>512</v>
      </c>
      <c r="E149" s="174" t="s">
        <v>513</v>
      </c>
      <c r="F149" s="157" t="str">
        <f ca="1">IFERROR(__xludf.DUMMYFUNCTION("INDEX(SPLIT(E149,""/""),,COUNTA(SPLIT(E149,""/"")))"),"1745350865681080380")</f>
        <v>1745350865681080380</v>
      </c>
      <c r="G149" s="171" t="s">
        <v>505</v>
      </c>
      <c r="H149" s="106" t="s">
        <v>80</v>
      </c>
      <c r="I149" s="106"/>
      <c r="J149" s="106"/>
      <c r="K149" s="106"/>
      <c r="L149" s="159"/>
      <c r="M149" s="76"/>
      <c r="N149" s="76"/>
      <c r="O149" s="76"/>
      <c r="P149" s="76"/>
      <c r="Q149" s="76"/>
      <c r="R149" s="76"/>
      <c r="S149" s="76"/>
      <c r="T149" s="76"/>
      <c r="U149" s="76"/>
      <c r="V149" s="162"/>
      <c r="W149" s="159"/>
      <c r="X149" s="76"/>
      <c r="Y149" s="76"/>
      <c r="Z149" s="76"/>
      <c r="AA149" s="76"/>
      <c r="AB149" s="76"/>
      <c r="AC149" s="76"/>
      <c r="AD149" s="76"/>
      <c r="AE149" s="76"/>
      <c r="AF149" s="76"/>
      <c r="AG149" s="76"/>
    </row>
    <row r="150" spans="1:33" ht="14">
      <c r="A150" s="106"/>
      <c r="B150" s="106"/>
      <c r="C150" s="70"/>
      <c r="D150" s="155" t="s">
        <v>514</v>
      </c>
      <c r="E150" s="176" t="s">
        <v>515</v>
      </c>
      <c r="F150" s="157" t="str">
        <f ca="1">IFERROR(__xludf.DUMMYFUNCTION("INDEX(SPLIT(E150,""/""),,COUNTA(SPLIT(E150,""/"")))"),"1745182457639424159")</f>
        <v>1745182457639424159</v>
      </c>
      <c r="G150" s="171" t="s">
        <v>505</v>
      </c>
      <c r="H150" s="106" t="s">
        <v>80</v>
      </c>
      <c r="I150" s="106"/>
      <c r="J150" s="106"/>
      <c r="K150" s="106"/>
      <c r="L150" s="159"/>
      <c r="M150" s="76"/>
      <c r="N150" s="76"/>
      <c r="O150" s="76"/>
      <c r="P150" s="76"/>
      <c r="Q150" s="76"/>
      <c r="R150" s="76"/>
      <c r="S150" s="76"/>
      <c r="T150" s="76"/>
      <c r="U150" s="76"/>
      <c r="V150" s="162"/>
      <c r="W150" s="159"/>
      <c r="X150" s="76"/>
      <c r="Y150" s="76"/>
      <c r="Z150" s="76"/>
      <c r="AA150" s="76"/>
      <c r="AB150" s="76"/>
      <c r="AC150" s="76"/>
      <c r="AD150" s="76"/>
      <c r="AE150" s="76"/>
      <c r="AF150" s="76"/>
      <c r="AG150" s="76"/>
    </row>
    <row r="151" spans="1:33" ht="14">
      <c r="A151" s="106"/>
      <c r="B151" s="106"/>
      <c r="C151" s="70"/>
      <c r="D151" s="155" t="s">
        <v>516</v>
      </c>
      <c r="E151" s="176" t="s">
        <v>517</v>
      </c>
      <c r="F151" s="157" t="str">
        <f ca="1">IFERROR(__xludf.DUMMYFUNCTION("INDEX(SPLIT(E151,""/""),,COUNTA(SPLIT(E151,""/"")))"),"1745099859277795401")</f>
        <v>1745099859277795401</v>
      </c>
      <c r="G151" s="171" t="s">
        <v>505</v>
      </c>
      <c r="H151" s="106" t="s">
        <v>80</v>
      </c>
      <c r="I151" s="106"/>
      <c r="J151" s="106"/>
      <c r="K151" s="106"/>
      <c r="L151" s="159"/>
      <c r="M151" s="76"/>
      <c r="N151" s="76"/>
      <c r="O151" s="76"/>
      <c r="P151" s="76"/>
      <c r="Q151" s="76"/>
      <c r="R151" s="76"/>
      <c r="S151" s="76"/>
      <c r="T151" s="76"/>
      <c r="U151" s="76"/>
      <c r="V151" s="162"/>
      <c r="W151" s="159"/>
      <c r="X151" s="76"/>
      <c r="Y151" s="76"/>
      <c r="Z151" s="76"/>
      <c r="AA151" s="76"/>
      <c r="AB151" s="76"/>
      <c r="AC151" s="76"/>
      <c r="AD151" s="76"/>
      <c r="AE151" s="76"/>
      <c r="AF151" s="76"/>
      <c r="AG151" s="76"/>
    </row>
    <row r="152" spans="1:33" ht="14">
      <c r="A152" s="106"/>
      <c r="B152" s="106"/>
      <c r="C152" s="70"/>
      <c r="D152" s="155" t="s">
        <v>518</v>
      </c>
      <c r="E152" s="176" t="s">
        <v>519</v>
      </c>
      <c r="F152" s="157" t="str">
        <f ca="1">IFERROR(__xludf.DUMMYFUNCTION("INDEX(SPLIT(E152,""/""),,COUNTA(SPLIT(E152,""/"")))"),"1744630302352547902")</f>
        <v>1744630302352547902</v>
      </c>
      <c r="G152" s="70" t="s">
        <v>520</v>
      </c>
      <c r="H152" s="106" t="s">
        <v>80</v>
      </c>
      <c r="I152" s="106"/>
      <c r="J152" s="106"/>
      <c r="K152" s="106"/>
      <c r="L152" s="159"/>
      <c r="M152" s="76"/>
      <c r="N152" s="76"/>
      <c r="O152" s="76"/>
      <c r="P152" s="76"/>
      <c r="Q152" s="76"/>
      <c r="R152" s="76"/>
      <c r="S152" s="76"/>
      <c r="T152" s="76"/>
      <c r="U152" s="76"/>
      <c r="V152" s="162"/>
      <c r="W152" s="159"/>
      <c r="X152" s="76"/>
      <c r="Y152" s="76"/>
      <c r="Z152" s="76"/>
      <c r="AA152" s="76"/>
      <c r="AB152" s="76"/>
      <c r="AC152" s="76"/>
      <c r="AD152" s="76"/>
      <c r="AE152" s="76"/>
      <c r="AF152" s="76"/>
      <c r="AG152" s="76"/>
    </row>
    <row r="153" spans="1:33" ht="14">
      <c r="A153" s="106"/>
      <c r="B153" s="106"/>
      <c r="C153" s="70"/>
      <c r="D153" s="155" t="s">
        <v>521</v>
      </c>
      <c r="E153" s="176" t="s">
        <v>522</v>
      </c>
      <c r="F153" s="157" t="str">
        <f ca="1">IFERROR(__xludf.DUMMYFUNCTION("INDEX(SPLIT(E153,""/""),,COUNTA(SPLIT(E153,""/"")))"),"1744816128583479704")</f>
        <v>1744816128583479704</v>
      </c>
      <c r="G153" s="171" t="s">
        <v>505</v>
      </c>
      <c r="H153" s="106" t="s">
        <v>80</v>
      </c>
      <c r="I153" s="106"/>
      <c r="J153" s="106"/>
      <c r="K153" s="106"/>
      <c r="L153" s="159"/>
      <c r="M153" s="76"/>
      <c r="N153" s="76"/>
      <c r="O153" s="76"/>
      <c r="P153" s="76"/>
      <c r="Q153" s="76"/>
      <c r="R153" s="76"/>
      <c r="S153" s="76"/>
      <c r="T153" s="76"/>
      <c r="U153" s="76"/>
      <c r="V153" s="162"/>
      <c r="W153" s="159"/>
      <c r="X153" s="76"/>
      <c r="Y153" s="76"/>
      <c r="Z153" s="76"/>
      <c r="AA153" s="76"/>
      <c r="AB153" s="76"/>
      <c r="AC153" s="76"/>
      <c r="AD153" s="76"/>
      <c r="AE153" s="76"/>
      <c r="AF153" s="76"/>
      <c r="AG153" s="76"/>
    </row>
    <row r="154" spans="1:33" ht="14">
      <c r="A154" s="106"/>
      <c r="B154" s="106"/>
      <c r="C154" s="70"/>
      <c r="D154" s="155" t="s">
        <v>523</v>
      </c>
      <c r="E154" s="176" t="s">
        <v>524</v>
      </c>
      <c r="F154" s="157" t="str">
        <f ca="1">IFERROR(__xludf.DUMMYFUNCTION("INDEX(SPLIT(E154,""/""),,COUNTA(SPLIT(E154,""/"")))"),"1711831307351724166")</f>
        <v>1711831307351724166</v>
      </c>
      <c r="G154" s="171" t="s">
        <v>396</v>
      </c>
      <c r="H154" s="106" t="s">
        <v>80</v>
      </c>
      <c r="I154" s="106"/>
      <c r="J154" s="106"/>
      <c r="K154" s="106"/>
      <c r="L154" s="159"/>
      <c r="M154" s="76"/>
      <c r="N154" s="76"/>
      <c r="O154" s="76"/>
      <c r="P154" s="76"/>
      <c r="Q154" s="76"/>
      <c r="R154" s="76"/>
      <c r="S154" s="76"/>
      <c r="T154" s="76"/>
      <c r="U154" s="76"/>
      <c r="V154" s="162"/>
      <c r="W154" s="159"/>
      <c r="X154" s="76"/>
      <c r="Y154" s="76"/>
      <c r="Z154" s="76"/>
      <c r="AA154" s="76"/>
      <c r="AB154" s="76"/>
      <c r="AC154" s="76"/>
      <c r="AD154" s="76"/>
      <c r="AE154" s="76"/>
      <c r="AF154" s="76"/>
      <c r="AG154" s="76"/>
    </row>
    <row r="155" spans="1:33" ht="14">
      <c r="A155" s="106"/>
      <c r="B155" s="106"/>
      <c r="C155" s="70"/>
      <c r="D155" s="155" t="s">
        <v>525</v>
      </c>
      <c r="E155" s="176" t="s">
        <v>526</v>
      </c>
      <c r="F155" s="157" t="str">
        <f ca="1">IFERROR(__xludf.DUMMYFUNCTION("INDEX(SPLIT(E155,""/""),,COUNTA(SPLIT(E155,""/"")))"),"1711329534786654668")</f>
        <v>1711329534786654668</v>
      </c>
      <c r="G155" s="171" t="s">
        <v>396</v>
      </c>
      <c r="H155" s="106" t="s">
        <v>80</v>
      </c>
      <c r="I155" s="106"/>
      <c r="J155" s="106"/>
      <c r="K155" s="106"/>
      <c r="L155" s="159"/>
      <c r="M155" s="76"/>
      <c r="N155" s="76"/>
      <c r="O155" s="76"/>
      <c r="P155" s="76"/>
      <c r="Q155" s="76"/>
      <c r="R155" s="76"/>
      <c r="S155" s="76"/>
      <c r="T155" s="76"/>
      <c r="U155" s="76"/>
      <c r="V155" s="162"/>
      <c r="W155" s="159"/>
      <c r="X155" s="76"/>
      <c r="Y155" s="76"/>
      <c r="Z155" s="76"/>
      <c r="AA155" s="76"/>
      <c r="AB155" s="76"/>
      <c r="AC155" s="76"/>
      <c r="AD155" s="76"/>
      <c r="AE155" s="76"/>
      <c r="AF155" s="76"/>
      <c r="AG155" s="76"/>
    </row>
    <row r="156" spans="1:33" ht="14">
      <c r="A156" s="106"/>
      <c r="B156" s="106"/>
      <c r="C156" s="70"/>
      <c r="D156" s="155" t="s">
        <v>527</v>
      </c>
      <c r="E156" s="176" t="s">
        <v>528</v>
      </c>
      <c r="F156" s="157" t="str">
        <f ca="1">IFERROR(__xludf.DUMMYFUNCTION("INDEX(SPLIT(E156,""/""),,COUNTA(SPLIT(E156,""/"")))"),"1710550777037488240")</f>
        <v>1710550777037488240</v>
      </c>
      <c r="G156" s="171" t="s">
        <v>399</v>
      </c>
      <c r="H156" s="106" t="s">
        <v>80</v>
      </c>
      <c r="I156" s="106"/>
      <c r="J156" s="106"/>
      <c r="K156" s="106"/>
      <c r="L156" s="159"/>
      <c r="M156" s="76"/>
      <c r="N156" s="76"/>
      <c r="O156" s="76"/>
      <c r="P156" s="76"/>
      <c r="Q156" s="76"/>
      <c r="R156" s="76"/>
      <c r="S156" s="76"/>
      <c r="T156" s="76"/>
      <c r="U156" s="76"/>
      <c r="V156" s="162"/>
      <c r="W156" s="159"/>
      <c r="X156" s="76"/>
      <c r="Y156" s="76"/>
      <c r="Z156" s="76"/>
      <c r="AA156" s="76"/>
      <c r="AB156" s="76"/>
      <c r="AC156" s="76"/>
      <c r="AD156" s="76"/>
      <c r="AE156" s="76"/>
      <c r="AF156" s="76"/>
      <c r="AG156" s="76"/>
    </row>
    <row r="157" spans="1:33" ht="14">
      <c r="A157" s="106"/>
      <c r="B157" s="106"/>
      <c r="C157" s="70"/>
      <c r="D157" s="155" t="s">
        <v>529</v>
      </c>
      <c r="E157" s="176" t="s">
        <v>530</v>
      </c>
      <c r="F157" s="157" t="str">
        <f ca="1">IFERROR(__xludf.DUMMYFUNCTION("INDEX(SPLIT(E157,""/""),,COUNTA(SPLIT(E157,""/"")))"),"1743272912914685982")</f>
        <v>1743272912914685982</v>
      </c>
      <c r="G157" s="70" t="s">
        <v>531</v>
      </c>
      <c r="H157" s="106" t="s">
        <v>80</v>
      </c>
      <c r="I157" s="106"/>
      <c r="J157" s="106"/>
      <c r="K157" s="106"/>
      <c r="L157" s="159"/>
      <c r="M157" s="76"/>
      <c r="N157" s="76"/>
      <c r="O157" s="76"/>
      <c r="P157" s="76"/>
      <c r="Q157" s="76"/>
      <c r="R157" s="76"/>
      <c r="S157" s="76"/>
      <c r="T157" s="76"/>
      <c r="U157" s="76"/>
      <c r="V157" s="162"/>
      <c r="W157" s="159"/>
      <c r="X157" s="76"/>
      <c r="Y157" s="76"/>
      <c r="Z157" s="76"/>
      <c r="AA157" s="76"/>
      <c r="AB157" s="76"/>
      <c r="AC157" s="76"/>
      <c r="AD157" s="76"/>
      <c r="AE157" s="76"/>
      <c r="AF157" s="76"/>
      <c r="AG157" s="76"/>
    </row>
    <row r="158" spans="1:33" ht="14">
      <c r="A158" s="106"/>
      <c r="B158" s="106"/>
      <c r="C158" s="70"/>
      <c r="D158" s="155" t="s">
        <v>532</v>
      </c>
      <c r="E158" s="176" t="s">
        <v>533</v>
      </c>
      <c r="F158" s="157" t="str">
        <f ca="1">IFERROR(__xludf.DUMMYFUNCTION("INDEX(SPLIT(E158,""/""),,COUNTA(SPLIT(E158,""/"")))"),"1744032110803919272")</f>
        <v>1744032110803919272</v>
      </c>
      <c r="G158" s="70" t="s">
        <v>534</v>
      </c>
      <c r="H158" s="106" t="s">
        <v>80</v>
      </c>
      <c r="I158" s="106"/>
      <c r="J158" s="106"/>
      <c r="K158" s="106"/>
      <c r="L158" s="159"/>
      <c r="M158" s="76"/>
      <c r="N158" s="76"/>
      <c r="O158" s="76"/>
      <c r="P158" s="76"/>
      <c r="Q158" s="76"/>
      <c r="R158" s="76"/>
      <c r="S158" s="76"/>
      <c r="T158" s="76"/>
      <c r="U158" s="76"/>
      <c r="V158" s="162"/>
      <c r="W158" s="159"/>
      <c r="X158" s="76"/>
      <c r="Y158" s="76"/>
      <c r="Z158" s="76"/>
      <c r="AA158" s="76"/>
      <c r="AB158" s="76"/>
      <c r="AC158" s="76"/>
      <c r="AD158" s="76"/>
      <c r="AE158" s="76"/>
      <c r="AF158" s="76"/>
      <c r="AG158" s="76"/>
    </row>
    <row r="159" spans="1:33" ht="14">
      <c r="A159" s="106"/>
      <c r="B159" s="106"/>
      <c r="C159" s="70"/>
      <c r="D159" s="155" t="s">
        <v>535</v>
      </c>
      <c r="E159" s="174" t="s">
        <v>536</v>
      </c>
      <c r="F159" s="157" t="str">
        <f ca="1">IFERROR(__xludf.DUMMYFUNCTION("INDEX(SPLIT(E159,""/""),,COUNTA(SPLIT(E159,""/"")))"),"1743658475110969829")</f>
        <v>1743658475110969829</v>
      </c>
      <c r="G159" s="70" t="s">
        <v>537</v>
      </c>
      <c r="H159" s="106" t="s">
        <v>80</v>
      </c>
      <c r="I159" s="106"/>
      <c r="J159" s="106"/>
      <c r="K159" s="106"/>
      <c r="L159" s="159"/>
      <c r="M159" s="76"/>
      <c r="N159" s="76"/>
      <c r="O159" s="76"/>
      <c r="P159" s="76"/>
      <c r="Q159" s="76"/>
      <c r="R159" s="76"/>
      <c r="S159" s="76"/>
      <c r="T159" s="76"/>
      <c r="U159" s="76"/>
      <c r="V159" s="162"/>
      <c r="W159" s="159"/>
      <c r="X159" s="76"/>
      <c r="Y159" s="76"/>
      <c r="Z159" s="76"/>
      <c r="AA159" s="76"/>
      <c r="AB159" s="76"/>
      <c r="AC159" s="76"/>
      <c r="AD159" s="76"/>
      <c r="AE159" s="76"/>
      <c r="AF159" s="76"/>
      <c r="AG159" s="76"/>
    </row>
    <row r="160" spans="1:33" ht="14">
      <c r="A160" s="106"/>
      <c r="B160" s="106"/>
      <c r="C160" s="70"/>
      <c r="D160" s="155" t="s">
        <v>538</v>
      </c>
      <c r="E160" s="176" t="s">
        <v>539</v>
      </c>
      <c r="F160" s="157" t="str">
        <f ca="1">IFERROR(__xludf.DUMMYFUNCTION("INDEX(SPLIT(E160,""/""),,COUNTA(SPLIT(E160,""/"")))"),"1744611681056051268")</f>
        <v>1744611681056051268</v>
      </c>
      <c r="G160" s="171" t="s">
        <v>505</v>
      </c>
      <c r="H160" s="106" t="s">
        <v>80</v>
      </c>
      <c r="I160" s="106"/>
      <c r="J160" s="106"/>
      <c r="K160" s="106"/>
      <c r="L160" s="159"/>
      <c r="M160" s="76"/>
      <c r="N160" s="76"/>
      <c r="O160" s="76"/>
      <c r="P160" s="76"/>
      <c r="Q160" s="76"/>
      <c r="R160" s="76"/>
      <c r="S160" s="76"/>
      <c r="T160" s="76"/>
      <c r="U160" s="76"/>
      <c r="V160" s="162"/>
      <c r="W160" s="159"/>
      <c r="X160" s="76"/>
      <c r="Y160" s="76"/>
      <c r="Z160" s="76"/>
      <c r="AA160" s="76"/>
      <c r="AB160" s="76"/>
      <c r="AC160" s="76"/>
      <c r="AD160" s="76"/>
      <c r="AE160" s="76"/>
      <c r="AF160" s="76"/>
      <c r="AG160" s="76"/>
    </row>
    <row r="161" spans="1:33" ht="14">
      <c r="A161" s="106"/>
      <c r="B161" s="106"/>
      <c r="C161" s="70"/>
      <c r="D161" s="155" t="s">
        <v>540</v>
      </c>
      <c r="E161" s="176" t="s">
        <v>541</v>
      </c>
      <c r="F161" s="157" t="str">
        <f ca="1">IFERROR(__xludf.DUMMYFUNCTION("INDEX(SPLIT(E161,""/""),,COUNTA(SPLIT(E161,""/"")))"),"1744450386126094710")</f>
        <v>1744450386126094710</v>
      </c>
      <c r="G161" s="171" t="s">
        <v>505</v>
      </c>
      <c r="H161" s="106" t="s">
        <v>80</v>
      </c>
      <c r="I161" s="106"/>
      <c r="J161" s="106"/>
      <c r="K161" s="106"/>
      <c r="L161" s="159"/>
      <c r="M161" s="76"/>
      <c r="N161" s="76"/>
      <c r="O161" s="76"/>
      <c r="P161" s="76"/>
      <c r="Q161" s="76"/>
      <c r="R161" s="76"/>
      <c r="S161" s="76"/>
      <c r="T161" s="76"/>
      <c r="U161" s="76"/>
      <c r="V161" s="162"/>
      <c r="W161" s="159"/>
      <c r="X161" s="76"/>
      <c r="Y161" s="76"/>
      <c r="Z161" s="76"/>
      <c r="AA161" s="76"/>
      <c r="AB161" s="76"/>
      <c r="AC161" s="76"/>
      <c r="AD161" s="76"/>
      <c r="AE161" s="76"/>
      <c r="AF161" s="76"/>
      <c r="AG161" s="76"/>
    </row>
    <row r="162" spans="1:33" ht="14">
      <c r="A162" s="106"/>
      <c r="B162" s="106"/>
      <c r="C162" s="70"/>
      <c r="D162" s="155" t="s">
        <v>542</v>
      </c>
      <c r="E162" s="174" t="s">
        <v>543</v>
      </c>
      <c r="F162" s="157" t="str">
        <f ca="1">IFERROR(__xludf.DUMMYFUNCTION("INDEX(SPLIT(E162,""/""),,COUNTA(SPLIT(E162,""/"")))"),"1744446661307314590")</f>
        <v>1744446661307314590</v>
      </c>
      <c r="G162" s="171" t="s">
        <v>505</v>
      </c>
      <c r="H162" s="106" t="s">
        <v>80</v>
      </c>
      <c r="I162" s="106"/>
      <c r="J162" s="106"/>
      <c r="K162" s="106"/>
      <c r="L162" s="159"/>
      <c r="M162" s="76"/>
      <c r="N162" s="76"/>
      <c r="O162" s="76"/>
      <c r="P162" s="76"/>
      <c r="Q162" s="76"/>
      <c r="R162" s="76"/>
      <c r="S162" s="76"/>
      <c r="T162" s="76"/>
      <c r="U162" s="76"/>
      <c r="V162" s="162"/>
      <c r="W162" s="159"/>
      <c r="X162" s="76"/>
      <c r="Y162" s="76"/>
      <c r="Z162" s="76"/>
      <c r="AA162" s="76"/>
      <c r="AB162" s="76"/>
      <c r="AC162" s="76"/>
      <c r="AD162" s="76"/>
      <c r="AE162" s="76"/>
      <c r="AF162" s="76"/>
      <c r="AG162" s="76"/>
    </row>
    <row r="163" spans="1:33" ht="14">
      <c r="A163" s="106"/>
      <c r="B163" s="106"/>
      <c r="C163" s="70"/>
      <c r="D163" s="155" t="s">
        <v>544</v>
      </c>
      <c r="E163" s="174" t="s">
        <v>545</v>
      </c>
      <c r="F163" s="157" t="str">
        <f ca="1">IFERROR(__xludf.DUMMYFUNCTION("INDEX(SPLIT(E163,""/""),,COUNTA(SPLIT(E163,""/"")))"),"1741532032323277222")</f>
        <v>1741532032323277222</v>
      </c>
      <c r="G163" s="171" t="s">
        <v>546</v>
      </c>
      <c r="H163" s="106" t="s">
        <v>80</v>
      </c>
      <c r="I163" s="106"/>
      <c r="J163" s="106"/>
      <c r="K163" s="106"/>
      <c r="L163" s="159"/>
      <c r="M163" s="76"/>
      <c r="N163" s="76"/>
      <c r="O163" s="76"/>
      <c r="P163" s="76"/>
      <c r="Q163" s="76"/>
      <c r="R163" s="76"/>
      <c r="S163" s="76"/>
      <c r="T163" s="76"/>
      <c r="U163" s="76"/>
      <c r="V163" s="162"/>
      <c r="W163" s="159"/>
      <c r="X163" s="76"/>
      <c r="Y163" s="76"/>
      <c r="Z163" s="76"/>
      <c r="AA163" s="76"/>
      <c r="AB163" s="76"/>
      <c r="AC163" s="76"/>
      <c r="AD163" s="76"/>
      <c r="AE163" s="76"/>
      <c r="AF163" s="76"/>
      <c r="AG163" s="76"/>
    </row>
    <row r="164" spans="1:33" ht="14">
      <c r="A164" s="106"/>
      <c r="B164" s="106"/>
      <c r="C164" s="70"/>
      <c r="D164" s="155" t="s">
        <v>547</v>
      </c>
      <c r="E164" s="174" t="s">
        <v>548</v>
      </c>
      <c r="F164" s="157" t="str">
        <f ca="1">IFERROR(__xludf.DUMMYFUNCTION("INDEX(SPLIT(E164,""/""),,COUNTA(SPLIT(E164,""/"")))"),"1744283969011544397")</f>
        <v>1744283969011544397</v>
      </c>
      <c r="G164" s="171" t="s">
        <v>505</v>
      </c>
      <c r="H164" s="106" t="s">
        <v>80</v>
      </c>
      <c r="I164" s="106"/>
      <c r="J164" s="106"/>
      <c r="K164" s="106"/>
      <c r="L164" s="159"/>
      <c r="M164" s="76"/>
      <c r="N164" s="76"/>
      <c r="O164" s="76"/>
      <c r="P164" s="76"/>
      <c r="Q164" s="76"/>
      <c r="R164" s="76"/>
      <c r="S164" s="76"/>
      <c r="T164" s="76"/>
      <c r="U164" s="76"/>
      <c r="V164" s="162"/>
      <c r="W164" s="159"/>
      <c r="X164" s="76"/>
      <c r="Y164" s="76"/>
      <c r="Z164" s="76"/>
      <c r="AA164" s="76"/>
      <c r="AB164" s="76"/>
      <c r="AC164" s="76"/>
      <c r="AD164" s="76"/>
      <c r="AE164" s="76"/>
      <c r="AF164" s="76"/>
      <c r="AG164" s="76"/>
    </row>
    <row r="165" spans="1:33" ht="14">
      <c r="A165" s="106"/>
      <c r="B165" s="106"/>
      <c r="C165" s="70"/>
      <c r="D165" s="155" t="s">
        <v>549</v>
      </c>
      <c r="E165" s="174" t="s">
        <v>550</v>
      </c>
      <c r="F165" s="157" t="str">
        <f ca="1">IFERROR(__xludf.DUMMYFUNCTION("INDEX(SPLIT(E165,""/""),,COUNTA(SPLIT(E165,""/"")))"),"1742755378603909525")</f>
        <v>1742755378603909525</v>
      </c>
      <c r="G165" s="70" t="s">
        <v>422</v>
      </c>
      <c r="H165" s="106" t="s">
        <v>80</v>
      </c>
      <c r="I165" s="106"/>
      <c r="J165" s="106"/>
      <c r="K165" s="106"/>
      <c r="L165" s="159"/>
      <c r="M165" s="76"/>
      <c r="N165" s="76"/>
      <c r="O165" s="76"/>
      <c r="P165" s="76"/>
      <c r="Q165" s="76"/>
      <c r="R165" s="76"/>
      <c r="S165" s="76"/>
      <c r="T165" s="76"/>
      <c r="U165" s="76"/>
      <c r="V165" s="162"/>
      <c r="W165" s="159"/>
      <c r="X165" s="76"/>
      <c r="Y165" s="76"/>
      <c r="Z165" s="76"/>
      <c r="AA165" s="76"/>
      <c r="AB165" s="76"/>
      <c r="AC165" s="76"/>
      <c r="AD165" s="76"/>
      <c r="AE165" s="76"/>
      <c r="AF165" s="76"/>
      <c r="AG165" s="76"/>
    </row>
    <row r="166" spans="1:33" ht="14">
      <c r="A166" s="106"/>
      <c r="B166" s="106"/>
      <c r="C166" s="70"/>
      <c r="D166" s="155" t="s">
        <v>551</v>
      </c>
      <c r="E166" s="176" t="s">
        <v>552</v>
      </c>
      <c r="F166" s="157" t="str">
        <f ca="1">IFERROR(__xludf.DUMMYFUNCTION("INDEX(SPLIT(E166,""/""),,COUNTA(SPLIT(E166,""/"")))"),"1744265184137372081")</f>
        <v>1744265184137372081</v>
      </c>
      <c r="G166" s="171" t="s">
        <v>505</v>
      </c>
      <c r="H166" s="106" t="s">
        <v>80</v>
      </c>
      <c r="I166" s="106"/>
      <c r="J166" s="106"/>
      <c r="K166" s="106"/>
      <c r="L166" s="159"/>
      <c r="M166" s="76"/>
      <c r="N166" s="76"/>
      <c r="O166" s="76"/>
      <c r="P166" s="76"/>
      <c r="Q166" s="76"/>
      <c r="R166" s="76"/>
      <c r="S166" s="76"/>
      <c r="T166" s="76"/>
      <c r="U166" s="76"/>
      <c r="V166" s="162"/>
      <c r="W166" s="159"/>
      <c r="X166" s="76"/>
      <c r="Y166" s="76"/>
      <c r="Z166" s="76"/>
      <c r="AA166" s="76"/>
      <c r="AB166" s="76"/>
      <c r="AC166" s="76"/>
      <c r="AD166" s="76"/>
      <c r="AE166" s="76"/>
      <c r="AF166" s="76"/>
      <c r="AG166" s="76"/>
    </row>
    <row r="167" spans="1:33" ht="14">
      <c r="A167" s="106"/>
      <c r="B167" s="106"/>
      <c r="C167" s="70"/>
      <c r="D167" s="155" t="s">
        <v>553</v>
      </c>
      <c r="E167" s="176" t="s">
        <v>554</v>
      </c>
      <c r="F167" s="157" t="str">
        <f ca="1">IFERROR(__xludf.DUMMYFUNCTION("INDEX(SPLIT(E167,""/""),,COUNTA(SPLIT(E167,""/"")))"),"1743228213579391479")</f>
        <v>1743228213579391479</v>
      </c>
      <c r="G167" s="171" t="s">
        <v>226</v>
      </c>
      <c r="H167" s="106" t="s">
        <v>80</v>
      </c>
      <c r="I167" s="106"/>
      <c r="J167" s="106"/>
      <c r="K167" s="106"/>
      <c r="L167" s="159"/>
      <c r="M167" s="76"/>
      <c r="N167" s="76"/>
      <c r="O167" s="76"/>
      <c r="P167" s="76"/>
      <c r="Q167" s="76"/>
      <c r="R167" s="76"/>
      <c r="S167" s="76"/>
      <c r="T167" s="76"/>
      <c r="U167" s="76"/>
      <c r="V167" s="162"/>
      <c r="W167" s="159"/>
      <c r="X167" s="76"/>
      <c r="Y167" s="76"/>
      <c r="Z167" s="76"/>
      <c r="AA167" s="76"/>
      <c r="AB167" s="76"/>
      <c r="AC167" s="76"/>
      <c r="AD167" s="76"/>
      <c r="AE167" s="76"/>
      <c r="AF167" s="76"/>
      <c r="AG167" s="76"/>
    </row>
    <row r="168" spans="1:33" ht="14">
      <c r="A168" s="106"/>
      <c r="B168" s="106"/>
      <c r="C168" s="70"/>
      <c r="D168" s="155" t="s">
        <v>555</v>
      </c>
      <c r="E168" s="176" t="s">
        <v>556</v>
      </c>
      <c r="F168" s="157" t="str">
        <f ca="1">IFERROR(__xludf.DUMMYFUNCTION("INDEX(SPLIT(E168,""/""),,COUNTA(SPLIT(E168,""/"")))"),"1744257511778119704")</f>
        <v>1744257511778119704</v>
      </c>
      <c r="G168" s="171" t="s">
        <v>505</v>
      </c>
      <c r="H168" s="106" t="s">
        <v>80</v>
      </c>
      <c r="I168" s="106"/>
      <c r="J168" s="106"/>
      <c r="K168" s="106"/>
      <c r="L168" s="159"/>
      <c r="M168" s="76"/>
      <c r="N168" s="76"/>
      <c r="O168" s="76"/>
      <c r="P168" s="76"/>
      <c r="Q168" s="76"/>
      <c r="R168" s="76"/>
      <c r="S168" s="76"/>
      <c r="T168" s="76"/>
      <c r="U168" s="76"/>
      <c r="V168" s="162"/>
      <c r="W168" s="159"/>
      <c r="X168" s="76"/>
      <c r="Y168" s="76"/>
      <c r="Z168" s="76"/>
      <c r="AA168" s="76"/>
      <c r="AB168" s="76"/>
      <c r="AC168" s="76"/>
      <c r="AD168" s="76"/>
      <c r="AE168" s="76"/>
      <c r="AF168" s="76"/>
      <c r="AG168" s="76"/>
    </row>
    <row r="169" spans="1:33" ht="14">
      <c r="A169" s="106"/>
      <c r="B169" s="106"/>
      <c r="C169" s="70"/>
      <c r="D169" s="155" t="s">
        <v>557</v>
      </c>
      <c r="E169" s="174" t="s">
        <v>558</v>
      </c>
      <c r="F169" s="157" t="str">
        <f ca="1">IFERROR(__xludf.DUMMYFUNCTION("INDEX(SPLIT(E169,""/""),,COUNTA(SPLIT(E169,""/"")))"),"1742880753992536272")</f>
        <v>1742880753992536272</v>
      </c>
      <c r="G169" s="70" t="s">
        <v>559</v>
      </c>
      <c r="H169" s="106" t="s">
        <v>80</v>
      </c>
      <c r="I169" s="106"/>
      <c r="J169" s="106"/>
      <c r="K169" s="106"/>
      <c r="L169" s="159"/>
      <c r="M169" s="76"/>
      <c r="N169" s="76"/>
      <c r="O169" s="76"/>
      <c r="P169" s="76"/>
      <c r="Q169" s="76"/>
      <c r="R169" s="76"/>
      <c r="S169" s="76"/>
      <c r="T169" s="76"/>
      <c r="U169" s="76"/>
      <c r="V169" s="162"/>
      <c r="W169" s="159"/>
      <c r="X169" s="76"/>
      <c r="Y169" s="76"/>
      <c r="Z169" s="76"/>
      <c r="AA169" s="76"/>
      <c r="AB169" s="76"/>
      <c r="AC169" s="76"/>
      <c r="AD169" s="76"/>
      <c r="AE169" s="76"/>
      <c r="AF169" s="76"/>
      <c r="AG169" s="76"/>
    </row>
    <row r="170" spans="1:33" ht="14">
      <c r="A170" s="106"/>
      <c r="B170" s="106"/>
      <c r="C170" s="70"/>
      <c r="D170" s="155" t="s">
        <v>560</v>
      </c>
      <c r="E170" s="176" t="s">
        <v>561</v>
      </c>
      <c r="F170" s="157" t="str">
        <f ca="1">IFERROR(__xludf.DUMMYFUNCTION("INDEX(SPLIT(E170,""/""),,COUNTA(SPLIT(E170,""/"")))"),"1744361364208947625")</f>
        <v>1744361364208947625</v>
      </c>
      <c r="G170" s="171" t="s">
        <v>226</v>
      </c>
      <c r="H170" s="106" t="s">
        <v>80</v>
      </c>
      <c r="I170" s="106"/>
      <c r="J170" s="106"/>
      <c r="K170" s="106"/>
      <c r="L170" s="159"/>
      <c r="M170" s="76"/>
      <c r="N170" s="76"/>
      <c r="O170" s="76"/>
      <c r="P170" s="76"/>
      <c r="Q170" s="76"/>
      <c r="R170" s="76"/>
      <c r="S170" s="76"/>
      <c r="T170" s="76"/>
      <c r="U170" s="76"/>
      <c r="V170" s="162"/>
      <c r="W170" s="159"/>
      <c r="X170" s="76"/>
      <c r="Y170" s="76"/>
      <c r="Z170" s="76"/>
      <c r="AA170" s="76"/>
      <c r="AB170" s="76"/>
      <c r="AC170" s="76"/>
      <c r="AD170" s="76"/>
      <c r="AE170" s="76"/>
      <c r="AF170" s="76"/>
      <c r="AG170" s="76"/>
    </row>
    <row r="171" spans="1:33" ht="14">
      <c r="A171" s="106"/>
      <c r="B171" s="106"/>
      <c r="C171" s="70"/>
      <c r="D171" s="155" t="s">
        <v>562</v>
      </c>
      <c r="E171" s="176" t="s">
        <v>563</v>
      </c>
      <c r="F171" s="157" t="str">
        <f ca="1">IFERROR(__xludf.DUMMYFUNCTION("INDEX(SPLIT(E171,""/""),,COUNTA(SPLIT(E171,""/"")))"),"1743981616198750439")</f>
        <v>1743981616198750439</v>
      </c>
      <c r="G171" s="171" t="s">
        <v>226</v>
      </c>
      <c r="H171" s="106" t="s">
        <v>80</v>
      </c>
      <c r="I171" s="106"/>
      <c r="J171" s="106"/>
      <c r="K171" s="106"/>
      <c r="L171" s="159"/>
      <c r="M171" s="76"/>
      <c r="N171" s="76"/>
      <c r="O171" s="76"/>
      <c r="P171" s="76"/>
      <c r="Q171" s="76"/>
      <c r="R171" s="76"/>
      <c r="S171" s="76"/>
      <c r="T171" s="76"/>
      <c r="U171" s="76"/>
      <c r="V171" s="162"/>
      <c r="W171" s="159"/>
      <c r="X171" s="76"/>
      <c r="Y171" s="76"/>
      <c r="Z171" s="76"/>
      <c r="AA171" s="76"/>
      <c r="AB171" s="76"/>
      <c r="AC171" s="76"/>
      <c r="AD171" s="76"/>
      <c r="AE171" s="76"/>
      <c r="AF171" s="76"/>
      <c r="AG171" s="76"/>
    </row>
    <row r="172" spans="1:33" ht="14">
      <c r="A172" s="106"/>
      <c r="B172" s="106"/>
      <c r="C172" s="70"/>
      <c r="D172" s="155" t="s">
        <v>564</v>
      </c>
      <c r="E172" s="176" t="s">
        <v>565</v>
      </c>
      <c r="F172" s="157" t="str">
        <f ca="1">IFERROR(__xludf.DUMMYFUNCTION("INDEX(SPLIT(E172,""/""),,COUNTA(SPLIT(E172,""/"")))"),"1742985407245979951")</f>
        <v>1742985407245979951</v>
      </c>
      <c r="G172" s="171" t="s">
        <v>226</v>
      </c>
      <c r="H172" s="106" t="s">
        <v>80</v>
      </c>
      <c r="I172" s="106"/>
      <c r="J172" s="106"/>
      <c r="K172" s="106"/>
      <c r="L172" s="159"/>
      <c r="M172" s="76"/>
      <c r="N172" s="76"/>
      <c r="O172" s="76"/>
      <c r="P172" s="76"/>
      <c r="Q172" s="76"/>
      <c r="R172" s="76"/>
      <c r="S172" s="76"/>
      <c r="T172" s="76"/>
      <c r="U172" s="76"/>
      <c r="V172" s="162"/>
      <c r="W172" s="159"/>
      <c r="X172" s="76"/>
      <c r="Y172" s="76"/>
      <c r="Z172" s="76"/>
      <c r="AA172" s="76"/>
      <c r="AB172" s="76"/>
      <c r="AC172" s="76"/>
      <c r="AD172" s="76"/>
      <c r="AE172" s="76"/>
      <c r="AF172" s="76"/>
      <c r="AG172" s="76"/>
    </row>
    <row r="173" spans="1:33" ht="14">
      <c r="A173" s="106"/>
      <c r="B173" s="106"/>
      <c r="C173" s="70"/>
      <c r="D173" s="155" t="s">
        <v>566</v>
      </c>
      <c r="E173" s="174" t="s">
        <v>567</v>
      </c>
      <c r="F173" s="157" t="str">
        <f ca="1">IFERROR(__xludf.DUMMYFUNCTION("INDEX(SPLIT(E173,""/""),,COUNTA(SPLIT(E173,""/"")))"),"1742945368168452134")</f>
        <v>1742945368168452134</v>
      </c>
      <c r="G173" s="70" t="s">
        <v>537</v>
      </c>
      <c r="H173" s="106" t="s">
        <v>80</v>
      </c>
      <c r="I173" s="106"/>
      <c r="J173" s="106"/>
      <c r="K173" s="106"/>
      <c r="L173" s="159"/>
      <c r="M173" s="76"/>
      <c r="N173" s="76"/>
      <c r="O173" s="76"/>
      <c r="P173" s="76"/>
      <c r="Q173" s="76"/>
      <c r="R173" s="76"/>
      <c r="S173" s="76"/>
      <c r="T173" s="76"/>
      <c r="U173" s="76"/>
      <c r="V173" s="162"/>
      <c r="W173" s="159"/>
      <c r="X173" s="76"/>
      <c r="Y173" s="76"/>
      <c r="Z173" s="76"/>
      <c r="AA173" s="76"/>
      <c r="AB173" s="76"/>
      <c r="AC173" s="76"/>
      <c r="AD173" s="76"/>
      <c r="AE173" s="76"/>
      <c r="AF173" s="76"/>
      <c r="AG173" s="76"/>
    </row>
    <row r="174" spans="1:33" ht="14">
      <c r="A174" s="106"/>
      <c r="B174" s="106"/>
      <c r="C174" s="70"/>
      <c r="D174" s="155" t="s">
        <v>568</v>
      </c>
      <c r="E174" s="176" t="s">
        <v>569</v>
      </c>
      <c r="F174" s="157" t="str">
        <f ca="1">IFERROR(__xludf.DUMMYFUNCTION("INDEX(SPLIT(E174,""/""),,COUNTA(SPLIT(E174,""/"")))"),"1742497910510538907")</f>
        <v>1742497910510538907</v>
      </c>
      <c r="G174" s="171" t="s">
        <v>226</v>
      </c>
      <c r="H174" s="106" t="s">
        <v>80</v>
      </c>
      <c r="I174" s="106"/>
      <c r="J174" s="106"/>
      <c r="K174" s="106"/>
      <c r="L174" s="159"/>
      <c r="M174" s="76"/>
      <c r="N174" s="76"/>
      <c r="O174" s="76"/>
      <c r="P174" s="76"/>
      <c r="Q174" s="76"/>
      <c r="R174" s="76"/>
      <c r="S174" s="76"/>
      <c r="T174" s="76"/>
      <c r="U174" s="76"/>
      <c r="V174" s="162"/>
      <c r="W174" s="159"/>
      <c r="X174" s="76"/>
      <c r="Y174" s="76"/>
      <c r="Z174" s="76"/>
      <c r="AA174" s="76"/>
      <c r="AB174" s="76"/>
      <c r="AC174" s="76"/>
      <c r="AD174" s="76"/>
      <c r="AE174" s="76"/>
      <c r="AF174" s="76"/>
      <c r="AG174" s="76"/>
    </row>
    <row r="175" spans="1:33" ht="14">
      <c r="A175" s="106"/>
      <c r="B175" s="106"/>
      <c r="C175" s="70"/>
      <c r="D175" s="70"/>
      <c r="E175" s="176" t="s">
        <v>570</v>
      </c>
      <c r="F175" s="157" t="str">
        <f ca="1">IFERROR(__xludf.DUMMYFUNCTION("INDEX(SPLIT(E175,""/""),,COUNTA(SPLIT(E175,""/"")))"),"1742845353622118907")</f>
        <v>1742845353622118907</v>
      </c>
      <c r="G175" s="171" t="s">
        <v>226</v>
      </c>
      <c r="H175" s="106" t="s">
        <v>80</v>
      </c>
      <c r="I175" s="106"/>
      <c r="J175" s="106"/>
      <c r="K175" s="106"/>
      <c r="L175" s="159"/>
      <c r="M175" s="76"/>
      <c r="N175" s="76"/>
      <c r="O175" s="76"/>
      <c r="P175" s="76"/>
      <c r="Q175" s="76"/>
      <c r="R175" s="76"/>
      <c r="S175" s="76"/>
      <c r="T175" s="76"/>
      <c r="U175" s="76"/>
      <c r="V175" s="162"/>
      <c r="W175" s="159"/>
      <c r="X175" s="76"/>
      <c r="Y175" s="76"/>
      <c r="Z175" s="76"/>
      <c r="AA175" s="76"/>
      <c r="AB175" s="76"/>
      <c r="AC175" s="76"/>
      <c r="AD175" s="76"/>
      <c r="AE175" s="76"/>
      <c r="AF175" s="76"/>
      <c r="AG175" s="76"/>
    </row>
    <row r="176" spans="1:33" ht="14">
      <c r="A176" s="106"/>
      <c r="B176" s="106"/>
      <c r="C176" s="70"/>
      <c r="D176" s="70"/>
      <c r="E176" s="176" t="s">
        <v>571</v>
      </c>
      <c r="F176" s="157" t="str">
        <f ca="1">IFERROR(__xludf.DUMMYFUNCTION("INDEX(SPLIT(E176,""/""),,COUNTA(SPLIT(E176,""/"")))"),"1726647206286152004")</f>
        <v>1726647206286152004</v>
      </c>
      <c r="G176" s="171" t="s">
        <v>572</v>
      </c>
      <c r="H176" s="106" t="s">
        <v>80</v>
      </c>
      <c r="I176" s="106"/>
      <c r="J176" s="106"/>
      <c r="K176" s="106"/>
      <c r="L176" s="159"/>
      <c r="M176" s="76"/>
      <c r="N176" s="76"/>
      <c r="O176" s="76"/>
      <c r="P176" s="76"/>
      <c r="Q176" s="76"/>
      <c r="R176" s="76"/>
      <c r="S176" s="76"/>
      <c r="T176" s="76"/>
      <c r="U176" s="76"/>
      <c r="V176" s="162"/>
      <c r="W176" s="159"/>
      <c r="X176" s="76"/>
      <c r="Y176" s="76"/>
      <c r="Z176" s="76"/>
      <c r="AA176" s="76"/>
      <c r="AB176" s="76"/>
      <c r="AC176" s="76"/>
      <c r="AD176" s="76"/>
      <c r="AE176" s="76"/>
      <c r="AF176" s="76"/>
      <c r="AG176" s="76"/>
    </row>
    <row r="177" spans="1:33" ht="14">
      <c r="A177" s="106"/>
      <c r="B177" s="106"/>
      <c r="C177" s="70"/>
      <c r="D177" s="70"/>
      <c r="E177" s="176" t="s">
        <v>573</v>
      </c>
      <c r="F177" s="157" t="str">
        <f ca="1">IFERROR(__xludf.DUMMYFUNCTION("INDEX(SPLIT(E177,""/""),,COUNTA(SPLIT(E177,""/"")))"),"1742102182608945652")</f>
        <v>1742102182608945652</v>
      </c>
      <c r="G177" s="171" t="s">
        <v>226</v>
      </c>
      <c r="H177" s="106" t="s">
        <v>80</v>
      </c>
      <c r="I177" s="106"/>
      <c r="J177" s="106"/>
      <c r="K177" s="106"/>
      <c r="L177" s="159"/>
      <c r="M177" s="76"/>
      <c r="N177" s="76"/>
      <c r="O177" s="76"/>
      <c r="P177" s="76"/>
      <c r="Q177" s="76"/>
      <c r="R177" s="76"/>
      <c r="S177" s="76"/>
      <c r="T177" s="76"/>
      <c r="U177" s="76"/>
      <c r="V177" s="162"/>
      <c r="W177" s="159"/>
      <c r="X177" s="76"/>
      <c r="Y177" s="76"/>
      <c r="Z177" s="76"/>
      <c r="AA177" s="76"/>
      <c r="AB177" s="76"/>
      <c r="AC177" s="76"/>
      <c r="AD177" s="76"/>
      <c r="AE177" s="76"/>
      <c r="AF177" s="76"/>
      <c r="AG177" s="76"/>
    </row>
    <row r="178" spans="1:33" ht="14">
      <c r="A178" s="106"/>
      <c r="B178" s="106"/>
      <c r="C178" s="70"/>
      <c r="D178" s="70"/>
      <c r="E178" s="176" t="s">
        <v>574</v>
      </c>
      <c r="F178" s="157" t="str">
        <f ca="1">IFERROR(__xludf.DUMMYFUNCTION("INDEX(SPLIT(E178,""/""),,COUNTA(SPLIT(E178,""/"")))"),"1742159236807729336")</f>
        <v>1742159236807729336</v>
      </c>
      <c r="G178" s="171" t="s">
        <v>226</v>
      </c>
      <c r="H178" s="106" t="s">
        <v>80</v>
      </c>
      <c r="I178" s="106"/>
      <c r="J178" s="106"/>
      <c r="K178" s="106"/>
      <c r="L178" s="159"/>
      <c r="M178" s="76"/>
      <c r="N178" s="76"/>
      <c r="O178" s="76"/>
      <c r="P178" s="76"/>
      <c r="Q178" s="76"/>
      <c r="R178" s="76"/>
      <c r="S178" s="76"/>
      <c r="T178" s="76"/>
      <c r="U178" s="76"/>
      <c r="V178" s="162"/>
      <c r="W178" s="159"/>
      <c r="X178" s="76"/>
      <c r="Y178" s="76"/>
      <c r="Z178" s="76"/>
      <c r="AA178" s="76"/>
      <c r="AB178" s="76"/>
      <c r="AC178" s="76"/>
      <c r="AD178" s="76"/>
      <c r="AE178" s="76"/>
      <c r="AF178" s="76"/>
      <c r="AG178" s="76"/>
    </row>
    <row r="179" spans="1:33" ht="14">
      <c r="A179" s="106"/>
      <c r="B179" s="106"/>
      <c r="C179" s="70"/>
      <c r="D179" s="70"/>
      <c r="E179" s="176" t="s">
        <v>575</v>
      </c>
      <c r="F179" s="157" t="str">
        <f ca="1">IFERROR(__xludf.DUMMYFUNCTION("INDEX(SPLIT(E179,""/""),,COUNTA(SPLIT(E179,""/"")))"),"1741836278927065587")</f>
        <v>1741836278927065587</v>
      </c>
      <c r="G179" s="171" t="s">
        <v>226</v>
      </c>
      <c r="H179" s="106" t="s">
        <v>80</v>
      </c>
      <c r="I179" s="106"/>
      <c r="J179" s="106"/>
      <c r="K179" s="106"/>
      <c r="L179" s="159"/>
      <c r="M179" s="76"/>
      <c r="N179" s="76"/>
      <c r="O179" s="76"/>
      <c r="P179" s="76"/>
      <c r="Q179" s="76"/>
      <c r="R179" s="76"/>
      <c r="S179" s="76"/>
      <c r="T179" s="76"/>
      <c r="U179" s="76"/>
      <c r="V179" s="162"/>
      <c r="W179" s="159"/>
      <c r="X179" s="76"/>
      <c r="Y179" s="76"/>
      <c r="Z179" s="76"/>
      <c r="AA179" s="76"/>
      <c r="AB179" s="76"/>
      <c r="AC179" s="76"/>
      <c r="AD179" s="76"/>
      <c r="AE179" s="76"/>
      <c r="AF179" s="76"/>
      <c r="AG179" s="76"/>
    </row>
    <row r="180" spans="1:33" ht="14">
      <c r="A180" s="106"/>
      <c r="B180" s="106"/>
      <c r="C180" s="70"/>
      <c r="D180" s="70"/>
      <c r="E180" s="176" t="s">
        <v>576</v>
      </c>
      <c r="F180" s="157" t="str">
        <f ca="1">IFERROR(__xludf.DUMMYFUNCTION("INDEX(SPLIT(E180,""/""),,COUNTA(SPLIT(E180,""/"")))"),"1741447925996143098")</f>
        <v>1741447925996143098</v>
      </c>
      <c r="G180" s="171" t="s">
        <v>226</v>
      </c>
      <c r="H180" s="106" t="s">
        <v>80</v>
      </c>
      <c r="I180" s="106"/>
      <c r="J180" s="106"/>
      <c r="K180" s="106"/>
      <c r="L180" s="159"/>
      <c r="M180" s="76"/>
      <c r="N180" s="76"/>
      <c r="O180" s="76"/>
      <c r="P180" s="76"/>
      <c r="Q180" s="76"/>
      <c r="R180" s="76"/>
      <c r="S180" s="76"/>
      <c r="T180" s="76"/>
      <c r="U180" s="76"/>
      <c r="V180" s="162"/>
      <c r="W180" s="159"/>
      <c r="X180" s="76"/>
      <c r="Y180" s="76"/>
      <c r="Z180" s="76"/>
      <c r="AA180" s="76"/>
      <c r="AB180" s="76"/>
      <c r="AC180" s="76"/>
      <c r="AD180" s="76"/>
      <c r="AE180" s="76"/>
      <c r="AF180" s="76"/>
      <c r="AG180" s="76"/>
    </row>
    <row r="181" spans="1:33" ht="14">
      <c r="A181" s="106"/>
      <c r="B181" s="106"/>
      <c r="C181" s="70"/>
      <c r="D181" s="70"/>
      <c r="E181" s="176" t="s">
        <v>577</v>
      </c>
      <c r="F181" s="157" t="str">
        <f ca="1">IFERROR(__xludf.DUMMYFUNCTION("INDEX(SPLIT(E181,""/""),,COUNTA(SPLIT(E181,""/"")))"),"1740853601516601850")</f>
        <v>1740853601516601850</v>
      </c>
      <c r="G181" s="171" t="s">
        <v>226</v>
      </c>
      <c r="H181" s="106" t="s">
        <v>80</v>
      </c>
      <c r="I181" s="106"/>
      <c r="J181" s="106"/>
      <c r="K181" s="106"/>
      <c r="L181" s="159"/>
      <c r="M181" s="76"/>
      <c r="N181" s="76"/>
      <c r="O181" s="76"/>
      <c r="P181" s="76"/>
      <c r="Q181" s="76"/>
      <c r="R181" s="76"/>
      <c r="S181" s="76"/>
      <c r="T181" s="76"/>
      <c r="U181" s="76"/>
      <c r="V181" s="162"/>
      <c r="W181" s="159"/>
      <c r="X181" s="76"/>
      <c r="Y181" s="76"/>
      <c r="Z181" s="76"/>
      <c r="AA181" s="76"/>
      <c r="AB181" s="76"/>
      <c r="AC181" s="76"/>
      <c r="AD181" s="76"/>
      <c r="AE181" s="76"/>
      <c r="AF181" s="76"/>
      <c r="AG181" s="76"/>
    </row>
    <row r="182" spans="1:33" ht="14">
      <c r="A182" s="106"/>
      <c r="B182" s="106"/>
      <c r="C182" s="70"/>
      <c r="D182" s="70"/>
      <c r="E182" s="176" t="s">
        <v>578</v>
      </c>
      <c r="F182" s="157" t="str">
        <f ca="1">IFERROR(__xludf.DUMMYFUNCTION("INDEX(SPLIT(E182,""/""),,COUNTA(SPLIT(E182,""/"")))"),"1745045539723337867")</f>
        <v>1745045539723337867</v>
      </c>
      <c r="G182" s="171" t="s">
        <v>298</v>
      </c>
      <c r="H182" s="106" t="s">
        <v>80</v>
      </c>
      <c r="I182" s="106"/>
      <c r="J182" s="106"/>
      <c r="K182" s="106"/>
      <c r="L182" s="159"/>
      <c r="M182" s="76"/>
      <c r="N182" s="76"/>
      <c r="O182" s="76"/>
      <c r="P182" s="76"/>
      <c r="Q182" s="76"/>
      <c r="R182" s="76"/>
      <c r="S182" s="76"/>
      <c r="T182" s="76"/>
      <c r="U182" s="76"/>
      <c r="V182" s="162"/>
      <c r="W182" s="159"/>
      <c r="X182" s="76"/>
      <c r="Y182" s="76"/>
      <c r="Z182" s="76"/>
      <c r="AA182" s="76"/>
      <c r="AB182" s="76"/>
      <c r="AC182" s="76"/>
      <c r="AD182" s="76"/>
      <c r="AE182" s="76"/>
      <c r="AF182" s="76"/>
      <c r="AG182" s="76"/>
    </row>
    <row r="183" spans="1:33" ht="14">
      <c r="A183" s="106"/>
      <c r="B183" s="106"/>
      <c r="C183" s="70"/>
      <c r="D183" s="70"/>
      <c r="E183" s="176" t="s">
        <v>579</v>
      </c>
      <c r="F183" s="157" t="str">
        <f ca="1">IFERROR(__xludf.DUMMYFUNCTION("INDEX(SPLIT(E183,""/""),,COUNTA(SPLIT(E183,""/"")))"),"1717536728007717333")</f>
        <v>1717536728007717333</v>
      </c>
      <c r="G183" s="171" t="s">
        <v>580</v>
      </c>
      <c r="H183" s="106" t="s">
        <v>80</v>
      </c>
      <c r="I183" s="106"/>
      <c r="J183" s="106"/>
      <c r="K183" s="106"/>
      <c r="L183" s="159"/>
      <c r="M183" s="76"/>
      <c r="N183" s="76"/>
      <c r="O183" s="76"/>
      <c r="P183" s="76"/>
      <c r="Q183" s="76"/>
      <c r="R183" s="76"/>
      <c r="S183" s="76"/>
      <c r="T183" s="76"/>
      <c r="U183" s="76"/>
      <c r="V183" s="162"/>
      <c r="W183" s="159"/>
      <c r="X183" s="76"/>
      <c r="Y183" s="76"/>
      <c r="Z183" s="76"/>
      <c r="AA183" s="76"/>
      <c r="AB183" s="76"/>
      <c r="AC183" s="76"/>
      <c r="AD183" s="76"/>
      <c r="AE183" s="76"/>
      <c r="AF183" s="76"/>
      <c r="AG183" s="76"/>
    </row>
    <row r="184" spans="1:33" ht="14">
      <c r="A184" s="106"/>
      <c r="B184" s="106"/>
      <c r="C184" s="70"/>
      <c r="D184" s="70"/>
      <c r="E184" s="176" t="s">
        <v>581</v>
      </c>
      <c r="F184" s="157" t="str">
        <f ca="1">IFERROR(__xludf.DUMMYFUNCTION("INDEX(SPLIT(E184,""/""),,COUNTA(SPLIT(E184,""/"")))"),"1716785530388488443")</f>
        <v>1716785530388488443</v>
      </c>
      <c r="G184" s="171" t="s">
        <v>582</v>
      </c>
      <c r="H184" s="106" t="s">
        <v>80</v>
      </c>
      <c r="I184" s="106"/>
      <c r="J184" s="106"/>
      <c r="K184" s="106"/>
      <c r="L184" s="159"/>
      <c r="M184" s="76"/>
      <c r="N184" s="76"/>
      <c r="O184" s="76"/>
      <c r="P184" s="76"/>
      <c r="Q184" s="76"/>
      <c r="R184" s="76"/>
      <c r="S184" s="76"/>
      <c r="T184" s="76"/>
      <c r="U184" s="76"/>
      <c r="V184" s="162"/>
      <c r="W184" s="159"/>
      <c r="X184" s="76"/>
      <c r="Y184" s="76"/>
      <c r="Z184" s="76"/>
      <c r="AA184" s="76"/>
      <c r="AB184" s="76"/>
      <c r="AC184" s="76"/>
      <c r="AD184" s="76"/>
      <c r="AE184" s="76"/>
      <c r="AF184" s="76"/>
      <c r="AG184" s="76"/>
    </row>
    <row r="185" spans="1:33" ht="14">
      <c r="A185" s="106"/>
      <c r="B185" s="106"/>
      <c r="C185" s="70"/>
      <c r="D185" s="70"/>
      <c r="E185" s="176" t="s">
        <v>583</v>
      </c>
      <c r="F185" s="157" t="str">
        <f ca="1">IFERROR(__xludf.DUMMYFUNCTION("INDEX(SPLIT(E185,""/""),,COUNTA(SPLIT(E185,""/"")))"),"1744152874228314350")</f>
        <v>1744152874228314350</v>
      </c>
      <c r="G185" s="70" t="s">
        <v>584</v>
      </c>
      <c r="H185" s="106" t="s">
        <v>80</v>
      </c>
      <c r="I185" s="106"/>
      <c r="J185" s="106"/>
      <c r="K185" s="106"/>
      <c r="L185" s="159"/>
      <c r="M185" s="76"/>
      <c r="N185" s="76"/>
      <c r="O185" s="76"/>
      <c r="P185" s="76"/>
      <c r="Q185" s="76"/>
      <c r="R185" s="76"/>
      <c r="S185" s="76"/>
      <c r="T185" s="76"/>
      <c r="U185" s="76"/>
      <c r="V185" s="162"/>
      <c r="W185" s="159"/>
      <c r="X185" s="76"/>
      <c r="Y185" s="76"/>
      <c r="Z185" s="76"/>
      <c r="AA185" s="76"/>
      <c r="AB185" s="76"/>
      <c r="AC185" s="76"/>
      <c r="AD185" s="76"/>
      <c r="AE185" s="76"/>
      <c r="AF185" s="76"/>
      <c r="AG185" s="76"/>
    </row>
    <row r="186" spans="1:33" ht="14">
      <c r="A186" s="106"/>
      <c r="B186" s="106"/>
      <c r="C186" s="70"/>
      <c r="D186" s="70"/>
      <c r="E186" s="176" t="s">
        <v>585</v>
      </c>
      <c r="F186" s="157" t="str">
        <f ca="1">IFERROR(__xludf.DUMMYFUNCTION("INDEX(SPLIT(E186,""/""),,COUNTA(SPLIT(E186,""/"")))"),"1743223527350673870")</f>
        <v>1743223527350673870</v>
      </c>
      <c r="G186" s="171" t="s">
        <v>586</v>
      </c>
      <c r="H186" s="106" t="s">
        <v>80</v>
      </c>
      <c r="I186" s="106"/>
      <c r="J186" s="106"/>
      <c r="K186" s="106"/>
      <c r="L186" s="159"/>
      <c r="M186" s="76"/>
      <c r="N186" s="76"/>
      <c r="O186" s="76"/>
      <c r="P186" s="76"/>
      <c r="Q186" s="76"/>
      <c r="R186" s="76"/>
      <c r="S186" s="76"/>
      <c r="T186" s="76"/>
      <c r="U186" s="76"/>
      <c r="V186" s="162"/>
      <c r="W186" s="159"/>
      <c r="X186" s="76"/>
      <c r="Y186" s="76"/>
      <c r="Z186" s="76"/>
      <c r="AA186" s="76"/>
      <c r="AB186" s="76"/>
      <c r="AC186" s="76"/>
      <c r="AD186" s="76"/>
      <c r="AE186" s="76"/>
      <c r="AF186" s="76"/>
      <c r="AG186" s="76"/>
    </row>
    <row r="187" spans="1:33" ht="14">
      <c r="A187" s="106"/>
      <c r="B187" s="106"/>
      <c r="C187" s="70"/>
      <c r="D187" s="70"/>
      <c r="E187" s="176" t="s">
        <v>587</v>
      </c>
      <c r="F187" s="157" t="str">
        <f ca="1">IFERROR(__xludf.DUMMYFUNCTION("INDEX(SPLIT(E187,""/""),,COUNTA(SPLIT(E187,""/"")))"),"1712230703880982657")</f>
        <v>1712230703880982657</v>
      </c>
      <c r="G187" s="171" t="s">
        <v>588</v>
      </c>
      <c r="H187" s="106" t="s">
        <v>80</v>
      </c>
      <c r="I187" s="106"/>
      <c r="J187" s="106"/>
      <c r="K187" s="106"/>
      <c r="L187" s="159"/>
      <c r="M187" s="76"/>
      <c r="N187" s="76"/>
      <c r="O187" s="76"/>
      <c r="P187" s="76"/>
      <c r="Q187" s="76"/>
      <c r="R187" s="76"/>
      <c r="S187" s="76"/>
      <c r="T187" s="76"/>
      <c r="U187" s="76"/>
      <c r="V187" s="162"/>
      <c r="W187" s="159"/>
      <c r="X187" s="76"/>
      <c r="Y187" s="76"/>
      <c r="Z187" s="76"/>
      <c r="AA187" s="76"/>
      <c r="AB187" s="76"/>
      <c r="AC187" s="76"/>
      <c r="AD187" s="76"/>
      <c r="AE187" s="76"/>
      <c r="AF187" s="76"/>
      <c r="AG187" s="76"/>
    </row>
    <row r="188" spans="1:33" ht="14">
      <c r="A188" s="106"/>
      <c r="B188" s="106"/>
      <c r="C188" s="70"/>
      <c r="D188" s="70"/>
      <c r="E188" s="176" t="s">
        <v>589</v>
      </c>
      <c r="F188" s="157" t="str">
        <f ca="1">IFERROR(__xludf.DUMMYFUNCTION("INDEX(SPLIT(E188,""/""),,COUNTA(SPLIT(E188,""/"")))"),"1745088959925948768")</f>
        <v>1745088959925948768</v>
      </c>
      <c r="G188" s="171" t="s">
        <v>471</v>
      </c>
      <c r="H188" s="106" t="s">
        <v>80</v>
      </c>
      <c r="I188" s="106"/>
      <c r="J188" s="106"/>
      <c r="K188" s="106"/>
      <c r="L188" s="159"/>
      <c r="M188" s="76"/>
      <c r="N188" s="76"/>
      <c r="O188" s="76"/>
      <c r="P188" s="76"/>
      <c r="Q188" s="76"/>
      <c r="R188" s="76"/>
      <c r="S188" s="76"/>
      <c r="T188" s="76"/>
      <c r="U188" s="76"/>
      <c r="V188" s="162"/>
      <c r="W188" s="159"/>
      <c r="X188" s="76"/>
      <c r="Y188" s="76"/>
      <c r="Z188" s="76"/>
      <c r="AA188" s="76"/>
      <c r="AB188" s="76"/>
      <c r="AC188" s="76"/>
      <c r="AD188" s="76"/>
      <c r="AE188" s="76"/>
      <c r="AF188" s="76"/>
      <c r="AG188" s="76"/>
    </row>
    <row r="189" spans="1:33" ht="14">
      <c r="A189" s="106"/>
      <c r="B189" s="106"/>
      <c r="C189" s="70"/>
      <c r="D189" s="70"/>
      <c r="E189" s="176" t="s">
        <v>590</v>
      </c>
      <c r="F189" s="157" t="str">
        <f ca="1">IFERROR(__xludf.DUMMYFUNCTION("INDEX(SPLIT(E189,""/""),,COUNTA(SPLIT(E189,""/"")))"),"1745050832922456459")</f>
        <v>1745050832922456459</v>
      </c>
      <c r="G189" s="171" t="s">
        <v>427</v>
      </c>
      <c r="H189" s="106" t="s">
        <v>80</v>
      </c>
      <c r="I189" s="106"/>
      <c r="J189" s="106"/>
      <c r="K189" s="106"/>
      <c r="L189" s="159"/>
      <c r="M189" s="76"/>
      <c r="N189" s="76"/>
      <c r="O189" s="76"/>
      <c r="P189" s="76"/>
      <c r="Q189" s="76"/>
      <c r="R189" s="76"/>
      <c r="S189" s="76"/>
      <c r="T189" s="76"/>
      <c r="U189" s="76"/>
      <c r="V189" s="162"/>
      <c r="W189" s="159"/>
      <c r="X189" s="76"/>
      <c r="Y189" s="76"/>
      <c r="Z189" s="76"/>
      <c r="AA189" s="76"/>
      <c r="AB189" s="76"/>
      <c r="AC189" s="76"/>
      <c r="AD189" s="76"/>
      <c r="AE189" s="76"/>
      <c r="AF189" s="76"/>
      <c r="AG189" s="76"/>
    </row>
    <row r="190" spans="1:33" ht="14">
      <c r="A190" s="186" t="s">
        <v>89</v>
      </c>
      <c r="B190" s="183"/>
      <c r="C190" s="187"/>
      <c r="D190" s="187"/>
      <c r="E190" s="188" t="s">
        <v>591</v>
      </c>
      <c r="F190" s="157" t="str">
        <f ca="1">IFERROR(__xludf.DUMMYFUNCTION("INDEX(SPLIT(E190,""/""),,COUNTA(SPLIT(E190,""/"")))"),"1744781756182430051")</f>
        <v>1744781756182430051</v>
      </c>
      <c r="G190" s="171" t="s">
        <v>360</v>
      </c>
      <c r="H190" s="106" t="s">
        <v>80</v>
      </c>
      <c r="I190" s="106"/>
      <c r="J190" s="106"/>
      <c r="K190" s="106"/>
      <c r="L190" s="159"/>
      <c r="M190" s="76"/>
      <c r="N190" s="76"/>
      <c r="O190" s="76"/>
      <c r="P190" s="76"/>
      <c r="Q190" s="76"/>
      <c r="R190" s="76"/>
      <c r="S190" s="76"/>
      <c r="T190" s="76"/>
      <c r="U190" s="76"/>
      <c r="V190" s="162"/>
      <c r="W190" s="159"/>
      <c r="X190" s="76"/>
      <c r="Y190" s="76"/>
      <c r="Z190" s="76"/>
      <c r="AA190" s="76"/>
      <c r="AB190" s="76"/>
      <c r="AC190" s="76"/>
      <c r="AD190" s="76"/>
      <c r="AE190" s="76"/>
      <c r="AF190" s="76"/>
      <c r="AG190" s="76"/>
    </row>
    <row r="191" spans="1:33" ht="14">
      <c r="A191" s="106"/>
      <c r="B191" s="106"/>
      <c r="C191" s="70"/>
      <c r="D191" s="70"/>
      <c r="E191" s="174" t="s">
        <v>592</v>
      </c>
      <c r="F191" s="157" t="str">
        <f ca="1">IFERROR(__xludf.DUMMYFUNCTION("INDEX(SPLIT(E191,""/""),,COUNTA(SPLIT(E191,""/"")))"),"1744769682073350390")</f>
        <v>1744769682073350390</v>
      </c>
      <c r="G191" s="70" t="s">
        <v>593</v>
      </c>
      <c r="H191" s="106" t="s">
        <v>80</v>
      </c>
      <c r="I191" s="106"/>
      <c r="J191" s="106"/>
      <c r="K191" s="106"/>
      <c r="L191" s="159"/>
      <c r="M191" s="76"/>
      <c r="N191" s="76"/>
      <c r="O191" s="76"/>
      <c r="P191" s="76"/>
      <c r="Q191" s="76"/>
      <c r="R191" s="76"/>
      <c r="S191" s="76"/>
      <c r="T191" s="76"/>
      <c r="U191" s="76"/>
      <c r="V191" s="162"/>
      <c r="W191" s="159"/>
      <c r="X191" s="76"/>
      <c r="Y191" s="76"/>
      <c r="Z191" s="76"/>
      <c r="AA191" s="76"/>
      <c r="AB191" s="76"/>
      <c r="AC191" s="76"/>
      <c r="AD191" s="76"/>
      <c r="AE191" s="76"/>
      <c r="AF191" s="76"/>
      <c r="AG191" s="76"/>
    </row>
    <row r="192" spans="1:33" ht="14">
      <c r="A192" s="106"/>
      <c r="B192" s="106"/>
      <c r="C192" s="70"/>
      <c r="D192" s="70"/>
      <c r="E192" s="176" t="s">
        <v>594</v>
      </c>
      <c r="F192" s="157" t="str">
        <f ca="1">IFERROR(__xludf.DUMMYFUNCTION("INDEX(SPLIT(E192,""/""),,COUNTA(SPLIT(E192,""/"")))"),"1745250680741208543")</f>
        <v>1745250680741208543</v>
      </c>
      <c r="G192" s="171" t="s">
        <v>595</v>
      </c>
      <c r="H192" s="106" t="s">
        <v>80</v>
      </c>
      <c r="I192" s="106" t="s">
        <v>70</v>
      </c>
      <c r="J192" s="106"/>
      <c r="K192" s="106"/>
      <c r="L192" s="159"/>
      <c r="M192" s="76"/>
      <c r="N192" s="76"/>
      <c r="O192" s="76"/>
      <c r="P192" s="76"/>
      <c r="Q192" s="76"/>
      <c r="R192" s="76"/>
      <c r="S192" s="76"/>
      <c r="T192" s="76"/>
      <c r="U192" s="76"/>
      <c r="V192" s="162"/>
      <c r="W192" s="159"/>
      <c r="X192" s="76"/>
      <c r="Y192" s="76"/>
      <c r="Z192" s="76"/>
      <c r="AA192" s="76"/>
      <c r="AB192" s="76"/>
      <c r="AC192" s="76"/>
      <c r="AD192" s="76"/>
      <c r="AE192" s="76"/>
      <c r="AF192" s="76"/>
      <c r="AG192" s="76"/>
    </row>
    <row r="193" spans="1:33" ht="14">
      <c r="A193" s="106"/>
      <c r="B193" s="106"/>
      <c r="C193" s="70"/>
      <c r="D193" s="70"/>
      <c r="E193" s="176" t="s">
        <v>596</v>
      </c>
      <c r="F193" s="157" t="str">
        <f ca="1">IFERROR(__xludf.DUMMYFUNCTION("INDEX(SPLIT(E193,""/""),,COUNTA(SPLIT(E193,""/"")))"),"1745208076821504306")</f>
        <v>1745208076821504306</v>
      </c>
      <c r="G193" s="171" t="s">
        <v>597</v>
      </c>
      <c r="H193" s="106" t="s">
        <v>80</v>
      </c>
      <c r="I193" s="106"/>
      <c r="J193" s="106"/>
      <c r="K193" s="106"/>
      <c r="L193" s="159"/>
      <c r="M193" s="76"/>
      <c r="N193" s="76"/>
      <c r="O193" s="76"/>
      <c r="P193" s="76"/>
      <c r="Q193" s="76"/>
      <c r="R193" s="76"/>
      <c r="S193" s="76"/>
      <c r="T193" s="76"/>
      <c r="U193" s="76"/>
      <c r="V193" s="162"/>
      <c r="W193" s="159"/>
      <c r="X193" s="76"/>
      <c r="Y193" s="76"/>
      <c r="Z193" s="76"/>
      <c r="AA193" s="76"/>
      <c r="AB193" s="76"/>
      <c r="AC193" s="76"/>
      <c r="AD193" s="76"/>
      <c r="AE193" s="76"/>
      <c r="AF193" s="76"/>
      <c r="AG193" s="76"/>
    </row>
    <row r="194" spans="1:33" ht="14">
      <c r="A194" s="106"/>
      <c r="B194" s="106"/>
      <c r="C194" s="70"/>
      <c r="D194" s="70"/>
      <c r="E194" s="174" t="s">
        <v>598</v>
      </c>
      <c r="F194" s="157" t="str">
        <f ca="1">IFERROR(__xludf.DUMMYFUNCTION("INDEX(SPLIT(E194,""/""),,COUNTA(SPLIT(E194,""/"")))"),"1745180580122345624")</f>
        <v>1745180580122345624</v>
      </c>
      <c r="G194" s="171" t="s">
        <v>157</v>
      </c>
      <c r="H194" s="106" t="s">
        <v>80</v>
      </c>
      <c r="I194" s="106"/>
      <c r="J194" s="106"/>
      <c r="K194" s="106"/>
      <c r="L194" s="159"/>
      <c r="M194" s="76"/>
      <c r="N194" s="76"/>
      <c r="O194" s="76"/>
      <c r="P194" s="76"/>
      <c r="Q194" s="76"/>
      <c r="R194" s="76"/>
      <c r="S194" s="76"/>
      <c r="T194" s="76"/>
      <c r="U194" s="76"/>
      <c r="V194" s="162"/>
      <c r="W194" s="159"/>
      <c r="X194" s="76"/>
      <c r="Y194" s="76"/>
      <c r="Z194" s="76"/>
      <c r="AA194" s="76"/>
      <c r="AB194" s="76"/>
      <c r="AC194" s="76"/>
      <c r="AD194" s="76"/>
      <c r="AE194" s="76"/>
      <c r="AF194" s="76"/>
      <c r="AG194" s="76"/>
    </row>
    <row r="195" spans="1:33" ht="14">
      <c r="A195" s="106"/>
      <c r="B195" s="106"/>
      <c r="C195" s="70"/>
      <c r="D195" s="70"/>
      <c r="E195" s="176" t="s">
        <v>599</v>
      </c>
      <c r="F195" s="157" t="str">
        <f ca="1">IFERROR(__xludf.DUMMYFUNCTION("INDEX(SPLIT(E195,""/""),,COUNTA(SPLIT(E195,""/"")))"),"1743218872906346618")</f>
        <v>1743218872906346618</v>
      </c>
      <c r="G195" s="70" t="s">
        <v>600</v>
      </c>
      <c r="H195" s="106" t="s">
        <v>80</v>
      </c>
      <c r="I195" s="106"/>
      <c r="J195" s="106"/>
      <c r="K195" s="106"/>
      <c r="L195" s="159"/>
      <c r="M195" s="76"/>
      <c r="N195" s="76"/>
      <c r="O195" s="76"/>
      <c r="P195" s="76"/>
      <c r="Q195" s="76"/>
      <c r="R195" s="76"/>
      <c r="S195" s="76"/>
      <c r="T195" s="76"/>
      <c r="U195" s="76"/>
      <c r="V195" s="162"/>
      <c r="W195" s="159"/>
      <c r="X195" s="76"/>
      <c r="Y195" s="76"/>
      <c r="Z195" s="76"/>
      <c r="AA195" s="76"/>
      <c r="AB195" s="76"/>
      <c r="AC195" s="76"/>
      <c r="AD195" s="76"/>
      <c r="AE195" s="76"/>
      <c r="AF195" s="76"/>
      <c r="AG195" s="76"/>
    </row>
    <row r="196" spans="1:33" ht="14">
      <c r="A196" s="106"/>
      <c r="B196" s="106"/>
      <c r="C196" s="70"/>
      <c r="D196" s="70"/>
      <c r="E196" s="176" t="s">
        <v>601</v>
      </c>
      <c r="F196" s="157" t="str">
        <f ca="1">IFERROR(__xludf.DUMMYFUNCTION("INDEX(SPLIT(E196,""/""),,COUNTA(SPLIT(E196,""/"")))"),"1740649237732622640")</f>
        <v>1740649237732622640</v>
      </c>
      <c r="G196" s="70" t="s">
        <v>600</v>
      </c>
      <c r="H196" s="106" t="s">
        <v>80</v>
      </c>
      <c r="I196" s="106" t="s">
        <v>70</v>
      </c>
      <c r="J196" s="106"/>
      <c r="K196" s="106"/>
      <c r="L196" s="159"/>
      <c r="M196" s="76"/>
      <c r="N196" s="76"/>
      <c r="O196" s="76"/>
      <c r="P196" s="76"/>
      <c r="Q196" s="76"/>
      <c r="R196" s="76"/>
      <c r="S196" s="76"/>
      <c r="T196" s="76"/>
      <c r="U196" s="76"/>
      <c r="V196" s="162"/>
      <c r="W196" s="159"/>
      <c r="X196" s="76"/>
      <c r="Y196" s="76"/>
      <c r="Z196" s="76"/>
      <c r="AA196" s="76"/>
      <c r="AB196" s="76"/>
      <c r="AC196" s="76"/>
      <c r="AD196" s="76"/>
      <c r="AE196" s="76"/>
      <c r="AF196" s="76"/>
      <c r="AG196" s="76"/>
    </row>
    <row r="197" spans="1:33" ht="14">
      <c r="A197" s="106"/>
      <c r="B197" s="106"/>
      <c r="C197" s="70"/>
      <c r="D197" s="70"/>
      <c r="E197" s="176" t="s">
        <v>602</v>
      </c>
      <c r="F197" s="157" t="str">
        <f ca="1">IFERROR(__xludf.DUMMYFUNCTION("INDEX(SPLIT(E197,""/""),,COUNTA(SPLIT(E197,""/"")))"),"1737797951966036125")</f>
        <v>1737797951966036125</v>
      </c>
      <c r="G197" s="70" t="s">
        <v>600</v>
      </c>
      <c r="H197" s="106" t="s">
        <v>80</v>
      </c>
      <c r="I197" s="106" t="s">
        <v>70</v>
      </c>
      <c r="J197" s="106"/>
      <c r="K197" s="106"/>
      <c r="L197" s="159"/>
      <c r="M197" s="76"/>
      <c r="N197" s="76"/>
      <c r="O197" s="76"/>
      <c r="P197" s="76"/>
      <c r="Q197" s="76"/>
      <c r="R197" s="76"/>
      <c r="S197" s="76"/>
      <c r="T197" s="76"/>
      <c r="U197" s="76"/>
      <c r="V197" s="162"/>
      <c r="W197" s="159"/>
      <c r="X197" s="76"/>
      <c r="Y197" s="76"/>
      <c r="Z197" s="76"/>
      <c r="AA197" s="76"/>
      <c r="AB197" s="76"/>
      <c r="AC197" s="76"/>
      <c r="AD197" s="76"/>
      <c r="AE197" s="76"/>
      <c r="AF197" s="76"/>
      <c r="AG197" s="76"/>
    </row>
    <row r="198" spans="1:33" ht="14">
      <c r="A198" s="106"/>
      <c r="B198" s="106"/>
      <c r="C198" s="70"/>
      <c r="D198" s="70"/>
      <c r="E198" s="176" t="s">
        <v>603</v>
      </c>
      <c r="F198" s="157" t="str">
        <f ca="1">IFERROR(__xludf.DUMMYFUNCTION("INDEX(SPLIT(E198,""/""),,COUNTA(SPLIT(E198,""/"")))"),"1737133840445960529")</f>
        <v>1737133840445960529</v>
      </c>
      <c r="G198" s="70" t="s">
        <v>600</v>
      </c>
      <c r="H198" s="106" t="s">
        <v>80</v>
      </c>
      <c r="I198" s="106"/>
      <c r="J198" s="106"/>
      <c r="K198" s="106"/>
      <c r="L198" s="159"/>
      <c r="M198" s="76"/>
      <c r="N198" s="76"/>
      <c r="O198" s="76"/>
      <c r="P198" s="76"/>
      <c r="Q198" s="76"/>
      <c r="R198" s="76"/>
      <c r="S198" s="76"/>
      <c r="T198" s="76"/>
      <c r="U198" s="76"/>
      <c r="V198" s="162"/>
      <c r="W198" s="159"/>
      <c r="X198" s="76"/>
      <c r="Y198" s="76"/>
      <c r="Z198" s="76"/>
      <c r="AA198" s="76"/>
      <c r="AB198" s="76"/>
      <c r="AC198" s="76"/>
      <c r="AD198" s="76"/>
      <c r="AE198" s="76"/>
      <c r="AF198" s="76"/>
      <c r="AG198" s="76"/>
    </row>
    <row r="199" spans="1:33" ht="14">
      <c r="A199" s="106"/>
      <c r="B199" s="106"/>
      <c r="C199" s="70"/>
      <c r="D199" s="70"/>
      <c r="E199" s="176" t="s">
        <v>604</v>
      </c>
      <c r="F199" s="157" t="str">
        <f ca="1">IFERROR(__xludf.DUMMYFUNCTION("INDEX(SPLIT(E199,""/""),,COUNTA(SPLIT(E199,""/"")))"),"1736883393332162951")</f>
        <v>1736883393332162951</v>
      </c>
      <c r="G199" s="171" t="s">
        <v>605</v>
      </c>
      <c r="H199" s="106" t="s">
        <v>80</v>
      </c>
      <c r="I199" s="106"/>
      <c r="J199" s="106"/>
      <c r="K199" s="106"/>
      <c r="L199" s="159"/>
      <c r="M199" s="76"/>
      <c r="N199" s="76"/>
      <c r="O199" s="76"/>
      <c r="P199" s="76"/>
      <c r="Q199" s="76"/>
      <c r="R199" s="76"/>
      <c r="S199" s="76"/>
      <c r="T199" s="76"/>
      <c r="U199" s="76"/>
      <c r="V199" s="162"/>
      <c r="W199" s="159"/>
      <c r="X199" s="76"/>
      <c r="Y199" s="76"/>
      <c r="Z199" s="76"/>
      <c r="AA199" s="76"/>
      <c r="AB199" s="76"/>
      <c r="AC199" s="76"/>
      <c r="AD199" s="76"/>
      <c r="AE199" s="76"/>
      <c r="AF199" s="76"/>
      <c r="AG199" s="76"/>
    </row>
    <row r="200" spans="1:33" ht="14">
      <c r="A200" s="106"/>
      <c r="B200" s="106"/>
      <c r="C200" s="70"/>
      <c r="D200" s="70"/>
      <c r="E200" s="176" t="s">
        <v>606</v>
      </c>
      <c r="F200" s="157" t="str">
        <f ca="1">IFERROR(__xludf.DUMMYFUNCTION("INDEX(SPLIT(E200,""/""),,COUNTA(SPLIT(E200,""/"")))"),"1731725754092654738")</f>
        <v>1731725754092654738</v>
      </c>
      <c r="G200" s="70" t="str">
        <f t="shared" ref="G200:G316" si="0">CONCATENATE("@",MID(E200,FIND(CHAR(160),SUBSTITUTE(E200,"/",CHAR(160),3)) + 1,FIND(CHAR(160),SUBSTITUTE(E200,"/",CHAR(160),4)) - 1 - (FIND(CHAR(160),SUBSTITUTE(E200,"/",CHAR(160),3)))))</f>
        <v>@BenDoBrown</v>
      </c>
      <c r="H200" s="106" t="s">
        <v>80</v>
      </c>
      <c r="I200" s="106" t="s">
        <v>70</v>
      </c>
      <c r="J200" s="106"/>
      <c r="K200" s="106"/>
      <c r="L200" s="159"/>
      <c r="M200" s="76"/>
      <c r="N200" s="76"/>
      <c r="O200" s="76"/>
      <c r="P200" s="76"/>
      <c r="Q200" s="76"/>
      <c r="R200" s="76"/>
      <c r="S200" s="76"/>
      <c r="T200" s="76"/>
      <c r="U200" s="76"/>
      <c r="V200" s="162"/>
      <c r="W200" s="159"/>
      <c r="X200" s="76"/>
      <c r="Y200" s="76"/>
      <c r="Z200" s="76"/>
      <c r="AA200" s="76"/>
      <c r="AB200" s="76"/>
      <c r="AC200" s="76"/>
      <c r="AD200" s="76"/>
      <c r="AE200" s="76"/>
      <c r="AF200" s="76"/>
      <c r="AG200" s="76"/>
    </row>
    <row r="201" spans="1:33" ht="14">
      <c r="A201" s="106"/>
      <c r="B201" s="106"/>
      <c r="C201" s="70"/>
      <c r="D201" s="70"/>
      <c r="E201" s="176" t="s">
        <v>607</v>
      </c>
      <c r="F201" s="157" t="str">
        <f ca="1">IFERROR(__xludf.DUMMYFUNCTION("INDEX(SPLIT(E201,""/""),,COUNTA(SPLIT(E201,""/"")))"),"1730263013721059375")</f>
        <v>1730263013721059375</v>
      </c>
      <c r="G201" s="70" t="str">
        <f t="shared" si="0"/>
        <v>@BenDoBrown</v>
      </c>
      <c r="H201" s="106" t="s">
        <v>80</v>
      </c>
      <c r="I201" s="106" t="s">
        <v>81</v>
      </c>
      <c r="J201" s="106"/>
      <c r="K201" s="106"/>
      <c r="L201" s="159"/>
      <c r="M201" s="76"/>
      <c r="N201" s="76"/>
      <c r="O201" s="76"/>
      <c r="P201" s="76"/>
      <c r="Q201" s="76"/>
      <c r="R201" s="76"/>
      <c r="S201" s="76"/>
      <c r="T201" s="76"/>
      <c r="U201" s="76"/>
      <c r="V201" s="162"/>
      <c r="W201" s="159"/>
      <c r="X201" s="76"/>
      <c r="Y201" s="76"/>
      <c r="Z201" s="76"/>
      <c r="AA201" s="76"/>
      <c r="AB201" s="76"/>
      <c r="AC201" s="76"/>
      <c r="AD201" s="76"/>
      <c r="AE201" s="76"/>
      <c r="AF201" s="76"/>
      <c r="AG201" s="76"/>
    </row>
    <row r="202" spans="1:33" ht="14">
      <c r="A202" s="106"/>
      <c r="B202" s="106"/>
      <c r="C202" s="70"/>
      <c r="D202" s="70"/>
      <c r="E202" s="176" t="s">
        <v>608</v>
      </c>
      <c r="F202" s="157" t="str">
        <f ca="1">IFERROR(__xludf.DUMMYFUNCTION("INDEX(SPLIT(E202,""/""),,COUNTA(SPLIT(E202,""/"")))"),"1724864270419046402")</f>
        <v>1724864270419046402</v>
      </c>
      <c r="G202" s="70" t="str">
        <f t="shared" si="0"/>
        <v>@BenDoBrown</v>
      </c>
      <c r="H202" s="106" t="s">
        <v>80</v>
      </c>
      <c r="I202" s="106" t="s">
        <v>70</v>
      </c>
      <c r="J202" s="106"/>
      <c r="K202" s="106"/>
      <c r="L202" s="159"/>
      <c r="M202" s="76"/>
      <c r="N202" s="76"/>
      <c r="O202" s="76"/>
      <c r="P202" s="76"/>
      <c r="Q202" s="76"/>
      <c r="R202" s="76"/>
      <c r="S202" s="76"/>
      <c r="T202" s="76"/>
      <c r="U202" s="76"/>
      <c r="V202" s="162"/>
      <c r="W202" s="159"/>
      <c r="X202" s="76"/>
      <c r="Y202" s="76"/>
      <c r="Z202" s="76"/>
      <c r="AA202" s="76"/>
      <c r="AB202" s="76"/>
      <c r="AC202" s="76"/>
      <c r="AD202" s="76"/>
      <c r="AE202" s="76"/>
      <c r="AF202" s="76"/>
      <c r="AG202" s="76"/>
    </row>
    <row r="203" spans="1:33" ht="14">
      <c r="A203" s="106"/>
      <c r="B203" s="106"/>
      <c r="C203" s="70"/>
      <c r="D203" s="70"/>
      <c r="E203" s="166" t="s">
        <v>609</v>
      </c>
      <c r="F203" s="157" t="str">
        <f ca="1">IFERROR(__xludf.DUMMYFUNCTION("INDEX(SPLIT(E203,""/""),,COUNTA(SPLIT(E203,""/"")))"),"1724057216901160965")</f>
        <v>1724057216901160965</v>
      </c>
      <c r="G203" s="70" t="str">
        <f t="shared" si="0"/>
        <v>@BenDoBrown</v>
      </c>
      <c r="H203" s="106" t="s">
        <v>80</v>
      </c>
      <c r="I203" s="106"/>
      <c r="J203" s="106"/>
      <c r="K203" s="106"/>
      <c r="L203" s="159"/>
      <c r="M203" s="76"/>
      <c r="N203" s="76"/>
      <c r="O203" s="76"/>
      <c r="P203" s="76"/>
      <c r="Q203" s="76"/>
      <c r="R203" s="76"/>
      <c r="S203" s="76"/>
      <c r="T203" s="76"/>
      <c r="U203" s="76"/>
      <c r="V203" s="162"/>
      <c r="W203" s="159"/>
      <c r="X203" s="76"/>
      <c r="Y203" s="76"/>
      <c r="Z203" s="76"/>
      <c r="AA203" s="76"/>
      <c r="AB203" s="76"/>
      <c r="AC203" s="76"/>
      <c r="AD203" s="76"/>
      <c r="AE203" s="76"/>
      <c r="AF203" s="76"/>
      <c r="AG203" s="76"/>
    </row>
    <row r="204" spans="1:33" ht="14">
      <c r="A204" s="106"/>
      <c r="B204" s="106"/>
      <c r="C204" s="70"/>
      <c r="D204" s="164"/>
      <c r="E204" s="164" t="s">
        <v>610</v>
      </c>
      <c r="F204" s="157" t="str">
        <f ca="1">IFERROR(__xludf.DUMMYFUNCTION("INDEX(SPLIT(E204,""/""),,COUNTA(SPLIT(E204,""/"")))"),"1575604348461420544")</f>
        <v>1575604348461420544</v>
      </c>
      <c r="G204" s="70" t="str">
        <f t="shared" si="0"/>
        <v>@mattckwilliams</v>
      </c>
      <c r="H204" s="106" t="s">
        <v>80</v>
      </c>
      <c r="I204" s="106"/>
      <c r="J204" s="106"/>
      <c r="K204" s="106"/>
      <c r="L204" s="159"/>
      <c r="M204" s="76"/>
      <c r="N204" s="76"/>
      <c r="O204" s="76"/>
      <c r="P204" s="76"/>
      <c r="Q204" s="76"/>
      <c r="R204" s="76"/>
      <c r="S204" s="76"/>
      <c r="T204" s="76"/>
      <c r="U204" s="76"/>
      <c r="V204" s="162"/>
      <c r="W204" s="159"/>
      <c r="X204" s="76"/>
      <c r="Y204" s="76"/>
      <c r="Z204" s="76"/>
      <c r="AA204" s="76"/>
      <c r="AB204" s="76"/>
      <c r="AC204" s="76"/>
      <c r="AD204" s="76"/>
      <c r="AE204" s="76"/>
      <c r="AF204" s="76"/>
      <c r="AG204" s="76"/>
    </row>
    <row r="205" spans="1:33" ht="14">
      <c r="A205" s="106"/>
      <c r="B205" s="106"/>
      <c r="C205" s="70"/>
      <c r="D205" s="164"/>
      <c r="E205" s="164" t="s">
        <v>611</v>
      </c>
      <c r="F205" s="157" t="str">
        <f ca="1">IFERROR(__xludf.DUMMYFUNCTION("INDEX(SPLIT(E205,""/""),,COUNTA(SPLIT(E205,""/"")))"),"1117473176005545984")</f>
        <v>1117473176005545984</v>
      </c>
      <c r="G205" s="70" t="str">
        <f t="shared" si="0"/>
        <v>@ImageSatIntl</v>
      </c>
      <c r="H205" s="106" t="s">
        <v>80</v>
      </c>
      <c r="I205" s="106"/>
      <c r="J205" s="106"/>
      <c r="K205" s="106"/>
      <c r="L205" s="159"/>
      <c r="M205" s="76"/>
      <c r="N205" s="76"/>
      <c r="O205" s="76"/>
      <c r="P205" s="76"/>
      <c r="Q205" s="76"/>
      <c r="R205" s="76"/>
      <c r="S205" s="76"/>
      <c r="T205" s="76"/>
      <c r="U205" s="76"/>
      <c r="V205" s="162"/>
      <c r="W205" s="159"/>
      <c r="X205" s="76"/>
      <c r="Y205" s="76"/>
      <c r="Z205" s="76"/>
      <c r="AA205" s="76"/>
      <c r="AB205" s="76"/>
      <c r="AC205" s="76"/>
      <c r="AD205" s="76"/>
      <c r="AE205" s="76"/>
      <c r="AF205" s="76"/>
      <c r="AG205" s="76"/>
    </row>
    <row r="206" spans="1:33" ht="14">
      <c r="A206" s="106"/>
      <c r="B206" s="106"/>
      <c r="C206" s="70"/>
      <c r="D206" s="164"/>
      <c r="E206" s="164" t="s">
        <v>612</v>
      </c>
      <c r="F206" s="157" t="str">
        <f ca="1">IFERROR(__xludf.DUMMYFUNCTION("INDEX(SPLIT(E206,""/""),,COUNTA(SPLIT(E206,""/"")))"),"1594652804584706049")</f>
        <v>1594652804584706049</v>
      </c>
      <c r="G206" s="70" t="str">
        <f t="shared" si="0"/>
        <v>@KallergisK</v>
      </c>
      <c r="H206" s="106" t="s">
        <v>80</v>
      </c>
      <c r="I206" s="106"/>
      <c r="J206" s="106"/>
      <c r="K206" s="106"/>
      <c r="L206" s="159"/>
      <c r="M206" s="76"/>
      <c r="N206" s="76"/>
      <c r="O206" s="76"/>
      <c r="P206" s="76"/>
      <c r="Q206" s="76"/>
      <c r="R206" s="76"/>
      <c r="S206" s="76"/>
      <c r="T206" s="76"/>
      <c r="U206" s="76"/>
      <c r="V206" s="162"/>
      <c r="W206" s="159"/>
      <c r="X206" s="76"/>
      <c r="Y206" s="76"/>
      <c r="Z206" s="76"/>
      <c r="AA206" s="76"/>
      <c r="AB206" s="76"/>
      <c r="AC206" s="76"/>
      <c r="AD206" s="76"/>
      <c r="AE206" s="76"/>
      <c r="AF206" s="76"/>
      <c r="AG206" s="76"/>
    </row>
    <row r="207" spans="1:33" ht="14">
      <c r="A207" s="106"/>
      <c r="B207" s="106"/>
      <c r="C207" s="70"/>
      <c r="D207" s="164"/>
      <c r="E207" s="164" t="s">
        <v>613</v>
      </c>
      <c r="F207" s="157" t="str">
        <f ca="1">IFERROR(__xludf.DUMMYFUNCTION("INDEX(SPLIT(E207,""/""),,COUNTA(SPLIT(E207,""/"")))"),"1669744417308016640")</f>
        <v>1669744417308016640</v>
      </c>
      <c r="G207" s="70" t="str">
        <f t="shared" si="0"/>
        <v>@KallergisK</v>
      </c>
      <c r="H207" s="106" t="s">
        <v>80</v>
      </c>
      <c r="I207" s="106"/>
      <c r="J207" s="106"/>
      <c r="K207" s="106"/>
      <c r="L207" s="159"/>
      <c r="M207" s="76"/>
      <c r="N207" s="76"/>
      <c r="O207" s="76"/>
      <c r="P207" s="76"/>
      <c r="Q207" s="76"/>
      <c r="R207" s="76"/>
      <c r="S207" s="76"/>
      <c r="T207" s="76"/>
      <c r="U207" s="76"/>
      <c r="V207" s="162"/>
      <c r="W207" s="159"/>
      <c r="X207" s="76"/>
      <c r="Y207" s="76"/>
      <c r="Z207" s="76"/>
      <c r="AA207" s="76"/>
      <c r="AB207" s="76"/>
      <c r="AC207" s="76"/>
      <c r="AD207" s="76"/>
      <c r="AE207" s="76"/>
      <c r="AF207" s="76"/>
      <c r="AG207" s="76"/>
    </row>
    <row r="208" spans="1:33" ht="14">
      <c r="A208" s="106"/>
      <c r="B208" s="106"/>
      <c r="C208" s="70"/>
      <c r="D208" s="164"/>
      <c r="E208" s="164" t="s">
        <v>614</v>
      </c>
      <c r="F208" s="157" t="str">
        <f ca="1">IFERROR(__xludf.DUMMYFUNCTION("INDEX(SPLIT(E208,""/""),,COUNTA(SPLIT(E208,""/"")))"),"1681187511446675456")</f>
        <v>1681187511446675456</v>
      </c>
      <c r="G208" s="70" t="str">
        <f t="shared" si="0"/>
        <v>@CovertShores</v>
      </c>
      <c r="H208" s="106" t="s">
        <v>80</v>
      </c>
      <c r="I208" s="106"/>
      <c r="J208" s="106"/>
      <c r="K208" s="106"/>
      <c r="L208" s="159"/>
      <c r="M208" s="76"/>
      <c r="N208" s="76"/>
      <c r="O208" s="76"/>
      <c r="P208" s="76"/>
      <c r="Q208" s="76"/>
      <c r="R208" s="76"/>
      <c r="S208" s="76"/>
      <c r="T208" s="76"/>
      <c r="U208" s="76"/>
      <c r="V208" s="162"/>
      <c r="W208" s="159"/>
      <c r="X208" s="76"/>
      <c r="Y208" s="76"/>
      <c r="Z208" s="76"/>
      <c r="AA208" s="76"/>
      <c r="AB208" s="76"/>
      <c r="AC208" s="76"/>
      <c r="AD208" s="76"/>
      <c r="AE208" s="76"/>
      <c r="AF208" s="76"/>
      <c r="AG208" s="76"/>
    </row>
    <row r="209" spans="1:33" ht="14">
      <c r="A209" s="106"/>
      <c r="B209" s="106"/>
      <c r="C209" s="70"/>
      <c r="D209" s="164"/>
      <c r="E209" s="164" t="s">
        <v>615</v>
      </c>
      <c r="F209" s="157" t="str">
        <f ca="1">IFERROR(__xludf.DUMMYFUNCTION("INDEX(SPLIT(E209,""/""),,COUNTA(SPLIT(E209,""/"")))"),"1617710054702206984")</f>
        <v>1617710054702206984</v>
      </c>
      <c r="G209" s="70" t="str">
        <f t="shared" si="0"/>
        <v>@Qaisalamdar</v>
      </c>
      <c r="H209" s="106" t="s">
        <v>80</v>
      </c>
      <c r="I209" s="106"/>
      <c r="J209" s="106"/>
      <c r="K209" s="106"/>
      <c r="L209" s="159"/>
      <c r="M209" s="76"/>
      <c r="N209" s="76"/>
      <c r="O209" s="76"/>
      <c r="P209" s="76"/>
      <c r="Q209" s="76"/>
      <c r="R209" s="76"/>
      <c r="S209" s="76"/>
      <c r="T209" s="76"/>
      <c r="U209" s="76"/>
      <c r="V209" s="162"/>
      <c r="W209" s="159"/>
      <c r="X209" s="76"/>
      <c r="Y209" s="76"/>
      <c r="Z209" s="76"/>
      <c r="AA209" s="76"/>
      <c r="AB209" s="76"/>
      <c r="AC209" s="76"/>
      <c r="AD209" s="76"/>
      <c r="AE209" s="76"/>
      <c r="AF209" s="76"/>
      <c r="AG209" s="76"/>
    </row>
    <row r="210" spans="1:33" ht="14">
      <c r="A210" s="106"/>
      <c r="B210" s="106"/>
      <c r="C210" s="70"/>
      <c r="D210" s="164"/>
      <c r="E210" s="164" t="s">
        <v>616</v>
      </c>
      <c r="F210" s="157" t="str">
        <f ca="1">IFERROR(__xludf.DUMMYFUNCTION("INDEX(SPLIT(E210,""/""),,COUNTA(SPLIT(E210,""/"")))"),"1521038609079586817")</f>
        <v>1521038609079586817</v>
      </c>
      <c r="G210" s="70" t="str">
        <f t="shared" si="0"/>
        <v>@mattckwilliams</v>
      </c>
      <c r="H210" s="106" t="s">
        <v>80</v>
      </c>
      <c r="I210" s="106"/>
      <c r="J210" s="106"/>
      <c r="K210" s="106"/>
      <c r="L210" s="159"/>
      <c r="M210" s="76"/>
      <c r="N210" s="76"/>
      <c r="O210" s="76"/>
      <c r="P210" s="76"/>
      <c r="Q210" s="76"/>
      <c r="R210" s="76"/>
      <c r="S210" s="76"/>
      <c r="T210" s="76"/>
      <c r="U210" s="76"/>
      <c r="V210" s="162"/>
      <c r="W210" s="159"/>
      <c r="X210" s="76"/>
      <c r="Y210" s="76"/>
      <c r="Z210" s="76"/>
      <c r="AA210" s="76"/>
      <c r="AB210" s="76"/>
      <c r="AC210" s="76"/>
      <c r="AD210" s="76"/>
      <c r="AE210" s="76"/>
      <c r="AF210" s="76"/>
      <c r="AG210" s="76"/>
    </row>
    <row r="211" spans="1:33" ht="14">
      <c r="A211" s="106"/>
      <c r="B211" s="106"/>
      <c r="C211" s="70"/>
      <c r="D211" s="164"/>
      <c r="E211" s="164" t="s">
        <v>617</v>
      </c>
      <c r="F211" s="157" t="str">
        <f ca="1">IFERROR(__xludf.DUMMYFUNCTION("INDEX(SPLIT(E211,""/""),,COUNTA(SPLIT(E211,""/"")))"),"1744694446220869674")</f>
        <v>1744694446220869674</v>
      </c>
      <c r="G211" s="70" t="str">
        <f t="shared" si="0"/>
        <v>@UKikaski</v>
      </c>
      <c r="H211" s="106" t="s">
        <v>80</v>
      </c>
      <c r="I211" s="106"/>
      <c r="J211" s="106"/>
      <c r="K211" s="106"/>
      <c r="L211" s="159"/>
      <c r="M211" s="76"/>
      <c r="N211" s="76"/>
      <c r="O211" s="76"/>
      <c r="P211" s="76"/>
      <c r="Q211" s="76"/>
      <c r="R211" s="76"/>
      <c r="S211" s="76"/>
      <c r="T211" s="76"/>
      <c r="U211" s="76"/>
      <c r="V211" s="162"/>
      <c r="W211" s="159"/>
      <c r="X211" s="76"/>
      <c r="Y211" s="76"/>
      <c r="Z211" s="76"/>
      <c r="AA211" s="76"/>
      <c r="AB211" s="76"/>
      <c r="AC211" s="76"/>
      <c r="AD211" s="76"/>
      <c r="AE211" s="76"/>
      <c r="AF211" s="76"/>
      <c r="AG211" s="76"/>
    </row>
    <row r="212" spans="1:33" ht="14">
      <c r="A212" s="106"/>
      <c r="B212" s="106"/>
      <c r="C212" s="70"/>
      <c r="D212" s="164"/>
      <c r="E212" s="164" t="s">
        <v>350</v>
      </c>
      <c r="F212" s="157" t="str">
        <f ca="1">IFERROR(__xludf.DUMMYFUNCTION("INDEX(SPLIT(E212,""/""),,COUNTA(SPLIT(E212,""/"")))"),"1744075778869150091")</f>
        <v>1744075778869150091</v>
      </c>
      <c r="G212" s="70" t="str">
        <f t="shared" si="0"/>
        <v>@bcresearchgroup</v>
      </c>
      <c r="H212" s="106" t="s">
        <v>80</v>
      </c>
      <c r="I212" s="106"/>
      <c r="J212" s="106"/>
      <c r="K212" s="106"/>
      <c r="L212" s="159"/>
      <c r="M212" s="76"/>
      <c r="N212" s="76"/>
      <c r="O212" s="76"/>
      <c r="P212" s="76"/>
      <c r="Q212" s="76"/>
      <c r="R212" s="76"/>
      <c r="S212" s="76"/>
      <c r="T212" s="76"/>
      <c r="U212" s="76"/>
      <c r="V212" s="162"/>
      <c r="W212" s="159"/>
      <c r="X212" s="76"/>
      <c r="Y212" s="76"/>
      <c r="Z212" s="76"/>
      <c r="AA212" s="76"/>
      <c r="AB212" s="76"/>
      <c r="AC212" s="76"/>
      <c r="AD212" s="76"/>
      <c r="AE212" s="76"/>
      <c r="AF212" s="76"/>
      <c r="AG212" s="76"/>
    </row>
    <row r="213" spans="1:33" ht="14">
      <c r="A213" s="106"/>
      <c r="B213" s="106"/>
      <c r="C213" s="70"/>
      <c r="D213" s="164"/>
      <c r="E213" s="164" t="s">
        <v>618</v>
      </c>
      <c r="F213" s="157" t="str">
        <f ca="1">IFERROR(__xludf.DUMMYFUNCTION("INDEX(SPLIT(E213,""/""),,COUNTA(SPLIT(E213,""/"")))"),"1744671046664413344")</f>
        <v>1744671046664413344</v>
      </c>
      <c r="G213" s="70" t="str">
        <f t="shared" si="0"/>
        <v>@UKikaski</v>
      </c>
      <c r="H213" s="106" t="s">
        <v>80</v>
      </c>
      <c r="I213" s="106"/>
      <c r="J213" s="106"/>
      <c r="K213" s="106"/>
      <c r="L213" s="159"/>
      <c r="M213" s="76"/>
      <c r="N213" s="76"/>
      <c r="O213" s="76"/>
      <c r="P213" s="76"/>
      <c r="Q213" s="76"/>
      <c r="R213" s="76"/>
      <c r="S213" s="76"/>
      <c r="T213" s="76"/>
      <c r="U213" s="76"/>
      <c r="V213" s="162"/>
      <c r="W213" s="159"/>
      <c r="X213" s="76"/>
      <c r="Y213" s="76"/>
      <c r="Z213" s="76"/>
      <c r="AA213" s="76"/>
      <c r="AB213" s="76"/>
      <c r="AC213" s="76"/>
      <c r="AD213" s="76"/>
      <c r="AE213" s="76"/>
      <c r="AF213" s="76"/>
      <c r="AG213" s="76"/>
    </row>
    <row r="214" spans="1:33" ht="14">
      <c r="A214" s="106"/>
      <c r="B214" s="106"/>
      <c r="C214" s="70"/>
      <c r="D214" s="164"/>
      <c r="E214" s="164" t="s">
        <v>619</v>
      </c>
      <c r="F214" s="157" t="str">
        <f ca="1">IFERROR(__xludf.DUMMYFUNCTION("INDEX(SPLIT(E214,""/""),,COUNTA(SPLIT(E214,""/"")))"),"1745451372437475407")</f>
        <v>1745451372437475407</v>
      </c>
      <c r="G214" s="70" t="str">
        <f t="shared" si="0"/>
        <v>@Osint613</v>
      </c>
      <c r="H214" s="106" t="s">
        <v>80</v>
      </c>
      <c r="I214" s="106"/>
      <c r="J214" s="106"/>
      <c r="K214" s="106"/>
      <c r="L214" s="159"/>
      <c r="M214" s="76"/>
      <c r="N214" s="76"/>
      <c r="O214" s="76"/>
      <c r="P214" s="76"/>
      <c r="Q214" s="76"/>
      <c r="R214" s="76"/>
      <c r="S214" s="76"/>
      <c r="T214" s="76"/>
      <c r="U214" s="76"/>
      <c r="V214" s="162"/>
      <c r="W214" s="159"/>
      <c r="X214" s="76"/>
      <c r="Y214" s="76"/>
      <c r="Z214" s="76"/>
      <c r="AA214" s="76"/>
      <c r="AB214" s="76"/>
      <c r="AC214" s="76"/>
      <c r="AD214" s="76"/>
      <c r="AE214" s="76"/>
      <c r="AF214" s="76"/>
      <c r="AG214" s="76"/>
    </row>
    <row r="215" spans="1:33" ht="14">
      <c r="A215" s="106"/>
      <c r="B215" s="106"/>
      <c r="C215" s="70"/>
      <c r="D215" s="164"/>
      <c r="E215" s="164" t="s">
        <v>620</v>
      </c>
      <c r="F215" s="157" t="str">
        <f ca="1">IFERROR(__xludf.DUMMYFUNCTION("INDEX(SPLIT(E215,""/""),,COUNTA(SPLIT(E215,""/"")))"),"1743984936971813251")</f>
        <v>1743984936971813251</v>
      </c>
      <c r="G215" s="70" t="str">
        <f t="shared" si="0"/>
        <v>@UKikaski</v>
      </c>
      <c r="H215" s="106" t="s">
        <v>80</v>
      </c>
      <c r="I215" s="106"/>
      <c r="J215" s="106"/>
      <c r="K215" s="106"/>
      <c r="L215" s="159"/>
      <c r="M215" s="76"/>
      <c r="N215" s="76"/>
      <c r="O215" s="76"/>
      <c r="P215" s="76"/>
      <c r="Q215" s="76"/>
      <c r="R215" s="76"/>
      <c r="S215" s="76"/>
      <c r="T215" s="76"/>
      <c r="U215" s="76"/>
      <c r="V215" s="162"/>
      <c r="W215" s="159"/>
      <c r="X215" s="76"/>
      <c r="Y215" s="76"/>
      <c r="Z215" s="76"/>
      <c r="AA215" s="76"/>
      <c r="AB215" s="76"/>
      <c r="AC215" s="76"/>
      <c r="AD215" s="76"/>
      <c r="AE215" s="76"/>
      <c r="AF215" s="76"/>
      <c r="AG215" s="76"/>
    </row>
    <row r="216" spans="1:33" ht="14">
      <c r="A216" s="106"/>
      <c r="B216" s="106"/>
      <c r="C216" s="70"/>
      <c r="D216" s="164"/>
      <c r="E216" s="164" t="s">
        <v>621</v>
      </c>
      <c r="F216" s="157" t="str">
        <f ca="1">IFERROR(__xludf.DUMMYFUNCTION("INDEX(SPLIT(E216,""/""),,COUNTA(SPLIT(E216,""/"")))"),"1744369738510135708")</f>
        <v>1744369738510135708</v>
      </c>
      <c r="G216" s="70" t="str">
        <f t="shared" si="0"/>
        <v>@OSINTNic</v>
      </c>
      <c r="H216" s="106" t="s">
        <v>80</v>
      </c>
      <c r="I216" s="106"/>
      <c r="J216" s="106"/>
      <c r="K216" s="106"/>
      <c r="L216" s="159"/>
      <c r="M216" s="76"/>
      <c r="N216" s="76"/>
      <c r="O216" s="76"/>
      <c r="P216" s="76"/>
      <c r="Q216" s="76"/>
      <c r="R216" s="76"/>
      <c r="S216" s="76"/>
      <c r="T216" s="76"/>
      <c r="U216" s="76"/>
      <c r="V216" s="162"/>
      <c r="W216" s="159"/>
      <c r="X216" s="76"/>
      <c r="Y216" s="76"/>
      <c r="Z216" s="76"/>
      <c r="AA216" s="76"/>
      <c r="AB216" s="76"/>
      <c r="AC216" s="76"/>
      <c r="AD216" s="76"/>
      <c r="AE216" s="76"/>
      <c r="AF216" s="76"/>
      <c r="AG216" s="76"/>
    </row>
    <row r="217" spans="1:33" ht="14">
      <c r="A217" s="106"/>
      <c r="B217" s="106"/>
      <c r="C217" s="70"/>
      <c r="D217" s="164"/>
      <c r="E217" s="164" t="s">
        <v>622</v>
      </c>
      <c r="F217" s="157" t="str">
        <f ca="1">IFERROR(__xludf.DUMMYFUNCTION("INDEX(SPLIT(E217,""/""),,COUNTA(SPLIT(E217,""/"")))"),"1743726593850200515")</f>
        <v>1743726593850200515</v>
      </c>
      <c r="G217" s="70" t="str">
        <f t="shared" si="0"/>
        <v>@OSINTNic</v>
      </c>
      <c r="H217" s="106" t="s">
        <v>80</v>
      </c>
      <c r="I217" s="106"/>
      <c r="J217" s="106"/>
      <c r="K217" s="106"/>
      <c r="L217" s="159"/>
      <c r="M217" s="76"/>
      <c r="N217" s="76"/>
      <c r="O217" s="76"/>
      <c r="P217" s="76"/>
      <c r="Q217" s="76"/>
      <c r="R217" s="76"/>
      <c r="S217" s="76"/>
      <c r="T217" s="76"/>
      <c r="U217" s="76"/>
      <c r="V217" s="162"/>
      <c r="W217" s="159"/>
      <c r="X217" s="76"/>
      <c r="Y217" s="76"/>
      <c r="Z217" s="76"/>
      <c r="AA217" s="76"/>
      <c r="AB217" s="76"/>
      <c r="AC217" s="76"/>
      <c r="AD217" s="76"/>
      <c r="AE217" s="76"/>
      <c r="AF217" s="76"/>
      <c r="AG217" s="76"/>
    </row>
    <row r="218" spans="1:33" ht="14">
      <c r="A218" s="106"/>
      <c r="B218" s="106" t="s">
        <v>78</v>
      </c>
      <c r="C218" s="189"/>
      <c r="D218" s="190"/>
      <c r="E218" s="190" t="s">
        <v>623</v>
      </c>
      <c r="F218" s="157" t="str">
        <f ca="1">IFERROR(__xludf.DUMMYFUNCTION("INDEX(SPLIT(E218,""/""),,COUNTA(SPLIT(E218,""/"")))"),"1745006876939423804")</f>
        <v>1745006876939423804</v>
      </c>
      <c r="G218" s="191" t="str">
        <f t="shared" si="0"/>
        <v>@FrenchOsint</v>
      </c>
      <c r="H218" s="105" t="s">
        <v>624</v>
      </c>
      <c r="I218" s="106" t="s">
        <v>70</v>
      </c>
      <c r="J218" s="106" t="s">
        <v>138</v>
      </c>
      <c r="K218" s="106" t="s">
        <v>138</v>
      </c>
      <c r="L218" s="159">
        <v>1</v>
      </c>
      <c r="M218" s="76">
        <v>3</v>
      </c>
      <c r="N218" s="76">
        <v>3</v>
      </c>
      <c r="O218" s="76">
        <v>2</v>
      </c>
      <c r="P218" s="76">
        <v>1</v>
      </c>
      <c r="Q218" s="76">
        <v>1</v>
      </c>
      <c r="R218" s="76">
        <v>3</v>
      </c>
      <c r="S218" s="76">
        <v>3</v>
      </c>
      <c r="T218" s="76">
        <v>1</v>
      </c>
      <c r="U218" s="76">
        <v>1</v>
      </c>
      <c r="V218" s="162">
        <v>2</v>
      </c>
      <c r="W218" s="159">
        <v>1</v>
      </c>
      <c r="X218" s="76">
        <v>1</v>
      </c>
      <c r="Y218" s="76">
        <v>1</v>
      </c>
      <c r="Z218" s="76">
        <v>1</v>
      </c>
      <c r="AA218" s="76">
        <v>1</v>
      </c>
      <c r="AB218" s="76">
        <v>1</v>
      </c>
      <c r="AC218" s="76">
        <v>1</v>
      </c>
      <c r="AD218" s="76">
        <v>3</v>
      </c>
      <c r="AE218" s="76">
        <v>3</v>
      </c>
      <c r="AF218" s="76">
        <v>3</v>
      </c>
      <c r="AG218" s="76">
        <v>1</v>
      </c>
    </row>
    <row r="219" spans="1:33" ht="14">
      <c r="A219" s="106"/>
      <c r="B219" s="106" t="s">
        <v>78</v>
      </c>
      <c r="C219" s="189"/>
      <c r="D219" s="190"/>
      <c r="E219" s="190" t="s">
        <v>625</v>
      </c>
      <c r="F219" s="157" t="str">
        <f ca="1">IFERROR(__xludf.DUMMYFUNCTION("INDEX(SPLIT(E219,""/""),,COUNTA(SPLIT(E219,""/"")))"),"1744395467780223286")</f>
        <v>1744395467780223286</v>
      </c>
      <c r="G219" s="192" t="str">
        <f t="shared" si="0"/>
        <v>@atummundi</v>
      </c>
      <c r="H219" s="193" t="s">
        <v>624</v>
      </c>
      <c r="I219" s="106"/>
      <c r="J219" s="106"/>
      <c r="K219" s="106"/>
      <c r="L219" s="159"/>
      <c r="M219" s="76"/>
      <c r="N219" s="76"/>
      <c r="O219" s="76"/>
      <c r="P219" s="76"/>
      <c r="Q219" s="76"/>
      <c r="R219" s="76"/>
      <c r="S219" s="76"/>
      <c r="T219" s="76"/>
      <c r="U219" s="76"/>
      <c r="V219" s="162"/>
      <c r="W219" s="159"/>
      <c r="X219" s="76"/>
      <c r="Y219" s="76"/>
      <c r="Z219" s="76"/>
      <c r="AA219" s="76"/>
      <c r="AB219" s="76"/>
      <c r="AC219" s="76"/>
      <c r="AD219" s="76"/>
      <c r="AE219" s="76"/>
      <c r="AF219" s="76"/>
      <c r="AG219" s="76"/>
    </row>
    <row r="220" spans="1:33" ht="14">
      <c r="A220" s="106"/>
      <c r="B220" s="106"/>
      <c r="C220" s="189"/>
      <c r="D220" s="190"/>
      <c r="E220" s="190" t="s">
        <v>626</v>
      </c>
      <c r="F220" s="157" t="str">
        <f ca="1">IFERROR(__xludf.DUMMYFUNCTION("INDEX(SPLIT(E220,""/""),,COUNTA(SPLIT(E220,""/"")))"),"1745356879004389483")</f>
        <v>1745356879004389483</v>
      </c>
      <c r="G220" s="192" t="str">
        <f t="shared" si="0"/>
        <v>@FrenchOsint</v>
      </c>
      <c r="H220" s="193" t="s">
        <v>624</v>
      </c>
      <c r="I220" s="106"/>
      <c r="J220" s="106"/>
      <c r="K220" s="106"/>
      <c r="L220" s="159"/>
      <c r="M220" s="76"/>
      <c r="N220" s="76"/>
      <c r="O220" s="76"/>
      <c r="P220" s="76"/>
      <c r="Q220" s="76"/>
      <c r="R220" s="76"/>
      <c r="S220" s="76"/>
      <c r="T220" s="76"/>
      <c r="U220" s="76"/>
      <c r="V220" s="162"/>
      <c r="W220" s="159"/>
      <c r="X220" s="76"/>
      <c r="Y220" s="76"/>
      <c r="Z220" s="76"/>
      <c r="AA220" s="76"/>
      <c r="AB220" s="76"/>
      <c r="AC220" s="76"/>
      <c r="AD220" s="76"/>
      <c r="AE220" s="76"/>
      <c r="AF220" s="76"/>
      <c r="AG220" s="76"/>
    </row>
    <row r="221" spans="1:33" ht="14">
      <c r="A221" s="106"/>
      <c r="B221" s="106"/>
      <c r="C221" s="189"/>
      <c r="D221" s="190"/>
      <c r="E221" s="190" t="s">
        <v>627</v>
      </c>
      <c r="F221" s="157" t="str">
        <f ca="1">IFERROR(__xludf.DUMMYFUNCTION("INDEX(SPLIT(E221,""/""),,COUNTA(SPLIT(E221,""/"")))"),"1744663168478073154")</f>
        <v>1744663168478073154</v>
      </c>
      <c r="G221" s="192" t="str">
        <f t="shared" si="0"/>
        <v>@clement_molin</v>
      </c>
      <c r="H221" s="193" t="s">
        <v>624</v>
      </c>
      <c r="I221" s="106"/>
      <c r="J221" s="106"/>
      <c r="K221" s="106"/>
      <c r="L221" s="159"/>
      <c r="M221" s="76"/>
      <c r="N221" s="76"/>
      <c r="O221" s="76"/>
      <c r="P221" s="76"/>
      <c r="Q221" s="76"/>
      <c r="R221" s="76"/>
      <c r="S221" s="76"/>
      <c r="T221" s="76"/>
      <c r="U221" s="76"/>
      <c r="V221" s="162"/>
      <c r="W221" s="159"/>
      <c r="X221" s="76"/>
      <c r="Y221" s="76"/>
      <c r="Z221" s="76"/>
      <c r="AA221" s="76"/>
      <c r="AB221" s="76"/>
      <c r="AC221" s="76"/>
      <c r="AD221" s="76"/>
      <c r="AE221" s="76"/>
      <c r="AF221" s="76"/>
      <c r="AG221" s="76"/>
    </row>
    <row r="222" spans="1:33" ht="14">
      <c r="A222" s="106"/>
      <c r="B222" s="106"/>
      <c r="C222" s="189"/>
      <c r="D222" s="190"/>
      <c r="E222" s="190" t="s">
        <v>628</v>
      </c>
      <c r="F222" s="157" t="str">
        <f ca="1">IFERROR(__xludf.DUMMYFUNCTION("INDEX(SPLIT(E222,""/""),,COUNTA(SPLIT(E222,""/"")))"),"1745008353367978167")</f>
        <v>1745008353367978167</v>
      </c>
      <c r="G222" s="192" t="str">
        <f t="shared" si="0"/>
        <v>@FrenchOsint</v>
      </c>
      <c r="H222" s="193" t="s">
        <v>624</v>
      </c>
      <c r="I222" s="106"/>
      <c r="J222" s="106"/>
      <c r="K222" s="106"/>
      <c r="L222" s="159"/>
      <c r="M222" s="76"/>
      <c r="N222" s="76"/>
      <c r="O222" s="76"/>
      <c r="P222" s="76"/>
      <c r="Q222" s="76"/>
      <c r="R222" s="76"/>
      <c r="S222" s="76"/>
      <c r="T222" s="76"/>
      <c r="U222" s="76"/>
      <c r="V222" s="162"/>
      <c r="W222" s="159"/>
      <c r="X222" s="76"/>
      <c r="Y222" s="76"/>
      <c r="Z222" s="76"/>
      <c r="AA222" s="76"/>
      <c r="AB222" s="76"/>
      <c r="AC222" s="76"/>
      <c r="AD222" s="76"/>
      <c r="AE222" s="76"/>
      <c r="AF222" s="76"/>
      <c r="AG222" s="76"/>
    </row>
    <row r="223" spans="1:33" ht="14">
      <c r="A223" s="106"/>
      <c r="B223" s="106"/>
      <c r="C223" s="189"/>
      <c r="D223" s="190"/>
      <c r="E223" s="190" t="s">
        <v>629</v>
      </c>
      <c r="F223" s="157" t="str">
        <f ca="1">IFERROR(__xludf.DUMMYFUNCTION("INDEX(SPLIT(E223,""/""),,COUNTA(SPLIT(E223,""/"")))"),"1743641921690403016")</f>
        <v>1743641921690403016</v>
      </c>
      <c r="G223" s="192" t="str">
        <f t="shared" si="0"/>
        <v>@imgsat973</v>
      </c>
      <c r="H223" s="193" t="s">
        <v>624</v>
      </c>
      <c r="I223" s="106"/>
      <c r="J223" s="106"/>
      <c r="K223" s="106"/>
      <c r="L223" s="159"/>
      <c r="M223" s="76"/>
      <c r="N223" s="76"/>
      <c r="O223" s="76"/>
      <c r="P223" s="76"/>
      <c r="Q223" s="76"/>
      <c r="R223" s="76"/>
      <c r="S223" s="76"/>
      <c r="T223" s="76"/>
      <c r="U223" s="76"/>
      <c r="V223" s="162"/>
      <c r="W223" s="159"/>
      <c r="X223" s="76"/>
      <c r="Y223" s="76"/>
      <c r="Z223" s="76"/>
      <c r="AA223" s="76"/>
      <c r="AB223" s="76"/>
      <c r="AC223" s="76"/>
      <c r="AD223" s="76"/>
      <c r="AE223" s="76"/>
      <c r="AF223" s="76"/>
      <c r="AG223" s="76"/>
    </row>
    <row r="224" spans="1:33" ht="14">
      <c r="A224" s="106"/>
      <c r="B224" s="106"/>
      <c r="C224" s="189"/>
      <c r="D224" s="190"/>
      <c r="E224" s="190" t="s">
        <v>630</v>
      </c>
      <c r="F224" s="157" t="str">
        <f ca="1">IFERROR(__xludf.DUMMYFUNCTION("INDEX(SPLIT(E224,""/""),,COUNTA(SPLIT(E224,""/"")))"),"1744045105101578752")</f>
        <v>1744045105101578752</v>
      </c>
      <c r="G224" s="192" t="str">
        <f t="shared" si="0"/>
        <v>@DumortierEmily</v>
      </c>
      <c r="H224" s="193" t="s">
        <v>624</v>
      </c>
      <c r="I224" s="106"/>
      <c r="J224" s="106"/>
      <c r="K224" s="106"/>
      <c r="L224" s="159"/>
      <c r="M224" s="76"/>
      <c r="N224" s="76"/>
      <c r="O224" s="76"/>
      <c r="P224" s="76"/>
      <c r="Q224" s="76"/>
      <c r="R224" s="76"/>
      <c r="S224" s="76"/>
      <c r="T224" s="76"/>
      <c r="U224" s="76"/>
      <c r="V224" s="162"/>
      <c r="W224" s="159"/>
      <c r="X224" s="76"/>
      <c r="Y224" s="76"/>
      <c r="Z224" s="76"/>
      <c r="AA224" s="76"/>
      <c r="AB224" s="76"/>
      <c r="AC224" s="76"/>
      <c r="AD224" s="76"/>
      <c r="AE224" s="76"/>
      <c r="AF224" s="76"/>
      <c r="AG224" s="76"/>
    </row>
    <row r="225" spans="1:33" ht="14">
      <c r="A225" s="106"/>
      <c r="B225" s="106"/>
      <c r="C225" s="189"/>
      <c r="D225" s="190"/>
      <c r="E225" s="190" t="s">
        <v>631</v>
      </c>
      <c r="F225" s="157" t="str">
        <f ca="1">IFERROR(__xludf.DUMMYFUNCTION("INDEX(SPLIT(E225,""/""),,COUNTA(SPLIT(E225,""/"")))"),"1744435168532672744")</f>
        <v>1744435168532672744</v>
      </c>
      <c r="G225" s="192" t="str">
        <f t="shared" si="0"/>
        <v>@osint_random</v>
      </c>
      <c r="H225" s="193" t="s">
        <v>624</v>
      </c>
      <c r="I225" s="106"/>
      <c r="J225" s="106"/>
      <c r="K225" s="106"/>
      <c r="L225" s="159"/>
      <c r="M225" s="76"/>
      <c r="N225" s="76"/>
      <c r="O225" s="76"/>
      <c r="P225" s="76"/>
      <c r="Q225" s="76"/>
      <c r="R225" s="76"/>
      <c r="S225" s="76"/>
      <c r="T225" s="76"/>
      <c r="U225" s="76"/>
      <c r="V225" s="162"/>
      <c r="W225" s="159"/>
      <c r="X225" s="76"/>
      <c r="Y225" s="76"/>
      <c r="Z225" s="76"/>
      <c r="AA225" s="76"/>
      <c r="AB225" s="76"/>
      <c r="AC225" s="76"/>
      <c r="AD225" s="76"/>
      <c r="AE225" s="76"/>
      <c r="AF225" s="76"/>
      <c r="AG225" s="76"/>
    </row>
    <row r="226" spans="1:33" ht="14">
      <c r="A226" s="106"/>
      <c r="B226" s="106"/>
      <c r="C226" s="189"/>
      <c r="D226" s="190"/>
      <c r="E226" s="190" t="s">
        <v>632</v>
      </c>
      <c r="F226" s="157" t="str">
        <f ca="1">IFERROR(__xludf.DUMMYFUNCTION("INDEX(SPLIT(E226,""/""),,COUNTA(SPLIT(E226,""/"")))"),"1744651789142564964")</f>
        <v>1744651789142564964</v>
      </c>
      <c r="G226" s="192" t="str">
        <f t="shared" si="0"/>
        <v>@osint_random</v>
      </c>
      <c r="H226" s="193" t="s">
        <v>624</v>
      </c>
      <c r="I226" s="106"/>
      <c r="J226" s="106"/>
      <c r="K226" s="106"/>
      <c r="L226" s="159"/>
      <c r="M226" s="76"/>
      <c r="N226" s="76"/>
      <c r="O226" s="76"/>
      <c r="P226" s="76"/>
      <c r="Q226" s="76"/>
      <c r="R226" s="76"/>
      <c r="S226" s="76"/>
      <c r="T226" s="76"/>
      <c r="U226" s="76"/>
      <c r="V226" s="162"/>
      <c r="W226" s="159"/>
      <c r="X226" s="76"/>
      <c r="Y226" s="76"/>
      <c r="Z226" s="76"/>
      <c r="AA226" s="76"/>
      <c r="AB226" s="76"/>
      <c r="AC226" s="76"/>
      <c r="AD226" s="76"/>
      <c r="AE226" s="76"/>
      <c r="AF226" s="76"/>
      <c r="AG226" s="76"/>
    </row>
    <row r="227" spans="1:33" ht="14">
      <c r="A227" s="106"/>
      <c r="B227" s="106"/>
      <c r="C227" s="189"/>
      <c r="D227" s="190"/>
      <c r="E227" s="190" t="s">
        <v>633</v>
      </c>
      <c r="F227" s="157" t="str">
        <f ca="1">IFERROR(__xludf.DUMMYFUNCTION("INDEX(SPLIT(E227,""/""),,COUNTA(SPLIT(E227,""/"")))"),"1744030126990377362")</f>
        <v>1744030126990377362</v>
      </c>
      <c r="G227" s="192" t="str">
        <f t="shared" si="0"/>
        <v>@osint_random</v>
      </c>
      <c r="H227" s="193" t="s">
        <v>624</v>
      </c>
      <c r="I227" s="106"/>
      <c r="J227" s="106"/>
      <c r="K227" s="106"/>
      <c r="L227" s="159"/>
      <c r="M227" s="76"/>
      <c r="N227" s="76"/>
      <c r="O227" s="76"/>
      <c r="P227" s="76"/>
      <c r="Q227" s="76"/>
      <c r="R227" s="76"/>
      <c r="S227" s="76"/>
      <c r="T227" s="76"/>
      <c r="U227" s="76"/>
      <c r="V227" s="162"/>
      <c r="W227" s="159"/>
      <c r="X227" s="76"/>
      <c r="Y227" s="76"/>
      <c r="Z227" s="76"/>
      <c r="AA227" s="76"/>
      <c r="AB227" s="76"/>
      <c r="AC227" s="76"/>
      <c r="AD227" s="76"/>
      <c r="AE227" s="76"/>
      <c r="AF227" s="76"/>
      <c r="AG227" s="76"/>
    </row>
    <row r="228" spans="1:33" ht="14">
      <c r="A228" s="106"/>
      <c r="B228" s="106"/>
      <c r="C228" s="189"/>
      <c r="D228" s="190"/>
      <c r="E228" s="190" t="s">
        <v>634</v>
      </c>
      <c r="F228" s="157" t="str">
        <f ca="1">IFERROR(__xludf.DUMMYFUNCTION("INDEX(SPLIT(E228,""/""),,COUNTA(SPLIT(E228,""/"")))"),"1745048692057317612")</f>
        <v>1745048692057317612</v>
      </c>
      <c r="G228" s="192" t="str">
        <f t="shared" si="0"/>
        <v>@FrenchOsint</v>
      </c>
      <c r="H228" s="193" t="s">
        <v>624</v>
      </c>
      <c r="I228" s="106"/>
      <c r="J228" s="106"/>
      <c r="K228" s="106"/>
      <c r="L228" s="159"/>
      <c r="M228" s="76"/>
      <c r="N228" s="76"/>
      <c r="O228" s="76"/>
      <c r="P228" s="76"/>
      <c r="Q228" s="76"/>
      <c r="R228" s="76"/>
      <c r="S228" s="76"/>
      <c r="T228" s="76"/>
      <c r="U228" s="76"/>
      <c r="V228" s="162"/>
      <c r="W228" s="159"/>
      <c r="X228" s="76"/>
      <c r="Y228" s="76"/>
      <c r="Z228" s="76"/>
      <c r="AA228" s="76"/>
      <c r="AB228" s="76"/>
      <c r="AC228" s="76"/>
      <c r="AD228" s="76"/>
      <c r="AE228" s="76"/>
      <c r="AF228" s="76"/>
      <c r="AG228" s="76"/>
    </row>
    <row r="229" spans="1:33" ht="14">
      <c r="A229" s="106"/>
      <c r="B229" s="106"/>
      <c r="C229" s="189"/>
      <c r="D229" s="190"/>
      <c r="E229" s="190" t="s">
        <v>635</v>
      </c>
      <c r="F229" s="157" t="str">
        <f ca="1">IFERROR(__xludf.DUMMYFUNCTION("INDEX(SPLIT(E229,""/""),,COUNTA(SPLIT(E229,""/"")))"),"1742707049161486481")</f>
        <v>1742707049161486481</v>
      </c>
      <c r="G229" s="192" t="str">
        <f t="shared" si="0"/>
        <v>@osint_random</v>
      </c>
      <c r="H229" s="193" t="s">
        <v>624</v>
      </c>
      <c r="I229" s="106"/>
      <c r="J229" s="106"/>
      <c r="K229" s="106"/>
      <c r="L229" s="159"/>
      <c r="M229" s="76"/>
      <c r="N229" s="76"/>
      <c r="O229" s="76"/>
      <c r="P229" s="76"/>
      <c r="Q229" s="76"/>
      <c r="R229" s="76"/>
      <c r="S229" s="76"/>
      <c r="T229" s="76"/>
      <c r="U229" s="76"/>
      <c r="V229" s="162"/>
      <c r="W229" s="159"/>
      <c r="X229" s="76"/>
      <c r="Y229" s="76"/>
      <c r="Z229" s="76"/>
      <c r="AA229" s="76"/>
      <c r="AB229" s="76"/>
      <c r="AC229" s="76"/>
      <c r="AD229" s="76"/>
      <c r="AE229" s="76"/>
      <c r="AF229" s="76"/>
      <c r="AG229" s="76"/>
    </row>
    <row r="230" spans="1:33" ht="14">
      <c r="A230" s="106"/>
      <c r="B230" s="106"/>
      <c r="C230" s="189"/>
      <c r="D230" s="190"/>
      <c r="E230" s="190" t="s">
        <v>636</v>
      </c>
      <c r="F230" s="157" t="str">
        <f ca="1">IFERROR(__xludf.DUMMYFUNCTION("INDEX(SPLIT(E230,""/""),,COUNTA(SPLIT(E230,""/"")))"),"1743248435912867906")</f>
        <v>1743248435912867906</v>
      </c>
      <c r="G230" s="192" t="str">
        <f t="shared" si="0"/>
        <v>@RejaumontP</v>
      </c>
      <c r="H230" s="193" t="s">
        <v>624</v>
      </c>
      <c r="I230" s="106"/>
      <c r="J230" s="106"/>
      <c r="K230" s="106"/>
      <c r="L230" s="159"/>
      <c r="M230" s="76"/>
      <c r="N230" s="76"/>
      <c r="O230" s="76"/>
      <c r="P230" s="76"/>
      <c r="Q230" s="76"/>
      <c r="R230" s="76"/>
      <c r="S230" s="76"/>
      <c r="T230" s="76"/>
      <c r="U230" s="76"/>
      <c r="V230" s="162"/>
      <c r="W230" s="159"/>
      <c r="X230" s="76"/>
      <c r="Y230" s="76"/>
      <c r="Z230" s="76"/>
      <c r="AA230" s="76"/>
      <c r="AB230" s="76"/>
      <c r="AC230" s="76"/>
      <c r="AD230" s="76"/>
      <c r="AE230" s="76"/>
      <c r="AF230" s="76"/>
      <c r="AG230" s="76"/>
    </row>
    <row r="231" spans="1:33" ht="14">
      <c r="A231" s="106"/>
      <c r="B231" s="106"/>
      <c r="C231" s="189"/>
      <c r="D231" s="190"/>
      <c r="E231" s="190" t="s">
        <v>637</v>
      </c>
      <c r="F231" s="157" t="str">
        <f ca="1">IFERROR(__xludf.DUMMYFUNCTION("INDEX(SPLIT(E231,""/""),,COUNTA(SPLIT(E231,""/"")))"),"1744343813894684970")</f>
        <v>1744343813894684970</v>
      </c>
      <c r="G231" s="192" t="str">
        <f t="shared" si="0"/>
        <v>@ZLLog</v>
      </c>
      <c r="H231" s="193" t="s">
        <v>624</v>
      </c>
      <c r="I231" s="106"/>
      <c r="J231" s="106"/>
      <c r="K231" s="106"/>
      <c r="L231" s="159"/>
      <c r="M231" s="76"/>
      <c r="N231" s="76"/>
      <c r="O231" s="76"/>
      <c r="P231" s="76"/>
      <c r="Q231" s="76"/>
      <c r="R231" s="76"/>
      <c r="S231" s="76"/>
      <c r="T231" s="76"/>
      <c r="U231" s="76"/>
      <c r="V231" s="162"/>
      <c r="W231" s="159"/>
      <c r="X231" s="76"/>
      <c r="Y231" s="76"/>
      <c r="Z231" s="76"/>
      <c r="AA231" s="76"/>
      <c r="AB231" s="76"/>
      <c r="AC231" s="76"/>
      <c r="AD231" s="76"/>
      <c r="AE231" s="76"/>
      <c r="AF231" s="76"/>
      <c r="AG231" s="76"/>
    </row>
    <row r="232" spans="1:33" ht="14">
      <c r="A232" s="106"/>
      <c r="B232" s="106"/>
      <c r="C232" s="189"/>
      <c r="D232" s="190"/>
      <c r="E232" s="190" t="s">
        <v>638</v>
      </c>
      <c r="F232" s="157" t="str">
        <f ca="1">IFERROR(__xludf.DUMMYFUNCTION("INDEX(SPLIT(E232,""/""),,COUNTA(SPLIT(E232,""/"")))"),"1745039181049373028")</f>
        <v>1745039181049373028</v>
      </c>
      <c r="G232" s="192" t="str">
        <f t="shared" si="0"/>
        <v>@osint_random</v>
      </c>
      <c r="H232" s="193" t="s">
        <v>624</v>
      </c>
      <c r="I232" s="106"/>
      <c r="J232" s="106"/>
      <c r="K232" s="106"/>
      <c r="L232" s="159"/>
      <c r="M232" s="76"/>
      <c r="N232" s="76"/>
      <c r="O232" s="76"/>
      <c r="P232" s="76"/>
      <c r="Q232" s="76"/>
      <c r="R232" s="76"/>
      <c r="S232" s="76"/>
      <c r="T232" s="76"/>
      <c r="U232" s="76"/>
      <c r="V232" s="162"/>
      <c r="W232" s="159"/>
      <c r="X232" s="76"/>
      <c r="Y232" s="76"/>
      <c r="Z232" s="76"/>
      <c r="AA232" s="76"/>
      <c r="AB232" s="76"/>
      <c r="AC232" s="76"/>
      <c r="AD232" s="76"/>
      <c r="AE232" s="76"/>
      <c r="AF232" s="76"/>
      <c r="AG232" s="76"/>
    </row>
    <row r="233" spans="1:33" ht="14">
      <c r="A233" s="106"/>
      <c r="B233" s="106"/>
      <c r="C233" s="189"/>
      <c r="D233" s="190"/>
      <c r="E233" s="190" t="s">
        <v>639</v>
      </c>
      <c r="F233" s="157" t="str">
        <f ca="1">IFERROR(__xludf.DUMMYFUNCTION("INDEX(SPLIT(E233,""/""),,COUNTA(SPLIT(E233,""/"")))"),"1744474648073368027")</f>
        <v>1744474648073368027</v>
      </c>
      <c r="G233" s="192" t="str">
        <f t="shared" si="0"/>
        <v>@osint_random</v>
      </c>
      <c r="H233" s="193" t="s">
        <v>624</v>
      </c>
      <c r="I233" s="106"/>
      <c r="J233" s="106"/>
      <c r="K233" s="106"/>
      <c r="L233" s="159"/>
      <c r="M233" s="76"/>
      <c r="N233" s="76"/>
      <c r="O233" s="76"/>
      <c r="P233" s="76"/>
      <c r="Q233" s="76"/>
      <c r="R233" s="76"/>
      <c r="S233" s="76"/>
      <c r="T233" s="76"/>
      <c r="U233" s="76"/>
      <c r="V233" s="162"/>
      <c r="W233" s="159"/>
      <c r="X233" s="76"/>
      <c r="Y233" s="76"/>
      <c r="Z233" s="76"/>
      <c r="AA233" s="76"/>
      <c r="AB233" s="76"/>
      <c r="AC233" s="76"/>
      <c r="AD233" s="76"/>
      <c r="AE233" s="76"/>
      <c r="AF233" s="76"/>
      <c r="AG233" s="76"/>
    </row>
    <row r="234" spans="1:33" ht="14">
      <c r="A234" s="106"/>
      <c r="B234" s="106"/>
      <c r="C234" s="189"/>
      <c r="D234" s="190"/>
      <c r="E234" s="190" t="s">
        <v>640</v>
      </c>
      <c r="F234" s="157" t="str">
        <f ca="1">IFERROR(__xludf.DUMMYFUNCTION("INDEX(SPLIT(E234,""/""),,COUNTA(SPLIT(E234,""/"")))"),"1742704004671627334")</f>
        <v>1742704004671627334</v>
      </c>
      <c r="G234" s="192" t="str">
        <f t="shared" si="0"/>
        <v>@osint_random</v>
      </c>
      <c r="H234" s="193" t="s">
        <v>624</v>
      </c>
      <c r="I234" s="106"/>
      <c r="J234" s="106"/>
      <c r="K234" s="106"/>
      <c r="L234" s="159"/>
      <c r="M234" s="76"/>
      <c r="N234" s="76"/>
      <c r="O234" s="76"/>
      <c r="P234" s="76"/>
      <c r="Q234" s="76"/>
      <c r="R234" s="76"/>
      <c r="S234" s="76"/>
      <c r="T234" s="76"/>
      <c r="U234" s="76"/>
      <c r="V234" s="162"/>
      <c r="W234" s="159"/>
      <c r="X234" s="76"/>
      <c r="Y234" s="76"/>
      <c r="Z234" s="76"/>
      <c r="AA234" s="76"/>
      <c r="AB234" s="76"/>
      <c r="AC234" s="76"/>
      <c r="AD234" s="76"/>
      <c r="AE234" s="76"/>
      <c r="AF234" s="76"/>
      <c r="AG234" s="76"/>
    </row>
    <row r="235" spans="1:33" ht="14">
      <c r="A235" s="106"/>
      <c r="B235" s="106"/>
      <c r="C235" s="189"/>
      <c r="D235" s="190"/>
      <c r="E235" s="190" t="s">
        <v>641</v>
      </c>
      <c r="F235" s="157" t="str">
        <f ca="1">IFERROR(__xludf.DUMMYFUNCTION("INDEX(SPLIT(E235,""/""),,COUNTA(SPLIT(E235,""/"")))"),"1743336095792889989")</f>
        <v>1743336095792889989</v>
      </c>
      <c r="G235" s="192" t="str">
        <f t="shared" si="0"/>
        <v>@osint_random</v>
      </c>
      <c r="H235" s="193" t="s">
        <v>624</v>
      </c>
      <c r="I235" s="106"/>
      <c r="J235" s="106"/>
      <c r="K235" s="106"/>
      <c r="L235" s="159"/>
      <c r="M235" s="76"/>
      <c r="N235" s="76"/>
      <c r="O235" s="76"/>
      <c r="P235" s="76"/>
      <c r="Q235" s="76"/>
      <c r="R235" s="76"/>
      <c r="S235" s="76"/>
      <c r="T235" s="76"/>
      <c r="U235" s="76"/>
      <c r="V235" s="162"/>
      <c r="W235" s="159"/>
      <c r="X235" s="76"/>
      <c r="Y235" s="76"/>
      <c r="Z235" s="76"/>
      <c r="AA235" s="76"/>
      <c r="AB235" s="76"/>
      <c r="AC235" s="76"/>
      <c r="AD235" s="76"/>
      <c r="AE235" s="76"/>
      <c r="AF235" s="76"/>
      <c r="AG235" s="76"/>
    </row>
    <row r="236" spans="1:33" ht="14">
      <c r="A236" s="106"/>
      <c r="B236" s="106"/>
      <c r="C236" s="189"/>
      <c r="D236" s="190"/>
      <c r="E236" s="190" t="s">
        <v>642</v>
      </c>
      <c r="F236" s="157" t="str">
        <f ca="1">IFERROR(__xludf.DUMMYFUNCTION("INDEX(SPLIT(E236,""/""),,COUNTA(SPLIT(E236,""/"")))"),"1743614122086834307")</f>
        <v>1743614122086834307</v>
      </c>
      <c r="G236" s="192" t="str">
        <f t="shared" si="0"/>
        <v>@osint_random</v>
      </c>
      <c r="H236" s="193" t="s">
        <v>624</v>
      </c>
      <c r="I236" s="106"/>
      <c r="J236" s="106"/>
      <c r="K236" s="106"/>
      <c r="L236" s="159"/>
      <c r="M236" s="76"/>
      <c r="N236" s="76"/>
      <c r="O236" s="76"/>
      <c r="P236" s="76"/>
      <c r="Q236" s="76"/>
      <c r="R236" s="76"/>
      <c r="S236" s="76"/>
      <c r="T236" s="76"/>
      <c r="U236" s="76"/>
      <c r="V236" s="162"/>
      <c r="W236" s="159"/>
      <c r="X236" s="76"/>
      <c r="Y236" s="76"/>
      <c r="Z236" s="76"/>
      <c r="AA236" s="76"/>
      <c r="AB236" s="76"/>
      <c r="AC236" s="76"/>
      <c r="AD236" s="76"/>
      <c r="AE236" s="76"/>
      <c r="AF236" s="76"/>
      <c r="AG236" s="76"/>
    </row>
    <row r="237" spans="1:33" ht="14">
      <c r="A237" s="106"/>
      <c r="B237" s="106"/>
      <c r="C237" s="189"/>
      <c r="D237" s="190"/>
      <c r="E237" s="190" t="s">
        <v>643</v>
      </c>
      <c r="F237" s="157" t="str">
        <f ca="1">IFERROR(__xludf.DUMMYFUNCTION("INDEX(SPLIT(E237,""/""),,COUNTA(SPLIT(E237,""/"")))"),"1743721946942984300")</f>
        <v>1743721946942984300</v>
      </c>
      <c r="G237" s="192" t="str">
        <f t="shared" si="0"/>
        <v>@osint_random</v>
      </c>
      <c r="H237" s="193" t="s">
        <v>624</v>
      </c>
      <c r="I237" s="106"/>
      <c r="J237" s="106"/>
      <c r="K237" s="106"/>
      <c r="L237" s="159"/>
      <c r="M237" s="76"/>
      <c r="N237" s="76"/>
      <c r="O237" s="76"/>
      <c r="P237" s="76"/>
      <c r="Q237" s="76"/>
      <c r="R237" s="76"/>
      <c r="S237" s="76"/>
      <c r="T237" s="76"/>
      <c r="U237" s="76"/>
      <c r="V237" s="162"/>
      <c r="W237" s="159"/>
      <c r="X237" s="76"/>
      <c r="Y237" s="76"/>
      <c r="Z237" s="76"/>
      <c r="AA237" s="76"/>
      <c r="AB237" s="76"/>
      <c r="AC237" s="76"/>
      <c r="AD237" s="76"/>
      <c r="AE237" s="76"/>
      <c r="AF237" s="76"/>
      <c r="AG237" s="76"/>
    </row>
    <row r="238" spans="1:33" ht="14">
      <c r="A238" s="106"/>
      <c r="B238" s="106"/>
      <c r="C238" s="189"/>
      <c r="D238" s="190"/>
      <c r="E238" s="190" t="s">
        <v>644</v>
      </c>
      <c r="F238" s="157" t="str">
        <f ca="1">IFERROR(__xludf.DUMMYFUNCTION("INDEX(SPLIT(E238,""/""),,COUNTA(SPLIT(E238,""/"")))"),"1745202695084937706")</f>
        <v>1745202695084937706</v>
      </c>
      <c r="G238" s="192" t="str">
        <f t="shared" si="0"/>
        <v>@osint_random</v>
      </c>
      <c r="H238" s="193" t="s">
        <v>624</v>
      </c>
      <c r="I238" s="106"/>
      <c r="J238" s="106"/>
      <c r="K238" s="106"/>
      <c r="L238" s="159"/>
      <c r="M238" s="76"/>
      <c r="N238" s="76"/>
      <c r="O238" s="76"/>
      <c r="P238" s="76"/>
      <c r="Q238" s="76"/>
      <c r="R238" s="76"/>
      <c r="S238" s="76"/>
      <c r="T238" s="76"/>
      <c r="U238" s="76"/>
      <c r="V238" s="162"/>
      <c r="W238" s="159"/>
      <c r="X238" s="76"/>
      <c r="Y238" s="76"/>
      <c r="Z238" s="76"/>
      <c r="AA238" s="76"/>
      <c r="AB238" s="76"/>
      <c r="AC238" s="76"/>
      <c r="AD238" s="76"/>
      <c r="AE238" s="76"/>
      <c r="AF238" s="76"/>
      <c r="AG238" s="76"/>
    </row>
    <row r="239" spans="1:33" ht="14">
      <c r="A239" s="106"/>
      <c r="B239" s="106"/>
      <c r="C239" s="189"/>
      <c r="D239" s="190"/>
      <c r="E239" s="190" t="s">
        <v>645</v>
      </c>
      <c r="F239" s="157" t="str">
        <f ca="1">IFERROR(__xludf.DUMMYFUNCTION("INDEX(SPLIT(E239,""/""),,COUNTA(SPLIT(E239,""/"")))"),"1744117903186682334")</f>
        <v>1744117903186682334</v>
      </c>
      <c r="G239" s="192" t="str">
        <f t="shared" si="0"/>
        <v>@osint_random</v>
      </c>
      <c r="H239" s="193" t="s">
        <v>624</v>
      </c>
      <c r="I239" s="106"/>
      <c r="J239" s="106"/>
      <c r="K239" s="106"/>
      <c r="L239" s="159"/>
      <c r="M239" s="76"/>
      <c r="N239" s="76"/>
      <c r="O239" s="76"/>
      <c r="P239" s="76"/>
      <c r="Q239" s="76"/>
      <c r="R239" s="76"/>
      <c r="S239" s="76"/>
      <c r="T239" s="76"/>
      <c r="U239" s="76"/>
      <c r="V239" s="162"/>
      <c r="W239" s="159"/>
      <c r="X239" s="76"/>
      <c r="Y239" s="76"/>
      <c r="Z239" s="76"/>
      <c r="AA239" s="76"/>
      <c r="AB239" s="76"/>
      <c r="AC239" s="76"/>
      <c r="AD239" s="76"/>
      <c r="AE239" s="76"/>
      <c r="AF239" s="76"/>
      <c r="AG239" s="76"/>
    </row>
    <row r="240" spans="1:33" ht="14">
      <c r="A240" s="106"/>
      <c r="B240" s="106"/>
      <c r="C240" s="189"/>
      <c r="D240" s="190"/>
      <c r="E240" s="190" t="s">
        <v>646</v>
      </c>
      <c r="F240" s="157" t="str">
        <f ca="1">IFERROR(__xludf.DUMMYFUNCTION("INDEX(SPLIT(E240,""/""),,COUNTA(SPLIT(E240,""/"")))"),"1745229154562277431")</f>
        <v>1745229154562277431</v>
      </c>
      <c r="G240" s="192" t="str">
        <f t="shared" si="0"/>
        <v>@osint_random</v>
      </c>
      <c r="H240" s="193" t="s">
        <v>624</v>
      </c>
      <c r="I240" s="106"/>
      <c r="J240" s="106"/>
      <c r="K240" s="106"/>
      <c r="L240" s="159"/>
      <c r="M240" s="76"/>
      <c r="N240" s="76"/>
      <c r="O240" s="76"/>
      <c r="P240" s="76"/>
      <c r="Q240" s="76"/>
      <c r="R240" s="76"/>
      <c r="S240" s="76"/>
      <c r="T240" s="76"/>
      <c r="U240" s="76"/>
      <c r="V240" s="162"/>
      <c r="W240" s="159"/>
      <c r="X240" s="76"/>
      <c r="Y240" s="76"/>
      <c r="Z240" s="76"/>
      <c r="AA240" s="76"/>
      <c r="AB240" s="76"/>
      <c r="AC240" s="76"/>
      <c r="AD240" s="76"/>
      <c r="AE240" s="76"/>
      <c r="AF240" s="76"/>
      <c r="AG240" s="76"/>
    </row>
    <row r="241" spans="1:33" ht="14">
      <c r="A241" s="106"/>
      <c r="B241" s="106"/>
      <c r="C241" s="189"/>
      <c r="D241" s="190"/>
      <c r="E241" s="190" t="s">
        <v>647</v>
      </c>
      <c r="F241" s="157" t="str">
        <f ca="1">IFERROR(__xludf.DUMMYFUNCTION("INDEX(SPLIT(E241,""/""),,COUNTA(SPLIT(E241,""/"")))"),"1743564710027362417")</f>
        <v>1743564710027362417</v>
      </c>
      <c r="G241" s="192" t="str">
        <f t="shared" si="0"/>
        <v>@rudyurbaniak</v>
      </c>
      <c r="H241" s="193" t="s">
        <v>624</v>
      </c>
      <c r="I241" s="106"/>
      <c r="J241" s="106"/>
      <c r="K241" s="106"/>
      <c r="L241" s="159"/>
      <c r="M241" s="76"/>
      <c r="N241" s="76"/>
      <c r="O241" s="76"/>
      <c r="P241" s="76"/>
      <c r="Q241" s="76"/>
      <c r="R241" s="76"/>
      <c r="S241" s="76"/>
      <c r="T241" s="76"/>
      <c r="U241" s="76"/>
      <c r="V241" s="162"/>
      <c r="W241" s="159"/>
      <c r="X241" s="76"/>
      <c r="Y241" s="76"/>
      <c r="Z241" s="76"/>
      <c r="AA241" s="76"/>
      <c r="AB241" s="76"/>
      <c r="AC241" s="76"/>
      <c r="AD241" s="76"/>
      <c r="AE241" s="76"/>
      <c r="AF241" s="76"/>
      <c r="AG241" s="76"/>
    </row>
    <row r="242" spans="1:33" ht="14">
      <c r="A242" s="106"/>
      <c r="B242" s="106"/>
      <c r="C242" s="189"/>
      <c r="D242" s="190"/>
      <c r="E242" s="190" t="s">
        <v>636</v>
      </c>
      <c r="F242" s="157" t="str">
        <f ca="1">IFERROR(__xludf.DUMMYFUNCTION("INDEX(SPLIT(E242,""/""),,COUNTA(SPLIT(E242,""/"")))"),"1743248435912867906")</f>
        <v>1743248435912867906</v>
      </c>
      <c r="G242" s="192" t="str">
        <f t="shared" si="0"/>
        <v>@RejaumontP</v>
      </c>
      <c r="H242" s="193" t="s">
        <v>624</v>
      </c>
      <c r="I242" s="106"/>
      <c r="J242" s="106"/>
      <c r="K242" s="106"/>
      <c r="L242" s="159"/>
      <c r="M242" s="76"/>
      <c r="N242" s="76"/>
      <c r="O242" s="76"/>
      <c r="P242" s="76"/>
      <c r="Q242" s="76"/>
      <c r="R242" s="76"/>
      <c r="S242" s="76"/>
      <c r="T242" s="76"/>
      <c r="U242" s="76"/>
      <c r="V242" s="162"/>
      <c r="W242" s="159"/>
      <c r="X242" s="76"/>
      <c r="Y242" s="76"/>
      <c r="Z242" s="76"/>
      <c r="AA242" s="76"/>
      <c r="AB242" s="76"/>
      <c r="AC242" s="76"/>
      <c r="AD242" s="76"/>
      <c r="AE242" s="76"/>
      <c r="AF242" s="76"/>
      <c r="AG242" s="76"/>
    </row>
    <row r="243" spans="1:33" ht="14">
      <c r="A243" s="106"/>
      <c r="B243" s="106"/>
      <c r="C243" s="189"/>
      <c r="D243" s="190"/>
      <c r="E243" s="190" t="s">
        <v>637</v>
      </c>
      <c r="F243" s="157" t="str">
        <f ca="1">IFERROR(__xludf.DUMMYFUNCTION("INDEX(SPLIT(E243,""/""),,COUNTA(SPLIT(E243,""/"")))"),"1744343813894684970")</f>
        <v>1744343813894684970</v>
      </c>
      <c r="G243" s="192" t="str">
        <f t="shared" si="0"/>
        <v>@ZLLog</v>
      </c>
      <c r="H243" s="193" t="s">
        <v>624</v>
      </c>
      <c r="I243" s="106"/>
      <c r="J243" s="106"/>
      <c r="K243" s="106"/>
      <c r="L243" s="159"/>
      <c r="M243" s="76"/>
      <c r="N243" s="76"/>
      <c r="O243" s="76"/>
      <c r="P243" s="76"/>
      <c r="Q243" s="76"/>
      <c r="R243" s="76"/>
      <c r="S243" s="76"/>
      <c r="T243" s="76"/>
      <c r="U243" s="76"/>
      <c r="V243" s="162"/>
      <c r="W243" s="159"/>
      <c r="X243" s="76"/>
      <c r="Y243" s="76"/>
      <c r="Z243" s="76"/>
      <c r="AA243" s="76"/>
      <c r="AB243" s="76"/>
      <c r="AC243" s="76"/>
      <c r="AD243" s="76"/>
      <c r="AE243" s="76"/>
      <c r="AF243" s="76"/>
      <c r="AG243" s="76"/>
    </row>
    <row r="244" spans="1:33" ht="14">
      <c r="A244" s="106"/>
      <c r="B244" s="106"/>
      <c r="C244" s="189"/>
      <c r="D244" s="190"/>
      <c r="E244" s="190" t="s">
        <v>638</v>
      </c>
      <c r="F244" s="157" t="str">
        <f ca="1">IFERROR(__xludf.DUMMYFUNCTION("INDEX(SPLIT(E244,""/""),,COUNTA(SPLIT(E244,""/"")))"),"1745039181049373028")</f>
        <v>1745039181049373028</v>
      </c>
      <c r="G244" s="192" t="str">
        <f t="shared" si="0"/>
        <v>@osint_random</v>
      </c>
      <c r="H244" s="193" t="s">
        <v>624</v>
      </c>
      <c r="I244" s="106"/>
      <c r="J244" s="106"/>
      <c r="K244" s="106"/>
      <c r="L244" s="159"/>
      <c r="M244" s="76"/>
      <c r="N244" s="76"/>
      <c r="O244" s="76"/>
      <c r="P244" s="76"/>
      <c r="Q244" s="76"/>
      <c r="R244" s="76"/>
      <c r="S244" s="76"/>
      <c r="T244" s="76"/>
      <c r="U244" s="76"/>
      <c r="V244" s="162"/>
      <c r="W244" s="159"/>
      <c r="X244" s="76"/>
      <c r="Y244" s="76"/>
      <c r="Z244" s="76"/>
      <c r="AA244" s="76"/>
      <c r="AB244" s="76"/>
      <c r="AC244" s="76"/>
      <c r="AD244" s="76"/>
      <c r="AE244" s="76"/>
      <c r="AF244" s="76"/>
      <c r="AG244" s="76"/>
    </row>
    <row r="245" spans="1:33" ht="14">
      <c r="A245" s="106"/>
      <c r="B245" s="106"/>
      <c r="C245" s="189"/>
      <c r="D245" s="190"/>
      <c r="E245" s="190" t="s">
        <v>639</v>
      </c>
      <c r="F245" s="157" t="str">
        <f ca="1">IFERROR(__xludf.DUMMYFUNCTION("INDEX(SPLIT(E245,""/""),,COUNTA(SPLIT(E245,""/"")))"),"1744474648073368027")</f>
        <v>1744474648073368027</v>
      </c>
      <c r="G245" s="192" t="str">
        <f t="shared" si="0"/>
        <v>@osint_random</v>
      </c>
      <c r="H245" s="193" t="s">
        <v>624</v>
      </c>
      <c r="I245" s="106"/>
      <c r="J245" s="106"/>
      <c r="K245" s="106"/>
      <c r="L245" s="159"/>
      <c r="M245" s="76"/>
      <c r="N245" s="76"/>
      <c r="O245" s="76"/>
      <c r="P245" s="76"/>
      <c r="Q245" s="76"/>
      <c r="R245" s="76"/>
      <c r="S245" s="76"/>
      <c r="T245" s="76"/>
      <c r="U245" s="76"/>
      <c r="V245" s="162"/>
      <c r="W245" s="159"/>
      <c r="X245" s="76"/>
      <c r="Y245" s="76"/>
      <c r="Z245" s="76"/>
      <c r="AA245" s="76"/>
      <c r="AB245" s="76"/>
      <c r="AC245" s="76"/>
      <c r="AD245" s="76"/>
      <c r="AE245" s="76"/>
      <c r="AF245" s="76"/>
      <c r="AG245" s="76"/>
    </row>
    <row r="246" spans="1:33" ht="14">
      <c r="A246" s="106"/>
      <c r="B246" s="106"/>
      <c r="C246" s="189"/>
      <c r="D246" s="190"/>
      <c r="E246" s="190" t="s">
        <v>640</v>
      </c>
      <c r="F246" s="157" t="str">
        <f ca="1">IFERROR(__xludf.DUMMYFUNCTION("INDEX(SPLIT(E246,""/""),,COUNTA(SPLIT(E246,""/"")))"),"1742704004671627334")</f>
        <v>1742704004671627334</v>
      </c>
      <c r="G246" s="192" t="str">
        <f t="shared" si="0"/>
        <v>@osint_random</v>
      </c>
      <c r="H246" s="193" t="s">
        <v>624</v>
      </c>
      <c r="I246" s="106"/>
      <c r="J246" s="106"/>
      <c r="K246" s="106"/>
      <c r="L246" s="159"/>
      <c r="M246" s="76"/>
      <c r="N246" s="76"/>
      <c r="O246" s="76"/>
      <c r="P246" s="76"/>
      <c r="Q246" s="76"/>
      <c r="R246" s="76"/>
      <c r="S246" s="76"/>
      <c r="T246" s="76"/>
      <c r="U246" s="76"/>
      <c r="V246" s="162"/>
      <c r="W246" s="159"/>
      <c r="X246" s="76"/>
      <c r="Y246" s="76"/>
      <c r="Z246" s="76"/>
      <c r="AA246" s="76"/>
      <c r="AB246" s="76"/>
      <c r="AC246" s="76"/>
      <c r="AD246" s="76"/>
      <c r="AE246" s="76"/>
      <c r="AF246" s="76"/>
      <c r="AG246" s="76"/>
    </row>
    <row r="247" spans="1:33" ht="14">
      <c r="A247" s="106"/>
      <c r="B247" s="106"/>
      <c r="C247" s="189"/>
      <c r="D247" s="190"/>
      <c r="E247" s="190" t="s">
        <v>641</v>
      </c>
      <c r="F247" s="157" t="str">
        <f ca="1">IFERROR(__xludf.DUMMYFUNCTION("INDEX(SPLIT(E247,""/""),,COUNTA(SPLIT(E247,""/"")))"),"1743336095792889989")</f>
        <v>1743336095792889989</v>
      </c>
      <c r="G247" s="192" t="str">
        <f t="shared" si="0"/>
        <v>@osint_random</v>
      </c>
      <c r="H247" s="193" t="s">
        <v>624</v>
      </c>
      <c r="I247" s="106"/>
      <c r="J247" s="106"/>
      <c r="K247" s="106"/>
      <c r="L247" s="159"/>
      <c r="M247" s="76"/>
      <c r="N247" s="76"/>
      <c r="O247" s="76"/>
      <c r="P247" s="76"/>
      <c r="Q247" s="76"/>
      <c r="R247" s="76"/>
      <c r="S247" s="76"/>
      <c r="T247" s="76"/>
      <c r="U247" s="76"/>
      <c r="V247" s="162"/>
      <c r="W247" s="159"/>
      <c r="X247" s="76"/>
      <c r="Y247" s="76"/>
      <c r="Z247" s="76"/>
      <c r="AA247" s="76"/>
      <c r="AB247" s="76"/>
      <c r="AC247" s="76"/>
      <c r="AD247" s="76"/>
      <c r="AE247" s="76"/>
      <c r="AF247" s="76"/>
      <c r="AG247" s="76"/>
    </row>
    <row r="248" spans="1:33" ht="14">
      <c r="A248" s="106"/>
      <c r="B248" s="106"/>
      <c r="C248" s="189"/>
      <c r="D248" s="190"/>
      <c r="E248" s="190" t="s">
        <v>642</v>
      </c>
      <c r="F248" s="157" t="str">
        <f ca="1">IFERROR(__xludf.DUMMYFUNCTION("INDEX(SPLIT(E248,""/""),,COUNTA(SPLIT(E248,""/"")))"),"1743614122086834307")</f>
        <v>1743614122086834307</v>
      </c>
      <c r="G248" s="192" t="str">
        <f t="shared" si="0"/>
        <v>@osint_random</v>
      </c>
      <c r="H248" s="193" t="s">
        <v>624</v>
      </c>
      <c r="I248" s="106"/>
      <c r="J248" s="106"/>
      <c r="K248" s="106"/>
      <c r="L248" s="159"/>
      <c r="M248" s="76"/>
      <c r="N248" s="76"/>
      <c r="O248" s="76"/>
      <c r="P248" s="76"/>
      <c r="Q248" s="76"/>
      <c r="R248" s="76"/>
      <c r="S248" s="76"/>
      <c r="T248" s="76"/>
      <c r="U248" s="76"/>
      <c r="V248" s="162"/>
      <c r="W248" s="159"/>
      <c r="X248" s="76"/>
      <c r="Y248" s="76"/>
      <c r="Z248" s="76"/>
      <c r="AA248" s="76"/>
      <c r="AB248" s="76"/>
      <c r="AC248" s="76"/>
      <c r="AD248" s="76"/>
      <c r="AE248" s="76"/>
      <c r="AF248" s="76"/>
      <c r="AG248" s="76"/>
    </row>
    <row r="249" spans="1:33" ht="14">
      <c r="A249" s="106"/>
      <c r="B249" s="106"/>
      <c r="C249" s="189"/>
      <c r="D249" s="190"/>
      <c r="E249" s="190" t="s">
        <v>643</v>
      </c>
      <c r="F249" s="157" t="str">
        <f ca="1">IFERROR(__xludf.DUMMYFUNCTION("INDEX(SPLIT(E249,""/""),,COUNTA(SPLIT(E249,""/"")))"),"1743721946942984300")</f>
        <v>1743721946942984300</v>
      </c>
      <c r="G249" s="192" t="str">
        <f t="shared" si="0"/>
        <v>@osint_random</v>
      </c>
      <c r="H249" s="193" t="s">
        <v>624</v>
      </c>
      <c r="I249" s="106"/>
      <c r="J249" s="106"/>
      <c r="K249" s="106"/>
      <c r="L249" s="159"/>
      <c r="M249" s="76"/>
      <c r="N249" s="76"/>
      <c r="O249" s="76"/>
      <c r="P249" s="76"/>
      <c r="Q249" s="76"/>
      <c r="R249" s="76"/>
      <c r="S249" s="76"/>
      <c r="T249" s="76"/>
      <c r="U249" s="76"/>
      <c r="V249" s="162"/>
      <c r="W249" s="159"/>
      <c r="X249" s="76"/>
      <c r="Y249" s="76"/>
      <c r="Z249" s="76"/>
      <c r="AA249" s="76"/>
      <c r="AB249" s="76"/>
      <c r="AC249" s="76"/>
      <c r="AD249" s="76"/>
      <c r="AE249" s="76"/>
      <c r="AF249" s="76"/>
      <c r="AG249" s="76"/>
    </row>
    <row r="250" spans="1:33" ht="14">
      <c r="A250" s="106"/>
      <c r="B250" s="106"/>
      <c r="C250" s="189"/>
      <c r="D250" s="190"/>
      <c r="E250" s="190" t="s">
        <v>644</v>
      </c>
      <c r="F250" s="157" t="str">
        <f ca="1">IFERROR(__xludf.DUMMYFUNCTION("INDEX(SPLIT(E250,""/""),,COUNTA(SPLIT(E250,""/"")))"),"1745202695084937706")</f>
        <v>1745202695084937706</v>
      </c>
      <c r="G250" s="192" t="str">
        <f t="shared" si="0"/>
        <v>@osint_random</v>
      </c>
      <c r="H250" s="193" t="s">
        <v>624</v>
      </c>
      <c r="I250" s="106"/>
      <c r="J250" s="106"/>
      <c r="K250" s="106"/>
      <c r="L250" s="159"/>
      <c r="M250" s="76"/>
      <c r="N250" s="76"/>
      <c r="O250" s="76"/>
      <c r="P250" s="76"/>
      <c r="Q250" s="76"/>
      <c r="R250" s="76"/>
      <c r="S250" s="76"/>
      <c r="T250" s="76"/>
      <c r="U250" s="76"/>
      <c r="V250" s="162"/>
      <c r="W250" s="159"/>
      <c r="X250" s="76"/>
      <c r="Y250" s="76"/>
      <c r="Z250" s="76"/>
      <c r="AA250" s="76"/>
      <c r="AB250" s="76"/>
      <c r="AC250" s="76"/>
      <c r="AD250" s="76"/>
      <c r="AE250" s="76"/>
      <c r="AF250" s="76"/>
      <c r="AG250" s="76"/>
    </row>
    <row r="251" spans="1:33" ht="14">
      <c r="A251" s="106"/>
      <c r="B251" s="106"/>
      <c r="C251" s="189"/>
      <c r="D251" s="190"/>
      <c r="E251" s="190" t="s">
        <v>645</v>
      </c>
      <c r="F251" s="157" t="str">
        <f ca="1">IFERROR(__xludf.DUMMYFUNCTION("INDEX(SPLIT(E251,""/""),,COUNTA(SPLIT(E251,""/"")))"),"1744117903186682334")</f>
        <v>1744117903186682334</v>
      </c>
      <c r="G251" s="192" t="str">
        <f t="shared" si="0"/>
        <v>@osint_random</v>
      </c>
      <c r="H251" s="193" t="s">
        <v>624</v>
      </c>
      <c r="I251" s="106"/>
      <c r="J251" s="106"/>
      <c r="K251" s="106"/>
      <c r="L251" s="159"/>
      <c r="M251" s="76"/>
      <c r="N251" s="76"/>
      <c r="O251" s="76"/>
      <c r="P251" s="76"/>
      <c r="Q251" s="76"/>
      <c r="R251" s="76"/>
      <c r="S251" s="76"/>
      <c r="T251" s="76"/>
      <c r="U251" s="76"/>
      <c r="V251" s="162"/>
      <c r="W251" s="159"/>
      <c r="X251" s="76"/>
      <c r="Y251" s="76"/>
      <c r="Z251" s="76"/>
      <c r="AA251" s="76"/>
      <c r="AB251" s="76"/>
      <c r="AC251" s="76"/>
      <c r="AD251" s="76"/>
      <c r="AE251" s="76"/>
      <c r="AF251" s="76"/>
      <c r="AG251" s="76"/>
    </row>
    <row r="252" spans="1:33" ht="14">
      <c r="A252" s="106"/>
      <c r="B252" s="106"/>
      <c r="C252" s="189"/>
      <c r="D252" s="190"/>
      <c r="E252" s="190" t="s">
        <v>646</v>
      </c>
      <c r="F252" s="157" t="str">
        <f ca="1">IFERROR(__xludf.DUMMYFUNCTION("INDEX(SPLIT(E252,""/""),,COUNTA(SPLIT(E252,""/"")))"),"1745229154562277431")</f>
        <v>1745229154562277431</v>
      </c>
      <c r="G252" s="192" t="str">
        <f t="shared" si="0"/>
        <v>@osint_random</v>
      </c>
      <c r="H252" s="193" t="s">
        <v>624</v>
      </c>
      <c r="I252" s="106"/>
      <c r="J252" s="106"/>
      <c r="K252" s="106"/>
      <c r="L252" s="159"/>
      <c r="M252" s="76"/>
      <c r="N252" s="76"/>
      <c r="O252" s="76"/>
      <c r="P252" s="76"/>
      <c r="Q252" s="76"/>
      <c r="R252" s="76"/>
      <c r="S252" s="76"/>
      <c r="T252" s="76"/>
      <c r="U252" s="76"/>
      <c r="V252" s="162"/>
      <c r="W252" s="159"/>
      <c r="X252" s="76"/>
      <c r="Y252" s="76"/>
      <c r="Z252" s="76"/>
      <c r="AA252" s="76"/>
      <c r="AB252" s="76"/>
      <c r="AC252" s="76"/>
      <c r="AD252" s="76"/>
      <c r="AE252" s="76"/>
      <c r="AF252" s="76"/>
      <c r="AG252" s="76"/>
    </row>
    <row r="253" spans="1:33" ht="14">
      <c r="A253" s="106"/>
      <c r="B253" s="106"/>
      <c r="C253" s="189"/>
      <c r="D253" s="190"/>
      <c r="E253" s="190" t="s">
        <v>647</v>
      </c>
      <c r="F253" s="157" t="str">
        <f ca="1">IFERROR(__xludf.DUMMYFUNCTION("INDEX(SPLIT(E253,""/""),,COUNTA(SPLIT(E253,""/"")))"),"1743564710027362417")</f>
        <v>1743564710027362417</v>
      </c>
      <c r="G253" s="192" t="str">
        <f t="shared" si="0"/>
        <v>@rudyurbaniak</v>
      </c>
      <c r="H253" s="193" t="s">
        <v>624</v>
      </c>
      <c r="I253" s="106"/>
      <c r="J253" s="106"/>
      <c r="K253" s="106"/>
      <c r="L253" s="159"/>
      <c r="M253" s="76"/>
      <c r="N253" s="76"/>
      <c r="O253" s="76"/>
      <c r="P253" s="76"/>
      <c r="Q253" s="76"/>
      <c r="R253" s="76"/>
      <c r="S253" s="76"/>
      <c r="T253" s="76"/>
      <c r="U253" s="76"/>
      <c r="V253" s="162"/>
      <c r="W253" s="159"/>
      <c r="X253" s="76"/>
      <c r="Y253" s="76"/>
      <c r="Z253" s="76"/>
      <c r="AA253" s="76"/>
      <c r="AB253" s="76"/>
      <c r="AC253" s="76"/>
      <c r="AD253" s="76"/>
      <c r="AE253" s="76"/>
      <c r="AF253" s="76"/>
      <c r="AG253" s="76"/>
    </row>
    <row r="254" spans="1:33" ht="14">
      <c r="A254" s="106"/>
      <c r="B254" s="106"/>
      <c r="C254" s="189"/>
      <c r="D254" s="190"/>
      <c r="E254" s="190" t="s">
        <v>648</v>
      </c>
      <c r="F254" s="157" t="str">
        <f ca="1">IFERROR(__xludf.DUMMYFUNCTION("INDEX(SPLIT(E254,""/""),,COUNTA(SPLIT(E254,""/"")))"),"1744343193414492349")</f>
        <v>1744343193414492349</v>
      </c>
      <c r="G254" s="192" t="str">
        <f t="shared" si="0"/>
        <v>@osint_random</v>
      </c>
      <c r="H254" s="193" t="s">
        <v>624</v>
      </c>
      <c r="I254" s="106"/>
      <c r="J254" s="106"/>
      <c r="K254" s="106"/>
      <c r="L254" s="159"/>
      <c r="M254" s="76"/>
      <c r="N254" s="76"/>
      <c r="O254" s="76"/>
      <c r="P254" s="76"/>
      <c r="Q254" s="76"/>
      <c r="R254" s="76"/>
      <c r="S254" s="76"/>
      <c r="T254" s="76"/>
      <c r="U254" s="76"/>
      <c r="V254" s="162"/>
      <c r="W254" s="159"/>
      <c r="X254" s="76"/>
      <c r="Y254" s="76"/>
      <c r="Z254" s="76"/>
      <c r="AA254" s="76"/>
      <c r="AB254" s="76"/>
      <c r="AC254" s="76"/>
      <c r="AD254" s="76"/>
      <c r="AE254" s="76"/>
      <c r="AF254" s="76"/>
      <c r="AG254" s="76"/>
    </row>
    <row r="255" spans="1:33" ht="14">
      <c r="A255" s="106"/>
      <c r="B255" s="106"/>
      <c r="C255" s="189"/>
      <c r="D255" s="190"/>
      <c r="E255" s="190" t="s">
        <v>649</v>
      </c>
      <c r="F255" s="157" t="str">
        <f ca="1">IFERROR(__xludf.DUMMYFUNCTION("INDEX(SPLIT(E255,""/""),,COUNTA(SPLIT(E255,""/"")))"),"1743682996937408790")</f>
        <v>1743682996937408790</v>
      </c>
      <c r="G255" s="192" t="str">
        <f t="shared" si="0"/>
        <v>@mathieuandro</v>
      </c>
      <c r="H255" s="193" t="s">
        <v>624</v>
      </c>
      <c r="I255" s="106"/>
      <c r="J255" s="106"/>
      <c r="K255" s="106"/>
      <c r="L255" s="159"/>
      <c r="M255" s="76"/>
      <c r="N255" s="76"/>
      <c r="O255" s="76"/>
      <c r="P255" s="76"/>
      <c r="Q255" s="76"/>
      <c r="R255" s="76"/>
      <c r="S255" s="76"/>
      <c r="T255" s="76"/>
      <c r="U255" s="76"/>
      <c r="V255" s="162"/>
      <c r="W255" s="159"/>
      <c r="X255" s="76"/>
      <c r="Y255" s="76"/>
      <c r="Z255" s="76"/>
      <c r="AA255" s="76"/>
      <c r="AB255" s="76"/>
      <c r="AC255" s="76"/>
      <c r="AD255" s="76"/>
      <c r="AE255" s="76"/>
      <c r="AF255" s="76"/>
      <c r="AG255" s="76"/>
    </row>
    <row r="256" spans="1:33" ht="14">
      <c r="A256" s="106"/>
      <c r="B256" s="106"/>
      <c r="C256" s="189"/>
      <c r="D256" s="190"/>
      <c r="E256" s="190" t="s">
        <v>650</v>
      </c>
      <c r="F256" s="157" t="str">
        <f ca="1">IFERROR(__xludf.DUMMYFUNCTION("INDEX(SPLIT(E256,""/""),,COUNTA(SPLIT(E256,""/"")))"),"1743546031365587299")</f>
        <v>1743546031365587299</v>
      </c>
      <c r="G256" s="192" t="str">
        <f t="shared" si="0"/>
        <v>@korben_rss</v>
      </c>
      <c r="H256" s="193" t="s">
        <v>624</v>
      </c>
      <c r="I256" s="106"/>
      <c r="J256" s="106"/>
      <c r="K256" s="106"/>
      <c r="L256" s="159"/>
      <c r="M256" s="76"/>
      <c r="N256" s="76"/>
      <c r="O256" s="76"/>
      <c r="P256" s="76"/>
      <c r="Q256" s="76"/>
      <c r="R256" s="76"/>
      <c r="S256" s="76"/>
      <c r="T256" s="76"/>
      <c r="U256" s="76"/>
      <c r="V256" s="162"/>
      <c r="W256" s="159"/>
      <c r="X256" s="76"/>
      <c r="Y256" s="76"/>
      <c r="Z256" s="76"/>
      <c r="AA256" s="76"/>
      <c r="AB256" s="76"/>
      <c r="AC256" s="76"/>
      <c r="AD256" s="76"/>
      <c r="AE256" s="76"/>
      <c r="AF256" s="76"/>
      <c r="AG256" s="76"/>
    </row>
    <row r="257" spans="1:33" ht="14">
      <c r="A257" s="106"/>
      <c r="B257" s="106"/>
      <c r="C257" s="189"/>
      <c r="D257" s="190"/>
      <c r="E257" s="190" t="s">
        <v>651</v>
      </c>
      <c r="F257" s="157" t="str">
        <f ca="1">IFERROR(__xludf.DUMMYFUNCTION("INDEX(SPLIT(E257,""/""),,COUNTA(SPLIT(E257,""/"")))"),"1743753979790565833")</f>
        <v>1743753979790565833</v>
      </c>
      <c r="G257" s="192" t="str">
        <f t="shared" si="0"/>
        <v>@osint_random</v>
      </c>
      <c r="H257" s="193" t="s">
        <v>624</v>
      </c>
      <c r="I257" s="106"/>
      <c r="J257" s="106"/>
      <c r="K257" s="106"/>
      <c r="L257" s="159"/>
      <c r="M257" s="76"/>
      <c r="N257" s="76"/>
      <c r="O257" s="76"/>
      <c r="P257" s="76"/>
      <c r="Q257" s="76"/>
      <c r="R257" s="76"/>
      <c r="S257" s="76"/>
      <c r="T257" s="76"/>
      <c r="U257" s="76"/>
      <c r="V257" s="162"/>
      <c r="W257" s="159"/>
      <c r="X257" s="76"/>
      <c r="Y257" s="76"/>
      <c r="Z257" s="76"/>
      <c r="AA257" s="76"/>
      <c r="AB257" s="76"/>
      <c r="AC257" s="76"/>
      <c r="AD257" s="76"/>
      <c r="AE257" s="76"/>
      <c r="AF257" s="76"/>
      <c r="AG257" s="76"/>
    </row>
    <row r="258" spans="1:33" ht="14">
      <c r="A258" s="106"/>
      <c r="B258" s="106"/>
      <c r="C258" s="189"/>
      <c r="D258" s="190"/>
      <c r="E258" s="190" t="s">
        <v>652</v>
      </c>
      <c r="F258" s="157" t="str">
        <f ca="1">IFERROR(__xludf.DUMMYFUNCTION("INDEX(SPLIT(E258,""/""),,COUNTA(SPLIT(E258,""/"")))"),"1743290627519811850")</f>
        <v>1743290627519811850</v>
      </c>
      <c r="G258" s="192" t="str">
        <f t="shared" si="0"/>
        <v>@andrefrigon2</v>
      </c>
      <c r="H258" s="193" t="s">
        <v>624</v>
      </c>
      <c r="I258" s="106"/>
      <c r="J258" s="106"/>
      <c r="K258" s="106"/>
      <c r="L258" s="159"/>
      <c r="M258" s="76"/>
      <c r="N258" s="76"/>
      <c r="O258" s="76"/>
      <c r="P258" s="76"/>
      <c r="Q258" s="76"/>
      <c r="R258" s="76"/>
      <c r="S258" s="76"/>
      <c r="T258" s="76"/>
      <c r="U258" s="76"/>
      <c r="V258" s="162"/>
      <c r="W258" s="159"/>
      <c r="X258" s="76"/>
      <c r="Y258" s="76"/>
      <c r="Z258" s="76"/>
      <c r="AA258" s="76"/>
      <c r="AB258" s="76"/>
      <c r="AC258" s="76"/>
      <c r="AD258" s="76"/>
      <c r="AE258" s="76"/>
      <c r="AF258" s="76"/>
      <c r="AG258" s="76"/>
    </row>
    <row r="259" spans="1:33" ht="14">
      <c r="A259" s="106"/>
      <c r="B259" s="106"/>
      <c r="C259" s="189"/>
      <c r="D259" s="190"/>
      <c r="E259" s="190" t="s">
        <v>653</v>
      </c>
      <c r="F259" s="157" t="str">
        <f ca="1">IFERROR(__xludf.DUMMYFUNCTION("INDEX(SPLIT(E259,""/""),,COUNTA(SPLIT(E259,""/"")))"),"1742611240365482441")</f>
        <v>1742611240365482441</v>
      </c>
      <c r="G259" s="192" t="str">
        <f t="shared" si="0"/>
        <v>@osint_random</v>
      </c>
      <c r="H259" s="193" t="s">
        <v>624</v>
      </c>
      <c r="I259" s="106"/>
      <c r="J259" s="106"/>
      <c r="K259" s="106"/>
      <c r="L259" s="159"/>
      <c r="M259" s="76"/>
      <c r="N259" s="76"/>
      <c r="O259" s="76"/>
      <c r="P259" s="76"/>
      <c r="Q259" s="76"/>
      <c r="R259" s="76"/>
      <c r="S259" s="76"/>
      <c r="T259" s="76"/>
      <c r="U259" s="76"/>
      <c r="V259" s="162"/>
      <c r="W259" s="159"/>
      <c r="X259" s="76"/>
      <c r="Y259" s="76"/>
      <c r="Z259" s="76"/>
      <c r="AA259" s="76"/>
      <c r="AB259" s="76"/>
      <c r="AC259" s="76"/>
      <c r="AD259" s="76"/>
      <c r="AE259" s="76"/>
      <c r="AF259" s="76"/>
      <c r="AG259" s="76"/>
    </row>
    <row r="260" spans="1:33" ht="14">
      <c r="A260" s="106"/>
      <c r="B260" s="106"/>
      <c r="C260" s="189"/>
      <c r="D260" s="190"/>
      <c r="E260" s="190" t="s">
        <v>654</v>
      </c>
      <c r="F260" s="157" t="str">
        <f ca="1">IFERROR(__xludf.DUMMYFUNCTION("INDEX(SPLIT(E260,""/""),,COUNTA(SPLIT(E260,""/"")))"),"1742916166530846978")</f>
        <v>1742916166530846978</v>
      </c>
      <c r="G260" s="192" t="str">
        <f t="shared" si="0"/>
        <v>@osint_random</v>
      </c>
      <c r="H260" s="193" t="s">
        <v>624</v>
      </c>
      <c r="I260" s="106"/>
      <c r="J260" s="106"/>
      <c r="K260" s="106"/>
      <c r="L260" s="159"/>
      <c r="M260" s="76"/>
      <c r="N260" s="76"/>
      <c r="O260" s="76"/>
      <c r="P260" s="76"/>
      <c r="Q260" s="76"/>
      <c r="R260" s="76"/>
      <c r="S260" s="76"/>
      <c r="T260" s="76"/>
      <c r="U260" s="76"/>
      <c r="V260" s="162"/>
      <c r="W260" s="159"/>
      <c r="X260" s="76"/>
      <c r="Y260" s="76"/>
      <c r="Z260" s="76"/>
      <c r="AA260" s="76"/>
      <c r="AB260" s="76"/>
      <c r="AC260" s="76"/>
      <c r="AD260" s="76"/>
      <c r="AE260" s="76"/>
      <c r="AF260" s="76"/>
      <c r="AG260" s="76"/>
    </row>
    <row r="261" spans="1:33" ht="14">
      <c r="A261" s="106"/>
      <c r="B261" s="106"/>
      <c r="C261" s="189"/>
      <c r="D261" s="190"/>
      <c r="E261" s="190" t="s">
        <v>655</v>
      </c>
      <c r="F261" s="157" t="str">
        <f ca="1">IFERROR(__xludf.DUMMYFUNCTION("INDEX(SPLIT(E261,""/""),,COUNTA(SPLIT(E261,""/"")))"),"1743977680142324208")</f>
        <v>1743977680142324208</v>
      </c>
      <c r="G261" s="192" t="str">
        <f t="shared" si="0"/>
        <v>@osint_random</v>
      </c>
      <c r="H261" s="193" t="s">
        <v>624</v>
      </c>
      <c r="I261" s="106"/>
      <c r="J261" s="106"/>
      <c r="K261" s="106"/>
      <c r="L261" s="159"/>
      <c r="M261" s="76"/>
      <c r="N261" s="76"/>
      <c r="O261" s="76"/>
      <c r="P261" s="76"/>
      <c r="Q261" s="76"/>
      <c r="R261" s="76"/>
      <c r="S261" s="76"/>
      <c r="T261" s="76"/>
      <c r="U261" s="76"/>
      <c r="V261" s="162"/>
      <c r="W261" s="159"/>
      <c r="X261" s="76"/>
      <c r="Y261" s="76"/>
      <c r="Z261" s="76"/>
      <c r="AA261" s="76"/>
      <c r="AB261" s="76"/>
      <c r="AC261" s="76"/>
      <c r="AD261" s="76"/>
      <c r="AE261" s="76"/>
      <c r="AF261" s="76"/>
      <c r="AG261" s="76"/>
    </row>
    <row r="262" spans="1:33" ht="14">
      <c r="A262" s="106"/>
      <c r="B262" s="106"/>
      <c r="C262" s="189"/>
      <c r="D262" s="190"/>
      <c r="E262" s="190" t="s">
        <v>656</v>
      </c>
      <c r="F262" s="157" t="str">
        <f ca="1">IFERROR(__xludf.DUMMYFUNCTION("INDEX(SPLIT(E262,""/""),,COUNTA(SPLIT(E262,""/"")))"),"1743688875359252776")</f>
        <v>1743688875359252776</v>
      </c>
      <c r="G262" s="192" t="str">
        <f t="shared" si="0"/>
        <v>@osint_random</v>
      </c>
      <c r="H262" s="193" t="s">
        <v>624</v>
      </c>
      <c r="I262" s="106"/>
      <c r="J262" s="106"/>
      <c r="K262" s="106"/>
      <c r="L262" s="159"/>
      <c r="M262" s="76"/>
      <c r="N262" s="76"/>
      <c r="O262" s="76"/>
      <c r="P262" s="76"/>
      <c r="Q262" s="76"/>
      <c r="R262" s="76"/>
      <c r="S262" s="76"/>
      <c r="T262" s="76"/>
      <c r="U262" s="76"/>
      <c r="V262" s="162"/>
      <c r="W262" s="159"/>
      <c r="X262" s="76"/>
      <c r="Y262" s="76"/>
      <c r="Z262" s="76"/>
      <c r="AA262" s="76"/>
      <c r="AB262" s="76"/>
      <c r="AC262" s="76"/>
      <c r="AD262" s="76"/>
      <c r="AE262" s="76"/>
      <c r="AF262" s="76"/>
      <c r="AG262" s="76"/>
    </row>
    <row r="263" spans="1:33" ht="14">
      <c r="A263" s="106"/>
      <c r="B263" s="106"/>
      <c r="C263" s="189"/>
      <c r="D263" s="190"/>
      <c r="E263" s="190" t="s">
        <v>657</v>
      </c>
      <c r="F263" s="157" t="str">
        <f ca="1">IFERROR(__xludf.DUMMYFUNCTION("INDEX(SPLIT(E263,""/""),,COUNTA(SPLIT(E263,""/"")))"),"1743663854020628646")</f>
        <v>1743663854020628646</v>
      </c>
      <c r="G263" s="192" t="str">
        <f t="shared" si="0"/>
        <v>@osint_random</v>
      </c>
      <c r="H263" s="193" t="s">
        <v>624</v>
      </c>
      <c r="I263" s="106"/>
      <c r="J263" s="106"/>
      <c r="K263" s="106"/>
      <c r="L263" s="159"/>
      <c r="M263" s="76"/>
      <c r="N263" s="76"/>
      <c r="O263" s="76"/>
      <c r="P263" s="76"/>
      <c r="Q263" s="76"/>
      <c r="R263" s="76"/>
      <c r="S263" s="76"/>
      <c r="T263" s="76"/>
      <c r="U263" s="76"/>
      <c r="V263" s="162"/>
      <c r="W263" s="159"/>
      <c r="X263" s="76"/>
      <c r="Y263" s="76"/>
      <c r="Z263" s="76"/>
      <c r="AA263" s="76"/>
      <c r="AB263" s="76"/>
      <c r="AC263" s="76"/>
      <c r="AD263" s="76"/>
      <c r="AE263" s="76"/>
      <c r="AF263" s="76"/>
      <c r="AG263" s="76"/>
    </row>
    <row r="264" spans="1:33" ht="14">
      <c r="A264" s="106"/>
      <c r="B264" s="106"/>
      <c r="C264" s="189"/>
      <c r="D264" s="190"/>
      <c r="E264" s="190" t="s">
        <v>658</v>
      </c>
      <c r="F264" s="157" t="str">
        <f ca="1">IFERROR(__xludf.DUMMYFUNCTION("INDEX(SPLIT(E264,""/""),,COUNTA(SPLIT(E264,""/"")))"),"1744861056709611668")</f>
        <v>1744861056709611668</v>
      </c>
      <c r="G264" s="192" t="str">
        <f t="shared" si="0"/>
        <v>@osint_random</v>
      </c>
      <c r="H264" s="193" t="s">
        <v>624</v>
      </c>
      <c r="I264" s="106"/>
      <c r="J264" s="106"/>
      <c r="K264" s="106"/>
      <c r="L264" s="159"/>
      <c r="M264" s="76"/>
      <c r="N264" s="76"/>
      <c r="O264" s="76"/>
      <c r="P264" s="76"/>
      <c r="Q264" s="76"/>
      <c r="R264" s="76"/>
      <c r="S264" s="76"/>
      <c r="T264" s="76"/>
      <c r="U264" s="76"/>
      <c r="V264" s="162"/>
      <c r="W264" s="159"/>
      <c r="X264" s="76"/>
      <c r="Y264" s="76"/>
      <c r="Z264" s="76"/>
      <c r="AA264" s="76"/>
      <c r="AB264" s="76"/>
      <c r="AC264" s="76"/>
      <c r="AD264" s="76"/>
      <c r="AE264" s="76"/>
      <c r="AF264" s="76"/>
      <c r="AG264" s="76"/>
    </row>
    <row r="265" spans="1:33" ht="14">
      <c r="A265" s="106"/>
      <c r="B265" s="106"/>
      <c r="C265" s="189"/>
      <c r="D265" s="190"/>
      <c r="E265" s="190" t="s">
        <v>659</v>
      </c>
      <c r="F265" s="157" t="str">
        <f ca="1">IFERROR(__xludf.DUMMYFUNCTION("INDEX(SPLIT(E265,""/""),,COUNTA(SPLIT(E265,""/"")))"),"1742597434457444601")</f>
        <v>1742597434457444601</v>
      </c>
      <c r="G265" s="192" t="str">
        <f t="shared" si="0"/>
        <v>@Christophe_Tymo</v>
      </c>
      <c r="H265" s="193" t="s">
        <v>624</v>
      </c>
      <c r="I265" s="106"/>
      <c r="J265" s="106"/>
      <c r="K265" s="106"/>
      <c r="L265" s="159"/>
      <c r="M265" s="76"/>
      <c r="N265" s="76"/>
      <c r="O265" s="76"/>
      <c r="P265" s="76"/>
      <c r="Q265" s="76"/>
      <c r="R265" s="76"/>
      <c r="S265" s="76"/>
      <c r="T265" s="76"/>
      <c r="U265" s="76"/>
      <c r="V265" s="162"/>
      <c r="W265" s="159"/>
      <c r="X265" s="76"/>
      <c r="Y265" s="76"/>
      <c r="Z265" s="76"/>
      <c r="AA265" s="76"/>
      <c r="AB265" s="76"/>
      <c r="AC265" s="76"/>
      <c r="AD265" s="76"/>
      <c r="AE265" s="76"/>
      <c r="AF265" s="76"/>
      <c r="AG265" s="76"/>
    </row>
    <row r="266" spans="1:33" ht="14">
      <c r="A266" s="106"/>
      <c r="B266" s="106"/>
      <c r="C266" s="189"/>
      <c r="D266" s="190"/>
      <c r="E266" s="190" t="s">
        <v>660</v>
      </c>
      <c r="F266" s="157" t="str">
        <f ca="1">IFERROR(__xludf.DUMMYFUNCTION("INDEX(SPLIT(E266,""/""),,COUNTA(SPLIT(E266,""/"")))"),"1742580451443675209")</f>
        <v>1742580451443675209</v>
      </c>
      <c r="G266" s="192" t="str">
        <f t="shared" si="0"/>
        <v>@Prevention_web</v>
      </c>
      <c r="H266" s="193" t="s">
        <v>624</v>
      </c>
      <c r="I266" s="106"/>
      <c r="J266" s="106"/>
      <c r="K266" s="106"/>
      <c r="L266" s="159"/>
      <c r="M266" s="76"/>
      <c r="N266" s="76"/>
      <c r="O266" s="76"/>
      <c r="P266" s="76"/>
      <c r="Q266" s="76"/>
      <c r="R266" s="76"/>
      <c r="S266" s="76"/>
      <c r="T266" s="76"/>
      <c r="U266" s="76"/>
      <c r="V266" s="162"/>
      <c r="W266" s="159"/>
      <c r="X266" s="76"/>
      <c r="Y266" s="76"/>
      <c r="Z266" s="76"/>
      <c r="AA266" s="76"/>
      <c r="AB266" s="76"/>
      <c r="AC266" s="76"/>
      <c r="AD266" s="76"/>
      <c r="AE266" s="76"/>
      <c r="AF266" s="76"/>
      <c r="AG266" s="76"/>
    </row>
    <row r="267" spans="1:33" ht="14">
      <c r="A267" s="106"/>
      <c r="B267" s="106"/>
      <c r="C267" s="189"/>
      <c r="D267" s="190"/>
      <c r="E267" s="190" t="s">
        <v>661</v>
      </c>
      <c r="F267" s="157" t="str">
        <f ca="1">IFERROR(__xludf.DUMMYFUNCTION("INDEX(SPLIT(E267,""/""),,COUNTA(SPLIT(E267,""/"")))"),"1742815198006607979")</f>
        <v>1742815198006607979</v>
      </c>
      <c r="G267" s="192" t="str">
        <f t="shared" si="0"/>
        <v>@opsimathycouk</v>
      </c>
      <c r="H267" s="193" t="s">
        <v>624</v>
      </c>
      <c r="I267" s="106"/>
      <c r="J267" s="106"/>
      <c r="K267" s="106"/>
      <c r="L267" s="159"/>
      <c r="M267" s="76"/>
      <c r="N267" s="76"/>
      <c r="O267" s="76"/>
      <c r="P267" s="76"/>
      <c r="Q267" s="76"/>
      <c r="R267" s="76"/>
      <c r="S267" s="76"/>
      <c r="T267" s="76"/>
      <c r="U267" s="76"/>
      <c r="V267" s="162"/>
      <c r="W267" s="159"/>
      <c r="X267" s="76"/>
      <c r="Y267" s="76"/>
      <c r="Z267" s="76"/>
      <c r="AA267" s="76"/>
      <c r="AB267" s="76"/>
      <c r="AC267" s="76"/>
      <c r="AD267" s="76"/>
      <c r="AE267" s="76"/>
      <c r="AF267" s="76"/>
      <c r="AG267" s="76"/>
    </row>
    <row r="268" spans="1:33" ht="14">
      <c r="A268" s="106"/>
      <c r="B268" s="106"/>
      <c r="C268" s="189"/>
      <c r="D268" s="190"/>
      <c r="E268" s="190" t="s">
        <v>662</v>
      </c>
      <c r="F268" s="157" t="str">
        <f ca="1">IFERROR(__xludf.DUMMYFUNCTION("INDEX(SPLIT(E268,""/""),,COUNTA(SPLIT(E268,""/"")))"),"1743937651936276736")</f>
        <v>1743937651936276736</v>
      </c>
      <c r="G268" s="192" t="str">
        <f t="shared" si="0"/>
        <v>@FabriceFrossard</v>
      </c>
      <c r="H268" s="193" t="s">
        <v>624</v>
      </c>
      <c r="I268" s="106"/>
      <c r="J268" s="106"/>
      <c r="K268" s="106"/>
      <c r="L268" s="159"/>
      <c r="M268" s="76"/>
      <c r="N268" s="76"/>
      <c r="O268" s="76"/>
      <c r="P268" s="76"/>
      <c r="Q268" s="76"/>
      <c r="R268" s="76"/>
      <c r="S268" s="76"/>
      <c r="T268" s="76"/>
      <c r="U268" s="76"/>
      <c r="V268" s="162"/>
      <c r="W268" s="159"/>
      <c r="X268" s="76"/>
      <c r="Y268" s="76"/>
      <c r="Z268" s="76"/>
      <c r="AA268" s="76"/>
      <c r="AB268" s="76"/>
      <c r="AC268" s="76"/>
      <c r="AD268" s="76"/>
      <c r="AE268" s="76"/>
      <c r="AF268" s="76"/>
      <c r="AG268" s="76"/>
    </row>
    <row r="269" spans="1:33" ht="14">
      <c r="A269" s="106"/>
      <c r="B269" s="106"/>
      <c r="C269" s="189"/>
      <c r="D269" s="190"/>
      <c r="E269" s="190" t="s">
        <v>663</v>
      </c>
      <c r="F269" s="157" t="str">
        <f ca="1">IFERROR(__xludf.DUMMYFUNCTION("INDEX(SPLIT(E269,""/""),,COUNTA(SPLIT(E269,""/"")))"),"1744306606722957802")</f>
        <v>1744306606722957802</v>
      </c>
      <c r="G269" s="192" t="str">
        <f t="shared" si="0"/>
        <v>@osint_random</v>
      </c>
      <c r="H269" s="193" t="s">
        <v>624</v>
      </c>
      <c r="I269" s="106"/>
      <c r="J269" s="106"/>
      <c r="K269" s="106"/>
      <c r="L269" s="159"/>
      <c r="M269" s="76"/>
      <c r="N269" s="76"/>
      <c r="O269" s="76"/>
      <c r="P269" s="76"/>
      <c r="Q269" s="76"/>
      <c r="R269" s="76"/>
      <c r="S269" s="76"/>
      <c r="T269" s="76"/>
      <c r="U269" s="76"/>
      <c r="V269" s="162"/>
      <c r="W269" s="159"/>
      <c r="X269" s="76"/>
      <c r="Y269" s="76"/>
      <c r="Z269" s="76"/>
      <c r="AA269" s="76"/>
      <c r="AB269" s="76"/>
      <c r="AC269" s="76"/>
      <c r="AD269" s="76"/>
      <c r="AE269" s="76"/>
      <c r="AF269" s="76"/>
      <c r="AG269" s="76"/>
    </row>
    <row r="270" spans="1:33" ht="14">
      <c r="A270" s="106"/>
      <c r="B270" s="106"/>
      <c r="C270" s="189"/>
      <c r="D270" s="190"/>
      <c r="E270" s="190" t="s">
        <v>664</v>
      </c>
      <c r="F270" s="157" t="str">
        <f ca="1">IFERROR(__xludf.DUMMYFUNCTION("INDEX(SPLIT(E270,""/""),,COUNTA(SPLIT(E270,""/"")))"),"1742538120740958211")</f>
        <v>1742538120740958211</v>
      </c>
      <c r="G270" s="192" t="str">
        <f t="shared" si="0"/>
        <v>@MCutulic</v>
      </c>
      <c r="H270" s="193" t="s">
        <v>624</v>
      </c>
      <c r="I270" s="106"/>
      <c r="J270" s="106"/>
      <c r="K270" s="106"/>
      <c r="L270" s="159"/>
      <c r="M270" s="76"/>
      <c r="N270" s="76"/>
      <c r="O270" s="76"/>
      <c r="P270" s="76"/>
      <c r="Q270" s="76"/>
      <c r="R270" s="76"/>
      <c r="S270" s="76"/>
      <c r="T270" s="76"/>
      <c r="U270" s="76"/>
      <c r="V270" s="162"/>
      <c r="W270" s="159"/>
      <c r="X270" s="76"/>
      <c r="Y270" s="76"/>
      <c r="Z270" s="76"/>
      <c r="AA270" s="76"/>
      <c r="AB270" s="76"/>
      <c r="AC270" s="76"/>
      <c r="AD270" s="76"/>
      <c r="AE270" s="76"/>
      <c r="AF270" s="76"/>
      <c r="AG270" s="76"/>
    </row>
    <row r="271" spans="1:33" ht="14">
      <c r="A271" s="106"/>
      <c r="B271" s="106"/>
      <c r="C271" s="189"/>
      <c r="D271" s="190"/>
      <c r="E271" s="190" t="s">
        <v>648</v>
      </c>
      <c r="F271" s="157" t="str">
        <f ca="1">IFERROR(__xludf.DUMMYFUNCTION("INDEX(SPLIT(E271,""/""),,COUNTA(SPLIT(E271,""/"")))"),"1744343193414492349")</f>
        <v>1744343193414492349</v>
      </c>
      <c r="G271" s="192" t="str">
        <f t="shared" si="0"/>
        <v>@osint_random</v>
      </c>
      <c r="H271" s="193" t="s">
        <v>624</v>
      </c>
      <c r="I271" s="106"/>
      <c r="J271" s="106"/>
      <c r="K271" s="106"/>
      <c r="L271" s="159"/>
      <c r="M271" s="76"/>
      <c r="N271" s="76"/>
      <c r="O271" s="76"/>
      <c r="P271" s="76"/>
      <c r="Q271" s="76"/>
      <c r="R271" s="76"/>
      <c r="S271" s="76"/>
      <c r="T271" s="76"/>
      <c r="U271" s="76"/>
      <c r="V271" s="162"/>
      <c r="W271" s="159"/>
      <c r="X271" s="76"/>
      <c r="Y271" s="76"/>
      <c r="Z271" s="76"/>
      <c r="AA271" s="76"/>
      <c r="AB271" s="76"/>
      <c r="AC271" s="76"/>
      <c r="AD271" s="76"/>
      <c r="AE271" s="76"/>
      <c r="AF271" s="76"/>
      <c r="AG271" s="76"/>
    </row>
    <row r="272" spans="1:33" ht="14">
      <c r="A272" s="106"/>
      <c r="B272" s="106"/>
      <c r="C272" s="189"/>
      <c r="D272" s="190"/>
      <c r="E272" s="190" t="s">
        <v>649</v>
      </c>
      <c r="F272" s="157" t="str">
        <f ca="1">IFERROR(__xludf.DUMMYFUNCTION("INDEX(SPLIT(E272,""/""),,COUNTA(SPLIT(E272,""/"")))"),"1743682996937408790")</f>
        <v>1743682996937408790</v>
      </c>
      <c r="G272" s="192" t="str">
        <f t="shared" si="0"/>
        <v>@mathieuandro</v>
      </c>
      <c r="H272" s="193" t="s">
        <v>624</v>
      </c>
      <c r="I272" s="106"/>
      <c r="J272" s="106"/>
      <c r="K272" s="106"/>
      <c r="L272" s="159"/>
      <c r="M272" s="76"/>
      <c r="N272" s="76"/>
      <c r="O272" s="76"/>
      <c r="P272" s="76"/>
      <c r="Q272" s="76"/>
      <c r="R272" s="76"/>
      <c r="S272" s="76"/>
      <c r="T272" s="76"/>
      <c r="U272" s="76"/>
      <c r="V272" s="162"/>
      <c r="W272" s="159"/>
      <c r="X272" s="76"/>
      <c r="Y272" s="76"/>
      <c r="Z272" s="76"/>
      <c r="AA272" s="76"/>
      <c r="AB272" s="76"/>
      <c r="AC272" s="76"/>
      <c r="AD272" s="76"/>
      <c r="AE272" s="76"/>
      <c r="AF272" s="76"/>
      <c r="AG272" s="76"/>
    </row>
    <row r="273" spans="1:33" ht="14">
      <c r="A273" s="106"/>
      <c r="B273" s="106"/>
      <c r="C273" s="189"/>
      <c r="D273" s="190"/>
      <c r="E273" s="190" t="s">
        <v>650</v>
      </c>
      <c r="F273" s="157" t="str">
        <f ca="1">IFERROR(__xludf.DUMMYFUNCTION("INDEX(SPLIT(E273,""/""),,COUNTA(SPLIT(E273,""/"")))"),"1743546031365587299")</f>
        <v>1743546031365587299</v>
      </c>
      <c r="G273" s="192" t="str">
        <f t="shared" si="0"/>
        <v>@korben_rss</v>
      </c>
      <c r="H273" s="193" t="s">
        <v>624</v>
      </c>
      <c r="I273" s="106"/>
      <c r="J273" s="106"/>
      <c r="K273" s="106"/>
      <c r="L273" s="159"/>
      <c r="M273" s="76"/>
      <c r="N273" s="76"/>
      <c r="O273" s="76"/>
      <c r="P273" s="76"/>
      <c r="Q273" s="76"/>
      <c r="R273" s="76"/>
      <c r="S273" s="76"/>
      <c r="T273" s="76"/>
      <c r="U273" s="76"/>
      <c r="V273" s="162"/>
      <c r="W273" s="159"/>
      <c r="X273" s="76"/>
      <c r="Y273" s="76"/>
      <c r="Z273" s="76"/>
      <c r="AA273" s="76"/>
      <c r="AB273" s="76"/>
      <c r="AC273" s="76"/>
      <c r="AD273" s="76"/>
      <c r="AE273" s="76"/>
      <c r="AF273" s="76"/>
      <c r="AG273" s="76"/>
    </row>
    <row r="274" spans="1:33" ht="14">
      <c r="A274" s="106"/>
      <c r="B274" s="106"/>
      <c r="C274" s="189"/>
      <c r="D274" s="190"/>
      <c r="E274" s="190" t="s">
        <v>651</v>
      </c>
      <c r="F274" s="157" t="str">
        <f ca="1">IFERROR(__xludf.DUMMYFUNCTION("INDEX(SPLIT(E274,""/""),,COUNTA(SPLIT(E274,""/"")))"),"1743753979790565833")</f>
        <v>1743753979790565833</v>
      </c>
      <c r="G274" s="192" t="str">
        <f t="shared" si="0"/>
        <v>@osint_random</v>
      </c>
      <c r="H274" s="193" t="s">
        <v>624</v>
      </c>
      <c r="I274" s="106"/>
      <c r="J274" s="106"/>
      <c r="K274" s="106"/>
      <c r="L274" s="159"/>
      <c r="M274" s="76"/>
      <c r="N274" s="76"/>
      <c r="O274" s="76"/>
      <c r="P274" s="76"/>
      <c r="Q274" s="76"/>
      <c r="R274" s="76"/>
      <c r="S274" s="76"/>
      <c r="T274" s="76"/>
      <c r="U274" s="76"/>
      <c r="V274" s="162"/>
      <c r="W274" s="159"/>
      <c r="X274" s="76"/>
      <c r="Y274" s="76"/>
      <c r="Z274" s="76"/>
      <c r="AA274" s="76"/>
      <c r="AB274" s="76"/>
      <c r="AC274" s="76"/>
      <c r="AD274" s="76"/>
      <c r="AE274" s="76"/>
      <c r="AF274" s="76"/>
      <c r="AG274" s="76"/>
    </row>
    <row r="275" spans="1:33" ht="14">
      <c r="A275" s="106"/>
      <c r="B275" s="106"/>
      <c r="C275" s="189"/>
      <c r="D275" s="190"/>
      <c r="E275" s="190" t="s">
        <v>652</v>
      </c>
      <c r="F275" s="157" t="str">
        <f ca="1">IFERROR(__xludf.DUMMYFUNCTION("INDEX(SPLIT(E275,""/""),,COUNTA(SPLIT(E275,""/"")))"),"1743290627519811850")</f>
        <v>1743290627519811850</v>
      </c>
      <c r="G275" s="192" t="str">
        <f t="shared" si="0"/>
        <v>@andrefrigon2</v>
      </c>
      <c r="H275" s="193" t="s">
        <v>624</v>
      </c>
      <c r="I275" s="106"/>
      <c r="J275" s="106"/>
      <c r="K275" s="106"/>
      <c r="L275" s="159"/>
      <c r="M275" s="76"/>
      <c r="N275" s="76"/>
      <c r="O275" s="76"/>
      <c r="P275" s="76"/>
      <c r="Q275" s="76"/>
      <c r="R275" s="76"/>
      <c r="S275" s="76"/>
      <c r="T275" s="76"/>
      <c r="U275" s="76"/>
      <c r="V275" s="162"/>
      <c r="W275" s="159"/>
      <c r="X275" s="76"/>
      <c r="Y275" s="76"/>
      <c r="Z275" s="76"/>
      <c r="AA275" s="76"/>
      <c r="AB275" s="76"/>
      <c r="AC275" s="76"/>
      <c r="AD275" s="76"/>
      <c r="AE275" s="76"/>
      <c r="AF275" s="76"/>
      <c r="AG275" s="76"/>
    </row>
    <row r="276" spans="1:33" ht="14">
      <c r="A276" s="106"/>
      <c r="B276" s="106"/>
      <c r="C276" s="189"/>
      <c r="D276" s="190"/>
      <c r="E276" s="190" t="s">
        <v>653</v>
      </c>
      <c r="F276" s="157" t="str">
        <f ca="1">IFERROR(__xludf.DUMMYFUNCTION("INDEX(SPLIT(E276,""/""),,COUNTA(SPLIT(E276,""/"")))"),"1742611240365482441")</f>
        <v>1742611240365482441</v>
      </c>
      <c r="G276" s="192" t="str">
        <f t="shared" si="0"/>
        <v>@osint_random</v>
      </c>
      <c r="H276" s="193" t="s">
        <v>624</v>
      </c>
      <c r="I276" s="106"/>
      <c r="J276" s="106"/>
      <c r="K276" s="106"/>
      <c r="L276" s="159"/>
      <c r="M276" s="76"/>
      <c r="N276" s="76"/>
      <c r="O276" s="76"/>
      <c r="P276" s="76"/>
      <c r="Q276" s="76"/>
      <c r="R276" s="76"/>
      <c r="S276" s="76"/>
      <c r="T276" s="76"/>
      <c r="U276" s="76"/>
      <c r="V276" s="162"/>
      <c r="W276" s="159"/>
      <c r="X276" s="76"/>
      <c r="Y276" s="76"/>
      <c r="Z276" s="76"/>
      <c r="AA276" s="76"/>
      <c r="AB276" s="76"/>
      <c r="AC276" s="76"/>
      <c r="AD276" s="76"/>
      <c r="AE276" s="76"/>
      <c r="AF276" s="76"/>
      <c r="AG276" s="76"/>
    </row>
    <row r="277" spans="1:33" ht="14">
      <c r="A277" s="106"/>
      <c r="B277" s="106"/>
      <c r="C277" s="189"/>
      <c r="D277" s="190"/>
      <c r="E277" s="190" t="s">
        <v>654</v>
      </c>
      <c r="F277" s="157" t="str">
        <f ca="1">IFERROR(__xludf.DUMMYFUNCTION("INDEX(SPLIT(E277,""/""),,COUNTA(SPLIT(E277,""/"")))"),"1742916166530846978")</f>
        <v>1742916166530846978</v>
      </c>
      <c r="G277" s="192" t="str">
        <f t="shared" si="0"/>
        <v>@osint_random</v>
      </c>
      <c r="H277" s="193" t="s">
        <v>624</v>
      </c>
      <c r="I277" s="106"/>
      <c r="J277" s="106"/>
      <c r="K277" s="106"/>
      <c r="L277" s="159"/>
      <c r="M277" s="76"/>
      <c r="N277" s="76"/>
      <c r="O277" s="76"/>
      <c r="P277" s="76"/>
      <c r="Q277" s="76"/>
      <c r="R277" s="76"/>
      <c r="S277" s="76"/>
      <c r="T277" s="76"/>
      <c r="U277" s="76"/>
      <c r="V277" s="162"/>
      <c r="W277" s="159"/>
      <c r="X277" s="76"/>
      <c r="Y277" s="76"/>
      <c r="Z277" s="76"/>
      <c r="AA277" s="76"/>
      <c r="AB277" s="76"/>
      <c r="AC277" s="76"/>
      <c r="AD277" s="76"/>
      <c r="AE277" s="76"/>
      <c r="AF277" s="76"/>
      <c r="AG277" s="76"/>
    </row>
    <row r="278" spans="1:33" ht="14">
      <c r="A278" s="106"/>
      <c r="B278" s="106"/>
      <c r="C278" s="189"/>
      <c r="D278" s="190"/>
      <c r="E278" s="190" t="s">
        <v>655</v>
      </c>
      <c r="F278" s="157" t="str">
        <f ca="1">IFERROR(__xludf.DUMMYFUNCTION("INDEX(SPLIT(E278,""/""),,COUNTA(SPLIT(E278,""/"")))"),"1743977680142324208")</f>
        <v>1743977680142324208</v>
      </c>
      <c r="G278" s="192" t="str">
        <f t="shared" si="0"/>
        <v>@osint_random</v>
      </c>
      <c r="H278" s="193" t="s">
        <v>624</v>
      </c>
      <c r="I278" s="106"/>
      <c r="J278" s="106"/>
      <c r="K278" s="106"/>
      <c r="L278" s="159"/>
      <c r="M278" s="76"/>
      <c r="N278" s="76"/>
      <c r="O278" s="76"/>
      <c r="P278" s="76"/>
      <c r="Q278" s="76"/>
      <c r="R278" s="76"/>
      <c r="S278" s="76"/>
      <c r="T278" s="76"/>
      <c r="U278" s="76"/>
      <c r="V278" s="162"/>
      <c r="W278" s="159"/>
      <c r="X278" s="76"/>
      <c r="Y278" s="76"/>
      <c r="Z278" s="76"/>
      <c r="AA278" s="76"/>
      <c r="AB278" s="76"/>
      <c r="AC278" s="76"/>
      <c r="AD278" s="76"/>
      <c r="AE278" s="76"/>
      <c r="AF278" s="76"/>
      <c r="AG278" s="76"/>
    </row>
    <row r="279" spans="1:33" ht="14">
      <c r="A279" s="106"/>
      <c r="B279" s="106"/>
      <c r="C279" s="189"/>
      <c r="D279" s="190"/>
      <c r="E279" s="190" t="s">
        <v>656</v>
      </c>
      <c r="F279" s="157" t="str">
        <f ca="1">IFERROR(__xludf.DUMMYFUNCTION("INDEX(SPLIT(E279,""/""),,COUNTA(SPLIT(E279,""/"")))"),"1743688875359252776")</f>
        <v>1743688875359252776</v>
      </c>
      <c r="G279" s="192" t="str">
        <f t="shared" si="0"/>
        <v>@osint_random</v>
      </c>
      <c r="H279" s="193" t="s">
        <v>624</v>
      </c>
      <c r="I279" s="106"/>
      <c r="J279" s="106"/>
      <c r="K279" s="106"/>
      <c r="L279" s="159"/>
      <c r="M279" s="76"/>
      <c r="N279" s="76"/>
      <c r="O279" s="76"/>
      <c r="P279" s="76"/>
      <c r="Q279" s="76"/>
      <c r="R279" s="76"/>
      <c r="S279" s="76"/>
      <c r="T279" s="76"/>
      <c r="U279" s="76"/>
      <c r="V279" s="162"/>
      <c r="W279" s="159"/>
      <c r="X279" s="76"/>
      <c r="Y279" s="76"/>
      <c r="Z279" s="76"/>
      <c r="AA279" s="76"/>
      <c r="AB279" s="76"/>
      <c r="AC279" s="76"/>
      <c r="AD279" s="76"/>
      <c r="AE279" s="76"/>
      <c r="AF279" s="76"/>
      <c r="AG279" s="76"/>
    </row>
    <row r="280" spans="1:33" ht="14">
      <c r="A280" s="106"/>
      <c r="B280" s="106"/>
      <c r="C280" s="189"/>
      <c r="D280" s="190"/>
      <c r="E280" s="190" t="s">
        <v>657</v>
      </c>
      <c r="F280" s="157" t="str">
        <f ca="1">IFERROR(__xludf.DUMMYFUNCTION("INDEX(SPLIT(E280,""/""),,COUNTA(SPLIT(E280,""/"")))"),"1743663854020628646")</f>
        <v>1743663854020628646</v>
      </c>
      <c r="G280" s="192" t="str">
        <f t="shared" si="0"/>
        <v>@osint_random</v>
      </c>
      <c r="H280" s="193" t="s">
        <v>624</v>
      </c>
      <c r="I280" s="106"/>
      <c r="J280" s="106"/>
      <c r="K280" s="106"/>
      <c r="L280" s="159"/>
      <c r="M280" s="76"/>
      <c r="N280" s="76"/>
      <c r="O280" s="76"/>
      <c r="P280" s="76"/>
      <c r="Q280" s="76"/>
      <c r="R280" s="76"/>
      <c r="S280" s="76"/>
      <c r="T280" s="76"/>
      <c r="U280" s="76"/>
      <c r="V280" s="162"/>
      <c r="W280" s="159"/>
      <c r="X280" s="76"/>
      <c r="Y280" s="76"/>
      <c r="Z280" s="76"/>
      <c r="AA280" s="76"/>
      <c r="AB280" s="76"/>
      <c r="AC280" s="76"/>
      <c r="AD280" s="76"/>
      <c r="AE280" s="76"/>
      <c r="AF280" s="76"/>
      <c r="AG280" s="76"/>
    </row>
    <row r="281" spans="1:33" ht="14">
      <c r="A281" s="106"/>
      <c r="B281" s="106"/>
      <c r="C281" s="189"/>
      <c r="D281" s="190"/>
      <c r="E281" s="190" t="s">
        <v>658</v>
      </c>
      <c r="F281" s="157" t="str">
        <f ca="1">IFERROR(__xludf.DUMMYFUNCTION("INDEX(SPLIT(E281,""/""),,COUNTA(SPLIT(E281,""/"")))"),"1744861056709611668")</f>
        <v>1744861056709611668</v>
      </c>
      <c r="G281" s="192" t="str">
        <f t="shared" si="0"/>
        <v>@osint_random</v>
      </c>
      <c r="H281" s="193" t="s">
        <v>624</v>
      </c>
      <c r="I281" s="106"/>
      <c r="J281" s="106"/>
      <c r="K281" s="106"/>
      <c r="L281" s="159"/>
      <c r="M281" s="76"/>
      <c r="N281" s="76"/>
      <c r="O281" s="76"/>
      <c r="P281" s="76"/>
      <c r="Q281" s="76"/>
      <c r="R281" s="76"/>
      <c r="S281" s="76"/>
      <c r="T281" s="76"/>
      <c r="U281" s="76"/>
      <c r="V281" s="162"/>
      <c r="W281" s="159"/>
      <c r="X281" s="76"/>
      <c r="Y281" s="76"/>
      <c r="Z281" s="76"/>
      <c r="AA281" s="76"/>
      <c r="AB281" s="76"/>
      <c r="AC281" s="76"/>
      <c r="AD281" s="76"/>
      <c r="AE281" s="76"/>
      <c r="AF281" s="76"/>
      <c r="AG281" s="76"/>
    </row>
    <row r="282" spans="1:33" ht="14">
      <c r="A282" s="106"/>
      <c r="B282" s="106"/>
      <c r="C282" s="189"/>
      <c r="D282" s="190"/>
      <c r="E282" s="190" t="s">
        <v>659</v>
      </c>
      <c r="F282" s="157" t="str">
        <f ca="1">IFERROR(__xludf.DUMMYFUNCTION("INDEX(SPLIT(E282,""/""),,COUNTA(SPLIT(E282,""/"")))"),"1742597434457444601")</f>
        <v>1742597434457444601</v>
      </c>
      <c r="G282" s="192" t="str">
        <f t="shared" si="0"/>
        <v>@Christophe_Tymo</v>
      </c>
      <c r="H282" s="193" t="s">
        <v>624</v>
      </c>
      <c r="I282" s="106"/>
      <c r="J282" s="106"/>
      <c r="K282" s="106"/>
      <c r="L282" s="159"/>
      <c r="M282" s="76"/>
      <c r="N282" s="76"/>
      <c r="O282" s="76"/>
      <c r="P282" s="76"/>
      <c r="Q282" s="76"/>
      <c r="R282" s="76"/>
      <c r="S282" s="76"/>
      <c r="T282" s="76"/>
      <c r="U282" s="76"/>
      <c r="V282" s="162"/>
      <c r="W282" s="159"/>
      <c r="X282" s="76"/>
      <c r="Y282" s="76"/>
      <c r="Z282" s="76"/>
      <c r="AA282" s="76"/>
      <c r="AB282" s="76"/>
      <c r="AC282" s="76"/>
      <c r="AD282" s="76"/>
      <c r="AE282" s="76"/>
      <c r="AF282" s="76"/>
      <c r="AG282" s="76"/>
    </row>
    <row r="283" spans="1:33" ht="14">
      <c r="A283" s="106"/>
      <c r="B283" s="106"/>
      <c r="C283" s="189"/>
      <c r="D283" s="190"/>
      <c r="E283" s="190" t="s">
        <v>660</v>
      </c>
      <c r="F283" s="157" t="str">
        <f ca="1">IFERROR(__xludf.DUMMYFUNCTION("INDEX(SPLIT(E283,""/""),,COUNTA(SPLIT(E283,""/"")))"),"1742580451443675209")</f>
        <v>1742580451443675209</v>
      </c>
      <c r="G283" s="192" t="str">
        <f t="shared" si="0"/>
        <v>@Prevention_web</v>
      </c>
      <c r="H283" s="193" t="s">
        <v>624</v>
      </c>
      <c r="I283" s="106"/>
      <c r="J283" s="106"/>
      <c r="K283" s="106"/>
      <c r="L283" s="159"/>
      <c r="M283" s="76"/>
      <c r="N283" s="76"/>
      <c r="O283" s="76"/>
      <c r="P283" s="76"/>
      <c r="Q283" s="76"/>
      <c r="R283" s="76"/>
      <c r="S283" s="76"/>
      <c r="T283" s="76"/>
      <c r="U283" s="76"/>
      <c r="V283" s="162"/>
      <c r="W283" s="159"/>
      <c r="X283" s="76"/>
      <c r="Y283" s="76"/>
      <c r="Z283" s="76"/>
      <c r="AA283" s="76"/>
      <c r="AB283" s="76"/>
      <c r="AC283" s="76"/>
      <c r="AD283" s="76"/>
      <c r="AE283" s="76"/>
      <c r="AF283" s="76"/>
      <c r="AG283" s="76"/>
    </row>
    <row r="284" spans="1:33" ht="14">
      <c r="A284" s="106"/>
      <c r="B284" s="106"/>
      <c r="C284" s="189"/>
      <c r="D284" s="190"/>
      <c r="E284" s="190" t="s">
        <v>661</v>
      </c>
      <c r="F284" s="157" t="str">
        <f ca="1">IFERROR(__xludf.DUMMYFUNCTION("INDEX(SPLIT(E284,""/""),,COUNTA(SPLIT(E284,""/"")))"),"1742815198006607979")</f>
        <v>1742815198006607979</v>
      </c>
      <c r="G284" s="192" t="str">
        <f t="shared" si="0"/>
        <v>@opsimathycouk</v>
      </c>
      <c r="H284" s="193" t="s">
        <v>624</v>
      </c>
      <c r="I284" s="106"/>
      <c r="J284" s="106"/>
      <c r="K284" s="106"/>
      <c r="L284" s="159"/>
      <c r="M284" s="76"/>
      <c r="N284" s="76"/>
      <c r="O284" s="76"/>
      <c r="P284" s="76"/>
      <c r="Q284" s="76"/>
      <c r="R284" s="76"/>
      <c r="S284" s="76"/>
      <c r="T284" s="76"/>
      <c r="U284" s="76"/>
      <c r="V284" s="162"/>
      <c r="W284" s="159"/>
      <c r="X284" s="76"/>
      <c r="Y284" s="76"/>
      <c r="Z284" s="76"/>
      <c r="AA284" s="76"/>
      <c r="AB284" s="76"/>
      <c r="AC284" s="76"/>
      <c r="AD284" s="76"/>
      <c r="AE284" s="76"/>
      <c r="AF284" s="76"/>
      <c r="AG284" s="76"/>
    </row>
    <row r="285" spans="1:33" ht="14">
      <c r="A285" s="106"/>
      <c r="B285" s="106"/>
      <c r="C285" s="189"/>
      <c r="D285" s="190"/>
      <c r="E285" s="190" t="s">
        <v>662</v>
      </c>
      <c r="F285" s="157" t="str">
        <f ca="1">IFERROR(__xludf.DUMMYFUNCTION("INDEX(SPLIT(E285,""/""),,COUNTA(SPLIT(E285,""/"")))"),"1743937651936276736")</f>
        <v>1743937651936276736</v>
      </c>
      <c r="G285" s="192" t="str">
        <f t="shared" si="0"/>
        <v>@FabriceFrossard</v>
      </c>
      <c r="H285" s="193" t="s">
        <v>624</v>
      </c>
      <c r="I285" s="106"/>
      <c r="J285" s="106"/>
      <c r="K285" s="106"/>
      <c r="L285" s="159"/>
      <c r="M285" s="76"/>
      <c r="N285" s="76"/>
      <c r="O285" s="76"/>
      <c r="P285" s="76"/>
      <c r="Q285" s="76"/>
      <c r="R285" s="76"/>
      <c r="S285" s="76"/>
      <c r="T285" s="76"/>
      <c r="U285" s="76"/>
      <c r="V285" s="162"/>
      <c r="W285" s="159"/>
      <c r="X285" s="76"/>
      <c r="Y285" s="76"/>
      <c r="Z285" s="76"/>
      <c r="AA285" s="76"/>
      <c r="AB285" s="76"/>
      <c r="AC285" s="76"/>
      <c r="AD285" s="76"/>
      <c r="AE285" s="76"/>
      <c r="AF285" s="76"/>
      <c r="AG285" s="76"/>
    </row>
    <row r="286" spans="1:33" ht="14">
      <c r="A286" s="106"/>
      <c r="B286" s="106"/>
      <c r="C286" s="189"/>
      <c r="D286" s="190"/>
      <c r="E286" s="190" t="s">
        <v>663</v>
      </c>
      <c r="F286" s="157" t="str">
        <f ca="1">IFERROR(__xludf.DUMMYFUNCTION("INDEX(SPLIT(E286,""/""),,COUNTA(SPLIT(E286,""/"")))"),"1744306606722957802")</f>
        <v>1744306606722957802</v>
      </c>
      <c r="G286" s="192" t="str">
        <f t="shared" si="0"/>
        <v>@osint_random</v>
      </c>
      <c r="H286" s="193" t="s">
        <v>624</v>
      </c>
      <c r="I286" s="106"/>
      <c r="J286" s="106"/>
      <c r="K286" s="106"/>
      <c r="L286" s="159"/>
      <c r="M286" s="76"/>
      <c r="N286" s="76"/>
      <c r="O286" s="76"/>
      <c r="P286" s="76"/>
      <c r="Q286" s="76"/>
      <c r="R286" s="76"/>
      <c r="S286" s="76"/>
      <c r="T286" s="76"/>
      <c r="U286" s="76"/>
      <c r="V286" s="162"/>
      <c r="W286" s="159"/>
      <c r="X286" s="76"/>
      <c r="Y286" s="76"/>
      <c r="Z286" s="76"/>
      <c r="AA286" s="76"/>
      <c r="AB286" s="76"/>
      <c r="AC286" s="76"/>
      <c r="AD286" s="76"/>
      <c r="AE286" s="76"/>
      <c r="AF286" s="76"/>
      <c r="AG286" s="76"/>
    </row>
    <row r="287" spans="1:33" ht="14">
      <c r="A287" s="106"/>
      <c r="B287" s="106"/>
      <c r="C287" s="189"/>
      <c r="D287" s="190"/>
      <c r="E287" s="190" t="s">
        <v>664</v>
      </c>
      <c r="F287" s="157" t="str">
        <f ca="1">IFERROR(__xludf.DUMMYFUNCTION("INDEX(SPLIT(E287,""/""),,COUNTA(SPLIT(E287,""/"")))"),"1742538120740958211")</f>
        <v>1742538120740958211</v>
      </c>
      <c r="G287" s="192" t="str">
        <f t="shared" si="0"/>
        <v>@MCutulic</v>
      </c>
      <c r="H287" s="193" t="s">
        <v>624</v>
      </c>
      <c r="I287" s="106"/>
      <c r="J287" s="106"/>
      <c r="K287" s="106"/>
      <c r="L287" s="159"/>
      <c r="M287" s="76"/>
      <c r="N287" s="76"/>
      <c r="O287" s="76"/>
      <c r="P287" s="76"/>
      <c r="Q287" s="76"/>
      <c r="R287" s="76"/>
      <c r="S287" s="76"/>
      <c r="T287" s="76"/>
      <c r="U287" s="76"/>
      <c r="V287" s="162"/>
      <c r="W287" s="159"/>
      <c r="X287" s="76"/>
      <c r="Y287" s="76"/>
      <c r="Z287" s="76"/>
      <c r="AA287" s="76"/>
      <c r="AB287" s="76"/>
      <c r="AC287" s="76"/>
      <c r="AD287" s="76"/>
      <c r="AE287" s="76"/>
      <c r="AF287" s="76"/>
      <c r="AG287" s="76"/>
    </row>
    <row r="288" spans="1:33" ht="14">
      <c r="A288" s="106"/>
      <c r="B288" s="106"/>
      <c r="C288" s="189"/>
      <c r="D288" s="190"/>
      <c r="E288" s="190" t="s">
        <v>658</v>
      </c>
      <c r="F288" s="157" t="str">
        <f ca="1">IFERROR(__xludf.DUMMYFUNCTION("INDEX(SPLIT(E288,""/""),,COUNTA(SPLIT(E288,""/"")))"),"1744861056709611668")</f>
        <v>1744861056709611668</v>
      </c>
      <c r="G288" s="192" t="str">
        <f t="shared" si="0"/>
        <v>@osint_random</v>
      </c>
      <c r="H288" s="193" t="s">
        <v>624</v>
      </c>
      <c r="I288" s="106"/>
      <c r="J288" s="106"/>
      <c r="K288" s="106"/>
      <c r="L288" s="159"/>
      <c r="M288" s="76"/>
      <c r="N288" s="76"/>
      <c r="O288" s="76"/>
      <c r="P288" s="76"/>
      <c r="Q288" s="76"/>
      <c r="R288" s="76"/>
      <c r="S288" s="76"/>
      <c r="T288" s="76"/>
      <c r="U288" s="76"/>
      <c r="V288" s="162"/>
      <c r="W288" s="159"/>
      <c r="X288" s="76"/>
      <c r="Y288" s="76"/>
      <c r="Z288" s="76"/>
      <c r="AA288" s="76"/>
      <c r="AB288" s="76"/>
      <c r="AC288" s="76"/>
      <c r="AD288" s="76"/>
      <c r="AE288" s="76"/>
      <c r="AF288" s="76"/>
      <c r="AG288" s="76"/>
    </row>
    <row r="289" spans="1:33" ht="14">
      <c r="A289" s="106"/>
      <c r="B289" s="106"/>
      <c r="C289" s="189"/>
      <c r="D289" s="190"/>
      <c r="E289" s="190" t="s">
        <v>659</v>
      </c>
      <c r="F289" s="157" t="str">
        <f ca="1">IFERROR(__xludf.DUMMYFUNCTION("INDEX(SPLIT(E289,""/""),,COUNTA(SPLIT(E289,""/"")))"),"1742597434457444601")</f>
        <v>1742597434457444601</v>
      </c>
      <c r="G289" s="192" t="str">
        <f t="shared" si="0"/>
        <v>@Christophe_Tymo</v>
      </c>
      <c r="H289" s="193" t="s">
        <v>624</v>
      </c>
      <c r="I289" s="106"/>
      <c r="J289" s="106"/>
      <c r="K289" s="106"/>
      <c r="L289" s="159"/>
      <c r="M289" s="76"/>
      <c r="N289" s="76"/>
      <c r="O289" s="76"/>
      <c r="P289" s="76"/>
      <c r="Q289" s="76"/>
      <c r="R289" s="76"/>
      <c r="S289" s="76"/>
      <c r="T289" s="76"/>
      <c r="U289" s="76"/>
      <c r="V289" s="162"/>
      <c r="W289" s="159"/>
      <c r="X289" s="76"/>
      <c r="Y289" s="76"/>
      <c r="Z289" s="76"/>
      <c r="AA289" s="76"/>
      <c r="AB289" s="76"/>
      <c r="AC289" s="76"/>
      <c r="AD289" s="76"/>
      <c r="AE289" s="76"/>
      <c r="AF289" s="76"/>
      <c r="AG289" s="76"/>
    </row>
    <row r="290" spans="1:33" ht="14">
      <c r="A290" s="106"/>
      <c r="B290" s="106"/>
      <c r="C290" s="189"/>
      <c r="D290" s="190"/>
      <c r="E290" s="190" t="s">
        <v>660</v>
      </c>
      <c r="F290" s="157" t="str">
        <f ca="1">IFERROR(__xludf.DUMMYFUNCTION("INDEX(SPLIT(E290,""/""),,COUNTA(SPLIT(E290,""/"")))"),"1742580451443675209")</f>
        <v>1742580451443675209</v>
      </c>
      <c r="G290" s="192" t="str">
        <f t="shared" si="0"/>
        <v>@Prevention_web</v>
      </c>
      <c r="H290" s="193" t="s">
        <v>624</v>
      </c>
      <c r="I290" s="106"/>
      <c r="J290" s="106"/>
      <c r="K290" s="106"/>
      <c r="L290" s="159"/>
      <c r="M290" s="76"/>
      <c r="N290" s="76"/>
      <c r="O290" s="76"/>
      <c r="P290" s="76"/>
      <c r="Q290" s="76"/>
      <c r="R290" s="76"/>
      <c r="S290" s="76"/>
      <c r="T290" s="76"/>
      <c r="U290" s="76"/>
      <c r="V290" s="162"/>
      <c r="W290" s="159"/>
      <c r="X290" s="76"/>
      <c r="Y290" s="76"/>
      <c r="Z290" s="76"/>
      <c r="AA290" s="76"/>
      <c r="AB290" s="76"/>
      <c r="AC290" s="76"/>
      <c r="AD290" s="76"/>
      <c r="AE290" s="76"/>
      <c r="AF290" s="76"/>
      <c r="AG290" s="76"/>
    </row>
    <row r="291" spans="1:33" ht="14">
      <c r="A291" s="106"/>
      <c r="B291" s="106"/>
      <c r="C291" s="189"/>
      <c r="D291" s="190"/>
      <c r="E291" s="190" t="s">
        <v>661</v>
      </c>
      <c r="F291" s="157" t="str">
        <f ca="1">IFERROR(__xludf.DUMMYFUNCTION("INDEX(SPLIT(E291,""/""),,COUNTA(SPLIT(E291,""/"")))"),"1742815198006607979")</f>
        <v>1742815198006607979</v>
      </c>
      <c r="G291" s="192" t="str">
        <f t="shared" si="0"/>
        <v>@opsimathycouk</v>
      </c>
      <c r="H291" s="193" t="s">
        <v>624</v>
      </c>
      <c r="I291" s="106"/>
      <c r="J291" s="106"/>
      <c r="K291" s="106"/>
      <c r="L291" s="159"/>
      <c r="M291" s="76"/>
      <c r="N291" s="76"/>
      <c r="O291" s="76"/>
      <c r="P291" s="76"/>
      <c r="Q291" s="76"/>
      <c r="R291" s="76"/>
      <c r="S291" s="76"/>
      <c r="T291" s="76"/>
      <c r="U291" s="76"/>
      <c r="V291" s="162"/>
      <c r="W291" s="159"/>
      <c r="X291" s="76"/>
      <c r="Y291" s="76"/>
      <c r="Z291" s="76"/>
      <c r="AA291" s="76"/>
      <c r="AB291" s="76"/>
      <c r="AC291" s="76"/>
      <c r="AD291" s="76"/>
      <c r="AE291" s="76"/>
      <c r="AF291" s="76"/>
      <c r="AG291" s="76"/>
    </row>
    <row r="292" spans="1:33" ht="14">
      <c r="A292" s="106"/>
      <c r="B292" s="106"/>
      <c r="C292" s="189"/>
      <c r="D292" s="190"/>
      <c r="E292" s="190" t="s">
        <v>662</v>
      </c>
      <c r="F292" s="157" t="str">
        <f ca="1">IFERROR(__xludf.DUMMYFUNCTION("INDEX(SPLIT(E292,""/""),,COUNTA(SPLIT(E292,""/"")))"),"1743937651936276736")</f>
        <v>1743937651936276736</v>
      </c>
      <c r="G292" s="192" t="str">
        <f t="shared" si="0"/>
        <v>@FabriceFrossard</v>
      </c>
      <c r="H292" s="193" t="s">
        <v>624</v>
      </c>
      <c r="I292" s="106"/>
      <c r="J292" s="106"/>
      <c r="K292" s="106"/>
      <c r="L292" s="159"/>
      <c r="M292" s="76"/>
      <c r="N292" s="76"/>
      <c r="O292" s="76"/>
      <c r="P292" s="76"/>
      <c r="Q292" s="76"/>
      <c r="R292" s="76"/>
      <c r="S292" s="76"/>
      <c r="T292" s="76"/>
      <c r="U292" s="76"/>
      <c r="V292" s="162"/>
      <c r="W292" s="159"/>
      <c r="X292" s="76"/>
      <c r="Y292" s="76"/>
      <c r="Z292" s="76"/>
      <c r="AA292" s="76"/>
      <c r="AB292" s="76"/>
      <c r="AC292" s="76"/>
      <c r="AD292" s="76"/>
      <c r="AE292" s="76"/>
      <c r="AF292" s="76"/>
      <c r="AG292" s="76"/>
    </row>
    <row r="293" spans="1:33" ht="14">
      <c r="A293" s="106"/>
      <c r="B293" s="106"/>
      <c r="C293" s="189"/>
      <c r="D293" s="190"/>
      <c r="E293" s="190" t="s">
        <v>663</v>
      </c>
      <c r="F293" s="157" t="str">
        <f ca="1">IFERROR(__xludf.DUMMYFUNCTION("INDEX(SPLIT(E293,""/""),,COUNTA(SPLIT(E293,""/"")))"),"1744306606722957802")</f>
        <v>1744306606722957802</v>
      </c>
      <c r="G293" s="192" t="str">
        <f t="shared" si="0"/>
        <v>@osint_random</v>
      </c>
      <c r="H293" s="193" t="s">
        <v>624</v>
      </c>
      <c r="I293" s="106"/>
      <c r="J293" s="106"/>
      <c r="K293" s="106"/>
      <c r="L293" s="159"/>
      <c r="M293" s="76"/>
      <c r="N293" s="76"/>
      <c r="O293" s="76"/>
      <c r="P293" s="76"/>
      <c r="Q293" s="76"/>
      <c r="R293" s="76"/>
      <c r="S293" s="76"/>
      <c r="T293" s="76"/>
      <c r="U293" s="76"/>
      <c r="V293" s="162"/>
      <c r="W293" s="159"/>
      <c r="X293" s="76"/>
      <c r="Y293" s="76"/>
      <c r="Z293" s="76"/>
      <c r="AA293" s="76"/>
      <c r="AB293" s="76"/>
      <c r="AC293" s="76"/>
      <c r="AD293" s="76"/>
      <c r="AE293" s="76"/>
      <c r="AF293" s="76"/>
      <c r="AG293" s="76"/>
    </row>
    <row r="294" spans="1:33" ht="14">
      <c r="A294" s="106"/>
      <c r="B294" s="106"/>
      <c r="C294" s="189"/>
      <c r="D294" s="190"/>
      <c r="E294" s="190" t="s">
        <v>664</v>
      </c>
      <c r="F294" s="157" t="str">
        <f ca="1">IFERROR(__xludf.DUMMYFUNCTION("INDEX(SPLIT(E294,""/""),,COUNTA(SPLIT(E294,""/"")))"),"1742538120740958211")</f>
        <v>1742538120740958211</v>
      </c>
      <c r="G294" s="192" t="str">
        <f t="shared" si="0"/>
        <v>@MCutulic</v>
      </c>
      <c r="H294" s="193" t="s">
        <v>624</v>
      </c>
      <c r="I294" s="106"/>
      <c r="J294" s="106"/>
      <c r="K294" s="106"/>
      <c r="L294" s="159"/>
      <c r="M294" s="76"/>
      <c r="N294" s="76"/>
      <c r="O294" s="76"/>
      <c r="P294" s="76"/>
      <c r="Q294" s="76"/>
      <c r="R294" s="76"/>
      <c r="S294" s="76"/>
      <c r="T294" s="76"/>
      <c r="U294" s="76"/>
      <c r="V294" s="162"/>
      <c r="W294" s="159"/>
      <c r="X294" s="76"/>
      <c r="Y294" s="76"/>
      <c r="Z294" s="76"/>
      <c r="AA294" s="76"/>
      <c r="AB294" s="76"/>
      <c r="AC294" s="76"/>
      <c r="AD294" s="76"/>
      <c r="AE294" s="76"/>
      <c r="AF294" s="76"/>
      <c r="AG294" s="76"/>
    </row>
    <row r="295" spans="1:33" ht="14">
      <c r="A295" s="106"/>
      <c r="B295" s="106"/>
      <c r="C295" s="189"/>
      <c r="D295" s="190"/>
      <c r="E295" s="190" t="s">
        <v>665</v>
      </c>
      <c r="F295" s="157" t="str">
        <f ca="1">IFERROR(__xludf.DUMMYFUNCTION("INDEX(SPLIT(E295,""/""),,COUNTA(SPLIT(E295,""/"")))"),"1743783808049041503")</f>
        <v>1743783808049041503</v>
      </c>
      <c r="G295" s="192" t="str">
        <f t="shared" si="0"/>
        <v>@HackersOIHEC</v>
      </c>
      <c r="H295" s="193" t="s">
        <v>317</v>
      </c>
      <c r="I295" s="106"/>
      <c r="J295" s="106"/>
      <c r="K295" s="106"/>
      <c r="L295" s="159"/>
      <c r="M295" s="76"/>
      <c r="N295" s="76"/>
      <c r="O295" s="76"/>
      <c r="P295" s="76"/>
      <c r="Q295" s="76"/>
      <c r="R295" s="76"/>
      <c r="S295" s="76"/>
      <c r="T295" s="76"/>
      <c r="U295" s="76"/>
      <c r="V295" s="162"/>
      <c r="W295" s="159"/>
      <c r="X295" s="76"/>
      <c r="Y295" s="76"/>
      <c r="Z295" s="76"/>
      <c r="AA295" s="76"/>
      <c r="AB295" s="76"/>
      <c r="AC295" s="76"/>
      <c r="AD295" s="76"/>
      <c r="AE295" s="76"/>
      <c r="AF295" s="76"/>
      <c r="AG295" s="76"/>
    </row>
    <row r="296" spans="1:33" ht="14">
      <c r="A296" s="106"/>
      <c r="B296" s="106"/>
      <c r="C296" s="189"/>
      <c r="D296" s="190"/>
      <c r="E296" s="190" t="s">
        <v>666</v>
      </c>
      <c r="F296" s="157" t="str">
        <f ca="1">IFERROR(__xludf.DUMMYFUNCTION("INDEX(SPLIT(E296,""/""),,COUNTA(SPLIT(E296,""/"")))"),"1743278122697462048")</f>
        <v>1743278122697462048</v>
      </c>
      <c r="G296" s="192" t="str">
        <f t="shared" si="0"/>
        <v>@Osint613</v>
      </c>
      <c r="H296" s="193" t="s">
        <v>317</v>
      </c>
      <c r="I296" s="106"/>
      <c r="J296" s="106"/>
      <c r="K296" s="106"/>
      <c r="L296" s="159"/>
      <c r="M296" s="76"/>
      <c r="N296" s="76"/>
      <c r="O296" s="76"/>
      <c r="P296" s="76"/>
      <c r="Q296" s="76"/>
      <c r="R296" s="76"/>
      <c r="S296" s="76"/>
      <c r="T296" s="76"/>
      <c r="U296" s="76"/>
      <c r="V296" s="162"/>
      <c r="W296" s="159"/>
      <c r="X296" s="76"/>
      <c r="Y296" s="76"/>
      <c r="Z296" s="76"/>
      <c r="AA296" s="76"/>
      <c r="AB296" s="76"/>
      <c r="AC296" s="76"/>
      <c r="AD296" s="76"/>
      <c r="AE296" s="76"/>
      <c r="AF296" s="76"/>
      <c r="AG296" s="76"/>
    </row>
    <row r="297" spans="1:33" ht="14">
      <c r="A297" s="106"/>
      <c r="B297" s="106"/>
      <c r="C297" s="189"/>
      <c r="D297" s="190"/>
      <c r="E297" s="190" t="s">
        <v>667</v>
      </c>
      <c r="F297" s="157" t="str">
        <f ca="1">IFERROR(__xludf.DUMMYFUNCTION("INDEX(SPLIT(E297,""/""),,COUNTA(SPLIT(E297,""/"")))"),"1744202752480182549")</f>
        <v>1744202752480182549</v>
      </c>
      <c r="G297" s="192" t="str">
        <f t="shared" si="0"/>
        <v>@osint_w</v>
      </c>
      <c r="H297" s="193" t="s">
        <v>317</v>
      </c>
      <c r="I297" s="106"/>
      <c r="J297" s="106"/>
      <c r="K297" s="106"/>
      <c r="L297" s="159"/>
      <c r="M297" s="76"/>
      <c r="N297" s="76"/>
      <c r="O297" s="76"/>
      <c r="P297" s="76"/>
      <c r="Q297" s="76"/>
      <c r="R297" s="76"/>
      <c r="S297" s="76"/>
      <c r="T297" s="76"/>
      <c r="U297" s="76"/>
      <c r="V297" s="162"/>
      <c r="W297" s="159"/>
      <c r="X297" s="76"/>
      <c r="Y297" s="76"/>
      <c r="Z297" s="76"/>
      <c r="AA297" s="76"/>
      <c r="AB297" s="76"/>
      <c r="AC297" s="76"/>
      <c r="AD297" s="76"/>
      <c r="AE297" s="76"/>
      <c r="AF297" s="76"/>
      <c r="AG297" s="76"/>
    </row>
    <row r="298" spans="1:33" ht="14">
      <c r="A298" s="106"/>
      <c r="B298" s="106"/>
      <c r="C298" s="189"/>
      <c r="D298" s="190"/>
      <c r="E298" s="190" t="s">
        <v>668</v>
      </c>
      <c r="F298" s="157" t="str">
        <f ca="1">IFERROR(__xludf.DUMMYFUNCTION("INDEX(SPLIT(E298,""/""),,COUNTA(SPLIT(E298,""/"")))"),"1743279790952427875")</f>
        <v>1743279790952427875</v>
      </c>
      <c r="G298" s="192" t="str">
        <f t="shared" si="0"/>
        <v>@Osint613</v>
      </c>
      <c r="H298" s="193" t="s">
        <v>317</v>
      </c>
      <c r="I298" s="106"/>
      <c r="J298" s="106"/>
      <c r="K298" s="106"/>
      <c r="L298" s="159"/>
      <c r="M298" s="76"/>
      <c r="N298" s="76"/>
      <c r="O298" s="76"/>
      <c r="P298" s="76"/>
      <c r="Q298" s="76"/>
      <c r="R298" s="76"/>
      <c r="S298" s="76"/>
      <c r="T298" s="76"/>
      <c r="U298" s="76"/>
      <c r="V298" s="162"/>
      <c r="W298" s="159"/>
      <c r="X298" s="76"/>
      <c r="Y298" s="76"/>
      <c r="Z298" s="76"/>
      <c r="AA298" s="76"/>
      <c r="AB298" s="76"/>
      <c r="AC298" s="76"/>
      <c r="AD298" s="76"/>
      <c r="AE298" s="76"/>
      <c r="AF298" s="76"/>
      <c r="AG298" s="76"/>
    </row>
    <row r="299" spans="1:33" ht="14">
      <c r="A299" s="106"/>
      <c r="B299" s="106"/>
      <c r="C299" s="189"/>
      <c r="D299" s="190"/>
      <c r="E299" s="190" t="s">
        <v>669</v>
      </c>
      <c r="F299" s="157" t="str">
        <f ca="1">IFERROR(__xludf.DUMMYFUNCTION("INDEX(SPLIT(E299,""/""),,COUNTA(SPLIT(E299,""/"")))"),"1743208649571680444")</f>
        <v>1743208649571680444</v>
      </c>
      <c r="G299" s="192" t="str">
        <f t="shared" si="0"/>
        <v>@OSINTJK</v>
      </c>
      <c r="H299" s="193" t="s">
        <v>317</v>
      </c>
      <c r="I299" s="106"/>
      <c r="J299" s="106"/>
      <c r="K299" s="106"/>
      <c r="L299" s="159"/>
      <c r="M299" s="76"/>
      <c r="N299" s="76"/>
      <c r="O299" s="76"/>
      <c r="P299" s="76"/>
      <c r="Q299" s="76"/>
      <c r="R299" s="76"/>
      <c r="S299" s="76"/>
      <c r="T299" s="76"/>
      <c r="U299" s="76"/>
      <c r="V299" s="162"/>
      <c r="W299" s="159"/>
      <c r="X299" s="76"/>
      <c r="Y299" s="76"/>
      <c r="Z299" s="76"/>
      <c r="AA299" s="76"/>
      <c r="AB299" s="76"/>
      <c r="AC299" s="76"/>
      <c r="AD299" s="76"/>
      <c r="AE299" s="76"/>
      <c r="AF299" s="76"/>
      <c r="AG299" s="76"/>
    </row>
    <row r="300" spans="1:33" ht="14">
      <c r="A300" s="106"/>
      <c r="B300" s="106"/>
      <c r="C300" s="189"/>
      <c r="D300" s="190"/>
      <c r="E300" s="190" t="s">
        <v>670</v>
      </c>
      <c r="F300" s="157" t="str">
        <f ca="1">IFERROR(__xludf.DUMMYFUNCTION("INDEX(SPLIT(E300,""/""),,COUNTA(SPLIT(E300,""/"")))"),"1743763551125155983")</f>
        <v>1743763551125155983</v>
      </c>
      <c r="G300" s="192" t="str">
        <f t="shared" si="0"/>
        <v>@osint_w</v>
      </c>
      <c r="H300" s="193" t="s">
        <v>317</v>
      </c>
      <c r="I300" s="106"/>
      <c r="J300" s="106"/>
      <c r="K300" s="106"/>
      <c r="L300" s="159"/>
      <c r="M300" s="76"/>
      <c r="N300" s="76"/>
      <c r="O300" s="76"/>
      <c r="P300" s="76"/>
      <c r="Q300" s="76"/>
      <c r="R300" s="76"/>
      <c r="S300" s="76"/>
      <c r="T300" s="76"/>
      <c r="U300" s="76"/>
      <c r="V300" s="162"/>
      <c r="W300" s="159"/>
      <c r="X300" s="76"/>
      <c r="Y300" s="76"/>
      <c r="Z300" s="76"/>
      <c r="AA300" s="76"/>
      <c r="AB300" s="76"/>
      <c r="AC300" s="76"/>
      <c r="AD300" s="76"/>
      <c r="AE300" s="76"/>
      <c r="AF300" s="76"/>
      <c r="AG300" s="76"/>
    </row>
    <row r="301" spans="1:33" ht="14">
      <c r="A301" s="106"/>
      <c r="B301" s="106"/>
      <c r="C301" s="189"/>
      <c r="D301" s="190"/>
      <c r="E301" s="190" t="s">
        <v>671</v>
      </c>
      <c r="F301" s="157" t="str">
        <f ca="1">IFERROR(__xludf.DUMMYFUNCTION("INDEX(SPLIT(E301,""/""),,COUNTA(SPLIT(E301,""/"")))"),"1744211067243315307")</f>
        <v>1744211067243315307</v>
      </c>
      <c r="G301" s="192" t="str">
        <f t="shared" si="0"/>
        <v>@osint_w</v>
      </c>
      <c r="H301" s="193" t="s">
        <v>317</v>
      </c>
      <c r="I301" s="106"/>
      <c r="J301" s="106"/>
      <c r="K301" s="106"/>
      <c r="L301" s="159"/>
      <c r="M301" s="76"/>
      <c r="N301" s="76"/>
      <c r="O301" s="76"/>
      <c r="P301" s="76"/>
      <c r="Q301" s="76"/>
      <c r="R301" s="76"/>
      <c r="S301" s="76"/>
      <c r="T301" s="76"/>
      <c r="U301" s="76"/>
      <c r="V301" s="162"/>
      <c r="W301" s="159"/>
      <c r="X301" s="76"/>
      <c r="Y301" s="76"/>
      <c r="Z301" s="76"/>
      <c r="AA301" s="76"/>
      <c r="AB301" s="76"/>
      <c r="AC301" s="76"/>
      <c r="AD301" s="76"/>
      <c r="AE301" s="76"/>
      <c r="AF301" s="76"/>
      <c r="AG301" s="76"/>
    </row>
    <row r="302" spans="1:33" ht="14">
      <c r="A302" s="106"/>
      <c r="B302" s="106"/>
      <c r="C302" s="189"/>
      <c r="D302" s="190"/>
      <c r="E302" s="190" t="s">
        <v>672</v>
      </c>
      <c r="F302" s="157" t="str">
        <f ca="1">IFERROR(__xludf.DUMMYFUNCTION("INDEX(SPLIT(E302,""/""),,COUNTA(SPLIT(E302,""/"")))"),"1744090601274929194")</f>
        <v>1744090601274929194</v>
      </c>
      <c r="G302" s="192" t="str">
        <f t="shared" si="0"/>
        <v>@UKikaski</v>
      </c>
      <c r="H302" s="193" t="s">
        <v>317</v>
      </c>
      <c r="I302" s="106"/>
      <c r="J302" s="106"/>
      <c r="K302" s="106"/>
      <c r="L302" s="159"/>
      <c r="M302" s="76"/>
      <c r="N302" s="76"/>
      <c r="O302" s="76"/>
      <c r="P302" s="76"/>
      <c r="Q302" s="76"/>
      <c r="R302" s="76"/>
      <c r="S302" s="76"/>
      <c r="T302" s="76"/>
      <c r="U302" s="76"/>
      <c r="V302" s="162"/>
      <c r="W302" s="159"/>
      <c r="X302" s="76"/>
      <c r="Y302" s="76"/>
      <c r="Z302" s="76"/>
      <c r="AA302" s="76"/>
      <c r="AB302" s="76"/>
      <c r="AC302" s="76"/>
      <c r="AD302" s="76"/>
      <c r="AE302" s="76"/>
      <c r="AF302" s="76"/>
      <c r="AG302" s="76"/>
    </row>
    <row r="303" spans="1:33" ht="14">
      <c r="A303" s="106"/>
      <c r="B303" s="106"/>
      <c r="C303" s="189"/>
      <c r="D303" s="190"/>
      <c r="E303" s="190" t="s">
        <v>673</v>
      </c>
      <c r="F303" s="157" t="str">
        <f ca="1">IFERROR(__xludf.DUMMYFUNCTION("INDEX(SPLIT(E303,""/""),,COUNTA(SPLIT(E303,""/"")))"),"1744415592726004196")</f>
        <v>1744415592726004196</v>
      </c>
      <c r="G303" s="192" t="str">
        <f t="shared" si="0"/>
        <v>@LicGriffaNahuel</v>
      </c>
      <c r="H303" s="193" t="s">
        <v>317</v>
      </c>
      <c r="I303" s="106"/>
      <c r="J303" s="106"/>
      <c r="K303" s="106"/>
      <c r="L303" s="159"/>
      <c r="M303" s="76"/>
      <c r="N303" s="76"/>
      <c r="O303" s="76"/>
      <c r="P303" s="76"/>
      <c r="Q303" s="76"/>
      <c r="R303" s="76"/>
      <c r="S303" s="76"/>
      <c r="T303" s="76"/>
      <c r="U303" s="76"/>
      <c r="V303" s="162"/>
      <c r="W303" s="159"/>
      <c r="X303" s="76"/>
      <c r="Y303" s="76"/>
      <c r="Z303" s="76"/>
      <c r="AA303" s="76"/>
      <c r="AB303" s="76"/>
      <c r="AC303" s="76"/>
      <c r="AD303" s="76"/>
      <c r="AE303" s="76"/>
      <c r="AF303" s="76"/>
      <c r="AG303" s="76"/>
    </row>
    <row r="304" spans="1:33" ht="14">
      <c r="A304" s="106"/>
      <c r="B304" s="106"/>
      <c r="C304" s="189"/>
      <c r="D304" s="190"/>
      <c r="E304" s="190" t="s">
        <v>674</v>
      </c>
      <c r="F304" s="157" t="str">
        <f ca="1">IFERROR(__xludf.DUMMYFUNCTION("INDEX(SPLIT(E304,""/""),,COUNTA(SPLIT(E304,""/"")))"),"1742731787204210956")</f>
        <v>1742731787204210956</v>
      </c>
      <c r="G304" s="192" t="str">
        <f t="shared" si="0"/>
        <v>@FrancoLopez288</v>
      </c>
      <c r="H304" s="193" t="s">
        <v>317</v>
      </c>
      <c r="I304" s="106"/>
      <c r="J304" s="106"/>
      <c r="K304" s="106"/>
      <c r="L304" s="159"/>
      <c r="M304" s="76"/>
      <c r="N304" s="76"/>
      <c r="O304" s="76"/>
      <c r="P304" s="76"/>
      <c r="Q304" s="76"/>
      <c r="R304" s="76"/>
      <c r="S304" s="76"/>
      <c r="T304" s="76"/>
      <c r="U304" s="76"/>
      <c r="V304" s="162"/>
      <c r="W304" s="159"/>
      <c r="X304" s="76"/>
      <c r="Y304" s="76"/>
      <c r="Z304" s="76"/>
      <c r="AA304" s="76"/>
      <c r="AB304" s="76"/>
      <c r="AC304" s="76"/>
      <c r="AD304" s="76"/>
      <c r="AE304" s="76"/>
      <c r="AF304" s="76"/>
      <c r="AG304" s="76"/>
    </row>
    <row r="305" spans="1:33" ht="14">
      <c r="A305" s="106"/>
      <c r="B305" s="106"/>
      <c r="C305" s="189"/>
      <c r="D305" s="190"/>
      <c r="E305" s="190" t="s">
        <v>675</v>
      </c>
      <c r="F305" s="157" t="str">
        <f ca="1">IFERROR(__xludf.DUMMYFUNCTION("INDEX(SPLIT(E305,""/""),,COUNTA(SPLIT(E305,""/"")))"),"1743455705225408883")</f>
        <v>1743455705225408883</v>
      </c>
      <c r="G305" s="192" t="str">
        <f t="shared" si="0"/>
        <v>@Alonso_ReYDeS</v>
      </c>
      <c r="H305" s="193" t="s">
        <v>317</v>
      </c>
      <c r="I305" s="106"/>
      <c r="J305" s="106"/>
      <c r="K305" s="106"/>
      <c r="L305" s="159"/>
      <c r="M305" s="76"/>
      <c r="N305" s="76"/>
      <c r="O305" s="76"/>
      <c r="P305" s="76"/>
      <c r="Q305" s="76"/>
      <c r="R305" s="76"/>
      <c r="S305" s="76"/>
      <c r="T305" s="76"/>
      <c r="U305" s="76"/>
      <c r="V305" s="162"/>
      <c r="W305" s="159"/>
      <c r="X305" s="76"/>
      <c r="Y305" s="76"/>
      <c r="Z305" s="76"/>
      <c r="AA305" s="76"/>
      <c r="AB305" s="76"/>
      <c r="AC305" s="76"/>
      <c r="AD305" s="76"/>
      <c r="AE305" s="76"/>
      <c r="AF305" s="76"/>
      <c r="AG305" s="76"/>
    </row>
    <row r="306" spans="1:33" ht="14">
      <c r="A306" s="106"/>
      <c r="B306" s="106"/>
      <c r="C306" s="189"/>
      <c r="D306" s="190"/>
      <c r="E306" s="190" t="s">
        <v>676</v>
      </c>
      <c r="F306" s="157" t="str">
        <f ca="1">IFERROR(__xludf.DUMMYFUNCTION("INDEX(SPLIT(E306,""/""),,COUNTA(SPLIT(E306,""/"")))"),"1743324079053066387")</f>
        <v>1743324079053066387</v>
      </c>
      <c r="G306" s="192" t="str">
        <f t="shared" si="0"/>
        <v>@cibernicola_es</v>
      </c>
      <c r="H306" s="193" t="s">
        <v>317</v>
      </c>
      <c r="I306" s="106"/>
      <c r="J306" s="106"/>
      <c r="K306" s="106"/>
      <c r="L306" s="159"/>
      <c r="M306" s="76"/>
      <c r="N306" s="76"/>
      <c r="O306" s="76"/>
      <c r="P306" s="76"/>
      <c r="Q306" s="76"/>
      <c r="R306" s="76"/>
      <c r="S306" s="76"/>
      <c r="T306" s="76"/>
      <c r="U306" s="76"/>
      <c r="V306" s="162"/>
      <c r="W306" s="159"/>
      <c r="X306" s="76"/>
      <c r="Y306" s="76"/>
      <c r="Z306" s="76"/>
      <c r="AA306" s="76"/>
      <c r="AB306" s="76"/>
      <c r="AC306" s="76"/>
      <c r="AD306" s="76"/>
      <c r="AE306" s="76"/>
      <c r="AF306" s="76"/>
      <c r="AG306" s="76"/>
    </row>
    <row r="307" spans="1:33" ht="14">
      <c r="A307" s="106"/>
      <c r="B307" s="106"/>
      <c r="C307" s="189"/>
      <c r="D307" s="190"/>
      <c r="E307" s="190" t="s">
        <v>677</v>
      </c>
      <c r="F307" s="157" t="str">
        <f ca="1">IFERROR(__xludf.DUMMYFUNCTION("INDEX(SPLIT(E307,""/""),,COUNTA(SPLIT(E307,""/"")))"),"1744317709859402040")</f>
        <v>1744317709859402040</v>
      </c>
      <c r="G307" s="192" t="str">
        <f t="shared" si="0"/>
        <v>@NOTINAFO</v>
      </c>
      <c r="H307" s="193" t="s">
        <v>317</v>
      </c>
      <c r="I307" s="106"/>
      <c r="J307" s="106"/>
      <c r="K307" s="106"/>
      <c r="L307" s="159"/>
      <c r="M307" s="76"/>
      <c r="N307" s="76"/>
      <c r="O307" s="76"/>
      <c r="P307" s="76"/>
      <c r="Q307" s="76"/>
      <c r="R307" s="76"/>
      <c r="S307" s="76"/>
      <c r="T307" s="76"/>
      <c r="U307" s="76"/>
      <c r="V307" s="162"/>
      <c r="W307" s="159"/>
      <c r="X307" s="76"/>
      <c r="Y307" s="76"/>
      <c r="Z307" s="76"/>
      <c r="AA307" s="76"/>
      <c r="AB307" s="76"/>
      <c r="AC307" s="76"/>
      <c r="AD307" s="76"/>
      <c r="AE307" s="76"/>
      <c r="AF307" s="76"/>
      <c r="AG307" s="76"/>
    </row>
    <row r="308" spans="1:33" ht="14">
      <c r="A308" s="106"/>
      <c r="B308" s="106"/>
      <c r="C308" s="189"/>
      <c r="D308" s="190"/>
      <c r="E308" s="190" t="s">
        <v>678</v>
      </c>
      <c r="F308" s="157" t="str">
        <f ca="1">IFERROR(__xludf.DUMMYFUNCTION("INDEX(SPLIT(E308,""/""),,COUNTA(SPLIT(E308,""/"")))"),"1744354917370749025")</f>
        <v>1744354917370749025</v>
      </c>
      <c r="G308" s="192" t="str">
        <f t="shared" si="0"/>
        <v>@osint_w</v>
      </c>
      <c r="H308" s="193" t="s">
        <v>317</v>
      </c>
      <c r="I308" s="106"/>
      <c r="J308" s="106"/>
      <c r="K308" s="106"/>
      <c r="L308" s="159"/>
      <c r="M308" s="76"/>
      <c r="N308" s="76"/>
      <c r="O308" s="76"/>
      <c r="P308" s="76"/>
      <c r="Q308" s="76"/>
      <c r="R308" s="76"/>
      <c r="S308" s="76"/>
      <c r="T308" s="76"/>
      <c r="U308" s="76"/>
      <c r="V308" s="162"/>
      <c r="W308" s="159"/>
      <c r="X308" s="76"/>
      <c r="Y308" s="76"/>
      <c r="Z308" s="76"/>
      <c r="AA308" s="76"/>
      <c r="AB308" s="76"/>
      <c r="AC308" s="76"/>
      <c r="AD308" s="76"/>
      <c r="AE308" s="76"/>
      <c r="AF308" s="76"/>
      <c r="AG308" s="76"/>
    </row>
    <row r="309" spans="1:33" ht="14">
      <c r="A309" s="106"/>
      <c r="B309" s="106"/>
      <c r="C309" s="189"/>
      <c r="D309" s="190"/>
      <c r="E309" s="190" t="s">
        <v>679</v>
      </c>
      <c r="F309" s="157" t="str">
        <f ca="1">IFERROR(__xludf.DUMMYFUNCTION("INDEX(SPLIT(E309,""/""),,COUNTA(SPLIT(E309,""/"")))"),"1744809719154286928")</f>
        <v>1744809719154286928</v>
      </c>
      <c r="G309" s="192" t="str">
        <f t="shared" si="0"/>
        <v>@danuzioneto</v>
      </c>
      <c r="H309" s="193" t="s">
        <v>317</v>
      </c>
      <c r="I309" s="106"/>
      <c r="J309" s="106"/>
      <c r="K309" s="106"/>
      <c r="L309" s="159"/>
      <c r="M309" s="76"/>
      <c r="N309" s="76"/>
      <c r="O309" s="76"/>
      <c r="P309" s="76"/>
      <c r="Q309" s="76"/>
      <c r="R309" s="76"/>
      <c r="S309" s="76"/>
      <c r="T309" s="76"/>
      <c r="U309" s="76"/>
      <c r="V309" s="162"/>
      <c r="W309" s="159"/>
      <c r="X309" s="76"/>
      <c r="Y309" s="76"/>
      <c r="Z309" s="76"/>
      <c r="AA309" s="76"/>
      <c r="AB309" s="76"/>
      <c r="AC309" s="76"/>
      <c r="AD309" s="76"/>
      <c r="AE309" s="76"/>
      <c r="AF309" s="76"/>
      <c r="AG309" s="76"/>
    </row>
    <row r="310" spans="1:33" ht="14">
      <c r="A310" s="106"/>
      <c r="B310" s="106"/>
      <c r="C310" s="189"/>
      <c r="D310" s="190"/>
      <c r="E310" s="190" t="s">
        <v>680</v>
      </c>
      <c r="F310" s="157" t="str">
        <f ca="1">IFERROR(__xludf.DUMMYFUNCTION("INDEX(SPLIT(E310,""/""),,COUNTA(SPLIT(E310,""/"")))"),"1744819646795043204")</f>
        <v>1744819646795043204</v>
      </c>
      <c r="G310" s="192" t="str">
        <f t="shared" si="0"/>
        <v>@danuzioneto</v>
      </c>
      <c r="H310" s="193" t="s">
        <v>317</v>
      </c>
      <c r="I310" s="106"/>
      <c r="J310" s="106"/>
      <c r="K310" s="106"/>
      <c r="L310" s="159"/>
      <c r="M310" s="76"/>
      <c r="N310" s="76"/>
      <c r="O310" s="76"/>
      <c r="P310" s="76"/>
      <c r="Q310" s="76"/>
      <c r="R310" s="76"/>
      <c r="S310" s="76"/>
      <c r="T310" s="76"/>
      <c r="U310" s="76"/>
      <c r="V310" s="162"/>
      <c r="W310" s="159"/>
      <c r="X310" s="76"/>
      <c r="Y310" s="76"/>
      <c r="Z310" s="76"/>
      <c r="AA310" s="76"/>
      <c r="AB310" s="76"/>
      <c r="AC310" s="76"/>
      <c r="AD310" s="76"/>
      <c r="AE310" s="76"/>
      <c r="AF310" s="76"/>
      <c r="AG310" s="76"/>
    </row>
    <row r="311" spans="1:33" ht="14">
      <c r="A311" s="106"/>
      <c r="B311" s="106"/>
      <c r="C311" s="189"/>
      <c r="D311" s="190"/>
      <c r="E311" s="190" t="s">
        <v>681</v>
      </c>
      <c r="F311" s="157" t="str">
        <f ca="1">IFERROR(__xludf.DUMMYFUNCTION("INDEX(SPLIT(E311,""/""),,COUNTA(SPLIT(E311,""/"")))"),"1743077476845195439")</f>
        <v>1743077476845195439</v>
      </c>
      <c r="G311" s="192" t="str">
        <f t="shared" si="0"/>
        <v>@SraOSINT</v>
      </c>
      <c r="H311" s="193" t="s">
        <v>317</v>
      </c>
      <c r="I311" s="106"/>
      <c r="J311" s="106"/>
      <c r="K311" s="106"/>
      <c r="L311" s="159"/>
      <c r="M311" s="76"/>
      <c r="N311" s="76"/>
      <c r="O311" s="76"/>
      <c r="P311" s="76"/>
      <c r="Q311" s="76"/>
      <c r="R311" s="76"/>
      <c r="S311" s="76"/>
      <c r="T311" s="76"/>
      <c r="U311" s="76"/>
      <c r="V311" s="162"/>
      <c r="W311" s="159"/>
      <c r="X311" s="76"/>
      <c r="Y311" s="76"/>
      <c r="Z311" s="76"/>
      <c r="AA311" s="76"/>
      <c r="AB311" s="76"/>
      <c r="AC311" s="76"/>
      <c r="AD311" s="76"/>
      <c r="AE311" s="76"/>
      <c r="AF311" s="76"/>
      <c r="AG311" s="76"/>
    </row>
    <row r="312" spans="1:33" ht="14">
      <c r="A312" s="106"/>
      <c r="B312" s="106"/>
      <c r="C312" s="189"/>
      <c r="D312" s="190"/>
      <c r="E312" s="190" t="s">
        <v>682</v>
      </c>
      <c r="F312" s="157" t="str">
        <f ca="1">IFERROR(__xludf.DUMMYFUNCTION("INDEX(SPLIT(E312,""/""),,COUNTA(SPLIT(E312,""/"")))"),"1745444823794938066")</f>
        <v>1745444823794938066</v>
      </c>
      <c r="G312" s="192" t="str">
        <f t="shared" si="0"/>
        <v>@SraOSINT</v>
      </c>
      <c r="H312" s="193" t="s">
        <v>317</v>
      </c>
      <c r="I312" s="106"/>
      <c r="J312" s="106"/>
      <c r="K312" s="106"/>
      <c r="L312" s="159"/>
      <c r="M312" s="76"/>
      <c r="N312" s="76"/>
      <c r="O312" s="76"/>
      <c r="P312" s="76"/>
      <c r="Q312" s="76"/>
      <c r="R312" s="76"/>
      <c r="S312" s="76"/>
      <c r="T312" s="76"/>
      <c r="U312" s="76"/>
      <c r="V312" s="162"/>
      <c r="W312" s="159"/>
      <c r="X312" s="76"/>
      <c r="Y312" s="76"/>
      <c r="Z312" s="76"/>
      <c r="AA312" s="76"/>
      <c r="AB312" s="76"/>
      <c r="AC312" s="76"/>
      <c r="AD312" s="76"/>
      <c r="AE312" s="76"/>
      <c r="AF312" s="76"/>
      <c r="AG312" s="76"/>
    </row>
    <row r="313" spans="1:33" ht="14">
      <c r="A313" s="106"/>
      <c r="B313" s="106"/>
      <c r="C313" s="189"/>
      <c r="D313" s="190"/>
      <c r="E313" s="190" t="s">
        <v>683</v>
      </c>
      <c r="F313" s="157" t="str">
        <f ca="1">IFERROR(__xludf.DUMMYFUNCTION("INDEX(SPLIT(E313,""/""),,COUNTA(SPLIT(E313,""/"")))"),"1744839536658489573")</f>
        <v>1744839536658489573</v>
      </c>
      <c r="G313" s="192" t="str">
        <f t="shared" si="0"/>
        <v>@OsintExperts</v>
      </c>
      <c r="H313" s="193" t="s">
        <v>317</v>
      </c>
      <c r="I313" s="106"/>
      <c r="J313" s="106"/>
      <c r="K313" s="106"/>
      <c r="L313" s="159"/>
      <c r="M313" s="76"/>
      <c r="N313" s="76"/>
      <c r="O313" s="76"/>
      <c r="P313" s="76"/>
      <c r="Q313" s="76"/>
      <c r="R313" s="76"/>
      <c r="S313" s="76"/>
      <c r="T313" s="76"/>
      <c r="U313" s="76"/>
      <c r="V313" s="162"/>
      <c r="W313" s="159"/>
      <c r="X313" s="76"/>
      <c r="Y313" s="76"/>
      <c r="Z313" s="76"/>
      <c r="AA313" s="76"/>
      <c r="AB313" s="76"/>
      <c r="AC313" s="76"/>
      <c r="AD313" s="76"/>
      <c r="AE313" s="76"/>
      <c r="AF313" s="76"/>
      <c r="AG313" s="76"/>
    </row>
    <row r="314" spans="1:33" ht="14">
      <c r="A314" s="106"/>
      <c r="B314" s="106"/>
      <c r="C314" s="189"/>
      <c r="D314" s="190"/>
      <c r="E314" s="190" t="s">
        <v>684</v>
      </c>
      <c r="F314" s="157" t="str">
        <f ca="1">IFERROR(__xludf.DUMMYFUNCTION("INDEX(SPLIT(E314,""/""),,COUNTA(SPLIT(E314,""/"")))"),"1744726744194764808")</f>
        <v>1744726744194764808</v>
      </c>
      <c r="G314" s="192" t="str">
        <f t="shared" si="0"/>
        <v>@OVTT</v>
      </c>
      <c r="H314" s="193" t="s">
        <v>317</v>
      </c>
      <c r="I314" s="106"/>
      <c r="J314" s="106"/>
      <c r="K314" s="106"/>
      <c r="L314" s="159"/>
      <c r="M314" s="76"/>
      <c r="N314" s="76"/>
      <c r="O314" s="76"/>
      <c r="P314" s="76"/>
      <c r="Q314" s="76"/>
      <c r="R314" s="76"/>
      <c r="S314" s="76"/>
      <c r="T314" s="76"/>
      <c r="U314" s="76"/>
      <c r="V314" s="162"/>
      <c r="W314" s="159"/>
      <c r="X314" s="76"/>
      <c r="Y314" s="76"/>
      <c r="Z314" s="76"/>
      <c r="AA314" s="76"/>
      <c r="AB314" s="76"/>
      <c r="AC314" s="76"/>
      <c r="AD314" s="76"/>
      <c r="AE314" s="76"/>
      <c r="AF314" s="76"/>
      <c r="AG314" s="76"/>
    </row>
    <row r="315" spans="1:33" ht="14">
      <c r="A315" s="106"/>
      <c r="B315" s="106"/>
      <c r="C315" s="189"/>
      <c r="D315" s="190"/>
      <c r="E315" s="190" t="s">
        <v>670</v>
      </c>
      <c r="F315" s="157" t="str">
        <f ca="1">IFERROR(__xludf.DUMMYFUNCTION("INDEX(SPLIT(E315,""/""),,COUNTA(SPLIT(E315,""/"")))"),"1743763551125155983")</f>
        <v>1743763551125155983</v>
      </c>
      <c r="G315" s="192" t="str">
        <f t="shared" si="0"/>
        <v>@osint_w</v>
      </c>
      <c r="H315" s="193" t="s">
        <v>317</v>
      </c>
      <c r="I315" s="106"/>
      <c r="J315" s="106"/>
      <c r="K315" s="106"/>
      <c r="L315" s="159"/>
      <c r="M315" s="76"/>
      <c r="N315" s="76"/>
      <c r="O315" s="76"/>
      <c r="P315" s="76"/>
      <c r="Q315" s="76"/>
      <c r="R315" s="76"/>
      <c r="S315" s="76"/>
      <c r="T315" s="76"/>
      <c r="U315" s="76"/>
      <c r="V315" s="162"/>
      <c r="W315" s="159"/>
      <c r="X315" s="76"/>
      <c r="Y315" s="76"/>
      <c r="Z315" s="76"/>
      <c r="AA315" s="76"/>
      <c r="AB315" s="76"/>
      <c r="AC315" s="76"/>
      <c r="AD315" s="76"/>
      <c r="AE315" s="76"/>
      <c r="AF315" s="76"/>
      <c r="AG315" s="76"/>
    </row>
    <row r="316" spans="1:33" ht="14">
      <c r="A316" s="106"/>
      <c r="B316" s="106"/>
      <c r="C316" s="189"/>
      <c r="D316" s="190"/>
      <c r="E316" s="190" t="s">
        <v>671</v>
      </c>
      <c r="F316" s="157" t="str">
        <f ca="1">IFERROR(__xludf.DUMMYFUNCTION("INDEX(SPLIT(E316,""/""),,COUNTA(SPLIT(E316,""/"")))"),"1744211067243315307")</f>
        <v>1744211067243315307</v>
      </c>
      <c r="G316" s="192" t="str">
        <f t="shared" si="0"/>
        <v>@osint_w</v>
      </c>
      <c r="H316" s="193" t="s">
        <v>317</v>
      </c>
      <c r="I316" s="106"/>
      <c r="J316" s="106"/>
      <c r="K316" s="106"/>
      <c r="L316" s="159"/>
      <c r="M316" s="76"/>
      <c r="N316" s="76"/>
      <c r="O316" s="76"/>
      <c r="P316" s="76"/>
      <c r="Q316" s="76"/>
      <c r="R316" s="76"/>
      <c r="S316" s="76"/>
      <c r="T316" s="76"/>
      <c r="U316" s="76"/>
      <c r="V316" s="162"/>
      <c r="W316" s="159"/>
      <c r="X316" s="76"/>
      <c r="Y316" s="76"/>
      <c r="Z316" s="76"/>
      <c r="AA316" s="76"/>
      <c r="AB316" s="76"/>
      <c r="AC316" s="76"/>
      <c r="AD316" s="76"/>
      <c r="AE316" s="76"/>
      <c r="AF316" s="76"/>
      <c r="AG316" s="76"/>
    </row>
  </sheetData>
  <mergeCells count="7">
    <mergeCell ref="X2:AC2"/>
    <mergeCell ref="AD2:AG2"/>
    <mergeCell ref="E1:L1"/>
    <mergeCell ref="E2:I2"/>
    <mergeCell ref="J2:L2"/>
    <mergeCell ref="M2:Q2"/>
    <mergeCell ref="R2:W2"/>
  </mergeCells>
  <dataValidations count="6">
    <dataValidation type="list" allowBlank="1" showErrorMessage="1" sqref="I8 I11 I25 I34 I45 I54 I62 I68 I80 I87 I94 I101 I106 I113 I120 I127 I134 I141 I148 I155 I162 I169 I176 I183 I190 I197" xr:uid="{00000000-0002-0000-0300-000000000000}">
      <formula1>"Tweet,Thread,Reply"</formula1>
    </dataValidation>
    <dataValidation type="list" allowBlank="1" showErrorMessage="1" sqref="L8:AG8 M11:V11 X11:AG11 V19 M21:U23 X21:AG23 M25:U316 X25:AG316" xr:uid="{00000000-0002-0000-0300-000001000000}">
      <formula1>"1,2,3"</formula1>
    </dataValidation>
    <dataValidation type="list" allowBlank="1" showErrorMessage="1" sqref="J5:K64 J69:K316" xr:uid="{00000000-0002-0000-0300-000002000000}">
      <formula1>"Yes,No"</formula1>
    </dataValidation>
    <dataValidation type="list" allowBlank="1" showErrorMessage="1" sqref="I5:I7 I9:I10 I12:I24 I26:I33 I35:I44 I46:I53 I55:I61 I63:I67 I69:I79 I81:I86 I88:I93 I95:I100 I102:I105 I107:I112 I114:I119 I121:I126 I128:I133 I135:I140 I142:I147 I149:I154 I156:I161 I163:I168 I170:I175 I177:I182 I184:I189 I191:I196 I198:I316" xr:uid="{00000000-0002-0000-0300-000003000000}">
      <formula1>"Tweet,Thread "</formula1>
    </dataValidation>
    <dataValidation type="list" allowBlank="1" showErrorMessage="1" sqref="L5:AG7 L9:AG10 L11 W11 L12:AG18 L19:U19 W19:AG19 L20:AG20 L21:L23 V21:W23 L24:AG24 L25:L316 V25:W316" xr:uid="{00000000-0002-0000-0300-000004000000}">
      <formula1>"1,2,3,Unsure"</formula1>
    </dataValidation>
    <dataValidation type="list" allowBlank="1" showErrorMessage="1" sqref="J65:K68" xr:uid="{00000000-0002-0000-0300-000005000000}">
      <formula1>"1,0,Unsure"</formula1>
    </dataValidation>
  </dataValidations>
  <hyperlinks>
    <hyperlink ref="E5" r:id="rId1" xr:uid="{00000000-0004-0000-0300-000000000000}"/>
    <hyperlink ref="G5" r:id="rId2" xr:uid="{00000000-0004-0000-0300-000001000000}"/>
    <hyperlink ref="E6" r:id="rId3" xr:uid="{00000000-0004-0000-0300-000002000000}"/>
    <hyperlink ref="G6" r:id="rId4" xr:uid="{00000000-0004-0000-0300-000003000000}"/>
    <hyperlink ref="E7" r:id="rId5" xr:uid="{00000000-0004-0000-0300-000004000000}"/>
    <hyperlink ref="G7" r:id="rId6" xr:uid="{00000000-0004-0000-0300-000005000000}"/>
    <hyperlink ref="E8" r:id="rId7" xr:uid="{00000000-0004-0000-0300-000006000000}"/>
    <hyperlink ref="G8" r:id="rId8" xr:uid="{00000000-0004-0000-0300-000007000000}"/>
    <hyperlink ref="E9" r:id="rId9" xr:uid="{00000000-0004-0000-0300-000008000000}"/>
    <hyperlink ref="G9" r:id="rId10" xr:uid="{00000000-0004-0000-0300-000009000000}"/>
    <hyperlink ref="E10" r:id="rId11" xr:uid="{00000000-0004-0000-0300-00000A000000}"/>
    <hyperlink ref="G10" r:id="rId12" xr:uid="{00000000-0004-0000-0300-00000B000000}"/>
    <hyperlink ref="E11" r:id="rId13" xr:uid="{00000000-0004-0000-0300-00000C000000}"/>
    <hyperlink ref="G11" r:id="rId14" xr:uid="{00000000-0004-0000-0300-00000D000000}"/>
    <hyperlink ref="E12" r:id="rId15" xr:uid="{00000000-0004-0000-0300-00000E000000}"/>
    <hyperlink ref="G12" r:id="rId16" xr:uid="{00000000-0004-0000-0300-00000F000000}"/>
    <hyperlink ref="E13" r:id="rId17" xr:uid="{00000000-0004-0000-0300-000010000000}"/>
    <hyperlink ref="G13" r:id="rId18" xr:uid="{00000000-0004-0000-0300-000011000000}"/>
    <hyperlink ref="E14" r:id="rId19" xr:uid="{00000000-0004-0000-0300-000012000000}"/>
    <hyperlink ref="G14" r:id="rId20" xr:uid="{00000000-0004-0000-0300-000013000000}"/>
    <hyperlink ref="E15" r:id="rId21" xr:uid="{00000000-0004-0000-0300-000014000000}"/>
    <hyperlink ref="G15" r:id="rId22" xr:uid="{00000000-0004-0000-0300-000015000000}"/>
    <hyperlink ref="E16" r:id="rId23" xr:uid="{00000000-0004-0000-0300-000016000000}"/>
    <hyperlink ref="G16" r:id="rId24" xr:uid="{00000000-0004-0000-0300-000017000000}"/>
    <hyperlink ref="E17" r:id="rId25" xr:uid="{00000000-0004-0000-0300-000018000000}"/>
    <hyperlink ref="G17" r:id="rId26" xr:uid="{00000000-0004-0000-0300-000019000000}"/>
    <hyperlink ref="E18" r:id="rId27" xr:uid="{00000000-0004-0000-0300-00001A000000}"/>
    <hyperlink ref="G18" r:id="rId28" xr:uid="{00000000-0004-0000-0300-00001B000000}"/>
    <hyperlink ref="E19" r:id="rId29" xr:uid="{00000000-0004-0000-0300-00001C000000}"/>
    <hyperlink ref="G19" r:id="rId30" xr:uid="{00000000-0004-0000-0300-00001D000000}"/>
    <hyperlink ref="E20" r:id="rId31" xr:uid="{00000000-0004-0000-0300-00001E000000}"/>
    <hyperlink ref="G20" r:id="rId32" xr:uid="{00000000-0004-0000-0300-00001F000000}"/>
    <hyperlink ref="E21" r:id="rId33" xr:uid="{00000000-0004-0000-0300-000020000000}"/>
    <hyperlink ref="E22" r:id="rId34" xr:uid="{00000000-0004-0000-0300-000021000000}"/>
    <hyperlink ref="E23" r:id="rId35" xr:uid="{00000000-0004-0000-0300-000022000000}"/>
    <hyperlink ref="E24" r:id="rId36" xr:uid="{00000000-0004-0000-0300-000023000000}"/>
    <hyperlink ref="G24" r:id="rId37" xr:uid="{00000000-0004-0000-0300-000024000000}"/>
    <hyperlink ref="E25" r:id="rId38" xr:uid="{00000000-0004-0000-0300-000025000000}"/>
    <hyperlink ref="G25" r:id="rId39" xr:uid="{00000000-0004-0000-0300-000026000000}"/>
    <hyperlink ref="E26" r:id="rId40" xr:uid="{00000000-0004-0000-0300-000027000000}"/>
    <hyperlink ref="G26" r:id="rId41" xr:uid="{00000000-0004-0000-0300-000028000000}"/>
    <hyperlink ref="E27" r:id="rId42" xr:uid="{00000000-0004-0000-0300-000029000000}"/>
    <hyperlink ref="G27" r:id="rId43" xr:uid="{00000000-0004-0000-0300-00002A000000}"/>
    <hyperlink ref="E28" r:id="rId44" xr:uid="{00000000-0004-0000-0300-00002B000000}"/>
    <hyperlink ref="G28" r:id="rId45" xr:uid="{00000000-0004-0000-0300-00002C000000}"/>
    <hyperlink ref="E29" r:id="rId46" xr:uid="{00000000-0004-0000-0300-00002D000000}"/>
    <hyperlink ref="G29" r:id="rId47" xr:uid="{00000000-0004-0000-0300-00002E000000}"/>
    <hyperlink ref="E30" r:id="rId48" xr:uid="{00000000-0004-0000-0300-00002F000000}"/>
    <hyperlink ref="G30" r:id="rId49" xr:uid="{00000000-0004-0000-0300-000030000000}"/>
    <hyperlink ref="E31" r:id="rId50" xr:uid="{00000000-0004-0000-0300-000031000000}"/>
    <hyperlink ref="G31" r:id="rId51" xr:uid="{00000000-0004-0000-0300-000032000000}"/>
    <hyperlink ref="E32" r:id="rId52" xr:uid="{00000000-0004-0000-0300-000033000000}"/>
    <hyperlink ref="G32" r:id="rId53" xr:uid="{00000000-0004-0000-0300-000034000000}"/>
    <hyperlink ref="E33" r:id="rId54" xr:uid="{00000000-0004-0000-0300-000035000000}"/>
    <hyperlink ref="G33" r:id="rId55" xr:uid="{00000000-0004-0000-0300-000036000000}"/>
    <hyperlink ref="E34" r:id="rId56" xr:uid="{00000000-0004-0000-0300-000037000000}"/>
    <hyperlink ref="E35" r:id="rId57" xr:uid="{00000000-0004-0000-0300-000038000000}"/>
    <hyperlink ref="G35" r:id="rId58" xr:uid="{00000000-0004-0000-0300-000039000000}"/>
    <hyperlink ref="E36" r:id="rId59" xr:uid="{00000000-0004-0000-0300-00003A000000}"/>
    <hyperlink ref="G36" r:id="rId60" xr:uid="{00000000-0004-0000-0300-00003B000000}"/>
    <hyperlink ref="E37" r:id="rId61" xr:uid="{00000000-0004-0000-0300-00003C000000}"/>
    <hyperlink ref="E38" r:id="rId62" xr:uid="{00000000-0004-0000-0300-00003D000000}"/>
    <hyperlink ref="E39" r:id="rId63" xr:uid="{00000000-0004-0000-0300-00003E000000}"/>
    <hyperlink ref="E40" r:id="rId64" xr:uid="{00000000-0004-0000-0300-00003F000000}"/>
    <hyperlink ref="E41" r:id="rId65" xr:uid="{00000000-0004-0000-0300-000040000000}"/>
    <hyperlink ref="E42" r:id="rId66" xr:uid="{00000000-0004-0000-0300-000041000000}"/>
    <hyperlink ref="E43" r:id="rId67" xr:uid="{00000000-0004-0000-0300-000042000000}"/>
    <hyperlink ref="E44" r:id="rId68" xr:uid="{00000000-0004-0000-0300-000043000000}"/>
    <hyperlink ref="E45" r:id="rId69" xr:uid="{00000000-0004-0000-0300-000044000000}"/>
    <hyperlink ref="E46" r:id="rId70" xr:uid="{00000000-0004-0000-0300-000045000000}"/>
    <hyperlink ref="G46" r:id="rId71" xr:uid="{00000000-0004-0000-0300-000046000000}"/>
    <hyperlink ref="E47" r:id="rId72" xr:uid="{00000000-0004-0000-0300-000047000000}"/>
    <hyperlink ref="G47" r:id="rId73" xr:uid="{00000000-0004-0000-0300-000048000000}"/>
    <hyperlink ref="E48" r:id="rId74" xr:uid="{00000000-0004-0000-0300-000049000000}"/>
    <hyperlink ref="E49" r:id="rId75" xr:uid="{00000000-0004-0000-0300-00004A000000}"/>
    <hyperlink ref="E50" r:id="rId76" xr:uid="{00000000-0004-0000-0300-00004B000000}"/>
    <hyperlink ref="E51" r:id="rId77" xr:uid="{00000000-0004-0000-0300-00004C000000}"/>
    <hyperlink ref="E52" r:id="rId78" xr:uid="{00000000-0004-0000-0300-00004D000000}"/>
    <hyperlink ref="E53" r:id="rId79" xr:uid="{00000000-0004-0000-0300-00004E000000}"/>
    <hyperlink ref="E54" r:id="rId80" xr:uid="{00000000-0004-0000-0300-00004F000000}"/>
    <hyperlink ref="E55" r:id="rId81" xr:uid="{00000000-0004-0000-0300-000050000000}"/>
    <hyperlink ref="E56" r:id="rId82" xr:uid="{00000000-0004-0000-0300-000051000000}"/>
    <hyperlink ref="E57" r:id="rId83" xr:uid="{00000000-0004-0000-0300-000052000000}"/>
    <hyperlink ref="E58" r:id="rId84" xr:uid="{00000000-0004-0000-0300-000053000000}"/>
    <hyperlink ref="E59" r:id="rId85" xr:uid="{00000000-0004-0000-0300-000054000000}"/>
    <hyperlink ref="E60" r:id="rId86" xr:uid="{00000000-0004-0000-0300-000055000000}"/>
    <hyperlink ref="E61" r:id="rId87" xr:uid="{00000000-0004-0000-0300-000056000000}"/>
    <hyperlink ref="G61" r:id="rId88" xr:uid="{00000000-0004-0000-0300-000057000000}"/>
    <hyperlink ref="E62" r:id="rId89" xr:uid="{00000000-0004-0000-0300-000058000000}"/>
    <hyperlink ref="E63" r:id="rId90" xr:uid="{00000000-0004-0000-0300-000059000000}"/>
    <hyperlink ref="E64" r:id="rId91" xr:uid="{00000000-0004-0000-0300-00005A000000}"/>
    <hyperlink ref="E65" r:id="rId92" xr:uid="{00000000-0004-0000-0300-00005B000000}"/>
    <hyperlink ref="E66" r:id="rId93" xr:uid="{00000000-0004-0000-0300-00005C000000}"/>
    <hyperlink ref="E67" r:id="rId94" xr:uid="{00000000-0004-0000-0300-00005D000000}"/>
    <hyperlink ref="G67" r:id="rId95" xr:uid="{00000000-0004-0000-0300-00005E000000}"/>
    <hyperlink ref="E68" r:id="rId96" xr:uid="{00000000-0004-0000-0300-00005F000000}"/>
    <hyperlink ref="G68" r:id="rId97" xr:uid="{00000000-0004-0000-0300-000060000000}"/>
    <hyperlink ref="E69" r:id="rId98" xr:uid="{00000000-0004-0000-0300-000061000000}"/>
    <hyperlink ref="G69" r:id="rId99" xr:uid="{00000000-0004-0000-0300-000062000000}"/>
    <hyperlink ref="E70" r:id="rId100" xr:uid="{00000000-0004-0000-0300-000063000000}"/>
    <hyperlink ref="E71" r:id="rId101" xr:uid="{00000000-0004-0000-0300-000064000000}"/>
    <hyperlink ref="E72" r:id="rId102" xr:uid="{00000000-0004-0000-0300-000065000000}"/>
    <hyperlink ref="E73" r:id="rId103" xr:uid="{00000000-0004-0000-0300-000066000000}"/>
    <hyperlink ref="E74" r:id="rId104" xr:uid="{00000000-0004-0000-0300-000067000000}"/>
    <hyperlink ref="G74" r:id="rId105" xr:uid="{00000000-0004-0000-0300-000068000000}"/>
    <hyperlink ref="E75" r:id="rId106" xr:uid="{00000000-0004-0000-0300-000069000000}"/>
    <hyperlink ref="G75" r:id="rId107" xr:uid="{00000000-0004-0000-0300-00006A000000}"/>
    <hyperlink ref="E76" r:id="rId108" xr:uid="{00000000-0004-0000-0300-00006B000000}"/>
    <hyperlink ref="G76" r:id="rId109" xr:uid="{00000000-0004-0000-0300-00006C000000}"/>
    <hyperlink ref="E77" r:id="rId110" xr:uid="{00000000-0004-0000-0300-00006D000000}"/>
    <hyperlink ref="G77" r:id="rId111" xr:uid="{00000000-0004-0000-0300-00006E000000}"/>
    <hyperlink ref="E78" r:id="rId112" xr:uid="{00000000-0004-0000-0300-00006F000000}"/>
    <hyperlink ref="G78" r:id="rId113" xr:uid="{00000000-0004-0000-0300-000070000000}"/>
    <hyperlink ref="E79" r:id="rId114" xr:uid="{00000000-0004-0000-0300-000071000000}"/>
    <hyperlink ref="G79" r:id="rId115" xr:uid="{00000000-0004-0000-0300-000072000000}"/>
    <hyperlink ref="E80" r:id="rId116" xr:uid="{00000000-0004-0000-0300-000073000000}"/>
    <hyperlink ref="E81" r:id="rId117" xr:uid="{00000000-0004-0000-0300-000074000000}"/>
    <hyperlink ref="G81" r:id="rId118" xr:uid="{00000000-0004-0000-0300-000075000000}"/>
    <hyperlink ref="E82" r:id="rId119" xr:uid="{00000000-0004-0000-0300-000076000000}"/>
    <hyperlink ref="G82" r:id="rId120" xr:uid="{00000000-0004-0000-0300-000077000000}"/>
    <hyperlink ref="E83" r:id="rId121" xr:uid="{00000000-0004-0000-0300-000078000000}"/>
    <hyperlink ref="G83" r:id="rId122" xr:uid="{00000000-0004-0000-0300-000079000000}"/>
    <hyperlink ref="E84" r:id="rId123" xr:uid="{00000000-0004-0000-0300-00007A000000}"/>
    <hyperlink ref="G84" r:id="rId124" xr:uid="{00000000-0004-0000-0300-00007B000000}"/>
    <hyperlink ref="E85" r:id="rId125" xr:uid="{00000000-0004-0000-0300-00007C000000}"/>
    <hyperlink ref="G85" r:id="rId126" xr:uid="{00000000-0004-0000-0300-00007D000000}"/>
    <hyperlink ref="E86" r:id="rId127" xr:uid="{00000000-0004-0000-0300-00007E000000}"/>
    <hyperlink ref="G86" r:id="rId128" xr:uid="{00000000-0004-0000-0300-00007F000000}"/>
    <hyperlink ref="E87" r:id="rId129" xr:uid="{00000000-0004-0000-0300-000080000000}"/>
    <hyperlink ref="E88" r:id="rId130" xr:uid="{00000000-0004-0000-0300-000081000000}"/>
    <hyperlink ref="G88" r:id="rId131" xr:uid="{00000000-0004-0000-0300-000082000000}"/>
    <hyperlink ref="E89" r:id="rId132" xr:uid="{00000000-0004-0000-0300-000083000000}"/>
    <hyperlink ref="G89" r:id="rId133" xr:uid="{00000000-0004-0000-0300-000084000000}"/>
    <hyperlink ref="E90" r:id="rId134" xr:uid="{00000000-0004-0000-0300-000085000000}"/>
    <hyperlink ref="E91" r:id="rId135" xr:uid="{00000000-0004-0000-0300-000086000000}"/>
    <hyperlink ref="E92" r:id="rId136" xr:uid="{00000000-0004-0000-0300-000087000000}"/>
    <hyperlink ref="G92" r:id="rId137" xr:uid="{00000000-0004-0000-0300-000088000000}"/>
    <hyperlink ref="E93" r:id="rId138" xr:uid="{00000000-0004-0000-0300-000089000000}"/>
    <hyperlink ref="G93" r:id="rId139" xr:uid="{00000000-0004-0000-0300-00008A000000}"/>
    <hyperlink ref="E94" r:id="rId140" xr:uid="{00000000-0004-0000-0300-00008B000000}"/>
    <hyperlink ref="G94" r:id="rId141" xr:uid="{00000000-0004-0000-0300-00008C000000}"/>
    <hyperlink ref="E95" r:id="rId142" xr:uid="{00000000-0004-0000-0300-00008D000000}"/>
    <hyperlink ref="G95" r:id="rId143" xr:uid="{00000000-0004-0000-0300-00008E000000}"/>
    <hyperlink ref="E96" r:id="rId144" xr:uid="{00000000-0004-0000-0300-00008F000000}"/>
    <hyperlink ref="G96" r:id="rId145" xr:uid="{00000000-0004-0000-0300-000090000000}"/>
    <hyperlink ref="E97" r:id="rId146" xr:uid="{00000000-0004-0000-0300-000091000000}"/>
    <hyperlink ref="G97" r:id="rId147" xr:uid="{00000000-0004-0000-0300-000092000000}"/>
    <hyperlink ref="E98" r:id="rId148" xr:uid="{00000000-0004-0000-0300-000093000000}"/>
    <hyperlink ref="G98" r:id="rId149" xr:uid="{00000000-0004-0000-0300-000094000000}"/>
    <hyperlink ref="E99" r:id="rId150" xr:uid="{00000000-0004-0000-0300-000095000000}"/>
    <hyperlink ref="G99" r:id="rId151" xr:uid="{00000000-0004-0000-0300-000096000000}"/>
    <hyperlink ref="E100" r:id="rId152" xr:uid="{00000000-0004-0000-0300-000097000000}"/>
    <hyperlink ref="G100" r:id="rId153" xr:uid="{00000000-0004-0000-0300-000098000000}"/>
    <hyperlink ref="E101" r:id="rId154" xr:uid="{00000000-0004-0000-0300-000099000000}"/>
    <hyperlink ref="G101" r:id="rId155" xr:uid="{00000000-0004-0000-0300-00009A000000}"/>
    <hyperlink ref="E102" r:id="rId156" xr:uid="{00000000-0004-0000-0300-00009B000000}"/>
    <hyperlink ref="G102" r:id="rId157" xr:uid="{00000000-0004-0000-0300-00009C000000}"/>
    <hyperlink ref="E103" r:id="rId158" xr:uid="{00000000-0004-0000-0300-00009D000000}"/>
    <hyperlink ref="G103" r:id="rId159" xr:uid="{00000000-0004-0000-0300-00009E000000}"/>
    <hyperlink ref="E104" r:id="rId160" xr:uid="{00000000-0004-0000-0300-00009F000000}"/>
    <hyperlink ref="E105" r:id="rId161" xr:uid="{00000000-0004-0000-0300-0000A0000000}"/>
    <hyperlink ref="E106" r:id="rId162" xr:uid="{00000000-0004-0000-0300-0000A1000000}"/>
    <hyperlink ref="E107" r:id="rId163" xr:uid="{00000000-0004-0000-0300-0000A2000000}"/>
    <hyperlink ref="E108" r:id="rId164" xr:uid="{00000000-0004-0000-0300-0000A3000000}"/>
    <hyperlink ref="E109" r:id="rId165" xr:uid="{00000000-0004-0000-0300-0000A4000000}"/>
    <hyperlink ref="E110" r:id="rId166" xr:uid="{00000000-0004-0000-0300-0000A5000000}"/>
    <hyperlink ref="E111" r:id="rId167" xr:uid="{00000000-0004-0000-0300-0000A6000000}"/>
    <hyperlink ref="E112" r:id="rId168" xr:uid="{00000000-0004-0000-0300-0000A7000000}"/>
    <hyperlink ref="E113" r:id="rId169" xr:uid="{00000000-0004-0000-0300-0000A8000000}"/>
    <hyperlink ref="E114" r:id="rId170" xr:uid="{00000000-0004-0000-0300-0000A9000000}"/>
    <hyperlink ref="E115" r:id="rId171" xr:uid="{00000000-0004-0000-0300-0000AA000000}"/>
    <hyperlink ref="E116" r:id="rId172" xr:uid="{00000000-0004-0000-0300-0000AB000000}"/>
    <hyperlink ref="E117" r:id="rId173" xr:uid="{00000000-0004-0000-0300-0000AC000000}"/>
    <hyperlink ref="E118" r:id="rId174" xr:uid="{00000000-0004-0000-0300-0000AD000000}"/>
    <hyperlink ref="E119" r:id="rId175" xr:uid="{00000000-0004-0000-0300-0000AE000000}"/>
    <hyperlink ref="E120" r:id="rId176" xr:uid="{00000000-0004-0000-0300-0000AF000000}"/>
    <hyperlink ref="E121" r:id="rId177" xr:uid="{00000000-0004-0000-0300-0000B0000000}"/>
    <hyperlink ref="E122" r:id="rId178" xr:uid="{00000000-0004-0000-0300-0000B1000000}"/>
    <hyperlink ref="E123" r:id="rId179" xr:uid="{00000000-0004-0000-0300-0000B2000000}"/>
    <hyperlink ref="E124" r:id="rId180" xr:uid="{00000000-0004-0000-0300-0000B3000000}"/>
    <hyperlink ref="E125" r:id="rId181" xr:uid="{00000000-0004-0000-0300-0000B4000000}"/>
    <hyperlink ref="G125" r:id="rId182" xr:uid="{00000000-0004-0000-0300-0000B5000000}"/>
    <hyperlink ref="E126" r:id="rId183" xr:uid="{00000000-0004-0000-0300-0000B6000000}"/>
    <hyperlink ref="G126" r:id="rId184" xr:uid="{00000000-0004-0000-0300-0000B7000000}"/>
    <hyperlink ref="E127" r:id="rId185" xr:uid="{00000000-0004-0000-0300-0000B8000000}"/>
    <hyperlink ref="E128" r:id="rId186" xr:uid="{00000000-0004-0000-0300-0000B9000000}"/>
    <hyperlink ref="E129" r:id="rId187" xr:uid="{00000000-0004-0000-0300-0000BA000000}"/>
    <hyperlink ref="G129" r:id="rId188" xr:uid="{00000000-0004-0000-0300-0000BB000000}"/>
    <hyperlink ref="E130" r:id="rId189" xr:uid="{00000000-0004-0000-0300-0000BC000000}"/>
    <hyperlink ref="E131" r:id="rId190" xr:uid="{00000000-0004-0000-0300-0000BD000000}"/>
    <hyperlink ref="G131" r:id="rId191" xr:uid="{00000000-0004-0000-0300-0000BE000000}"/>
    <hyperlink ref="E132" r:id="rId192" xr:uid="{00000000-0004-0000-0300-0000BF000000}"/>
    <hyperlink ref="G132" r:id="rId193" xr:uid="{00000000-0004-0000-0300-0000C0000000}"/>
    <hyperlink ref="E133" r:id="rId194" xr:uid="{00000000-0004-0000-0300-0000C1000000}"/>
    <hyperlink ref="G133" r:id="rId195" xr:uid="{00000000-0004-0000-0300-0000C2000000}"/>
    <hyperlink ref="E134" r:id="rId196" xr:uid="{00000000-0004-0000-0300-0000C3000000}"/>
    <hyperlink ref="E135" r:id="rId197" xr:uid="{00000000-0004-0000-0300-0000C4000000}"/>
    <hyperlink ref="G135" r:id="rId198" xr:uid="{00000000-0004-0000-0300-0000C5000000}"/>
    <hyperlink ref="E136" r:id="rId199" xr:uid="{00000000-0004-0000-0300-0000C6000000}"/>
    <hyperlink ref="G136" r:id="rId200" xr:uid="{00000000-0004-0000-0300-0000C7000000}"/>
    <hyperlink ref="E137" r:id="rId201" xr:uid="{00000000-0004-0000-0300-0000C8000000}"/>
    <hyperlink ref="G137" r:id="rId202" xr:uid="{00000000-0004-0000-0300-0000C9000000}"/>
    <hyperlink ref="E138" r:id="rId203" xr:uid="{00000000-0004-0000-0300-0000CA000000}"/>
    <hyperlink ref="G138" r:id="rId204" xr:uid="{00000000-0004-0000-0300-0000CB000000}"/>
    <hyperlink ref="E139" r:id="rId205" xr:uid="{00000000-0004-0000-0300-0000CC000000}"/>
    <hyperlink ref="G139" r:id="rId206" xr:uid="{00000000-0004-0000-0300-0000CD000000}"/>
    <hyperlink ref="E140" r:id="rId207" xr:uid="{00000000-0004-0000-0300-0000CE000000}"/>
    <hyperlink ref="G140" r:id="rId208" xr:uid="{00000000-0004-0000-0300-0000CF000000}"/>
    <hyperlink ref="E141" r:id="rId209" xr:uid="{00000000-0004-0000-0300-0000D0000000}"/>
    <hyperlink ref="G141" r:id="rId210" xr:uid="{00000000-0004-0000-0300-0000D1000000}"/>
    <hyperlink ref="E142" r:id="rId211" xr:uid="{00000000-0004-0000-0300-0000D2000000}"/>
    <hyperlink ref="G142" r:id="rId212" xr:uid="{00000000-0004-0000-0300-0000D3000000}"/>
    <hyperlink ref="E143" r:id="rId213" xr:uid="{00000000-0004-0000-0300-0000D4000000}"/>
    <hyperlink ref="G143" r:id="rId214" xr:uid="{00000000-0004-0000-0300-0000D5000000}"/>
    <hyperlink ref="E144" r:id="rId215" xr:uid="{00000000-0004-0000-0300-0000D6000000}"/>
    <hyperlink ref="G144" r:id="rId216" xr:uid="{00000000-0004-0000-0300-0000D7000000}"/>
    <hyperlink ref="E145" r:id="rId217" xr:uid="{00000000-0004-0000-0300-0000D8000000}"/>
    <hyperlink ref="G145" r:id="rId218" xr:uid="{00000000-0004-0000-0300-0000D9000000}"/>
    <hyperlink ref="E146" r:id="rId219" xr:uid="{00000000-0004-0000-0300-0000DA000000}"/>
    <hyperlink ref="G146" r:id="rId220" xr:uid="{00000000-0004-0000-0300-0000DB000000}"/>
    <hyperlink ref="E147" r:id="rId221" xr:uid="{00000000-0004-0000-0300-0000DC000000}"/>
    <hyperlink ref="E148" r:id="rId222" xr:uid="{00000000-0004-0000-0300-0000DD000000}"/>
    <hyperlink ref="G148" r:id="rId223" xr:uid="{00000000-0004-0000-0300-0000DE000000}"/>
    <hyperlink ref="E149" r:id="rId224" xr:uid="{00000000-0004-0000-0300-0000DF000000}"/>
    <hyperlink ref="G149" r:id="rId225" xr:uid="{00000000-0004-0000-0300-0000E0000000}"/>
    <hyperlink ref="E150" r:id="rId226" xr:uid="{00000000-0004-0000-0300-0000E1000000}"/>
    <hyperlink ref="G150" r:id="rId227" xr:uid="{00000000-0004-0000-0300-0000E2000000}"/>
    <hyperlink ref="E151" r:id="rId228" xr:uid="{00000000-0004-0000-0300-0000E3000000}"/>
    <hyperlink ref="G151" r:id="rId229" xr:uid="{00000000-0004-0000-0300-0000E4000000}"/>
    <hyperlink ref="E152" r:id="rId230" xr:uid="{00000000-0004-0000-0300-0000E5000000}"/>
    <hyperlink ref="E153" r:id="rId231" xr:uid="{00000000-0004-0000-0300-0000E6000000}"/>
    <hyperlink ref="G153" r:id="rId232" xr:uid="{00000000-0004-0000-0300-0000E7000000}"/>
    <hyperlink ref="E154" r:id="rId233" xr:uid="{00000000-0004-0000-0300-0000E8000000}"/>
    <hyperlink ref="G154" r:id="rId234" xr:uid="{00000000-0004-0000-0300-0000E9000000}"/>
    <hyperlink ref="E155" r:id="rId235" xr:uid="{00000000-0004-0000-0300-0000EA000000}"/>
    <hyperlink ref="G155" r:id="rId236" xr:uid="{00000000-0004-0000-0300-0000EB000000}"/>
    <hyperlink ref="E156" r:id="rId237" xr:uid="{00000000-0004-0000-0300-0000EC000000}"/>
    <hyperlink ref="G156" r:id="rId238" xr:uid="{00000000-0004-0000-0300-0000ED000000}"/>
    <hyperlink ref="E157" r:id="rId239" xr:uid="{00000000-0004-0000-0300-0000EE000000}"/>
    <hyperlink ref="E158" r:id="rId240" xr:uid="{00000000-0004-0000-0300-0000EF000000}"/>
    <hyperlink ref="E159" r:id="rId241" xr:uid="{00000000-0004-0000-0300-0000F0000000}"/>
    <hyperlink ref="E160" r:id="rId242" xr:uid="{00000000-0004-0000-0300-0000F1000000}"/>
    <hyperlink ref="G160" r:id="rId243" xr:uid="{00000000-0004-0000-0300-0000F2000000}"/>
    <hyperlink ref="E161" r:id="rId244" xr:uid="{00000000-0004-0000-0300-0000F3000000}"/>
    <hyperlink ref="G161" r:id="rId245" xr:uid="{00000000-0004-0000-0300-0000F4000000}"/>
    <hyperlink ref="E162" r:id="rId246" xr:uid="{00000000-0004-0000-0300-0000F5000000}"/>
    <hyperlink ref="G162" r:id="rId247" xr:uid="{00000000-0004-0000-0300-0000F6000000}"/>
    <hyperlink ref="E163" r:id="rId248" xr:uid="{00000000-0004-0000-0300-0000F7000000}"/>
    <hyperlink ref="G163" r:id="rId249" xr:uid="{00000000-0004-0000-0300-0000F8000000}"/>
    <hyperlink ref="E164" r:id="rId250" xr:uid="{00000000-0004-0000-0300-0000F9000000}"/>
    <hyperlink ref="G164" r:id="rId251" xr:uid="{00000000-0004-0000-0300-0000FA000000}"/>
    <hyperlink ref="E165" r:id="rId252" xr:uid="{00000000-0004-0000-0300-0000FB000000}"/>
    <hyperlink ref="E166" r:id="rId253" xr:uid="{00000000-0004-0000-0300-0000FC000000}"/>
    <hyperlink ref="G166" r:id="rId254" xr:uid="{00000000-0004-0000-0300-0000FD000000}"/>
    <hyperlink ref="E167" r:id="rId255" xr:uid="{00000000-0004-0000-0300-0000FE000000}"/>
    <hyperlink ref="G167" r:id="rId256" xr:uid="{00000000-0004-0000-0300-0000FF000000}"/>
    <hyperlink ref="E168" r:id="rId257" xr:uid="{00000000-0004-0000-0300-000000010000}"/>
    <hyperlink ref="G168" r:id="rId258" xr:uid="{00000000-0004-0000-0300-000001010000}"/>
    <hyperlink ref="E169" r:id="rId259" xr:uid="{00000000-0004-0000-0300-000002010000}"/>
    <hyperlink ref="E170" r:id="rId260" xr:uid="{00000000-0004-0000-0300-000003010000}"/>
    <hyperlink ref="G170" r:id="rId261" xr:uid="{00000000-0004-0000-0300-000004010000}"/>
    <hyperlink ref="E171" r:id="rId262" xr:uid="{00000000-0004-0000-0300-000005010000}"/>
    <hyperlink ref="G171" r:id="rId263" xr:uid="{00000000-0004-0000-0300-000006010000}"/>
    <hyperlink ref="E172" r:id="rId264" xr:uid="{00000000-0004-0000-0300-000007010000}"/>
    <hyperlink ref="G172" r:id="rId265" xr:uid="{00000000-0004-0000-0300-000008010000}"/>
    <hyperlink ref="E173" r:id="rId266" xr:uid="{00000000-0004-0000-0300-000009010000}"/>
    <hyperlink ref="E174" r:id="rId267" xr:uid="{00000000-0004-0000-0300-00000A010000}"/>
    <hyperlink ref="G174" r:id="rId268" xr:uid="{00000000-0004-0000-0300-00000B010000}"/>
    <hyperlink ref="E175" r:id="rId269" xr:uid="{00000000-0004-0000-0300-00000C010000}"/>
    <hyperlink ref="G175" r:id="rId270" xr:uid="{00000000-0004-0000-0300-00000D010000}"/>
    <hyperlink ref="E176" r:id="rId271" xr:uid="{00000000-0004-0000-0300-00000E010000}"/>
    <hyperlink ref="G176" r:id="rId272" xr:uid="{00000000-0004-0000-0300-00000F010000}"/>
    <hyperlink ref="E177" r:id="rId273" xr:uid="{00000000-0004-0000-0300-000010010000}"/>
    <hyperlink ref="G177" r:id="rId274" xr:uid="{00000000-0004-0000-0300-000011010000}"/>
    <hyperlink ref="E178" r:id="rId275" xr:uid="{00000000-0004-0000-0300-000012010000}"/>
    <hyperlink ref="G178" r:id="rId276" xr:uid="{00000000-0004-0000-0300-000013010000}"/>
    <hyperlink ref="E179" r:id="rId277" xr:uid="{00000000-0004-0000-0300-000014010000}"/>
    <hyperlink ref="G179" r:id="rId278" xr:uid="{00000000-0004-0000-0300-000015010000}"/>
    <hyperlink ref="E180" r:id="rId279" xr:uid="{00000000-0004-0000-0300-000016010000}"/>
    <hyperlink ref="G180" r:id="rId280" xr:uid="{00000000-0004-0000-0300-000017010000}"/>
    <hyperlink ref="E181" r:id="rId281" xr:uid="{00000000-0004-0000-0300-000018010000}"/>
    <hyperlink ref="G181" r:id="rId282" xr:uid="{00000000-0004-0000-0300-000019010000}"/>
    <hyperlink ref="E182" r:id="rId283" xr:uid="{00000000-0004-0000-0300-00001A010000}"/>
    <hyperlink ref="G182" r:id="rId284" xr:uid="{00000000-0004-0000-0300-00001B010000}"/>
    <hyperlink ref="E183" r:id="rId285" xr:uid="{00000000-0004-0000-0300-00001C010000}"/>
    <hyperlink ref="G183" r:id="rId286" xr:uid="{00000000-0004-0000-0300-00001D010000}"/>
    <hyperlink ref="E184" r:id="rId287" xr:uid="{00000000-0004-0000-0300-00001E010000}"/>
    <hyperlink ref="G184" r:id="rId288" xr:uid="{00000000-0004-0000-0300-00001F010000}"/>
    <hyperlink ref="E185" r:id="rId289" xr:uid="{00000000-0004-0000-0300-000020010000}"/>
    <hyperlink ref="E186" r:id="rId290" xr:uid="{00000000-0004-0000-0300-000021010000}"/>
    <hyperlink ref="G186" r:id="rId291" xr:uid="{00000000-0004-0000-0300-000022010000}"/>
    <hyperlink ref="E187" r:id="rId292" xr:uid="{00000000-0004-0000-0300-000023010000}"/>
    <hyperlink ref="G187" r:id="rId293" xr:uid="{00000000-0004-0000-0300-000024010000}"/>
    <hyperlink ref="E188" r:id="rId294" xr:uid="{00000000-0004-0000-0300-000025010000}"/>
    <hyperlink ref="G188" r:id="rId295" xr:uid="{00000000-0004-0000-0300-000026010000}"/>
    <hyperlink ref="E189" r:id="rId296" xr:uid="{00000000-0004-0000-0300-000027010000}"/>
    <hyperlink ref="G189" r:id="rId297" xr:uid="{00000000-0004-0000-0300-000028010000}"/>
    <hyperlink ref="E190" r:id="rId298" xr:uid="{00000000-0004-0000-0300-000029010000}"/>
    <hyperlink ref="G190" r:id="rId299" xr:uid="{00000000-0004-0000-0300-00002A010000}"/>
    <hyperlink ref="E191" r:id="rId300" xr:uid="{00000000-0004-0000-0300-00002B010000}"/>
    <hyperlink ref="E192" r:id="rId301" xr:uid="{00000000-0004-0000-0300-00002C010000}"/>
    <hyperlink ref="G192" r:id="rId302" xr:uid="{00000000-0004-0000-0300-00002D010000}"/>
    <hyperlink ref="E193" r:id="rId303" xr:uid="{00000000-0004-0000-0300-00002E010000}"/>
    <hyperlink ref="G193" r:id="rId304" xr:uid="{00000000-0004-0000-0300-00002F010000}"/>
    <hyperlink ref="E194" r:id="rId305" xr:uid="{00000000-0004-0000-0300-000030010000}"/>
    <hyperlink ref="G194" r:id="rId306" xr:uid="{00000000-0004-0000-0300-000031010000}"/>
    <hyperlink ref="E195" r:id="rId307" xr:uid="{00000000-0004-0000-0300-000032010000}"/>
    <hyperlink ref="E196" r:id="rId308" xr:uid="{00000000-0004-0000-0300-000033010000}"/>
    <hyperlink ref="E197" r:id="rId309" xr:uid="{00000000-0004-0000-0300-000034010000}"/>
    <hyperlink ref="E198" r:id="rId310" xr:uid="{00000000-0004-0000-0300-000035010000}"/>
    <hyperlink ref="E199" r:id="rId311" xr:uid="{00000000-0004-0000-0300-000036010000}"/>
    <hyperlink ref="G199" r:id="rId312" xr:uid="{00000000-0004-0000-0300-000037010000}"/>
    <hyperlink ref="E200" r:id="rId313" xr:uid="{00000000-0004-0000-0300-000038010000}"/>
    <hyperlink ref="E201" r:id="rId314" xr:uid="{00000000-0004-0000-0300-000039010000}"/>
    <hyperlink ref="E202" r:id="rId315" xr:uid="{00000000-0004-0000-0300-00003A010000}"/>
    <hyperlink ref="E203" r:id="rId316" xr:uid="{00000000-0004-0000-0300-00003B010000}"/>
    <hyperlink ref="E204" r:id="rId317" xr:uid="{00000000-0004-0000-0300-00003C010000}"/>
    <hyperlink ref="E205" r:id="rId318" xr:uid="{00000000-0004-0000-0300-00003D010000}"/>
    <hyperlink ref="E206" r:id="rId319" xr:uid="{00000000-0004-0000-0300-00003E010000}"/>
    <hyperlink ref="E207" r:id="rId320" xr:uid="{00000000-0004-0000-0300-00003F010000}"/>
    <hyperlink ref="E208" r:id="rId321" xr:uid="{00000000-0004-0000-0300-000040010000}"/>
    <hyperlink ref="E209" r:id="rId322" xr:uid="{00000000-0004-0000-0300-000041010000}"/>
    <hyperlink ref="E210" r:id="rId323" xr:uid="{00000000-0004-0000-0300-000042010000}"/>
    <hyperlink ref="E211" r:id="rId324" xr:uid="{00000000-0004-0000-0300-000043010000}"/>
    <hyperlink ref="E212" r:id="rId325" xr:uid="{00000000-0004-0000-0300-000044010000}"/>
    <hyperlink ref="E213" r:id="rId326" xr:uid="{00000000-0004-0000-0300-000045010000}"/>
    <hyperlink ref="E214" r:id="rId327" xr:uid="{00000000-0004-0000-0300-000046010000}"/>
    <hyperlink ref="E215" r:id="rId328" xr:uid="{00000000-0004-0000-0300-000047010000}"/>
    <hyperlink ref="E216" r:id="rId329" xr:uid="{00000000-0004-0000-0300-000048010000}"/>
    <hyperlink ref="E217" r:id="rId330" xr:uid="{00000000-0004-0000-0300-000049010000}"/>
    <hyperlink ref="E218" r:id="rId331" xr:uid="{00000000-0004-0000-0300-00004A010000}"/>
    <hyperlink ref="E219" r:id="rId332" xr:uid="{00000000-0004-0000-0300-00004B010000}"/>
    <hyperlink ref="E220" r:id="rId333" xr:uid="{00000000-0004-0000-0300-00004C010000}"/>
    <hyperlink ref="E221" r:id="rId334" xr:uid="{00000000-0004-0000-0300-00004D010000}"/>
    <hyperlink ref="E222" r:id="rId335" xr:uid="{00000000-0004-0000-0300-00004E010000}"/>
    <hyperlink ref="E223" r:id="rId336" xr:uid="{00000000-0004-0000-0300-00004F010000}"/>
    <hyperlink ref="E224" r:id="rId337" xr:uid="{00000000-0004-0000-0300-000050010000}"/>
    <hyperlink ref="E225" r:id="rId338" xr:uid="{00000000-0004-0000-0300-000051010000}"/>
    <hyperlink ref="E226" r:id="rId339" xr:uid="{00000000-0004-0000-0300-000052010000}"/>
    <hyperlink ref="E227" r:id="rId340" xr:uid="{00000000-0004-0000-0300-000053010000}"/>
    <hyperlink ref="E228" r:id="rId341" xr:uid="{00000000-0004-0000-0300-000054010000}"/>
    <hyperlink ref="E229" r:id="rId342" xr:uid="{00000000-0004-0000-0300-000055010000}"/>
    <hyperlink ref="E230" r:id="rId343" xr:uid="{00000000-0004-0000-0300-000056010000}"/>
    <hyperlink ref="E231" r:id="rId344" xr:uid="{00000000-0004-0000-0300-000057010000}"/>
    <hyperlink ref="E232" r:id="rId345" xr:uid="{00000000-0004-0000-0300-000058010000}"/>
    <hyperlink ref="E233" r:id="rId346" xr:uid="{00000000-0004-0000-0300-000059010000}"/>
    <hyperlink ref="E234" r:id="rId347" xr:uid="{00000000-0004-0000-0300-00005A010000}"/>
    <hyperlink ref="E235" r:id="rId348" xr:uid="{00000000-0004-0000-0300-00005B010000}"/>
    <hyperlink ref="E236" r:id="rId349" xr:uid="{00000000-0004-0000-0300-00005C010000}"/>
    <hyperlink ref="E237" r:id="rId350" xr:uid="{00000000-0004-0000-0300-00005D010000}"/>
    <hyperlink ref="E238" r:id="rId351" xr:uid="{00000000-0004-0000-0300-00005E010000}"/>
    <hyperlink ref="E239" r:id="rId352" xr:uid="{00000000-0004-0000-0300-00005F010000}"/>
    <hyperlink ref="E240" r:id="rId353" xr:uid="{00000000-0004-0000-0300-000060010000}"/>
    <hyperlink ref="E241" r:id="rId354" xr:uid="{00000000-0004-0000-0300-000061010000}"/>
    <hyperlink ref="E242" r:id="rId355" xr:uid="{00000000-0004-0000-0300-000062010000}"/>
    <hyperlink ref="E243" r:id="rId356" xr:uid="{00000000-0004-0000-0300-000063010000}"/>
    <hyperlink ref="E244" r:id="rId357" xr:uid="{00000000-0004-0000-0300-000064010000}"/>
    <hyperlink ref="E245" r:id="rId358" xr:uid="{00000000-0004-0000-0300-000065010000}"/>
    <hyperlink ref="E246" r:id="rId359" xr:uid="{00000000-0004-0000-0300-000066010000}"/>
    <hyperlink ref="E247" r:id="rId360" xr:uid="{00000000-0004-0000-0300-000067010000}"/>
    <hyperlink ref="E248" r:id="rId361" xr:uid="{00000000-0004-0000-0300-000068010000}"/>
    <hyperlink ref="E249" r:id="rId362" xr:uid="{00000000-0004-0000-0300-000069010000}"/>
    <hyperlink ref="E250" r:id="rId363" xr:uid="{00000000-0004-0000-0300-00006A010000}"/>
    <hyperlink ref="E251" r:id="rId364" xr:uid="{00000000-0004-0000-0300-00006B010000}"/>
    <hyperlink ref="E252" r:id="rId365" xr:uid="{00000000-0004-0000-0300-00006C010000}"/>
    <hyperlink ref="E253" r:id="rId366" xr:uid="{00000000-0004-0000-0300-00006D010000}"/>
    <hyperlink ref="E254" r:id="rId367" xr:uid="{00000000-0004-0000-0300-00006E010000}"/>
    <hyperlink ref="E255" r:id="rId368" xr:uid="{00000000-0004-0000-0300-00006F010000}"/>
    <hyperlink ref="E256" r:id="rId369" xr:uid="{00000000-0004-0000-0300-000070010000}"/>
    <hyperlink ref="E257" r:id="rId370" xr:uid="{00000000-0004-0000-0300-000071010000}"/>
    <hyperlink ref="E258" r:id="rId371" xr:uid="{00000000-0004-0000-0300-000072010000}"/>
    <hyperlink ref="E259" r:id="rId372" xr:uid="{00000000-0004-0000-0300-000073010000}"/>
    <hyperlink ref="E260" r:id="rId373" xr:uid="{00000000-0004-0000-0300-000074010000}"/>
    <hyperlink ref="E261" r:id="rId374" xr:uid="{00000000-0004-0000-0300-000075010000}"/>
    <hyperlink ref="E262" r:id="rId375" xr:uid="{00000000-0004-0000-0300-000076010000}"/>
    <hyperlink ref="E263" r:id="rId376" xr:uid="{00000000-0004-0000-0300-000077010000}"/>
    <hyperlink ref="E264" r:id="rId377" xr:uid="{00000000-0004-0000-0300-000078010000}"/>
    <hyperlink ref="E265" r:id="rId378" xr:uid="{00000000-0004-0000-0300-000079010000}"/>
    <hyperlink ref="E266" r:id="rId379" xr:uid="{00000000-0004-0000-0300-00007A010000}"/>
    <hyperlink ref="E267" r:id="rId380" xr:uid="{00000000-0004-0000-0300-00007B010000}"/>
    <hyperlink ref="E268" r:id="rId381" xr:uid="{00000000-0004-0000-0300-00007C010000}"/>
    <hyperlink ref="E269" r:id="rId382" xr:uid="{00000000-0004-0000-0300-00007D010000}"/>
    <hyperlink ref="E270" r:id="rId383" xr:uid="{00000000-0004-0000-0300-00007E010000}"/>
    <hyperlink ref="E271" r:id="rId384" xr:uid="{00000000-0004-0000-0300-00007F010000}"/>
    <hyperlink ref="E272" r:id="rId385" xr:uid="{00000000-0004-0000-0300-000080010000}"/>
    <hyperlink ref="E273" r:id="rId386" xr:uid="{00000000-0004-0000-0300-000081010000}"/>
    <hyperlink ref="E274" r:id="rId387" xr:uid="{00000000-0004-0000-0300-000082010000}"/>
    <hyperlink ref="E275" r:id="rId388" xr:uid="{00000000-0004-0000-0300-000083010000}"/>
    <hyperlink ref="E276" r:id="rId389" xr:uid="{00000000-0004-0000-0300-000084010000}"/>
    <hyperlink ref="E277" r:id="rId390" xr:uid="{00000000-0004-0000-0300-000085010000}"/>
    <hyperlink ref="E278" r:id="rId391" xr:uid="{00000000-0004-0000-0300-000086010000}"/>
    <hyperlink ref="E279" r:id="rId392" xr:uid="{00000000-0004-0000-0300-000087010000}"/>
    <hyperlink ref="E280" r:id="rId393" xr:uid="{00000000-0004-0000-0300-000088010000}"/>
    <hyperlink ref="E281" r:id="rId394" xr:uid="{00000000-0004-0000-0300-000089010000}"/>
    <hyperlink ref="E282" r:id="rId395" xr:uid="{00000000-0004-0000-0300-00008A010000}"/>
    <hyperlink ref="E283" r:id="rId396" xr:uid="{00000000-0004-0000-0300-00008B010000}"/>
    <hyperlink ref="E284" r:id="rId397" xr:uid="{00000000-0004-0000-0300-00008C010000}"/>
    <hyperlink ref="E285" r:id="rId398" xr:uid="{00000000-0004-0000-0300-00008D010000}"/>
    <hyperlink ref="E286" r:id="rId399" xr:uid="{00000000-0004-0000-0300-00008E010000}"/>
    <hyperlink ref="E287" r:id="rId400" xr:uid="{00000000-0004-0000-0300-00008F010000}"/>
    <hyperlink ref="E288" r:id="rId401" xr:uid="{00000000-0004-0000-0300-000090010000}"/>
    <hyperlink ref="E289" r:id="rId402" xr:uid="{00000000-0004-0000-0300-000091010000}"/>
    <hyperlink ref="E290" r:id="rId403" xr:uid="{00000000-0004-0000-0300-000092010000}"/>
    <hyperlink ref="E291" r:id="rId404" xr:uid="{00000000-0004-0000-0300-000093010000}"/>
    <hyperlink ref="E292" r:id="rId405" xr:uid="{00000000-0004-0000-0300-000094010000}"/>
    <hyperlink ref="E293" r:id="rId406" xr:uid="{00000000-0004-0000-0300-000095010000}"/>
    <hyperlink ref="E294" r:id="rId407" xr:uid="{00000000-0004-0000-0300-000096010000}"/>
    <hyperlink ref="E295" r:id="rId408" xr:uid="{00000000-0004-0000-0300-000097010000}"/>
    <hyperlink ref="E296" r:id="rId409" xr:uid="{00000000-0004-0000-0300-000098010000}"/>
    <hyperlink ref="E297" r:id="rId410" xr:uid="{00000000-0004-0000-0300-000099010000}"/>
    <hyperlink ref="E298" r:id="rId411" xr:uid="{00000000-0004-0000-0300-00009A010000}"/>
    <hyperlink ref="E299" r:id="rId412" xr:uid="{00000000-0004-0000-0300-00009B010000}"/>
    <hyperlink ref="E300" r:id="rId413" xr:uid="{00000000-0004-0000-0300-00009C010000}"/>
    <hyperlink ref="E301" r:id="rId414" xr:uid="{00000000-0004-0000-0300-00009D010000}"/>
    <hyperlink ref="E302" r:id="rId415" xr:uid="{00000000-0004-0000-0300-00009E010000}"/>
    <hyperlink ref="E303" r:id="rId416" xr:uid="{00000000-0004-0000-0300-00009F010000}"/>
    <hyperlink ref="E304" r:id="rId417" xr:uid="{00000000-0004-0000-0300-0000A0010000}"/>
    <hyperlink ref="E305" r:id="rId418" xr:uid="{00000000-0004-0000-0300-0000A1010000}"/>
    <hyperlink ref="E306" r:id="rId419" xr:uid="{00000000-0004-0000-0300-0000A2010000}"/>
    <hyperlink ref="E307" r:id="rId420" xr:uid="{00000000-0004-0000-0300-0000A3010000}"/>
    <hyperlink ref="E308" r:id="rId421" xr:uid="{00000000-0004-0000-0300-0000A4010000}"/>
    <hyperlink ref="E309" r:id="rId422" xr:uid="{00000000-0004-0000-0300-0000A5010000}"/>
    <hyperlink ref="E310" r:id="rId423" xr:uid="{00000000-0004-0000-0300-0000A6010000}"/>
    <hyperlink ref="E311" r:id="rId424" xr:uid="{00000000-0004-0000-0300-0000A7010000}"/>
    <hyperlink ref="E312" r:id="rId425" xr:uid="{00000000-0004-0000-0300-0000A8010000}"/>
    <hyperlink ref="E313" r:id="rId426" xr:uid="{00000000-0004-0000-0300-0000A9010000}"/>
    <hyperlink ref="E314" r:id="rId427" xr:uid="{00000000-0004-0000-0300-0000AA010000}"/>
    <hyperlink ref="E315" r:id="rId428" xr:uid="{00000000-0004-0000-0300-0000AB010000}"/>
    <hyperlink ref="E316" r:id="rId429" xr:uid="{00000000-0004-0000-0300-0000AC01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pane ySplit="1" topLeftCell="A2" activePane="bottomLeft" state="frozen"/>
      <selection pane="bottomLeft" activeCell="B3" sqref="B3"/>
    </sheetView>
  </sheetViews>
  <sheetFormatPr defaultColWidth="12.6328125" defaultRowHeight="15.75" customHeight="1"/>
  <cols>
    <col min="1" max="1" width="15.08984375" customWidth="1"/>
    <col min="3" max="3" width="30.26953125" customWidth="1"/>
    <col min="4" max="4" width="8.90625" customWidth="1"/>
    <col min="5" max="5" width="10.26953125" customWidth="1"/>
    <col min="9" max="9" width="18.453125" customWidth="1"/>
    <col min="10" max="10" width="15.6328125" customWidth="1"/>
  </cols>
  <sheetData>
    <row r="1" spans="1:27" ht="15.75" customHeight="1">
      <c r="A1" s="195" t="s">
        <v>706</v>
      </c>
      <c r="B1" s="195" t="s">
        <v>707</v>
      </c>
      <c r="C1" s="196" t="s">
        <v>708</v>
      </c>
      <c r="D1" s="196" t="s">
        <v>709</v>
      </c>
      <c r="E1" s="196" t="s">
        <v>710</v>
      </c>
      <c r="F1" s="196" t="s">
        <v>711</v>
      </c>
      <c r="G1" s="196" t="s">
        <v>103</v>
      </c>
      <c r="H1" s="196" t="s">
        <v>712</v>
      </c>
      <c r="I1" s="196" t="s">
        <v>713</v>
      </c>
      <c r="J1" s="196" t="s">
        <v>714</v>
      </c>
      <c r="K1" s="196" t="s">
        <v>715</v>
      </c>
      <c r="L1" s="2" t="s">
        <v>716</v>
      </c>
      <c r="M1" s="2"/>
      <c r="N1" s="2"/>
      <c r="O1" s="2"/>
      <c r="P1" s="2"/>
      <c r="Q1" s="2"/>
      <c r="R1" s="2"/>
      <c r="S1" s="2"/>
      <c r="T1" s="2"/>
      <c r="U1" s="2"/>
      <c r="V1" s="2"/>
      <c r="W1" s="2"/>
      <c r="X1" s="2"/>
      <c r="Y1" s="2"/>
      <c r="Z1" s="2"/>
      <c r="AA1" s="2"/>
    </row>
    <row r="2" spans="1:27" ht="15.75" customHeight="1">
      <c r="A2" s="197" t="s">
        <v>717</v>
      </c>
      <c r="B2" s="198" t="s">
        <v>136</v>
      </c>
      <c r="C2" s="2" t="s">
        <v>718</v>
      </c>
      <c r="D2" s="2"/>
      <c r="E2" s="2" t="s">
        <v>719</v>
      </c>
      <c r="F2" s="2"/>
      <c r="G2" s="2"/>
      <c r="H2" s="199" t="s">
        <v>720</v>
      </c>
      <c r="I2" s="2" t="s">
        <v>717</v>
      </c>
      <c r="J2" s="2">
        <v>8265</v>
      </c>
      <c r="K2" s="2"/>
      <c r="L2" s="2"/>
    </row>
    <row r="3" spans="1:27" ht="15.75" customHeight="1">
      <c r="A3" s="197" t="s">
        <v>721</v>
      </c>
      <c r="B3" s="198" t="s">
        <v>141</v>
      </c>
      <c r="C3" s="2" t="s">
        <v>722</v>
      </c>
      <c r="D3" s="2"/>
      <c r="E3" s="2" t="s">
        <v>723</v>
      </c>
      <c r="F3" s="2" t="s">
        <v>724</v>
      </c>
      <c r="G3" s="2" t="s">
        <v>725</v>
      </c>
      <c r="H3" s="199" t="s">
        <v>726</v>
      </c>
      <c r="I3" s="2" t="s">
        <v>727</v>
      </c>
      <c r="J3" s="2">
        <v>5510</v>
      </c>
      <c r="K3" s="2"/>
      <c r="L3" s="2"/>
    </row>
    <row r="4" spans="1:27" ht="15.75" customHeight="1">
      <c r="A4" s="197" t="s">
        <v>728</v>
      </c>
      <c r="B4" s="200" t="s">
        <v>145</v>
      </c>
      <c r="C4" s="2" t="s">
        <v>729</v>
      </c>
      <c r="D4" s="2"/>
      <c r="E4" s="2" t="s">
        <v>719</v>
      </c>
      <c r="F4" s="2"/>
      <c r="G4" s="2"/>
      <c r="H4" s="201" t="s">
        <v>730</v>
      </c>
      <c r="I4" s="2"/>
      <c r="J4" s="2">
        <v>374910</v>
      </c>
      <c r="K4" s="2"/>
      <c r="L4" s="2"/>
    </row>
    <row r="5" spans="1:27" ht="15.75" customHeight="1">
      <c r="A5" s="197" t="s">
        <v>444</v>
      </c>
      <c r="B5" s="202" t="s">
        <v>444</v>
      </c>
      <c r="C5" s="2" t="s">
        <v>731</v>
      </c>
      <c r="D5" s="2"/>
      <c r="E5" s="2" t="s">
        <v>719</v>
      </c>
      <c r="F5" s="2"/>
      <c r="G5" s="2"/>
      <c r="H5" s="201" t="s">
        <v>732</v>
      </c>
      <c r="I5" s="2"/>
      <c r="J5" s="2">
        <v>289559</v>
      </c>
      <c r="K5" s="2"/>
      <c r="L5" s="2"/>
    </row>
    <row r="6" spans="1:27" ht="15.75" customHeight="1">
      <c r="A6" s="197" t="s">
        <v>733</v>
      </c>
      <c r="B6" s="202" t="s">
        <v>734</v>
      </c>
      <c r="C6" s="2" t="s">
        <v>735</v>
      </c>
      <c r="D6" s="2"/>
      <c r="E6" s="2" t="s">
        <v>719</v>
      </c>
      <c r="F6" s="2" t="s">
        <v>736</v>
      </c>
      <c r="G6" s="2"/>
      <c r="H6" s="201" t="s">
        <v>737</v>
      </c>
      <c r="I6" s="2"/>
      <c r="J6" s="2"/>
      <c r="K6" s="2"/>
      <c r="L6" s="2"/>
    </row>
    <row r="7" spans="1:27" ht="15.75" customHeight="1">
      <c r="A7" s="197" t="s">
        <v>738</v>
      </c>
      <c r="B7" s="200" t="s">
        <v>154</v>
      </c>
      <c r="C7" s="2" t="s">
        <v>739</v>
      </c>
      <c r="D7" s="2"/>
      <c r="E7" s="2" t="s">
        <v>723</v>
      </c>
      <c r="F7" s="2" t="s">
        <v>740</v>
      </c>
      <c r="G7" s="2" t="s">
        <v>740</v>
      </c>
      <c r="H7" s="2" t="s">
        <v>740</v>
      </c>
      <c r="I7" s="2" t="s">
        <v>740</v>
      </c>
      <c r="J7" s="2">
        <v>3107</v>
      </c>
      <c r="K7" s="2"/>
      <c r="L7" s="2"/>
    </row>
    <row r="8" spans="1:27" ht="15.75" customHeight="1">
      <c r="A8" s="197" t="s">
        <v>741</v>
      </c>
      <c r="B8" s="200" t="s">
        <v>157</v>
      </c>
      <c r="C8" s="203" t="s">
        <v>742</v>
      </c>
      <c r="D8" s="2"/>
      <c r="E8" s="2" t="s">
        <v>723</v>
      </c>
      <c r="F8" s="2"/>
      <c r="G8" s="2"/>
      <c r="H8" s="201" t="s">
        <v>743</v>
      </c>
      <c r="I8" s="2"/>
      <c r="J8" s="2">
        <v>31497</v>
      </c>
      <c r="K8" s="2"/>
      <c r="L8" s="2"/>
    </row>
    <row r="9" spans="1:27" ht="15.75" customHeight="1">
      <c r="A9" s="197" t="s">
        <v>744</v>
      </c>
      <c r="B9" s="200" t="s">
        <v>160</v>
      </c>
      <c r="C9" s="2" t="s">
        <v>745</v>
      </c>
      <c r="D9" s="2"/>
      <c r="E9" s="2" t="s">
        <v>719</v>
      </c>
      <c r="F9" s="2"/>
      <c r="G9" s="2"/>
      <c r="H9" s="2"/>
      <c r="I9" s="2"/>
      <c r="J9" s="2">
        <v>44548</v>
      </c>
      <c r="K9" s="2"/>
      <c r="L9" s="2"/>
    </row>
    <row r="10" spans="1:27" ht="15.75" customHeight="1">
      <c r="A10" s="197" t="s">
        <v>746</v>
      </c>
      <c r="B10" s="200" t="s">
        <v>164</v>
      </c>
      <c r="C10" s="2" t="s">
        <v>747</v>
      </c>
      <c r="D10" s="2"/>
      <c r="E10" s="2" t="s">
        <v>723</v>
      </c>
      <c r="F10" s="2"/>
      <c r="G10" s="204" t="s">
        <v>748</v>
      </c>
      <c r="H10" s="2"/>
      <c r="I10" s="2"/>
      <c r="J10" s="2">
        <v>105</v>
      </c>
      <c r="K10" s="2"/>
      <c r="L10" s="2"/>
    </row>
    <row r="11" spans="1:27" ht="15.75" customHeight="1">
      <c r="A11" s="197" t="s">
        <v>749</v>
      </c>
      <c r="B11" s="200" t="s">
        <v>167</v>
      </c>
      <c r="C11" s="2" t="s">
        <v>750</v>
      </c>
      <c r="D11" s="2" t="s">
        <v>751</v>
      </c>
      <c r="E11" s="2" t="s">
        <v>723</v>
      </c>
      <c r="F11" s="2"/>
      <c r="G11" s="2"/>
      <c r="H11" s="205" t="s">
        <v>752</v>
      </c>
      <c r="I11" s="2"/>
      <c r="J11" s="2">
        <v>48</v>
      </c>
      <c r="K11" s="2" t="s">
        <v>753</v>
      </c>
      <c r="L11" s="2" t="s">
        <v>754</v>
      </c>
    </row>
    <row r="12" spans="1:27" ht="15.75" customHeight="1">
      <c r="A12" s="206" t="s">
        <v>170</v>
      </c>
      <c r="B12" s="198" t="s">
        <v>170</v>
      </c>
      <c r="C12" s="2" t="s">
        <v>755</v>
      </c>
      <c r="D12" s="2" t="s">
        <v>756</v>
      </c>
      <c r="E12" s="2" t="s">
        <v>723</v>
      </c>
      <c r="F12" s="2" t="s">
        <v>740</v>
      </c>
      <c r="G12" s="2" t="s">
        <v>740</v>
      </c>
      <c r="H12" s="2" t="s">
        <v>740</v>
      </c>
      <c r="I12" s="2" t="s">
        <v>740</v>
      </c>
      <c r="J12" s="2">
        <v>1056</v>
      </c>
      <c r="K12" s="2"/>
      <c r="L12" s="2"/>
    </row>
    <row r="13" spans="1:27" ht="15.75" customHeight="1">
      <c r="A13" s="206" t="s">
        <v>757</v>
      </c>
      <c r="B13" s="207" t="s">
        <v>173</v>
      </c>
      <c r="C13" s="2" t="s">
        <v>758</v>
      </c>
      <c r="D13" s="2" t="s">
        <v>759</v>
      </c>
      <c r="E13" s="2" t="s">
        <v>723</v>
      </c>
      <c r="F13" s="208" t="s">
        <v>760</v>
      </c>
      <c r="G13" s="2" t="s">
        <v>740</v>
      </c>
      <c r="H13" s="209" t="s">
        <v>761</v>
      </c>
      <c r="I13" s="2" t="s">
        <v>762</v>
      </c>
      <c r="J13" s="2">
        <v>275000</v>
      </c>
      <c r="K13" s="2"/>
      <c r="L13" s="2"/>
    </row>
    <row r="14" spans="1:27" ht="15.75" customHeight="1">
      <c r="A14" s="197" t="s">
        <v>763</v>
      </c>
      <c r="B14" s="198" t="s">
        <v>177</v>
      </c>
      <c r="C14" s="2" t="s">
        <v>764</v>
      </c>
      <c r="D14" s="2" t="s">
        <v>138</v>
      </c>
      <c r="E14" s="2" t="s">
        <v>719</v>
      </c>
      <c r="F14" s="208" t="s">
        <v>765</v>
      </c>
      <c r="G14" s="2"/>
      <c r="H14" s="210" t="s">
        <v>766</v>
      </c>
      <c r="I14" s="211" t="s">
        <v>740</v>
      </c>
      <c r="J14" s="2">
        <v>1581</v>
      </c>
      <c r="K14" s="2"/>
      <c r="L14" s="2"/>
    </row>
    <row r="15" spans="1:27" ht="15.75" customHeight="1">
      <c r="A15" s="212" t="s">
        <v>767</v>
      </c>
      <c r="B15" s="213" t="s">
        <v>768</v>
      </c>
      <c r="C15" s="2" t="s">
        <v>769</v>
      </c>
      <c r="D15" s="2"/>
      <c r="E15" s="2" t="s">
        <v>719</v>
      </c>
      <c r="F15" s="2"/>
      <c r="G15" s="2"/>
      <c r="H15" s="201" t="s">
        <v>770</v>
      </c>
      <c r="I15" s="199" t="s">
        <v>771</v>
      </c>
      <c r="J15" s="2">
        <v>13220</v>
      </c>
      <c r="K15" s="2"/>
      <c r="L15" s="2"/>
    </row>
    <row r="16" spans="1:27" ht="15.75" customHeight="1">
      <c r="A16" s="197" t="s">
        <v>772</v>
      </c>
      <c r="B16" s="214" t="s">
        <v>187</v>
      </c>
      <c r="C16" s="205" t="s">
        <v>773</v>
      </c>
      <c r="D16" s="2"/>
      <c r="E16" s="2" t="s">
        <v>723</v>
      </c>
      <c r="F16" s="2"/>
      <c r="G16" s="2"/>
      <c r="H16" s="199" t="s">
        <v>774</v>
      </c>
      <c r="I16" s="211"/>
      <c r="J16" s="2">
        <v>923</v>
      </c>
      <c r="K16" s="2"/>
      <c r="L16" s="2"/>
    </row>
    <row r="17" spans="1:12" ht="15.75" customHeight="1">
      <c r="A17" s="197" t="s">
        <v>775</v>
      </c>
      <c r="B17" s="70" t="s">
        <v>191</v>
      </c>
      <c r="C17" s="204" t="s">
        <v>776</v>
      </c>
      <c r="D17" s="2"/>
      <c r="E17" s="2" t="s">
        <v>723</v>
      </c>
      <c r="F17" s="2"/>
      <c r="G17" s="215" t="s">
        <v>777</v>
      </c>
      <c r="H17" s="215" t="s">
        <v>778</v>
      </c>
      <c r="I17" s="211"/>
      <c r="J17" s="2">
        <v>1576</v>
      </c>
      <c r="K17" s="2"/>
      <c r="L17" s="2"/>
    </row>
    <row r="18" spans="1:12" ht="15.75" customHeight="1">
      <c r="A18" s="197" t="s">
        <v>779</v>
      </c>
      <c r="B18" s="200" t="s">
        <v>194</v>
      </c>
      <c r="C18" s="216" t="s">
        <v>780</v>
      </c>
      <c r="D18" s="2" t="s">
        <v>138</v>
      </c>
      <c r="E18" s="2" t="s">
        <v>723</v>
      </c>
      <c r="F18" s="2" t="s">
        <v>740</v>
      </c>
      <c r="G18" s="2" t="s">
        <v>781</v>
      </c>
      <c r="H18" s="199" t="s">
        <v>782</v>
      </c>
      <c r="I18" s="211" t="s">
        <v>740</v>
      </c>
      <c r="J18" s="2">
        <v>210600</v>
      </c>
      <c r="K18" s="2"/>
      <c r="L18" s="2"/>
    </row>
    <row r="19" spans="1:12" ht="15.75" customHeight="1">
      <c r="A19" s="197" t="s">
        <v>783</v>
      </c>
      <c r="B19" s="200" t="s">
        <v>197</v>
      </c>
      <c r="C19" s="217" t="s">
        <v>784</v>
      </c>
      <c r="D19" s="2"/>
      <c r="E19" s="2" t="s">
        <v>719</v>
      </c>
      <c r="F19" s="2"/>
      <c r="G19" s="2"/>
      <c r="H19" s="2"/>
      <c r="I19" s="211"/>
      <c r="J19" s="2">
        <v>9585</v>
      </c>
      <c r="K19" s="2"/>
      <c r="L19" s="2"/>
    </row>
    <row r="20" spans="1:12" ht="15.75" customHeight="1">
      <c r="A20" s="206" t="s">
        <v>785</v>
      </c>
      <c r="B20" s="200" t="s">
        <v>200</v>
      </c>
      <c r="C20" s="2" t="s">
        <v>786</v>
      </c>
      <c r="D20" s="2" t="s">
        <v>787</v>
      </c>
      <c r="E20" s="2" t="s">
        <v>723</v>
      </c>
      <c r="F20" s="2" t="s">
        <v>740</v>
      </c>
      <c r="G20" s="2" t="s">
        <v>740</v>
      </c>
      <c r="H20" s="2" t="s">
        <v>788</v>
      </c>
      <c r="I20" s="2" t="s">
        <v>740</v>
      </c>
      <c r="J20" s="2">
        <v>237</v>
      </c>
      <c r="K20" s="2"/>
      <c r="L20" s="2"/>
    </row>
    <row r="21" spans="1:12" ht="15.75" customHeight="1">
      <c r="A21" s="197" t="s">
        <v>789</v>
      </c>
      <c r="B21" s="200" t="s">
        <v>203</v>
      </c>
      <c r="C21" s="2" t="s">
        <v>790</v>
      </c>
      <c r="D21" s="2" t="s">
        <v>791</v>
      </c>
      <c r="E21" s="2" t="s">
        <v>723</v>
      </c>
      <c r="F21" s="2" t="s">
        <v>740</v>
      </c>
      <c r="G21" s="2" t="s">
        <v>740</v>
      </c>
      <c r="H21" s="201" t="s">
        <v>792</v>
      </c>
      <c r="I21" s="2" t="s">
        <v>740</v>
      </c>
      <c r="J21" s="2">
        <v>389</v>
      </c>
      <c r="K21" s="2"/>
      <c r="L21" s="2"/>
    </row>
    <row r="22" spans="1:12" ht="15.75" customHeight="1">
      <c r="A22" s="206" t="s">
        <v>793</v>
      </c>
      <c r="B22" s="200" t="s">
        <v>206</v>
      </c>
      <c r="C22" s="197" t="s">
        <v>794</v>
      </c>
      <c r="D22" s="2" t="s">
        <v>138</v>
      </c>
      <c r="E22" s="2" t="s">
        <v>723</v>
      </c>
      <c r="F22" s="2" t="s">
        <v>740</v>
      </c>
      <c r="G22" s="2" t="s">
        <v>740</v>
      </c>
      <c r="H22" s="201" t="s">
        <v>795</v>
      </c>
      <c r="I22" s="197" t="s">
        <v>796</v>
      </c>
      <c r="J22" s="2">
        <v>17900</v>
      </c>
      <c r="K22" s="2"/>
      <c r="L22" s="2"/>
    </row>
    <row r="23" spans="1:12" ht="15.75" customHeight="1">
      <c r="A23" s="197" t="s">
        <v>797</v>
      </c>
      <c r="B23" s="200" t="s">
        <v>85</v>
      </c>
      <c r="C23" s="197" t="s">
        <v>798</v>
      </c>
      <c r="D23" s="2" t="s">
        <v>799</v>
      </c>
      <c r="E23" s="2" t="s">
        <v>719</v>
      </c>
      <c r="F23" s="2" t="s">
        <v>740</v>
      </c>
      <c r="G23" s="2" t="s">
        <v>740</v>
      </c>
      <c r="H23" s="218" t="s">
        <v>800</v>
      </c>
      <c r="I23" s="2" t="s">
        <v>740</v>
      </c>
      <c r="J23" s="2">
        <v>906.8</v>
      </c>
      <c r="K23" s="2"/>
      <c r="L23" s="2"/>
    </row>
    <row r="24" spans="1:12" ht="15.75" customHeight="1">
      <c r="A24" s="197" t="s">
        <v>801</v>
      </c>
      <c r="B24" s="200" t="s">
        <v>217</v>
      </c>
      <c r="C24" s="2" t="s">
        <v>802</v>
      </c>
      <c r="D24" s="2"/>
      <c r="E24" s="2" t="s">
        <v>723</v>
      </c>
      <c r="F24" s="2" t="s">
        <v>803</v>
      </c>
      <c r="G24" s="2"/>
      <c r="H24" s="201" t="s">
        <v>804</v>
      </c>
      <c r="I24" s="2" t="s">
        <v>805</v>
      </c>
      <c r="J24" s="2">
        <v>11319</v>
      </c>
      <c r="K24" s="2"/>
      <c r="L24" s="2"/>
    </row>
    <row r="25" spans="1:12" ht="15.75" customHeight="1">
      <c r="A25" s="197" t="s">
        <v>806</v>
      </c>
      <c r="B25" s="70" t="s">
        <v>220</v>
      </c>
      <c r="C25" s="2" t="s">
        <v>807</v>
      </c>
      <c r="D25" s="2"/>
      <c r="E25" s="2" t="s">
        <v>723</v>
      </c>
      <c r="F25" s="2"/>
      <c r="G25" s="2"/>
      <c r="H25" s="2"/>
      <c r="I25" s="215" t="s">
        <v>808</v>
      </c>
      <c r="J25" s="2">
        <v>448</v>
      </c>
      <c r="K25" s="2"/>
      <c r="L25" s="2"/>
    </row>
    <row r="26" spans="1:12" ht="15.75" customHeight="1">
      <c r="A26" s="197" t="s">
        <v>809</v>
      </c>
      <c r="B26" s="70" t="s">
        <v>226</v>
      </c>
      <c r="C26" s="203" t="s">
        <v>810</v>
      </c>
      <c r="D26" s="2"/>
      <c r="E26" s="2" t="s">
        <v>719</v>
      </c>
      <c r="F26" s="2"/>
      <c r="G26" s="2"/>
      <c r="H26" s="2"/>
      <c r="I26" s="2"/>
      <c r="J26" s="2">
        <v>333257</v>
      </c>
      <c r="K26" s="2"/>
      <c r="L26" s="2"/>
    </row>
    <row r="27" spans="1:12" ht="15.75" customHeight="1">
      <c r="A27" s="197" t="s">
        <v>811</v>
      </c>
      <c r="B27" s="70" t="s">
        <v>229</v>
      </c>
      <c r="C27" s="2" t="s">
        <v>812</v>
      </c>
      <c r="D27" s="2"/>
      <c r="E27" s="2" t="s">
        <v>723</v>
      </c>
      <c r="G27" s="2"/>
      <c r="H27" s="201" t="s">
        <v>813</v>
      </c>
      <c r="I27" s="2"/>
      <c r="J27" s="2">
        <v>189496</v>
      </c>
      <c r="K27" s="2"/>
      <c r="L27" s="2"/>
    </row>
    <row r="28" spans="1:12" ht="15.75" customHeight="1">
      <c r="A28" s="197" t="s">
        <v>814</v>
      </c>
      <c r="B28" s="70" t="s">
        <v>232</v>
      </c>
      <c r="C28" s="217" t="s">
        <v>815</v>
      </c>
      <c r="D28" s="2"/>
      <c r="E28" s="2" t="s">
        <v>723</v>
      </c>
      <c r="F28" s="2"/>
      <c r="G28" s="2"/>
      <c r="H28" s="201" t="s">
        <v>816</v>
      </c>
      <c r="I28" s="2"/>
      <c r="J28" s="2">
        <v>112</v>
      </c>
      <c r="K28" s="2"/>
      <c r="L28" s="2"/>
    </row>
    <row r="29" spans="1:12" ht="15.75" customHeight="1">
      <c r="A29" s="197" t="s">
        <v>817</v>
      </c>
      <c r="B29" s="70" t="s">
        <v>818</v>
      </c>
      <c r="C29" s="215" t="s">
        <v>819</v>
      </c>
      <c r="D29" s="2"/>
      <c r="E29" s="2" t="s">
        <v>719</v>
      </c>
      <c r="F29" s="2"/>
      <c r="G29" s="2"/>
      <c r="H29" s="201" t="s">
        <v>820</v>
      </c>
      <c r="I29" s="2"/>
      <c r="J29" s="2">
        <v>352386</v>
      </c>
      <c r="K29" s="2"/>
      <c r="L29" s="2"/>
    </row>
    <row r="30" spans="1:12" ht="15.75" customHeight="1">
      <c r="A30" s="197" t="s">
        <v>821</v>
      </c>
      <c r="B30" s="70" t="s">
        <v>242</v>
      </c>
      <c r="C30" s="203" t="s">
        <v>822</v>
      </c>
      <c r="D30" s="2" t="s">
        <v>138</v>
      </c>
      <c r="E30" s="2" t="s">
        <v>723</v>
      </c>
      <c r="F30" s="2" t="s">
        <v>740</v>
      </c>
      <c r="G30" s="2" t="s">
        <v>740</v>
      </c>
      <c r="H30" s="2" t="s">
        <v>740</v>
      </c>
      <c r="I30" s="2" t="s">
        <v>740</v>
      </c>
      <c r="J30" s="2">
        <v>141</v>
      </c>
      <c r="K30" s="2"/>
      <c r="L30" s="2"/>
    </row>
    <row r="31" spans="1:12" ht="15.75" customHeight="1">
      <c r="A31" s="197" t="s">
        <v>823</v>
      </c>
      <c r="B31" s="219" t="s">
        <v>249</v>
      </c>
      <c r="C31" s="2" t="s">
        <v>824</v>
      </c>
      <c r="D31" s="2" t="s">
        <v>138</v>
      </c>
      <c r="E31" s="2" t="s">
        <v>723</v>
      </c>
      <c r="F31" s="2" t="s">
        <v>825</v>
      </c>
      <c r="G31" s="2" t="s">
        <v>826</v>
      </c>
      <c r="H31" s="199" t="s">
        <v>827</v>
      </c>
      <c r="I31" s="2" t="s">
        <v>828</v>
      </c>
      <c r="J31" s="2">
        <v>9109</v>
      </c>
      <c r="K31" s="2">
        <v>3076</v>
      </c>
      <c r="L31" s="2" t="s">
        <v>829</v>
      </c>
    </row>
    <row r="32" spans="1:12" ht="15.75" customHeight="1">
      <c r="A32" s="197" t="s">
        <v>830</v>
      </c>
      <c r="B32" s="70" t="s">
        <v>254</v>
      </c>
      <c r="C32" s="2" t="s">
        <v>831</v>
      </c>
      <c r="D32" s="2" t="s">
        <v>138</v>
      </c>
      <c r="E32" s="2" t="s">
        <v>723</v>
      </c>
      <c r="F32" s="2" t="s">
        <v>740</v>
      </c>
      <c r="G32" s="2"/>
      <c r="H32" s="2"/>
      <c r="I32" s="2"/>
      <c r="J32" s="2"/>
      <c r="K32" s="2"/>
      <c r="L32" s="2"/>
    </row>
    <row r="33" spans="1:12" ht="15.75" customHeight="1">
      <c r="A33" s="197" t="s">
        <v>832</v>
      </c>
      <c r="B33" s="220" t="s">
        <v>261</v>
      </c>
      <c r="C33" s="2" t="s">
        <v>833</v>
      </c>
      <c r="D33" s="2"/>
      <c r="E33" s="2" t="s">
        <v>723</v>
      </c>
      <c r="F33" s="2"/>
      <c r="G33" s="2"/>
      <c r="H33" s="215" t="s">
        <v>834</v>
      </c>
      <c r="I33" s="2"/>
      <c r="J33" s="2">
        <v>55155</v>
      </c>
      <c r="K33" s="2"/>
      <c r="L33" s="2"/>
    </row>
    <row r="34" spans="1:12" ht="15.75" customHeight="1">
      <c r="A34" s="197" t="s">
        <v>835</v>
      </c>
      <c r="B34" s="220" t="s">
        <v>270</v>
      </c>
      <c r="C34" s="2" t="s">
        <v>836</v>
      </c>
      <c r="D34" s="2"/>
      <c r="E34" s="2" t="s">
        <v>723</v>
      </c>
      <c r="F34" s="2"/>
      <c r="G34" s="2"/>
      <c r="H34" s="2"/>
      <c r="I34" s="2"/>
      <c r="J34" s="2"/>
      <c r="K34" s="2"/>
      <c r="L34" s="2"/>
    </row>
    <row r="35" spans="1:12" ht="15.75" customHeight="1">
      <c r="A35" s="197" t="s">
        <v>837</v>
      </c>
      <c r="B35" s="70" t="s">
        <v>273</v>
      </c>
      <c r="C35" s="2" t="s">
        <v>838</v>
      </c>
      <c r="D35" s="2"/>
      <c r="E35" s="2" t="s">
        <v>723</v>
      </c>
      <c r="F35" s="2" t="s">
        <v>839</v>
      </c>
      <c r="G35" s="2"/>
      <c r="H35" s="199" t="s">
        <v>840</v>
      </c>
      <c r="I35" s="2"/>
      <c r="J35" s="2">
        <v>538</v>
      </c>
      <c r="K35" s="2"/>
      <c r="L35" s="2"/>
    </row>
    <row r="36" spans="1:12" ht="15.75" customHeight="1">
      <c r="A36" s="197" t="s">
        <v>841</v>
      </c>
      <c r="B36" s="70" t="s">
        <v>276</v>
      </c>
      <c r="C36" s="2" t="s">
        <v>842</v>
      </c>
      <c r="D36" s="2"/>
      <c r="E36" s="2" t="s">
        <v>723</v>
      </c>
      <c r="F36" s="2" t="s">
        <v>843</v>
      </c>
      <c r="G36" s="2"/>
      <c r="H36" s="201" t="s">
        <v>844</v>
      </c>
      <c r="I36" s="2"/>
      <c r="J36" s="2">
        <v>8483</v>
      </c>
      <c r="K36" s="2"/>
      <c r="L36" s="2"/>
    </row>
    <row r="37" spans="1:12" ht="15.75" customHeight="1">
      <c r="A37" s="197" t="s">
        <v>845</v>
      </c>
      <c r="B37" s="70" t="s">
        <v>284</v>
      </c>
      <c r="C37" s="2" t="s">
        <v>846</v>
      </c>
      <c r="D37" s="2"/>
      <c r="E37" s="2" t="s">
        <v>723</v>
      </c>
      <c r="F37" s="2"/>
      <c r="G37" s="2"/>
      <c r="H37" s="199" t="s">
        <v>847</v>
      </c>
      <c r="I37" s="2"/>
      <c r="J37" s="2">
        <v>3087</v>
      </c>
      <c r="K37" s="2"/>
      <c r="L37" s="2"/>
    </row>
    <row r="38" spans="1:12" ht="15.75" customHeight="1">
      <c r="A38" s="197" t="s">
        <v>848</v>
      </c>
      <c r="B38" s="219" t="s">
        <v>289</v>
      </c>
      <c r="C38" s="2" t="s">
        <v>849</v>
      </c>
      <c r="D38" s="2"/>
      <c r="E38" s="2" t="s">
        <v>723</v>
      </c>
      <c r="F38" s="2"/>
      <c r="G38" s="2" t="s">
        <v>850</v>
      </c>
      <c r="H38" s="2"/>
      <c r="I38" s="2"/>
      <c r="J38" s="2">
        <v>3073</v>
      </c>
      <c r="K38" s="2"/>
      <c r="L38" s="2"/>
    </row>
    <row r="39" spans="1:12" ht="15.75" customHeight="1">
      <c r="A39" s="197" t="s">
        <v>851</v>
      </c>
      <c r="B39" s="70" t="s">
        <v>292</v>
      </c>
      <c r="C39" s="2" t="s">
        <v>852</v>
      </c>
      <c r="D39" s="2"/>
      <c r="E39" s="2" t="s">
        <v>723</v>
      </c>
      <c r="F39" s="2" t="s">
        <v>853</v>
      </c>
      <c r="G39" s="2"/>
      <c r="H39" s="2"/>
      <c r="I39" s="2"/>
      <c r="J39" s="2"/>
      <c r="K39" s="2"/>
      <c r="L39" s="2"/>
    </row>
    <row r="40" spans="1:12" ht="15.75" customHeight="1">
      <c r="A40" s="197" t="s">
        <v>854</v>
      </c>
      <c r="B40" s="70" t="s">
        <v>295</v>
      </c>
      <c r="C40" s="2" t="s">
        <v>855</v>
      </c>
      <c r="D40" s="2"/>
      <c r="E40" s="2" t="s">
        <v>719</v>
      </c>
      <c r="F40" s="2" t="s">
        <v>856</v>
      </c>
      <c r="G40" s="2" t="s">
        <v>857</v>
      </c>
      <c r="H40" s="201" t="s">
        <v>858</v>
      </c>
      <c r="I40" s="2"/>
      <c r="J40" s="2">
        <v>286979</v>
      </c>
      <c r="K40" s="2"/>
      <c r="L40" s="2"/>
    </row>
    <row r="41" spans="1:12" ht="15.75" customHeight="1">
      <c r="A41" s="197" t="s">
        <v>859</v>
      </c>
      <c r="B41" s="70" t="s">
        <v>298</v>
      </c>
      <c r="C41" s="2" t="s">
        <v>860</v>
      </c>
      <c r="D41" s="2"/>
      <c r="E41" s="2" t="s">
        <v>719</v>
      </c>
      <c r="F41" s="2" t="s">
        <v>861</v>
      </c>
      <c r="G41" s="2"/>
      <c r="H41" s="199" t="s">
        <v>862</v>
      </c>
      <c r="I41" s="2"/>
      <c r="J41" s="2">
        <v>912763</v>
      </c>
      <c r="K41" s="2"/>
      <c r="L41" s="2"/>
    </row>
    <row r="42" spans="1:12" ht="113">
      <c r="A42" s="197" t="s">
        <v>863</v>
      </c>
      <c r="B42" s="219" t="s">
        <v>305</v>
      </c>
      <c r="C42" s="2" t="s">
        <v>864</v>
      </c>
      <c r="D42" s="2"/>
      <c r="E42" s="2" t="s">
        <v>723</v>
      </c>
      <c r="F42" s="2" t="s">
        <v>865</v>
      </c>
      <c r="G42" s="2"/>
      <c r="H42" s="201" t="s">
        <v>866</v>
      </c>
      <c r="I42" s="221" t="s">
        <v>867</v>
      </c>
      <c r="J42" s="2">
        <v>138972</v>
      </c>
      <c r="K42" s="2"/>
      <c r="L42" s="2"/>
    </row>
    <row r="43" spans="1:12" ht="14">
      <c r="A43" s="197" t="s">
        <v>868</v>
      </c>
      <c r="B43" s="219" t="s">
        <v>308</v>
      </c>
      <c r="C43" s="2" t="s">
        <v>868</v>
      </c>
      <c r="D43" s="2"/>
      <c r="E43" s="2" t="s">
        <v>723</v>
      </c>
      <c r="F43" s="2"/>
      <c r="G43" s="2"/>
      <c r="H43" s="2"/>
      <c r="I43" s="2"/>
      <c r="J43" s="2">
        <v>11608</v>
      </c>
      <c r="K43" s="2"/>
      <c r="L43" s="2"/>
    </row>
    <row r="44" spans="1:12" ht="75.5">
      <c r="A44" s="197" t="s">
        <v>313</v>
      </c>
      <c r="B44" s="70" t="s">
        <v>415</v>
      </c>
      <c r="C44" s="2" t="s">
        <v>869</v>
      </c>
      <c r="D44" s="2"/>
      <c r="E44" s="2" t="s">
        <v>723</v>
      </c>
      <c r="F44" s="2"/>
      <c r="G44" s="2" t="s">
        <v>870</v>
      </c>
      <c r="H44" s="199" t="s">
        <v>871</v>
      </c>
      <c r="I44" s="2"/>
      <c r="J44" s="2">
        <v>10554</v>
      </c>
      <c r="K44" s="2"/>
      <c r="L44" s="2"/>
    </row>
    <row r="45" spans="1:12" ht="75.5">
      <c r="A45" s="197" t="s">
        <v>872</v>
      </c>
      <c r="B45" s="70" t="s">
        <v>316</v>
      </c>
      <c r="C45" s="2" t="s">
        <v>873</v>
      </c>
      <c r="D45" s="2"/>
      <c r="E45" s="2" t="s">
        <v>723</v>
      </c>
      <c r="F45" s="2"/>
      <c r="G45" s="2"/>
      <c r="H45" s="2"/>
      <c r="I45" s="2"/>
      <c r="J45" s="2">
        <v>11331</v>
      </c>
      <c r="K45" s="2"/>
      <c r="L45" s="2"/>
    </row>
    <row r="46" spans="1:12" ht="63">
      <c r="A46" s="197" t="s">
        <v>874</v>
      </c>
      <c r="B46" s="70" t="s">
        <v>320</v>
      </c>
      <c r="C46" s="2" t="s">
        <v>875</v>
      </c>
      <c r="D46" s="2"/>
      <c r="E46" s="2" t="s">
        <v>723</v>
      </c>
      <c r="F46" s="2" t="s">
        <v>876</v>
      </c>
      <c r="G46" s="2"/>
      <c r="H46" s="201" t="s">
        <v>877</v>
      </c>
      <c r="I46" s="2"/>
      <c r="J46" s="2">
        <v>16150</v>
      </c>
      <c r="K46" s="2"/>
      <c r="L46" s="2"/>
    </row>
    <row r="47" spans="1:12" ht="63">
      <c r="A47" s="206" t="s">
        <v>878</v>
      </c>
      <c r="B47" s="219" t="s">
        <v>325</v>
      </c>
      <c r="C47" s="206" t="s">
        <v>879</v>
      </c>
      <c r="D47" s="2" t="s">
        <v>880</v>
      </c>
      <c r="E47" s="2" t="s">
        <v>719</v>
      </c>
      <c r="F47" s="218" t="s">
        <v>881</v>
      </c>
      <c r="G47" s="2" t="s">
        <v>740</v>
      </c>
      <c r="H47" s="201" t="s">
        <v>882</v>
      </c>
      <c r="I47" s="2" t="s">
        <v>740</v>
      </c>
      <c r="J47" s="2">
        <v>5193</v>
      </c>
      <c r="K47" s="2"/>
      <c r="L47" s="2"/>
    </row>
    <row r="48" spans="1:12" ht="38">
      <c r="A48" s="206" t="s">
        <v>883</v>
      </c>
      <c r="B48" s="219" t="s">
        <v>328</v>
      </c>
      <c r="C48" s="197" t="s">
        <v>884</v>
      </c>
      <c r="D48" s="2" t="s">
        <v>885</v>
      </c>
      <c r="E48" s="2" t="s">
        <v>719</v>
      </c>
      <c r="F48" s="218" t="s">
        <v>886</v>
      </c>
      <c r="G48" s="2" t="s">
        <v>740</v>
      </c>
      <c r="H48" s="199" t="s">
        <v>887</v>
      </c>
      <c r="I48" s="208" t="s">
        <v>888</v>
      </c>
      <c r="J48" s="2">
        <v>106600</v>
      </c>
      <c r="K48" s="2"/>
      <c r="L48" s="2"/>
    </row>
    <row r="49" spans="1:12" ht="63">
      <c r="A49" s="197" t="s">
        <v>889</v>
      </c>
      <c r="B49" s="219" t="s">
        <v>331</v>
      </c>
      <c r="C49" s="199" t="s">
        <v>890</v>
      </c>
      <c r="D49" s="2" t="s">
        <v>891</v>
      </c>
      <c r="E49" s="2" t="s">
        <v>723</v>
      </c>
      <c r="F49" s="2"/>
      <c r="G49" s="2"/>
      <c r="H49" s="201" t="s">
        <v>892</v>
      </c>
      <c r="I49" s="2"/>
      <c r="J49" s="2">
        <v>93158</v>
      </c>
      <c r="K49" s="2"/>
      <c r="L49" s="2"/>
    </row>
    <row r="50" spans="1:12" ht="38">
      <c r="A50" s="197" t="s">
        <v>893</v>
      </c>
      <c r="B50" s="219" t="s">
        <v>334</v>
      </c>
      <c r="D50" s="2"/>
      <c r="E50" s="2" t="s">
        <v>719</v>
      </c>
      <c r="F50" s="218" t="s">
        <v>894</v>
      </c>
      <c r="G50" s="2" t="s">
        <v>895</v>
      </c>
      <c r="H50" s="201" t="s">
        <v>896</v>
      </c>
      <c r="I50" s="2"/>
      <c r="J50" s="2">
        <v>8151</v>
      </c>
      <c r="K50" s="2"/>
      <c r="L50" s="2"/>
    </row>
    <row r="51" spans="1:12" ht="50.5">
      <c r="A51" s="197" t="s">
        <v>897</v>
      </c>
      <c r="B51" s="219" t="s">
        <v>337</v>
      </c>
      <c r="C51" s="221" t="s">
        <v>898</v>
      </c>
      <c r="D51" s="2"/>
      <c r="E51" s="2" t="s">
        <v>723</v>
      </c>
      <c r="F51" s="222" t="s">
        <v>899</v>
      </c>
      <c r="G51" s="2"/>
      <c r="H51" s="199" t="s">
        <v>900</v>
      </c>
      <c r="I51" s="2" t="s">
        <v>867</v>
      </c>
      <c r="J51" s="2">
        <v>108703</v>
      </c>
      <c r="K51" s="2"/>
      <c r="L51" s="2"/>
    </row>
    <row r="52" spans="1:12" ht="14">
      <c r="A52" s="197" t="s">
        <v>901</v>
      </c>
      <c r="B52" s="70" t="s">
        <v>342</v>
      </c>
      <c r="C52" s="221" t="s">
        <v>902</v>
      </c>
      <c r="D52" s="2"/>
      <c r="E52" s="2" t="s">
        <v>723</v>
      </c>
      <c r="F52" s="2"/>
      <c r="G52" s="2"/>
      <c r="H52" s="215" t="s">
        <v>903</v>
      </c>
      <c r="I52" s="2"/>
      <c r="J52" s="2">
        <v>4037</v>
      </c>
      <c r="K52" s="2"/>
      <c r="L52" s="2"/>
    </row>
    <row r="53" spans="1:12" ht="38">
      <c r="A53" s="197" t="s">
        <v>904</v>
      </c>
      <c r="B53" s="70" t="s">
        <v>905</v>
      </c>
      <c r="C53" s="197" t="s">
        <v>906</v>
      </c>
      <c r="D53" s="2"/>
      <c r="E53" s="2" t="s">
        <v>719</v>
      </c>
      <c r="F53" s="2" t="s">
        <v>907</v>
      </c>
      <c r="G53" s="2"/>
      <c r="H53" s="2"/>
      <c r="I53" s="2"/>
      <c r="J53" s="2">
        <v>3876</v>
      </c>
      <c r="K53" s="2"/>
      <c r="L53" s="2"/>
    </row>
    <row r="54" spans="1:12" ht="14">
      <c r="A54" s="197" t="s">
        <v>908</v>
      </c>
      <c r="B54" s="219" t="s">
        <v>351</v>
      </c>
      <c r="C54" s="217" t="s">
        <v>909</v>
      </c>
      <c r="D54" s="2"/>
      <c r="E54" s="2" t="s">
        <v>723</v>
      </c>
      <c r="F54" s="2"/>
      <c r="G54" s="2"/>
      <c r="H54" s="2"/>
      <c r="I54" s="2"/>
      <c r="J54" s="2">
        <v>98</v>
      </c>
      <c r="K54" s="2"/>
      <c r="L54" s="2"/>
    </row>
    <row r="55" spans="1:12" ht="38">
      <c r="A55" s="197" t="s">
        <v>910</v>
      </c>
      <c r="B55" s="219" t="s">
        <v>354</v>
      </c>
      <c r="C55" s="221" t="s">
        <v>911</v>
      </c>
      <c r="D55" s="2"/>
      <c r="E55" s="2" t="s">
        <v>723</v>
      </c>
      <c r="F55" s="2" t="s">
        <v>912</v>
      </c>
      <c r="G55" s="2" t="s">
        <v>913</v>
      </c>
      <c r="H55" s="199" t="s">
        <v>914</v>
      </c>
      <c r="I55" s="2"/>
      <c r="J55" s="2">
        <v>2987</v>
      </c>
      <c r="K55" s="2"/>
      <c r="L55" s="2"/>
    </row>
    <row r="56" spans="1:12" ht="14">
      <c r="A56" s="197" t="s">
        <v>915</v>
      </c>
      <c r="B56" s="219" t="s">
        <v>357</v>
      </c>
      <c r="C56" s="222"/>
      <c r="D56" s="2"/>
      <c r="E56" s="2" t="s">
        <v>723</v>
      </c>
      <c r="F56" s="2"/>
      <c r="G56" s="2"/>
      <c r="H56" s="2"/>
      <c r="I56" s="2"/>
      <c r="J56" s="2">
        <v>5</v>
      </c>
      <c r="K56" s="2"/>
      <c r="L56" s="2"/>
    </row>
    <row r="57" spans="1:12" ht="63">
      <c r="A57" s="197" t="s">
        <v>916</v>
      </c>
      <c r="B57" s="70" t="s">
        <v>360</v>
      </c>
      <c r="C57" s="2" t="s">
        <v>917</v>
      </c>
      <c r="D57" s="2"/>
      <c r="E57" s="2" t="s">
        <v>719</v>
      </c>
      <c r="F57" s="2"/>
      <c r="G57" s="2" t="s">
        <v>918</v>
      </c>
      <c r="H57" s="199" t="s">
        <v>919</v>
      </c>
      <c r="I57" s="2"/>
      <c r="J57" s="2">
        <v>34032</v>
      </c>
      <c r="K57" s="2"/>
      <c r="L57" s="2"/>
    </row>
    <row r="58" spans="1:12" ht="38">
      <c r="A58" s="197" t="s">
        <v>920</v>
      </c>
      <c r="B58" s="219" t="s">
        <v>363</v>
      </c>
      <c r="C58" s="2" t="s">
        <v>921</v>
      </c>
      <c r="D58" s="2"/>
      <c r="E58" s="2" t="s">
        <v>723</v>
      </c>
      <c r="F58" s="2"/>
      <c r="G58" s="2"/>
      <c r="H58" s="2"/>
      <c r="I58" s="2"/>
      <c r="J58" s="2">
        <v>2826</v>
      </c>
      <c r="K58" s="2"/>
      <c r="L58" s="2"/>
    </row>
    <row r="59" spans="1:12" ht="63">
      <c r="A59" s="197" t="s">
        <v>922</v>
      </c>
      <c r="B59" s="223" t="s">
        <v>366</v>
      </c>
      <c r="C59" s="2" t="s">
        <v>923</v>
      </c>
      <c r="D59" s="2"/>
      <c r="E59" s="2" t="s">
        <v>723</v>
      </c>
      <c r="F59" s="2"/>
      <c r="G59" s="2"/>
      <c r="H59" s="201" t="s">
        <v>924</v>
      </c>
      <c r="I59" s="2"/>
      <c r="J59" s="2">
        <v>148113</v>
      </c>
      <c r="K59" s="2"/>
      <c r="L59" s="2"/>
    </row>
    <row r="60" spans="1:12" ht="63">
      <c r="A60" s="197" t="s">
        <v>925</v>
      </c>
      <c r="B60" s="70" t="s">
        <v>371</v>
      </c>
      <c r="C60" s="2" t="s">
        <v>926</v>
      </c>
      <c r="D60" s="2"/>
      <c r="E60" s="2" t="s">
        <v>723</v>
      </c>
      <c r="F60" s="2"/>
      <c r="G60" s="2"/>
      <c r="H60" s="199" t="s">
        <v>927</v>
      </c>
      <c r="I60" s="2"/>
      <c r="J60" s="2">
        <v>17589</v>
      </c>
      <c r="K60" s="2"/>
      <c r="L60" s="2"/>
    </row>
    <row r="61" spans="1:12" ht="100.5">
      <c r="A61" s="197" t="s">
        <v>928</v>
      </c>
      <c r="B61" s="219" t="s">
        <v>374</v>
      </c>
      <c r="C61" s="199" t="s">
        <v>929</v>
      </c>
      <c r="D61" s="2"/>
      <c r="E61" s="2" t="s">
        <v>719</v>
      </c>
      <c r="F61" s="2"/>
      <c r="G61" s="2"/>
      <c r="H61" s="199" t="s">
        <v>930</v>
      </c>
      <c r="I61" s="2" t="s">
        <v>928</v>
      </c>
      <c r="J61" s="2">
        <v>777883</v>
      </c>
      <c r="K61" s="2"/>
      <c r="L61" s="2"/>
    </row>
    <row r="62" spans="1:12" ht="100.5">
      <c r="A62" s="197" t="s">
        <v>931</v>
      </c>
      <c r="B62" s="223" t="s">
        <v>379</v>
      </c>
      <c r="C62" s="2" t="s">
        <v>932</v>
      </c>
      <c r="D62" s="2"/>
      <c r="E62" s="2" t="s">
        <v>719</v>
      </c>
      <c r="F62" s="2" t="s">
        <v>933</v>
      </c>
      <c r="G62" s="2"/>
      <c r="H62" s="2"/>
      <c r="I62" s="2"/>
      <c r="J62" s="2">
        <v>5206</v>
      </c>
      <c r="K62" s="2"/>
      <c r="L62" s="2"/>
    </row>
    <row r="63" spans="1:12" ht="50.5">
      <c r="A63" s="197" t="s">
        <v>934</v>
      </c>
      <c r="B63" s="219" t="s">
        <v>388</v>
      </c>
      <c r="C63" s="199" t="s">
        <v>935</v>
      </c>
      <c r="D63" s="2"/>
      <c r="E63" s="2" t="s">
        <v>719</v>
      </c>
      <c r="F63" s="2" t="s">
        <v>936</v>
      </c>
      <c r="G63" s="2"/>
      <c r="H63" s="199" t="s">
        <v>937</v>
      </c>
      <c r="I63" s="2"/>
      <c r="J63" s="2">
        <v>38160</v>
      </c>
      <c r="K63" s="2"/>
      <c r="L63" s="2"/>
    </row>
    <row r="64" spans="1:12" ht="75.5">
      <c r="A64" s="197" t="s">
        <v>938</v>
      </c>
      <c r="B64" s="219" t="s">
        <v>393</v>
      </c>
      <c r="C64" s="2" t="s">
        <v>939</v>
      </c>
      <c r="D64" s="2"/>
      <c r="E64" s="2" t="s">
        <v>719</v>
      </c>
      <c r="F64" s="2"/>
      <c r="G64" s="2"/>
      <c r="H64" s="201" t="s">
        <v>940</v>
      </c>
      <c r="I64" s="2" t="s">
        <v>941</v>
      </c>
      <c r="J64" s="2"/>
      <c r="K64" s="2"/>
      <c r="L64" s="2"/>
    </row>
    <row r="65" spans="1:12" ht="38">
      <c r="A65" s="197" t="s">
        <v>942</v>
      </c>
      <c r="B65" s="219" t="s">
        <v>396</v>
      </c>
      <c r="C65" s="2" t="s">
        <v>943</v>
      </c>
      <c r="D65" s="2"/>
      <c r="E65" s="2" t="s">
        <v>723</v>
      </c>
      <c r="F65" s="2"/>
      <c r="G65" s="2"/>
      <c r="H65" s="2"/>
      <c r="I65" s="2"/>
      <c r="J65" s="2">
        <v>115</v>
      </c>
      <c r="K65" s="2"/>
      <c r="L65" s="2"/>
    </row>
    <row r="66" spans="1:12" ht="113">
      <c r="A66" s="197" t="s">
        <v>944</v>
      </c>
      <c r="B66" s="219" t="s">
        <v>399</v>
      </c>
      <c r="C66" s="2" t="s">
        <v>945</v>
      </c>
      <c r="D66" s="2"/>
      <c r="E66" s="2" t="s">
        <v>723</v>
      </c>
      <c r="F66" s="2" t="s">
        <v>946</v>
      </c>
      <c r="G66" s="2"/>
      <c r="H66" s="201" t="s">
        <v>947</v>
      </c>
      <c r="I66" s="104" t="s">
        <v>948</v>
      </c>
      <c r="J66" s="2">
        <v>349</v>
      </c>
      <c r="K66" s="2"/>
      <c r="L66" s="2"/>
    </row>
    <row r="67" spans="1:12" ht="88">
      <c r="A67" s="197" t="s">
        <v>949</v>
      </c>
      <c r="B67" s="219" t="s">
        <v>402</v>
      </c>
      <c r="C67" s="199" t="s">
        <v>950</v>
      </c>
      <c r="D67" s="2"/>
      <c r="E67" s="2" t="s">
        <v>723</v>
      </c>
      <c r="F67" s="2"/>
      <c r="G67" s="2"/>
      <c r="H67" s="224" t="s">
        <v>951</v>
      </c>
      <c r="I67" s="104" t="s">
        <v>952</v>
      </c>
      <c r="J67" s="2">
        <v>2646</v>
      </c>
      <c r="K67" s="2"/>
      <c r="L67" s="2"/>
    </row>
    <row r="68" spans="1:12" ht="88">
      <c r="A68" s="197" t="s">
        <v>953</v>
      </c>
      <c r="B68" s="70" t="s">
        <v>406</v>
      </c>
      <c r="C68" s="2" t="s">
        <v>954</v>
      </c>
      <c r="D68" s="2"/>
      <c r="E68" s="2" t="s">
        <v>723</v>
      </c>
      <c r="F68" s="2" t="s">
        <v>955</v>
      </c>
      <c r="G68" s="2"/>
      <c r="H68" s="201" t="s">
        <v>956</v>
      </c>
      <c r="I68" s="2"/>
      <c r="J68" s="2">
        <v>2384</v>
      </c>
      <c r="K68" s="2"/>
      <c r="L68" s="2"/>
    </row>
    <row r="69" spans="1:12" ht="75.5">
      <c r="A69" s="197" t="s">
        <v>957</v>
      </c>
      <c r="B69" s="70" t="s">
        <v>409</v>
      </c>
      <c r="C69" s="2" t="s">
        <v>958</v>
      </c>
      <c r="D69" s="2"/>
      <c r="E69" s="2" t="s">
        <v>723</v>
      </c>
      <c r="F69" s="2"/>
      <c r="G69" s="2" t="s">
        <v>959</v>
      </c>
      <c r="H69" s="2"/>
      <c r="I69" s="2"/>
      <c r="J69" s="2">
        <v>192</v>
      </c>
      <c r="K69" s="2"/>
      <c r="L69" s="2"/>
    </row>
    <row r="70" spans="1:12" ht="63">
      <c r="A70" s="197" t="s">
        <v>960</v>
      </c>
      <c r="B70" s="70" t="s">
        <v>412</v>
      </c>
      <c r="C70" s="2" t="s">
        <v>961</v>
      </c>
      <c r="D70" s="2"/>
      <c r="E70" s="2" t="s">
        <v>723</v>
      </c>
      <c r="F70" s="2"/>
      <c r="G70" s="2"/>
      <c r="H70" s="2"/>
      <c r="I70" s="2"/>
      <c r="J70" s="2">
        <v>43838</v>
      </c>
      <c r="K70" s="2"/>
      <c r="L70" s="2"/>
    </row>
    <row r="71" spans="1:12" ht="100.5">
      <c r="A71" s="197" t="s">
        <v>962</v>
      </c>
      <c r="B71" s="70" t="s">
        <v>422</v>
      </c>
      <c r="C71" s="2" t="s">
        <v>963</v>
      </c>
      <c r="D71" s="2"/>
      <c r="E71" s="2" t="s">
        <v>723</v>
      </c>
      <c r="F71" s="2"/>
      <c r="G71" s="2" t="s">
        <v>964</v>
      </c>
      <c r="H71" s="199" t="s">
        <v>965</v>
      </c>
      <c r="I71" s="2"/>
      <c r="J71" s="2">
        <v>650</v>
      </c>
      <c r="K71" s="2"/>
      <c r="L71" s="2"/>
    </row>
    <row r="72" spans="1:12" ht="56">
      <c r="A72" s="183" t="s">
        <v>966</v>
      </c>
      <c r="B72" s="70" t="s">
        <v>427</v>
      </c>
      <c r="C72" s="104" t="s">
        <v>967</v>
      </c>
      <c r="D72" s="2"/>
      <c r="E72" s="104" t="s">
        <v>723</v>
      </c>
      <c r="F72" s="2"/>
      <c r="G72" s="2"/>
      <c r="H72" s="2"/>
      <c r="I72" s="2"/>
      <c r="J72" s="104">
        <v>6135</v>
      </c>
      <c r="K72" s="2"/>
      <c r="L72" s="2"/>
    </row>
    <row r="73" spans="1:12" ht="140">
      <c r="A73" s="183" t="s">
        <v>968</v>
      </c>
      <c r="B73" s="70" t="s">
        <v>430</v>
      </c>
      <c r="C73" s="104" t="s">
        <v>969</v>
      </c>
      <c r="D73" s="2"/>
      <c r="E73" s="104" t="s">
        <v>719</v>
      </c>
      <c r="F73" s="104" t="s">
        <v>970</v>
      </c>
      <c r="G73" s="104" t="s">
        <v>971</v>
      </c>
      <c r="H73" s="224" t="s">
        <v>972</v>
      </c>
      <c r="I73" s="104" t="s">
        <v>973</v>
      </c>
      <c r="J73" s="104">
        <v>11940</v>
      </c>
      <c r="K73" s="2"/>
      <c r="L73" s="2"/>
    </row>
    <row r="74" spans="1:12" ht="70">
      <c r="A74" s="183" t="s">
        <v>974</v>
      </c>
      <c r="B74" s="70" t="s">
        <v>435</v>
      </c>
      <c r="C74" s="104" t="s">
        <v>975</v>
      </c>
      <c r="D74" s="2"/>
      <c r="E74" s="104" t="s">
        <v>723</v>
      </c>
      <c r="F74" s="104" t="s">
        <v>976</v>
      </c>
      <c r="G74" s="2"/>
      <c r="H74" s="2"/>
      <c r="I74" s="104" t="s">
        <v>977</v>
      </c>
      <c r="J74" s="104">
        <v>134761</v>
      </c>
      <c r="K74" s="2"/>
      <c r="L74" s="2"/>
    </row>
    <row r="75" spans="1:12" ht="84">
      <c r="A75" s="183" t="s">
        <v>978</v>
      </c>
      <c r="B75" s="70" t="s">
        <v>438</v>
      </c>
      <c r="C75" s="104" t="s">
        <v>979</v>
      </c>
      <c r="D75" s="2"/>
      <c r="E75" s="104" t="s">
        <v>723</v>
      </c>
      <c r="F75" s="104" t="s">
        <v>980</v>
      </c>
      <c r="G75" s="104" t="s">
        <v>981</v>
      </c>
      <c r="H75" s="224" t="s">
        <v>982</v>
      </c>
      <c r="I75" s="104" t="s">
        <v>983</v>
      </c>
      <c r="J75" s="104">
        <v>20621</v>
      </c>
      <c r="K75" s="2"/>
      <c r="L75" s="2"/>
    </row>
    <row r="76" spans="1:12" ht="70">
      <c r="A76" s="197" t="s">
        <v>984</v>
      </c>
      <c r="B76" s="70" t="s">
        <v>441</v>
      </c>
      <c r="C76" s="199" t="s">
        <v>985</v>
      </c>
      <c r="D76" s="2"/>
      <c r="E76" s="104" t="s">
        <v>719</v>
      </c>
      <c r="F76" s="2"/>
      <c r="G76" s="2"/>
      <c r="H76" s="224" t="s">
        <v>986</v>
      </c>
      <c r="I76" s="2"/>
      <c r="J76" s="2"/>
      <c r="K76" s="2"/>
      <c r="L76" s="2"/>
    </row>
    <row r="77" spans="1:12" ht="28">
      <c r="A77" s="197" t="s">
        <v>987</v>
      </c>
      <c r="B77" s="202" t="s">
        <v>68</v>
      </c>
      <c r="C77" s="104" t="s">
        <v>988</v>
      </c>
      <c r="D77" s="2"/>
      <c r="E77" s="104" t="s">
        <v>719</v>
      </c>
      <c r="F77" s="2"/>
      <c r="G77" s="2"/>
      <c r="H77" s="2"/>
      <c r="I77" s="2"/>
      <c r="J77" s="104">
        <v>196998</v>
      </c>
      <c r="K77" s="2"/>
      <c r="L77" s="2"/>
    </row>
    <row r="78" spans="1:12" ht="28">
      <c r="A78" s="183" t="s">
        <v>989</v>
      </c>
      <c r="B78" s="70" t="s">
        <v>455</v>
      </c>
      <c r="C78" s="104" t="s">
        <v>990</v>
      </c>
      <c r="D78" s="2"/>
      <c r="E78" s="104" t="s">
        <v>723</v>
      </c>
      <c r="F78" s="2"/>
      <c r="G78" s="2"/>
      <c r="H78" s="2"/>
      <c r="I78" s="2"/>
      <c r="J78" s="104">
        <v>6454</v>
      </c>
      <c r="K78" s="2"/>
      <c r="L78" s="2"/>
    </row>
    <row r="79" spans="1:12" ht="98">
      <c r="A79" s="183" t="s">
        <v>991</v>
      </c>
      <c r="B79" s="70" t="s">
        <v>458</v>
      </c>
      <c r="C79" s="104" t="s">
        <v>992</v>
      </c>
      <c r="D79" s="2"/>
      <c r="E79" s="104" t="s">
        <v>719</v>
      </c>
      <c r="F79" s="104" t="s">
        <v>993</v>
      </c>
      <c r="G79" s="2"/>
      <c r="H79" s="224" t="s">
        <v>994</v>
      </c>
      <c r="I79" s="2"/>
      <c r="J79" s="104">
        <v>50172</v>
      </c>
      <c r="K79" s="2"/>
      <c r="L79" s="2"/>
    </row>
    <row r="80" spans="1:12" ht="70">
      <c r="A80" s="183" t="s">
        <v>995</v>
      </c>
      <c r="B80" s="70" t="s">
        <v>471</v>
      </c>
      <c r="C80" s="104" t="s">
        <v>996</v>
      </c>
      <c r="D80" s="2"/>
      <c r="E80" s="104" t="s">
        <v>723</v>
      </c>
      <c r="F80" s="2"/>
      <c r="G80" s="2"/>
      <c r="H80" s="224" t="s">
        <v>997</v>
      </c>
      <c r="I80" s="2"/>
      <c r="J80" s="104">
        <v>706</v>
      </c>
      <c r="K80" s="2"/>
      <c r="L80" s="2"/>
    </row>
    <row r="81" spans="1:12" ht="42">
      <c r="A81" s="183" t="s">
        <v>998</v>
      </c>
      <c r="B81" s="219" t="s">
        <v>474</v>
      </c>
      <c r="C81" s="199" t="s">
        <v>999</v>
      </c>
      <c r="D81" s="2"/>
      <c r="E81" s="104" t="s">
        <v>723</v>
      </c>
      <c r="F81" s="2"/>
      <c r="G81" s="2"/>
      <c r="H81" s="201" t="s">
        <v>1000</v>
      </c>
      <c r="I81" s="2"/>
      <c r="J81" s="104">
        <v>82</v>
      </c>
      <c r="K81" s="2"/>
      <c r="L81" s="2"/>
    </row>
    <row r="82" spans="1:12" ht="28">
      <c r="A82" s="183" t="s">
        <v>1001</v>
      </c>
      <c r="B82" s="70" t="s">
        <v>481</v>
      </c>
      <c r="C82" s="217" t="s">
        <v>1002</v>
      </c>
      <c r="D82" s="2"/>
      <c r="E82" s="104" t="s">
        <v>719</v>
      </c>
      <c r="F82" s="2"/>
      <c r="G82" s="2"/>
      <c r="H82" s="104" t="s">
        <v>1003</v>
      </c>
      <c r="I82" s="2"/>
      <c r="J82" s="104">
        <v>147</v>
      </c>
      <c r="K82" s="2"/>
      <c r="L82" s="2"/>
    </row>
    <row r="83" spans="1:12" ht="126">
      <c r="A83" s="197" t="s">
        <v>1004</v>
      </c>
      <c r="B83" s="219" t="s">
        <v>492</v>
      </c>
      <c r="C83" s="104" t="s">
        <v>1005</v>
      </c>
      <c r="D83" s="2"/>
      <c r="E83" s="104" t="s">
        <v>723</v>
      </c>
      <c r="F83" s="2"/>
      <c r="G83" s="2"/>
      <c r="H83" s="215" t="s">
        <v>1006</v>
      </c>
      <c r="I83" s="2"/>
      <c r="J83" s="104">
        <v>768</v>
      </c>
      <c r="K83" s="2"/>
      <c r="L83" s="2"/>
    </row>
    <row r="84" spans="1:12" ht="38">
      <c r="A84" s="197" t="s">
        <v>1007</v>
      </c>
      <c r="B84" s="219" t="s">
        <v>505</v>
      </c>
      <c r="C84" s="2" t="s">
        <v>1008</v>
      </c>
      <c r="D84" s="2"/>
      <c r="E84" s="2" t="s">
        <v>723</v>
      </c>
      <c r="F84" s="2"/>
      <c r="G84" s="2"/>
      <c r="H84" s="199" t="s">
        <v>1009</v>
      </c>
      <c r="I84" s="2"/>
      <c r="J84" s="225" t="s">
        <v>1010</v>
      </c>
      <c r="K84" s="2"/>
      <c r="L84" s="2"/>
    </row>
    <row r="85" spans="1:12" ht="14">
      <c r="A85" s="197" t="s">
        <v>1011</v>
      </c>
      <c r="B85" s="70" t="s">
        <v>510</v>
      </c>
      <c r="C85" s="2" t="s">
        <v>1012</v>
      </c>
      <c r="D85" s="2"/>
      <c r="E85" s="2" t="s">
        <v>723</v>
      </c>
      <c r="F85" s="2"/>
      <c r="G85" s="2"/>
      <c r="H85" s="2"/>
      <c r="I85" s="2"/>
      <c r="J85" s="2">
        <v>247</v>
      </c>
      <c r="K85" s="2" t="s">
        <v>1013</v>
      </c>
      <c r="L85" s="2"/>
    </row>
    <row r="86" spans="1:12" ht="75.5">
      <c r="A86" s="226" t="s">
        <v>1014</v>
      </c>
      <c r="B86" s="70" t="s">
        <v>520</v>
      </c>
      <c r="C86" s="2" t="s">
        <v>1015</v>
      </c>
      <c r="D86" s="2"/>
      <c r="E86" s="2" t="s">
        <v>719</v>
      </c>
      <c r="F86" s="2"/>
      <c r="G86" s="2"/>
      <c r="H86" s="2"/>
      <c r="I86" s="2"/>
      <c r="J86" s="225" t="s">
        <v>1016</v>
      </c>
      <c r="K86" s="2"/>
      <c r="L86" s="2"/>
    </row>
    <row r="87" spans="1:12" ht="63">
      <c r="A87" s="197" t="s">
        <v>1017</v>
      </c>
      <c r="B87" s="70" t="s">
        <v>531</v>
      </c>
      <c r="C87" s="2" t="s">
        <v>1018</v>
      </c>
      <c r="D87" s="2"/>
      <c r="E87" s="2" t="s">
        <v>723</v>
      </c>
      <c r="F87" s="2"/>
      <c r="G87" s="2"/>
      <c r="H87" s="2"/>
      <c r="I87" s="2"/>
      <c r="J87" s="225" t="s">
        <v>1019</v>
      </c>
      <c r="K87" s="2" t="s">
        <v>1020</v>
      </c>
      <c r="L87" s="2"/>
    </row>
    <row r="88" spans="1:12" ht="14">
      <c r="A88" s="197" t="s">
        <v>1021</v>
      </c>
      <c r="B88" s="70" t="s">
        <v>534</v>
      </c>
      <c r="C88" s="2" t="s">
        <v>1022</v>
      </c>
      <c r="D88" s="2"/>
      <c r="E88" s="2" t="s">
        <v>723</v>
      </c>
      <c r="F88" s="2"/>
      <c r="G88" s="2"/>
      <c r="H88" s="2"/>
      <c r="I88" s="2"/>
      <c r="J88" s="2">
        <v>817</v>
      </c>
      <c r="K88" s="2"/>
      <c r="L88" s="2"/>
    </row>
    <row r="89" spans="1:12" ht="75.5">
      <c r="A89" s="197" t="s">
        <v>1023</v>
      </c>
      <c r="B89" s="70" t="s">
        <v>537</v>
      </c>
      <c r="C89" s="2" t="s">
        <v>1024</v>
      </c>
      <c r="D89" s="2"/>
      <c r="E89" s="2" t="s">
        <v>723</v>
      </c>
      <c r="F89" s="2" t="s">
        <v>374</v>
      </c>
      <c r="G89" s="2"/>
      <c r="H89" s="199" t="s">
        <v>1025</v>
      </c>
      <c r="I89" s="2"/>
      <c r="J89" s="225" t="s">
        <v>1026</v>
      </c>
      <c r="K89" s="2" t="s">
        <v>1027</v>
      </c>
      <c r="L89" s="2"/>
    </row>
    <row r="90" spans="1:12" ht="14">
      <c r="A90" s="197" t="s">
        <v>1028</v>
      </c>
      <c r="B90" s="219" t="s">
        <v>546</v>
      </c>
      <c r="C90" s="2" t="s">
        <v>1029</v>
      </c>
      <c r="D90" s="2"/>
      <c r="E90" s="2" t="s">
        <v>723</v>
      </c>
      <c r="F90" s="2"/>
      <c r="G90" s="2"/>
      <c r="H90" s="2"/>
      <c r="I90" s="2"/>
      <c r="J90" s="2">
        <v>45</v>
      </c>
      <c r="K90" s="2"/>
      <c r="L90" s="2"/>
    </row>
    <row r="91" spans="1:12" ht="38">
      <c r="A91" s="197" t="s">
        <v>1030</v>
      </c>
      <c r="B91" s="70" t="s">
        <v>559</v>
      </c>
      <c r="C91" s="2" t="s">
        <v>1031</v>
      </c>
      <c r="D91" s="2"/>
      <c r="E91" s="2" t="s">
        <v>723</v>
      </c>
      <c r="F91" s="2"/>
      <c r="G91" s="2"/>
      <c r="H91" s="199" t="s">
        <v>1032</v>
      </c>
      <c r="I91" s="2"/>
      <c r="J91" s="225" t="s">
        <v>1033</v>
      </c>
      <c r="K91" s="2" t="s">
        <v>1034</v>
      </c>
      <c r="L91" s="2"/>
    </row>
    <row r="92" spans="1:12" ht="75.5">
      <c r="A92" s="197" t="s">
        <v>1035</v>
      </c>
      <c r="B92" s="219" t="s">
        <v>572</v>
      </c>
      <c r="C92" s="2" t="s">
        <v>1036</v>
      </c>
      <c r="D92" s="2"/>
      <c r="E92" s="2" t="s">
        <v>723</v>
      </c>
      <c r="F92" s="2"/>
      <c r="G92" s="2" t="s">
        <v>1037</v>
      </c>
      <c r="H92" s="2"/>
      <c r="I92" s="2"/>
      <c r="J92" s="2">
        <v>606</v>
      </c>
      <c r="K92" s="2" t="s">
        <v>1038</v>
      </c>
      <c r="L92" s="2"/>
    </row>
    <row r="93" spans="1:12" ht="38">
      <c r="A93" s="197" t="s">
        <v>1039</v>
      </c>
      <c r="B93" s="219" t="s">
        <v>580</v>
      </c>
      <c r="C93" s="2" t="s">
        <v>1040</v>
      </c>
      <c r="D93" s="2"/>
      <c r="E93" s="2" t="s">
        <v>723</v>
      </c>
      <c r="F93" s="2"/>
      <c r="G93" s="2" t="s">
        <v>1041</v>
      </c>
      <c r="H93" s="2"/>
      <c r="I93" s="2"/>
      <c r="J93" s="2">
        <v>293</v>
      </c>
      <c r="K93" s="2"/>
      <c r="L93" s="2"/>
    </row>
    <row r="94" spans="1:12" ht="63">
      <c r="A94" s="197" t="s">
        <v>1042</v>
      </c>
      <c r="B94" s="219" t="s">
        <v>582</v>
      </c>
      <c r="C94" s="2" t="s">
        <v>1043</v>
      </c>
      <c r="D94" s="2"/>
      <c r="E94" s="2" t="s">
        <v>719</v>
      </c>
      <c r="F94" s="2"/>
      <c r="G94" s="2" t="s">
        <v>1044</v>
      </c>
      <c r="H94" s="199" t="s">
        <v>1045</v>
      </c>
      <c r="I94" s="2"/>
      <c r="J94" s="225" t="s">
        <v>1046</v>
      </c>
      <c r="K94" s="2"/>
      <c r="L94" s="2"/>
    </row>
    <row r="95" spans="1:12" ht="38">
      <c r="A95" s="197" t="s">
        <v>1047</v>
      </c>
      <c r="B95" s="70" t="s">
        <v>584</v>
      </c>
      <c r="C95" s="2" t="s">
        <v>1048</v>
      </c>
      <c r="D95" s="2"/>
      <c r="E95" s="2" t="s">
        <v>723</v>
      </c>
      <c r="F95" s="2"/>
      <c r="G95" s="2"/>
      <c r="H95" s="199" t="s">
        <v>1049</v>
      </c>
      <c r="I95" s="2"/>
      <c r="J95" s="225" t="s">
        <v>1050</v>
      </c>
      <c r="K95" s="2"/>
      <c r="L95" s="2"/>
    </row>
    <row r="96" spans="1:12" ht="63">
      <c r="A96" s="197" t="s">
        <v>1051</v>
      </c>
      <c r="B96" s="219" t="s">
        <v>586</v>
      </c>
      <c r="C96" s="2" t="s">
        <v>1052</v>
      </c>
      <c r="D96" s="2"/>
      <c r="E96" s="2" t="s">
        <v>723</v>
      </c>
      <c r="F96" s="2"/>
      <c r="G96" s="2"/>
      <c r="H96" s="199" t="s">
        <v>1053</v>
      </c>
      <c r="I96" s="2"/>
      <c r="J96" s="2">
        <v>118</v>
      </c>
      <c r="K96" s="2" t="s">
        <v>1054</v>
      </c>
      <c r="L96" s="2"/>
    </row>
    <row r="97" spans="1:12" ht="50.5">
      <c r="A97" s="197" t="s">
        <v>1055</v>
      </c>
      <c r="B97" s="219" t="s">
        <v>588</v>
      </c>
      <c r="C97" s="2" t="s">
        <v>1056</v>
      </c>
      <c r="D97" s="2"/>
      <c r="E97" s="2" t="s">
        <v>723</v>
      </c>
      <c r="F97" s="2"/>
      <c r="G97" s="2"/>
      <c r="H97" s="2"/>
      <c r="I97" s="2"/>
      <c r="J97" s="225" t="s">
        <v>1057</v>
      </c>
      <c r="K97" s="2"/>
      <c r="L97" s="2" t="s">
        <v>1058</v>
      </c>
    </row>
    <row r="98" spans="1:12" ht="50.5">
      <c r="A98" s="197" t="s">
        <v>1059</v>
      </c>
      <c r="B98" s="70" t="s">
        <v>593</v>
      </c>
      <c r="C98" s="2" t="s">
        <v>1060</v>
      </c>
      <c r="D98" s="2"/>
      <c r="E98" s="2" t="s">
        <v>723</v>
      </c>
      <c r="F98" s="2"/>
      <c r="G98" s="2"/>
      <c r="H98" s="2"/>
      <c r="I98" s="2"/>
      <c r="J98" s="2">
        <v>28</v>
      </c>
      <c r="K98" s="2" t="s">
        <v>1061</v>
      </c>
      <c r="L98" s="2"/>
    </row>
    <row r="99" spans="1:12" ht="63">
      <c r="A99" s="197" t="s">
        <v>1062</v>
      </c>
      <c r="B99" s="219" t="s">
        <v>595</v>
      </c>
      <c r="C99" s="2" t="s">
        <v>1063</v>
      </c>
      <c r="D99" s="2"/>
      <c r="E99" s="2" t="s">
        <v>719</v>
      </c>
      <c r="F99" s="2"/>
      <c r="G99" s="2"/>
      <c r="H99" s="199" t="s">
        <v>1064</v>
      </c>
      <c r="I99" s="2"/>
      <c r="J99" s="2">
        <v>34919</v>
      </c>
      <c r="K99" s="2" t="s">
        <v>1065</v>
      </c>
      <c r="L99" s="2"/>
    </row>
    <row r="100" spans="1:12" ht="75.5">
      <c r="A100" s="197" t="s">
        <v>1066</v>
      </c>
      <c r="B100" s="219" t="s">
        <v>597</v>
      </c>
      <c r="C100" s="2" t="s">
        <v>1067</v>
      </c>
      <c r="D100" s="2"/>
      <c r="E100" s="2" t="s">
        <v>723</v>
      </c>
      <c r="F100" s="2"/>
      <c r="G100" s="2"/>
      <c r="H100" s="2"/>
      <c r="I100" s="2"/>
      <c r="J100" s="2">
        <v>522</v>
      </c>
      <c r="K100" s="2"/>
      <c r="L100" s="2"/>
    </row>
    <row r="101" spans="1:12" ht="75.5">
      <c r="A101" s="197" t="s">
        <v>1068</v>
      </c>
      <c r="B101" s="70" t="s">
        <v>600</v>
      </c>
      <c r="C101" s="2" t="s">
        <v>1069</v>
      </c>
      <c r="D101" s="2"/>
      <c r="E101" s="2" t="s">
        <v>723</v>
      </c>
      <c r="F101" s="2" t="s">
        <v>1070</v>
      </c>
      <c r="G101" s="2"/>
      <c r="H101" s="227" t="s">
        <v>1071</v>
      </c>
      <c r="I101" s="2"/>
      <c r="J101" s="225" t="s">
        <v>1072</v>
      </c>
      <c r="K101" s="2" t="s">
        <v>1073</v>
      </c>
      <c r="L101" s="2"/>
    </row>
    <row r="102" spans="1:12" ht="75.5">
      <c r="A102" s="197" t="s">
        <v>1074</v>
      </c>
      <c r="B102" s="219" t="s">
        <v>605</v>
      </c>
      <c r="C102" s="2" t="s">
        <v>1075</v>
      </c>
      <c r="D102" s="2"/>
      <c r="E102" s="2" t="s">
        <v>719</v>
      </c>
      <c r="F102" s="2" t="s">
        <v>1076</v>
      </c>
      <c r="G102" s="2" t="s">
        <v>1077</v>
      </c>
      <c r="H102" s="201" t="s">
        <v>1078</v>
      </c>
      <c r="I102" s="2"/>
      <c r="J102" s="225" t="s">
        <v>1079</v>
      </c>
      <c r="K102" s="2" t="s">
        <v>1080</v>
      </c>
      <c r="L102" s="2"/>
    </row>
    <row r="103" spans="1:12" ht="100.5">
      <c r="A103" s="197" t="s">
        <v>1081</v>
      </c>
      <c r="B103" s="70" t="s">
        <v>1082</v>
      </c>
      <c r="C103" s="2" t="s">
        <v>1083</v>
      </c>
      <c r="D103" s="2"/>
      <c r="E103" s="2" t="s">
        <v>723</v>
      </c>
      <c r="F103" s="2" t="s">
        <v>1084</v>
      </c>
      <c r="G103" s="2" t="s">
        <v>781</v>
      </c>
      <c r="H103" s="199" t="s">
        <v>1085</v>
      </c>
      <c r="I103" s="2"/>
      <c r="J103" s="225" t="s">
        <v>1086</v>
      </c>
      <c r="K103" s="2"/>
      <c r="L103" s="2"/>
    </row>
    <row r="104" spans="1:12" ht="63">
      <c r="A104" s="197" t="s">
        <v>1087</v>
      </c>
      <c r="B104" s="70" t="s">
        <v>1088</v>
      </c>
      <c r="C104" s="2" t="s">
        <v>1089</v>
      </c>
      <c r="D104" s="2"/>
      <c r="E104" s="2" t="s">
        <v>723</v>
      </c>
      <c r="F104" s="2"/>
      <c r="G104" s="2"/>
      <c r="H104" s="199" t="s">
        <v>1090</v>
      </c>
      <c r="I104" s="2"/>
      <c r="J104" s="225" t="s">
        <v>1091</v>
      </c>
      <c r="K104" s="2"/>
      <c r="L104" s="2"/>
    </row>
    <row r="105" spans="1:12" ht="75.5">
      <c r="A105" s="197" t="s">
        <v>1092</v>
      </c>
      <c r="B105" s="70" t="s">
        <v>1093</v>
      </c>
      <c r="C105" s="2" t="s">
        <v>1094</v>
      </c>
      <c r="D105" s="2"/>
      <c r="E105" s="2" t="s">
        <v>723</v>
      </c>
      <c r="F105" s="2"/>
      <c r="G105" s="2"/>
      <c r="H105" s="199" t="s">
        <v>1095</v>
      </c>
      <c r="I105" s="2" t="s">
        <v>1096</v>
      </c>
      <c r="J105" s="225" t="s">
        <v>1097</v>
      </c>
      <c r="K105" s="2" t="s">
        <v>1098</v>
      </c>
      <c r="L105" s="2"/>
    </row>
    <row r="106" spans="1:12" ht="25.5">
      <c r="A106" s="197" t="s">
        <v>1099</v>
      </c>
      <c r="B106" s="157" t="s">
        <v>1100</v>
      </c>
      <c r="C106" s="2" t="s">
        <v>1101</v>
      </c>
      <c r="D106" s="2"/>
      <c r="E106" s="2" t="s">
        <v>719</v>
      </c>
      <c r="F106" s="2"/>
      <c r="G106" s="2"/>
      <c r="H106" s="2"/>
      <c r="I106" s="2"/>
      <c r="J106" s="225">
        <v>121</v>
      </c>
      <c r="K106" s="2"/>
      <c r="L106" s="2"/>
    </row>
    <row r="107" spans="1:12" ht="75.5">
      <c r="A107" s="197" t="s">
        <v>1102</v>
      </c>
      <c r="B107" s="157" t="s">
        <v>1103</v>
      </c>
      <c r="C107" s="2" t="s">
        <v>1104</v>
      </c>
      <c r="D107" s="2"/>
      <c r="E107" s="2" t="s">
        <v>719</v>
      </c>
      <c r="F107" s="2"/>
      <c r="G107" s="2"/>
      <c r="H107" s="2"/>
      <c r="I107" s="2"/>
      <c r="J107" s="225" t="s">
        <v>1105</v>
      </c>
      <c r="K107" s="2"/>
      <c r="L107" s="2"/>
    </row>
    <row r="108" spans="1:12" ht="113">
      <c r="A108" s="197" t="s">
        <v>1106</v>
      </c>
      <c r="B108" s="157" t="s">
        <v>1107</v>
      </c>
      <c r="C108" s="2" t="s">
        <v>1108</v>
      </c>
      <c r="D108" s="2"/>
      <c r="E108" s="2" t="s">
        <v>723</v>
      </c>
      <c r="F108" s="2" t="s">
        <v>1103</v>
      </c>
      <c r="G108" s="2"/>
      <c r="H108" s="2"/>
      <c r="I108" s="2"/>
      <c r="J108" s="225" t="s">
        <v>1109</v>
      </c>
      <c r="K108" s="2"/>
      <c r="L108" s="2"/>
    </row>
    <row r="109" spans="1:12" ht="50.5">
      <c r="A109" s="197" t="s">
        <v>1110</v>
      </c>
      <c r="B109" s="157" t="s">
        <v>1111</v>
      </c>
      <c r="C109" s="2" t="s">
        <v>1112</v>
      </c>
      <c r="D109" s="2"/>
      <c r="E109" s="2" t="s">
        <v>723</v>
      </c>
      <c r="F109" s="2"/>
      <c r="G109" s="2"/>
      <c r="H109" s="199" t="s">
        <v>1113</v>
      </c>
      <c r="I109" s="2" t="s">
        <v>1114</v>
      </c>
      <c r="J109" s="225">
        <v>232</v>
      </c>
      <c r="K109" s="2" t="s">
        <v>1115</v>
      </c>
      <c r="L109" s="2"/>
    </row>
    <row r="110" spans="1:12" ht="14">
      <c r="A110" s="197" t="s">
        <v>1116</v>
      </c>
      <c r="B110" s="157" t="s">
        <v>1117</v>
      </c>
      <c r="C110" s="2"/>
      <c r="D110" s="2"/>
      <c r="E110" s="2" t="s">
        <v>723</v>
      </c>
      <c r="F110" s="2"/>
      <c r="G110" s="2"/>
      <c r="H110" s="2"/>
      <c r="I110" s="2"/>
      <c r="J110" s="225" t="s">
        <v>1118</v>
      </c>
      <c r="K110" s="2"/>
      <c r="L110" s="2"/>
    </row>
    <row r="111" spans="1:12" ht="50.5">
      <c r="A111" s="197" t="s">
        <v>1119</v>
      </c>
      <c r="B111" s="157" t="s">
        <v>1120</v>
      </c>
      <c r="C111" s="2" t="s">
        <v>1121</v>
      </c>
      <c r="D111" s="2"/>
      <c r="E111" s="2" t="s">
        <v>723</v>
      </c>
      <c r="F111" s="2" t="s">
        <v>1122</v>
      </c>
      <c r="G111" s="2"/>
      <c r="H111" s="2"/>
      <c r="I111" s="2"/>
      <c r="J111" s="225">
        <v>1368</v>
      </c>
      <c r="K111" s="2" t="s">
        <v>1123</v>
      </c>
      <c r="L111" s="2"/>
    </row>
    <row r="112" spans="1:12" ht="38">
      <c r="A112" s="197" t="s">
        <v>1124</v>
      </c>
      <c r="B112" s="157" t="s">
        <v>1125</v>
      </c>
      <c r="C112" s="2" t="s">
        <v>1126</v>
      </c>
      <c r="D112" s="2"/>
      <c r="E112" s="2" t="s">
        <v>723</v>
      </c>
      <c r="F112" s="2"/>
      <c r="G112" s="2" t="s">
        <v>1127</v>
      </c>
      <c r="H112" s="2"/>
      <c r="I112" s="2"/>
      <c r="J112" s="225">
        <v>1359</v>
      </c>
      <c r="K112" s="2" t="s">
        <v>1128</v>
      </c>
      <c r="L112" s="2"/>
    </row>
    <row r="113" spans="1:12" ht="38">
      <c r="A113" s="197" t="s">
        <v>1129</v>
      </c>
      <c r="B113" s="157" t="s">
        <v>1130</v>
      </c>
      <c r="C113" s="2" t="s">
        <v>1131</v>
      </c>
      <c r="D113" s="2"/>
      <c r="E113" s="2" t="s">
        <v>719</v>
      </c>
      <c r="F113" s="2"/>
      <c r="G113" s="2"/>
      <c r="H113" s="2"/>
      <c r="I113" s="2"/>
      <c r="J113" s="225">
        <v>163</v>
      </c>
      <c r="K113" s="2"/>
      <c r="L113" s="2"/>
    </row>
    <row r="114" spans="1:12" ht="25.5">
      <c r="A114" s="197" t="s">
        <v>1132</v>
      </c>
      <c r="B114" s="157" t="s">
        <v>1133</v>
      </c>
      <c r="C114" s="2" t="s">
        <v>1134</v>
      </c>
      <c r="D114" s="2"/>
      <c r="E114" s="2" t="s">
        <v>723</v>
      </c>
      <c r="F114" s="2"/>
      <c r="G114" s="2" t="s">
        <v>1135</v>
      </c>
      <c r="H114" s="2"/>
      <c r="I114" s="2"/>
      <c r="J114" s="225">
        <v>868</v>
      </c>
      <c r="K114" s="2"/>
      <c r="L114" s="2"/>
    </row>
    <row r="115" spans="1:12" ht="125.5">
      <c r="A115" s="197" t="s">
        <v>1136</v>
      </c>
      <c r="B115" s="157" t="s">
        <v>1137</v>
      </c>
      <c r="C115" s="2"/>
      <c r="D115" s="2"/>
      <c r="E115" s="2"/>
      <c r="F115" s="2"/>
      <c r="G115" s="2" t="s">
        <v>1138</v>
      </c>
      <c r="H115" s="199" t="s">
        <v>1139</v>
      </c>
      <c r="I115" s="2"/>
      <c r="J115" s="225">
        <v>376</v>
      </c>
      <c r="K115" s="2" t="s">
        <v>1140</v>
      </c>
      <c r="L115" s="2"/>
    </row>
    <row r="116" spans="1:12" ht="88">
      <c r="A116" s="197" t="s">
        <v>1141</v>
      </c>
      <c r="B116" s="157" t="s">
        <v>1142</v>
      </c>
      <c r="C116" s="2" t="s">
        <v>1143</v>
      </c>
      <c r="D116" s="2"/>
      <c r="E116" s="2" t="s">
        <v>723</v>
      </c>
      <c r="F116" s="2" t="s">
        <v>1144</v>
      </c>
      <c r="G116" s="2"/>
      <c r="H116" s="199" t="s">
        <v>1145</v>
      </c>
      <c r="I116" s="2"/>
      <c r="J116" s="225" t="s">
        <v>1146</v>
      </c>
      <c r="K116" s="2" t="s">
        <v>1128</v>
      </c>
      <c r="L116" s="2"/>
    </row>
    <row r="117" spans="1:12" ht="38">
      <c r="A117" s="197" t="s">
        <v>1147</v>
      </c>
      <c r="B117" s="157" t="s">
        <v>1148</v>
      </c>
      <c r="C117" s="2"/>
      <c r="D117" s="2"/>
      <c r="E117" s="2" t="s">
        <v>723</v>
      </c>
      <c r="F117" s="2"/>
      <c r="G117" s="2"/>
      <c r="H117" s="199" t="s">
        <v>1149</v>
      </c>
      <c r="I117" s="2"/>
      <c r="J117" s="225">
        <v>8</v>
      </c>
      <c r="K117" s="2" t="s">
        <v>1150</v>
      </c>
      <c r="L117" s="2"/>
    </row>
    <row r="118" spans="1:12" ht="63">
      <c r="A118" s="197" t="s">
        <v>1151</v>
      </c>
      <c r="B118" s="157" t="s">
        <v>1152</v>
      </c>
      <c r="C118" s="199" t="s">
        <v>1153</v>
      </c>
      <c r="D118" s="2"/>
      <c r="E118" s="2" t="s">
        <v>723</v>
      </c>
      <c r="F118" s="2"/>
      <c r="G118" s="2"/>
      <c r="H118" s="199" t="s">
        <v>1154</v>
      </c>
      <c r="I118" s="2"/>
      <c r="J118" s="225" t="s">
        <v>1155</v>
      </c>
      <c r="K118" s="2" t="s">
        <v>1156</v>
      </c>
      <c r="L118" s="2"/>
    </row>
    <row r="119" spans="1:12" ht="38">
      <c r="A119" s="197" t="s">
        <v>1157</v>
      </c>
      <c r="B119" s="157" t="s">
        <v>1158</v>
      </c>
      <c r="C119" s="2" t="s">
        <v>1159</v>
      </c>
      <c r="D119" s="2"/>
      <c r="E119" s="2" t="s">
        <v>719</v>
      </c>
      <c r="F119" s="2"/>
      <c r="G119" s="2"/>
      <c r="H119" s="199" t="s">
        <v>1160</v>
      </c>
      <c r="I119" s="2"/>
      <c r="J119" s="225">
        <v>133</v>
      </c>
      <c r="K119" s="2" t="s">
        <v>1161</v>
      </c>
      <c r="L119" s="2"/>
    </row>
    <row r="120" spans="1:12" ht="38">
      <c r="A120" s="197" t="s">
        <v>1162</v>
      </c>
      <c r="B120" s="157" t="s">
        <v>1163</v>
      </c>
      <c r="C120" s="2" t="s">
        <v>1164</v>
      </c>
      <c r="D120" s="2"/>
      <c r="E120" s="2" t="s">
        <v>723</v>
      </c>
      <c r="F120" s="2"/>
      <c r="G120" s="2"/>
      <c r="H120" s="199" t="s">
        <v>1165</v>
      </c>
      <c r="I120" s="2"/>
      <c r="J120" s="225">
        <v>94</v>
      </c>
      <c r="K120" s="2" t="s">
        <v>1166</v>
      </c>
      <c r="L120" s="2"/>
    </row>
    <row r="121" spans="1:12" ht="75.5">
      <c r="A121" s="197" t="s">
        <v>1167</v>
      </c>
      <c r="B121" s="157" t="s">
        <v>1168</v>
      </c>
      <c r="C121" s="2" t="s">
        <v>1169</v>
      </c>
      <c r="D121" s="2"/>
      <c r="E121" s="2" t="s">
        <v>723</v>
      </c>
      <c r="F121" s="2" t="s">
        <v>1170</v>
      </c>
      <c r="G121" s="2" t="s">
        <v>1171</v>
      </c>
      <c r="H121" s="199" t="s">
        <v>1172</v>
      </c>
      <c r="I121" s="2"/>
      <c r="J121" s="225">
        <v>8446</v>
      </c>
      <c r="K121" s="2" t="s">
        <v>1034</v>
      </c>
      <c r="L121" s="2"/>
    </row>
    <row r="122" spans="1:12" ht="14">
      <c r="A122" s="197" t="s">
        <v>1173</v>
      </c>
      <c r="B122" s="157" t="s">
        <v>1174</v>
      </c>
      <c r="C122" s="2"/>
      <c r="D122" s="2"/>
      <c r="E122" s="2" t="s">
        <v>723</v>
      </c>
      <c r="F122" s="2"/>
      <c r="G122" s="2"/>
      <c r="H122" s="2"/>
      <c r="I122" s="2"/>
      <c r="J122" s="225">
        <v>8</v>
      </c>
      <c r="K122" s="2"/>
      <c r="L122" s="2"/>
    </row>
    <row r="123" spans="1:12" ht="25.5">
      <c r="A123" s="197" t="s">
        <v>1175</v>
      </c>
      <c r="B123" s="157" t="s">
        <v>1176</v>
      </c>
      <c r="C123" s="2" t="s">
        <v>1177</v>
      </c>
      <c r="D123" s="2"/>
      <c r="E123" s="2" t="s">
        <v>723</v>
      </c>
      <c r="F123" s="2"/>
      <c r="G123" s="2"/>
      <c r="H123" s="199" t="s">
        <v>1178</v>
      </c>
      <c r="I123" s="2"/>
      <c r="J123" s="225" t="s">
        <v>1179</v>
      </c>
      <c r="K123" s="2" t="s">
        <v>1180</v>
      </c>
      <c r="L123" s="2"/>
    </row>
    <row r="124" spans="1:12" ht="14">
      <c r="A124" s="197" t="s">
        <v>1181</v>
      </c>
      <c r="B124" s="157" t="s">
        <v>1182</v>
      </c>
      <c r="C124" s="2" t="s">
        <v>1183</v>
      </c>
      <c r="D124" s="2"/>
      <c r="E124" s="2" t="s">
        <v>723</v>
      </c>
      <c r="F124" s="2"/>
      <c r="G124" s="2"/>
      <c r="H124" s="2"/>
      <c r="I124" s="2"/>
      <c r="J124" s="225">
        <v>140</v>
      </c>
      <c r="K124" s="2" t="s">
        <v>1184</v>
      </c>
      <c r="L124" s="2"/>
    </row>
    <row r="125" spans="1:12" ht="63">
      <c r="A125" s="197" t="s">
        <v>1185</v>
      </c>
      <c r="B125" s="157" t="s">
        <v>1186</v>
      </c>
      <c r="C125" s="2" t="s">
        <v>1187</v>
      </c>
      <c r="D125" s="2"/>
      <c r="E125" s="2" t="s">
        <v>723</v>
      </c>
      <c r="F125" s="2"/>
      <c r="G125" s="2"/>
      <c r="H125" s="199" t="s">
        <v>1188</v>
      </c>
      <c r="I125" s="2" t="s">
        <v>1189</v>
      </c>
      <c r="J125" s="225">
        <v>182</v>
      </c>
      <c r="K125" s="2" t="s">
        <v>1190</v>
      </c>
      <c r="L125" s="2"/>
    </row>
    <row r="126" spans="1:12" ht="63">
      <c r="A126" s="197" t="s">
        <v>1191</v>
      </c>
      <c r="B126" s="157" t="s">
        <v>1192</v>
      </c>
      <c r="C126" s="2" t="s">
        <v>1193</v>
      </c>
      <c r="D126" s="2"/>
      <c r="E126" s="2" t="s">
        <v>723</v>
      </c>
      <c r="F126" s="2"/>
      <c r="G126" s="2"/>
      <c r="H126" s="199" t="s">
        <v>1194</v>
      </c>
      <c r="I126" s="2"/>
      <c r="J126" s="225" t="s">
        <v>1195</v>
      </c>
      <c r="K126" s="2" t="s">
        <v>1196</v>
      </c>
      <c r="L126" s="2"/>
    </row>
    <row r="127" spans="1:12" ht="63">
      <c r="A127" s="197" t="s">
        <v>1197</v>
      </c>
      <c r="B127" s="157" t="s">
        <v>1198</v>
      </c>
      <c r="C127" s="2" t="s">
        <v>1199</v>
      </c>
      <c r="D127" s="2"/>
      <c r="E127" s="2" t="s">
        <v>723</v>
      </c>
      <c r="F127" s="2"/>
      <c r="G127" s="2" t="s">
        <v>1200</v>
      </c>
      <c r="H127" s="199" t="s">
        <v>1201</v>
      </c>
      <c r="I127" s="2"/>
      <c r="J127" s="225">
        <v>6526</v>
      </c>
      <c r="K127" s="2" t="s">
        <v>1202</v>
      </c>
      <c r="L127" s="2"/>
    </row>
    <row r="128" spans="1:12" ht="63">
      <c r="A128" s="197" t="s">
        <v>1203</v>
      </c>
      <c r="B128" s="157" t="s">
        <v>1204</v>
      </c>
      <c r="C128" s="199" t="s">
        <v>1205</v>
      </c>
      <c r="D128" s="2"/>
      <c r="E128" s="2" t="s">
        <v>723</v>
      </c>
      <c r="F128" s="2"/>
      <c r="G128" s="2" t="s">
        <v>1127</v>
      </c>
      <c r="H128" s="199" t="s">
        <v>1206</v>
      </c>
      <c r="I128" s="2"/>
      <c r="J128" s="225">
        <v>7599</v>
      </c>
      <c r="K128" s="2" t="s">
        <v>1207</v>
      </c>
      <c r="L128" s="2"/>
    </row>
    <row r="129" spans="1:12" ht="75.5">
      <c r="A129" s="197" t="s">
        <v>1208</v>
      </c>
      <c r="B129" s="157" t="s">
        <v>1209</v>
      </c>
      <c r="C129" s="2" t="s">
        <v>1210</v>
      </c>
      <c r="D129" s="2"/>
      <c r="E129" s="2" t="s">
        <v>723</v>
      </c>
      <c r="F129" s="2" t="s">
        <v>1211</v>
      </c>
      <c r="G129" s="2"/>
      <c r="H129" s="199" t="s">
        <v>1212</v>
      </c>
      <c r="I129" s="2"/>
      <c r="J129" s="225">
        <v>1705</v>
      </c>
      <c r="K129" s="2" t="s">
        <v>1213</v>
      </c>
      <c r="L129" s="2"/>
    </row>
    <row r="130" spans="1:12" ht="63">
      <c r="A130" s="197" t="s">
        <v>1214</v>
      </c>
      <c r="B130" s="157" t="s">
        <v>1215</v>
      </c>
      <c r="C130" s="205" t="s">
        <v>1216</v>
      </c>
      <c r="D130" s="2"/>
      <c r="E130" s="2" t="s">
        <v>723</v>
      </c>
      <c r="F130" s="228" t="s">
        <v>1217</v>
      </c>
      <c r="G130" s="228" t="s">
        <v>1218</v>
      </c>
      <c r="H130" s="201" t="s">
        <v>1219</v>
      </c>
      <c r="I130" s="2" t="s">
        <v>1220</v>
      </c>
      <c r="J130" s="225">
        <v>3744</v>
      </c>
      <c r="K130" s="2" t="s">
        <v>1221</v>
      </c>
      <c r="L130" s="2"/>
    </row>
    <row r="131" spans="1:12" ht="12.5">
      <c r="A131" s="197"/>
      <c r="B131" s="197"/>
      <c r="C131" s="222"/>
      <c r="D131" s="197"/>
      <c r="E131" s="197"/>
      <c r="F131" s="222"/>
      <c r="G131" s="222"/>
      <c r="H131" s="197"/>
      <c r="I131" s="197"/>
      <c r="J131" s="197"/>
      <c r="K131" s="197"/>
    </row>
    <row r="132" spans="1:12" ht="12.5">
      <c r="A132" s="197"/>
      <c r="B132" s="197"/>
      <c r="C132" s="222"/>
      <c r="D132" s="197"/>
      <c r="E132" s="197"/>
      <c r="F132" s="222"/>
      <c r="G132" s="222"/>
      <c r="H132" s="197"/>
      <c r="I132" s="197"/>
      <c r="J132" s="197"/>
      <c r="K132" s="197"/>
    </row>
    <row r="133" spans="1:12" ht="12.5">
      <c r="A133" s="197"/>
      <c r="B133" s="197"/>
      <c r="C133" s="222"/>
      <c r="D133" s="197"/>
      <c r="E133" s="197"/>
      <c r="F133" s="197"/>
      <c r="G133" s="197"/>
      <c r="H133" s="197"/>
      <c r="I133" s="197"/>
      <c r="J133" s="197"/>
      <c r="K133" s="197"/>
    </row>
    <row r="134" spans="1:12" ht="12.5">
      <c r="A134" s="197"/>
      <c r="B134" s="197"/>
      <c r="C134" s="197"/>
      <c r="D134" s="197"/>
      <c r="E134" s="197"/>
      <c r="F134" s="197"/>
      <c r="G134" s="197"/>
      <c r="H134" s="197"/>
      <c r="I134" s="197"/>
      <c r="J134" s="197"/>
      <c r="K134" s="197"/>
    </row>
    <row r="135" spans="1:12" ht="12.5">
      <c r="A135" s="197"/>
      <c r="B135" s="197"/>
      <c r="C135" s="197"/>
      <c r="D135" s="197"/>
      <c r="E135" s="197"/>
      <c r="F135" s="197"/>
      <c r="G135" s="197"/>
      <c r="H135" s="197"/>
      <c r="I135" s="197"/>
      <c r="J135" s="197"/>
      <c r="K135" s="197"/>
    </row>
    <row r="136" spans="1:12" ht="12.5">
      <c r="A136" s="197"/>
      <c r="B136" s="197"/>
      <c r="C136" s="197"/>
      <c r="D136" s="197"/>
      <c r="E136" s="197"/>
      <c r="F136" s="197"/>
      <c r="G136" s="197"/>
      <c r="H136" s="197"/>
      <c r="I136" s="197"/>
      <c r="J136" s="197"/>
      <c r="K136" s="197"/>
    </row>
    <row r="137" spans="1:12" ht="12.5">
      <c r="A137" s="197"/>
      <c r="B137" s="197"/>
      <c r="C137" s="197"/>
      <c r="D137" s="197"/>
      <c r="E137" s="197"/>
      <c r="F137" s="197"/>
      <c r="G137" s="197"/>
      <c r="H137" s="197"/>
      <c r="I137" s="197"/>
      <c r="J137" s="197"/>
      <c r="K137" s="197"/>
    </row>
    <row r="138" spans="1:12" ht="12.5">
      <c r="A138" s="197"/>
      <c r="B138" s="197"/>
      <c r="C138" s="197"/>
      <c r="D138" s="197"/>
      <c r="E138" s="197"/>
      <c r="F138" s="197"/>
      <c r="G138" s="197"/>
      <c r="H138" s="197"/>
      <c r="I138" s="197"/>
      <c r="J138" s="197"/>
      <c r="K138" s="197"/>
    </row>
    <row r="139" spans="1:12" ht="12.5">
      <c r="A139" s="197"/>
      <c r="B139" s="197"/>
      <c r="C139" s="197"/>
      <c r="D139" s="197"/>
      <c r="E139" s="197"/>
      <c r="F139" s="197"/>
      <c r="G139" s="197"/>
      <c r="H139" s="197"/>
      <c r="I139" s="197"/>
      <c r="J139" s="197"/>
      <c r="K139" s="197"/>
    </row>
    <row r="140" spans="1:12" ht="12.5">
      <c r="A140" s="197"/>
      <c r="B140" s="197"/>
      <c r="C140" s="197"/>
      <c r="D140" s="197"/>
      <c r="E140" s="197"/>
      <c r="F140" s="197"/>
      <c r="G140" s="197"/>
      <c r="H140" s="197"/>
      <c r="I140" s="197"/>
      <c r="J140" s="197"/>
      <c r="K140" s="197"/>
    </row>
    <row r="141" spans="1:12" ht="12.5">
      <c r="A141" s="197"/>
      <c r="B141" s="197"/>
      <c r="C141" s="197"/>
      <c r="D141" s="197"/>
      <c r="E141" s="197"/>
      <c r="F141" s="197"/>
      <c r="G141" s="197"/>
      <c r="H141" s="197"/>
      <c r="I141" s="197"/>
      <c r="J141" s="197"/>
      <c r="K141" s="197"/>
    </row>
    <row r="142" spans="1:12" ht="12.5">
      <c r="A142" s="197"/>
      <c r="B142" s="197"/>
      <c r="C142" s="197"/>
      <c r="D142" s="197"/>
      <c r="E142" s="197"/>
      <c r="F142" s="197"/>
      <c r="G142" s="197"/>
      <c r="H142" s="197"/>
      <c r="I142" s="197"/>
      <c r="J142" s="197"/>
      <c r="K142" s="197"/>
    </row>
    <row r="143" spans="1:12" ht="12.5">
      <c r="A143" s="197"/>
      <c r="B143" s="197"/>
      <c r="C143" s="197"/>
      <c r="D143" s="197"/>
      <c r="E143" s="197"/>
      <c r="F143" s="197"/>
      <c r="G143" s="197"/>
      <c r="H143" s="197"/>
      <c r="I143" s="197"/>
      <c r="J143" s="197"/>
      <c r="K143" s="197"/>
    </row>
    <row r="144" spans="1:12" ht="12.5">
      <c r="A144" s="197"/>
      <c r="B144" s="197"/>
      <c r="C144" s="197"/>
      <c r="D144" s="197"/>
      <c r="E144" s="197"/>
      <c r="F144" s="197"/>
      <c r="G144" s="197"/>
      <c r="H144" s="197"/>
      <c r="I144" s="197"/>
      <c r="J144" s="197"/>
      <c r="K144" s="197"/>
    </row>
    <row r="145" spans="1:11" ht="12.5">
      <c r="A145" s="197"/>
      <c r="B145" s="197"/>
      <c r="C145" s="197"/>
      <c r="D145" s="197"/>
      <c r="E145" s="197"/>
      <c r="F145" s="197"/>
      <c r="G145" s="197"/>
      <c r="H145" s="197"/>
      <c r="I145" s="197"/>
      <c r="J145" s="197"/>
      <c r="K145" s="197"/>
    </row>
    <row r="146" spans="1:11" ht="12.5">
      <c r="A146" s="197"/>
      <c r="B146" s="197"/>
      <c r="C146" s="197"/>
      <c r="D146" s="197"/>
      <c r="E146" s="197"/>
      <c r="F146" s="197"/>
      <c r="G146" s="197"/>
      <c r="H146" s="197"/>
      <c r="I146" s="197"/>
      <c r="J146" s="197"/>
      <c r="K146" s="197"/>
    </row>
    <row r="147" spans="1:11" ht="12.5">
      <c r="A147" s="197"/>
      <c r="B147" s="197"/>
      <c r="C147" s="197"/>
      <c r="D147" s="197"/>
      <c r="E147" s="197"/>
      <c r="F147" s="197"/>
      <c r="G147" s="197"/>
      <c r="H147" s="197"/>
      <c r="I147" s="197"/>
      <c r="J147" s="197"/>
      <c r="K147" s="197"/>
    </row>
    <row r="148" spans="1:11" ht="12.5">
      <c r="A148" s="197"/>
      <c r="B148" s="197"/>
      <c r="C148" s="197"/>
      <c r="D148" s="197"/>
      <c r="E148" s="197"/>
      <c r="F148" s="197"/>
      <c r="G148" s="197"/>
      <c r="H148" s="197"/>
      <c r="I148" s="197"/>
      <c r="J148" s="197"/>
      <c r="K148" s="197"/>
    </row>
    <row r="149" spans="1:11" ht="12.5">
      <c r="A149" s="197"/>
      <c r="B149" s="197"/>
      <c r="C149" s="197"/>
      <c r="D149" s="197"/>
      <c r="E149" s="197"/>
      <c r="F149" s="197"/>
      <c r="G149" s="197"/>
      <c r="H149" s="197"/>
      <c r="I149" s="197"/>
      <c r="J149" s="197"/>
      <c r="K149" s="197"/>
    </row>
    <row r="150" spans="1:11" ht="12.5">
      <c r="A150" s="197"/>
      <c r="B150" s="197"/>
      <c r="C150" s="197"/>
      <c r="D150" s="197"/>
      <c r="E150" s="197"/>
      <c r="F150" s="197"/>
      <c r="G150" s="197"/>
      <c r="H150" s="197"/>
      <c r="I150" s="197"/>
      <c r="J150" s="197"/>
      <c r="K150" s="197"/>
    </row>
    <row r="151" spans="1:11" ht="12.5">
      <c r="A151" s="197"/>
      <c r="B151" s="197"/>
      <c r="C151" s="197"/>
      <c r="D151" s="197"/>
      <c r="E151" s="197"/>
      <c r="F151" s="197"/>
      <c r="G151" s="197"/>
      <c r="H151" s="197"/>
      <c r="I151" s="197"/>
      <c r="J151" s="197"/>
      <c r="K151" s="197"/>
    </row>
    <row r="152" spans="1:11" ht="12.5">
      <c r="A152" s="197"/>
      <c r="B152" s="197"/>
      <c r="C152" s="197"/>
      <c r="D152" s="197"/>
      <c r="E152" s="197"/>
      <c r="F152" s="197"/>
      <c r="G152" s="197"/>
      <c r="H152" s="197"/>
      <c r="I152" s="197"/>
      <c r="J152" s="197"/>
      <c r="K152" s="197"/>
    </row>
    <row r="153" spans="1:11" ht="12.5">
      <c r="A153" s="197"/>
      <c r="B153" s="197"/>
      <c r="C153" s="197"/>
      <c r="D153" s="197"/>
      <c r="E153" s="197"/>
      <c r="F153" s="197"/>
      <c r="G153" s="197"/>
      <c r="H153" s="197"/>
      <c r="I153" s="197"/>
      <c r="J153" s="197"/>
      <c r="K153" s="197"/>
    </row>
    <row r="154" spans="1:11" ht="12.5">
      <c r="A154" s="197"/>
      <c r="B154" s="197"/>
      <c r="C154" s="197"/>
      <c r="D154" s="197"/>
      <c r="E154" s="197"/>
      <c r="F154" s="197"/>
      <c r="G154" s="197"/>
      <c r="H154" s="197"/>
      <c r="I154" s="197"/>
      <c r="J154" s="197"/>
      <c r="K154" s="197"/>
    </row>
    <row r="155" spans="1:11" ht="12.5">
      <c r="A155" s="197"/>
      <c r="B155" s="197"/>
      <c r="C155" s="197"/>
      <c r="D155" s="197"/>
      <c r="E155" s="197"/>
      <c r="F155" s="197"/>
      <c r="G155" s="197"/>
      <c r="H155" s="197"/>
      <c r="I155" s="197"/>
      <c r="J155" s="197"/>
      <c r="K155" s="197"/>
    </row>
    <row r="156" spans="1:11" ht="12.5">
      <c r="A156" s="197"/>
      <c r="B156" s="197"/>
      <c r="C156" s="197"/>
      <c r="D156" s="197"/>
      <c r="E156" s="197"/>
      <c r="F156" s="197"/>
      <c r="G156" s="197"/>
      <c r="H156" s="197"/>
      <c r="I156" s="197"/>
      <c r="J156" s="197"/>
      <c r="K156" s="197"/>
    </row>
    <row r="157" spans="1:11" ht="12.5">
      <c r="A157" s="197"/>
      <c r="B157" s="197"/>
      <c r="C157" s="197"/>
      <c r="D157" s="197"/>
      <c r="E157" s="197"/>
      <c r="F157" s="197"/>
      <c r="G157" s="197"/>
      <c r="H157" s="197"/>
      <c r="I157" s="197"/>
      <c r="J157" s="197"/>
      <c r="K157" s="197"/>
    </row>
    <row r="158" spans="1:11" ht="12.5">
      <c r="A158" s="197"/>
      <c r="B158" s="197"/>
      <c r="C158" s="197"/>
      <c r="D158" s="197"/>
      <c r="E158" s="197"/>
      <c r="F158" s="197"/>
      <c r="G158" s="197"/>
      <c r="H158" s="197"/>
      <c r="I158" s="197"/>
      <c r="J158" s="197"/>
      <c r="K158" s="197"/>
    </row>
    <row r="159" spans="1:11" ht="12.5">
      <c r="A159" s="197"/>
      <c r="B159" s="197"/>
      <c r="C159" s="197"/>
      <c r="D159" s="197"/>
      <c r="E159" s="197"/>
      <c r="F159" s="197"/>
      <c r="G159" s="197"/>
      <c r="H159" s="197"/>
      <c r="I159" s="197"/>
      <c r="J159" s="197"/>
      <c r="K159" s="197"/>
    </row>
    <row r="160" spans="1:11" ht="12.5">
      <c r="A160" s="197"/>
      <c r="B160" s="197"/>
      <c r="C160" s="197"/>
      <c r="D160" s="197"/>
      <c r="E160" s="197"/>
      <c r="F160" s="197"/>
      <c r="G160" s="197"/>
      <c r="H160" s="197"/>
      <c r="I160" s="197"/>
      <c r="J160" s="197"/>
      <c r="K160" s="197"/>
    </row>
    <row r="161" spans="1:11" ht="12.5">
      <c r="A161" s="197"/>
      <c r="B161" s="197"/>
      <c r="C161" s="197"/>
      <c r="D161" s="197"/>
      <c r="E161" s="197"/>
      <c r="F161" s="197"/>
      <c r="G161" s="197"/>
      <c r="H161" s="197"/>
      <c r="I161" s="197"/>
      <c r="J161" s="197"/>
      <c r="K161" s="197"/>
    </row>
    <row r="162" spans="1:11" ht="12.5">
      <c r="A162" s="197"/>
      <c r="B162" s="197"/>
      <c r="C162" s="197"/>
      <c r="D162" s="197"/>
      <c r="E162" s="197"/>
      <c r="F162" s="197"/>
      <c r="G162" s="197"/>
      <c r="H162" s="197"/>
      <c r="I162" s="197"/>
      <c r="J162" s="197"/>
      <c r="K162" s="197"/>
    </row>
    <row r="163" spans="1:11" ht="12.5">
      <c r="A163" s="197"/>
      <c r="B163" s="197"/>
      <c r="C163" s="197"/>
      <c r="D163" s="197"/>
      <c r="E163" s="197"/>
      <c r="F163" s="197"/>
      <c r="G163" s="197"/>
      <c r="H163" s="197"/>
      <c r="I163" s="197"/>
      <c r="J163" s="197"/>
      <c r="K163" s="197"/>
    </row>
    <row r="164" spans="1:11" ht="12.5">
      <c r="A164" s="197"/>
      <c r="B164" s="197"/>
      <c r="C164" s="197"/>
      <c r="D164" s="197"/>
      <c r="E164" s="197"/>
      <c r="F164" s="197"/>
      <c r="G164" s="197"/>
      <c r="H164" s="197"/>
      <c r="I164" s="197"/>
      <c r="J164" s="197"/>
      <c r="K164" s="197"/>
    </row>
    <row r="165" spans="1:11" ht="12.5">
      <c r="A165" s="197"/>
      <c r="B165" s="197"/>
      <c r="C165" s="197"/>
      <c r="D165" s="197"/>
      <c r="E165" s="197"/>
      <c r="F165" s="197"/>
      <c r="G165" s="197"/>
      <c r="H165" s="197"/>
      <c r="I165" s="197"/>
      <c r="J165" s="197"/>
      <c r="K165" s="197"/>
    </row>
    <row r="166" spans="1:11" ht="12.5">
      <c r="A166" s="197"/>
      <c r="B166" s="197"/>
      <c r="C166" s="197"/>
      <c r="D166" s="197"/>
      <c r="E166" s="197"/>
      <c r="F166" s="197"/>
      <c r="G166" s="197"/>
      <c r="H166" s="197"/>
      <c r="I166" s="197"/>
      <c r="J166" s="197"/>
      <c r="K166" s="197"/>
    </row>
    <row r="167" spans="1:11" ht="12.5">
      <c r="A167" s="197"/>
      <c r="B167" s="197"/>
      <c r="C167" s="197"/>
      <c r="D167" s="197"/>
      <c r="E167" s="197"/>
      <c r="F167" s="197"/>
      <c r="G167" s="197"/>
      <c r="H167" s="197"/>
      <c r="I167" s="197"/>
      <c r="J167" s="197"/>
      <c r="K167" s="197"/>
    </row>
    <row r="168" spans="1:11" ht="12.5">
      <c r="A168" s="197"/>
      <c r="B168" s="197"/>
      <c r="C168" s="197"/>
      <c r="D168" s="197"/>
      <c r="E168" s="197"/>
      <c r="F168" s="197"/>
      <c r="G168" s="197"/>
      <c r="H168" s="197"/>
      <c r="I168" s="197"/>
      <c r="J168" s="197"/>
      <c r="K168" s="197"/>
    </row>
    <row r="169" spans="1:11" ht="12.5">
      <c r="A169" s="197"/>
      <c r="B169" s="197"/>
      <c r="C169" s="197"/>
      <c r="D169" s="197"/>
      <c r="E169" s="197"/>
      <c r="F169" s="197"/>
      <c r="G169" s="197"/>
      <c r="H169" s="197"/>
      <c r="I169" s="197"/>
      <c r="J169" s="197"/>
      <c r="K169" s="197"/>
    </row>
    <row r="170" spans="1:11" ht="12.5">
      <c r="A170" s="197"/>
      <c r="B170" s="197"/>
      <c r="C170" s="197"/>
      <c r="D170" s="197"/>
      <c r="E170" s="197"/>
      <c r="F170" s="197"/>
      <c r="G170" s="197"/>
      <c r="H170" s="197"/>
      <c r="I170" s="197"/>
      <c r="J170" s="197"/>
      <c r="K170" s="197"/>
    </row>
    <row r="171" spans="1:11" ht="12.5">
      <c r="A171" s="197"/>
      <c r="B171" s="197"/>
      <c r="C171" s="197"/>
      <c r="D171" s="197"/>
      <c r="E171" s="197"/>
      <c r="F171" s="197"/>
      <c r="G171" s="197"/>
      <c r="H171" s="197"/>
      <c r="I171" s="197"/>
      <c r="J171" s="197"/>
      <c r="K171" s="197"/>
    </row>
    <row r="172" spans="1:11" ht="12.5">
      <c r="A172" s="197"/>
      <c r="B172" s="197"/>
      <c r="C172" s="197"/>
      <c r="D172" s="197"/>
      <c r="E172" s="197"/>
      <c r="F172" s="197"/>
      <c r="G172" s="197"/>
      <c r="H172" s="197"/>
      <c r="I172" s="197"/>
      <c r="J172" s="197"/>
      <c r="K172" s="197"/>
    </row>
    <row r="173" spans="1:11" ht="12.5">
      <c r="A173" s="197"/>
      <c r="B173" s="197"/>
      <c r="C173" s="197"/>
      <c r="D173" s="197"/>
      <c r="E173" s="197"/>
      <c r="F173" s="197"/>
      <c r="G173" s="197"/>
      <c r="H173" s="197"/>
      <c r="I173" s="197"/>
      <c r="J173" s="197"/>
      <c r="K173" s="197"/>
    </row>
    <row r="174" spans="1:11" ht="12.5">
      <c r="A174" s="197"/>
      <c r="B174" s="197"/>
      <c r="C174" s="197"/>
      <c r="D174" s="197"/>
      <c r="E174" s="197"/>
      <c r="F174" s="197"/>
      <c r="G174" s="197"/>
      <c r="H174" s="197"/>
      <c r="I174" s="197"/>
      <c r="J174" s="197"/>
      <c r="K174" s="197"/>
    </row>
    <row r="175" spans="1:11" ht="12.5">
      <c r="A175" s="197"/>
      <c r="B175" s="197"/>
      <c r="C175" s="197"/>
      <c r="D175" s="197"/>
      <c r="E175" s="197"/>
      <c r="F175" s="197"/>
      <c r="G175" s="197"/>
      <c r="H175" s="197"/>
      <c r="I175" s="197"/>
      <c r="J175" s="197"/>
      <c r="K175" s="197"/>
    </row>
    <row r="176" spans="1:11" ht="12.5">
      <c r="A176" s="197"/>
      <c r="B176" s="197"/>
      <c r="C176" s="197"/>
      <c r="D176" s="197"/>
      <c r="E176" s="197"/>
      <c r="F176" s="197"/>
      <c r="G176" s="197"/>
      <c r="H176" s="197"/>
      <c r="I176" s="197"/>
      <c r="J176" s="197"/>
      <c r="K176" s="197"/>
    </row>
    <row r="177" spans="1:11" ht="12.5">
      <c r="A177" s="197"/>
      <c r="B177" s="197"/>
      <c r="C177" s="197"/>
      <c r="D177" s="197"/>
      <c r="E177" s="197"/>
      <c r="F177" s="197"/>
      <c r="G177" s="197"/>
      <c r="H177" s="197"/>
      <c r="I177" s="197"/>
      <c r="J177" s="197"/>
      <c r="K177" s="197"/>
    </row>
    <row r="178" spans="1:11" ht="12.5">
      <c r="A178" s="197"/>
      <c r="B178" s="197"/>
      <c r="C178" s="197"/>
      <c r="D178" s="197"/>
      <c r="E178" s="197"/>
      <c r="F178" s="197"/>
      <c r="G178" s="197"/>
      <c r="H178" s="197"/>
      <c r="I178" s="197"/>
      <c r="J178" s="197"/>
      <c r="K178" s="197"/>
    </row>
    <row r="179" spans="1:11" ht="12.5">
      <c r="A179" s="197"/>
      <c r="B179" s="197"/>
      <c r="C179" s="197"/>
      <c r="D179" s="197"/>
      <c r="E179" s="197"/>
      <c r="F179" s="197"/>
      <c r="G179" s="197"/>
      <c r="H179" s="197"/>
      <c r="I179" s="197"/>
      <c r="J179" s="197"/>
      <c r="K179" s="197"/>
    </row>
    <row r="180" spans="1:11" ht="12.5">
      <c r="A180" s="197"/>
      <c r="B180" s="197"/>
      <c r="C180" s="197"/>
      <c r="D180" s="197"/>
      <c r="E180" s="197"/>
      <c r="F180" s="197"/>
      <c r="G180" s="197"/>
      <c r="H180" s="197"/>
      <c r="I180" s="197"/>
      <c r="J180" s="197"/>
      <c r="K180" s="197"/>
    </row>
    <row r="181" spans="1:11" ht="12.5">
      <c r="A181" s="197"/>
      <c r="B181" s="197"/>
      <c r="C181" s="197"/>
      <c r="D181" s="197"/>
      <c r="E181" s="197"/>
      <c r="F181" s="197"/>
      <c r="G181" s="197"/>
      <c r="H181" s="197"/>
      <c r="I181" s="197"/>
      <c r="J181" s="197"/>
      <c r="K181" s="197"/>
    </row>
    <row r="182" spans="1:11" ht="12.5">
      <c r="A182" s="197"/>
      <c r="B182" s="197"/>
      <c r="C182" s="197"/>
      <c r="D182" s="197"/>
      <c r="E182" s="197"/>
      <c r="F182" s="197"/>
      <c r="G182" s="197"/>
      <c r="H182" s="197"/>
      <c r="I182" s="197"/>
      <c r="J182" s="197"/>
      <c r="K182" s="197"/>
    </row>
    <row r="183" spans="1:11" ht="12.5">
      <c r="A183" s="197"/>
      <c r="B183" s="197"/>
      <c r="C183" s="197"/>
      <c r="D183" s="197"/>
      <c r="E183" s="197"/>
      <c r="F183" s="197"/>
      <c r="G183" s="197"/>
      <c r="H183" s="197"/>
      <c r="I183" s="197"/>
      <c r="J183" s="197"/>
      <c r="K183" s="197"/>
    </row>
    <row r="184" spans="1:11" ht="12.5">
      <c r="A184" s="197"/>
      <c r="B184" s="197"/>
      <c r="C184" s="197"/>
      <c r="D184" s="197"/>
      <c r="E184" s="197"/>
      <c r="F184" s="197"/>
      <c r="G184" s="197"/>
      <c r="H184" s="197"/>
      <c r="I184" s="197"/>
      <c r="J184" s="197"/>
      <c r="K184" s="197"/>
    </row>
    <row r="185" spans="1:11" ht="12.5">
      <c r="A185" s="197"/>
      <c r="B185" s="197"/>
      <c r="C185" s="197"/>
      <c r="D185" s="197"/>
      <c r="E185" s="197"/>
      <c r="F185" s="197"/>
      <c r="G185" s="197"/>
      <c r="H185" s="197"/>
      <c r="I185" s="197"/>
      <c r="J185" s="197"/>
      <c r="K185" s="197"/>
    </row>
    <row r="186" spans="1:11" ht="12.5">
      <c r="A186" s="197"/>
      <c r="B186" s="197"/>
      <c r="C186" s="197"/>
      <c r="D186" s="197"/>
      <c r="E186" s="197"/>
      <c r="F186" s="197"/>
      <c r="G186" s="197"/>
      <c r="H186" s="197"/>
      <c r="I186" s="197"/>
      <c r="J186" s="197"/>
      <c r="K186" s="197"/>
    </row>
    <row r="187" spans="1:11" ht="12.5">
      <c r="A187" s="197"/>
      <c r="B187" s="197"/>
      <c r="C187" s="197"/>
      <c r="D187" s="197"/>
      <c r="E187" s="197"/>
      <c r="F187" s="197"/>
      <c r="G187" s="197"/>
      <c r="H187" s="197"/>
      <c r="I187" s="197"/>
      <c r="J187" s="197"/>
      <c r="K187" s="197"/>
    </row>
    <row r="188" spans="1:11" ht="12.5">
      <c r="A188" s="197"/>
      <c r="B188" s="197"/>
      <c r="C188" s="197"/>
      <c r="D188" s="197"/>
      <c r="E188" s="197"/>
      <c r="F188" s="197"/>
      <c r="G188" s="197"/>
      <c r="H188" s="197"/>
      <c r="I188" s="197"/>
      <c r="J188" s="197"/>
      <c r="K188" s="197"/>
    </row>
    <row r="189" spans="1:11" ht="12.5">
      <c r="A189" s="197"/>
      <c r="B189" s="197"/>
      <c r="C189" s="197"/>
      <c r="D189" s="197"/>
      <c r="E189" s="197"/>
      <c r="F189" s="197"/>
      <c r="G189" s="197"/>
      <c r="H189" s="197"/>
      <c r="I189" s="197"/>
      <c r="J189" s="197"/>
      <c r="K189" s="197"/>
    </row>
    <row r="190" spans="1:11" ht="12.5">
      <c r="A190" s="197"/>
      <c r="B190" s="197"/>
      <c r="C190" s="197"/>
      <c r="D190" s="197"/>
      <c r="E190" s="197"/>
      <c r="F190" s="197"/>
      <c r="G190" s="197"/>
      <c r="H190" s="197"/>
      <c r="I190" s="197"/>
      <c r="J190" s="197"/>
      <c r="K190" s="197"/>
    </row>
    <row r="191" spans="1:11" ht="12.5">
      <c r="A191" s="197"/>
      <c r="B191" s="197"/>
      <c r="C191" s="197"/>
      <c r="D191" s="197"/>
      <c r="E191" s="197"/>
      <c r="F191" s="197"/>
      <c r="G191" s="197"/>
      <c r="H191" s="197"/>
      <c r="I191" s="197"/>
      <c r="J191" s="197"/>
      <c r="K191" s="197"/>
    </row>
    <row r="192" spans="1:11" ht="12.5">
      <c r="A192" s="197"/>
      <c r="B192" s="197"/>
      <c r="C192" s="197"/>
      <c r="D192" s="197"/>
      <c r="E192" s="197"/>
      <c r="F192" s="197"/>
      <c r="G192" s="197"/>
      <c r="H192" s="197"/>
      <c r="I192" s="197"/>
      <c r="J192" s="197"/>
      <c r="K192" s="197"/>
    </row>
    <row r="193" spans="1:11" ht="12.5">
      <c r="A193" s="197"/>
      <c r="B193" s="197"/>
      <c r="C193" s="197"/>
      <c r="D193" s="197"/>
      <c r="E193" s="197"/>
      <c r="F193" s="197"/>
      <c r="G193" s="197"/>
      <c r="H193" s="197"/>
      <c r="I193" s="197"/>
      <c r="J193" s="197"/>
      <c r="K193" s="197"/>
    </row>
    <row r="194" spans="1:11" ht="12.5">
      <c r="A194" s="197"/>
      <c r="B194" s="197"/>
      <c r="C194" s="197"/>
      <c r="D194" s="197"/>
      <c r="E194" s="197"/>
      <c r="F194" s="197"/>
      <c r="G194" s="197"/>
      <c r="H194" s="197"/>
      <c r="I194" s="197"/>
      <c r="J194" s="197"/>
      <c r="K194" s="197"/>
    </row>
    <row r="195" spans="1:11" ht="12.5">
      <c r="A195" s="197"/>
      <c r="B195" s="197"/>
      <c r="C195" s="197"/>
      <c r="D195" s="197"/>
      <c r="E195" s="197"/>
      <c r="F195" s="197"/>
      <c r="G195" s="197"/>
      <c r="H195" s="197"/>
      <c r="I195" s="197"/>
      <c r="J195" s="197"/>
      <c r="K195" s="197"/>
    </row>
    <row r="196" spans="1:11" ht="12.5">
      <c r="A196" s="197"/>
      <c r="B196" s="197"/>
      <c r="C196" s="197"/>
      <c r="D196" s="197"/>
      <c r="E196" s="197"/>
      <c r="F196" s="197"/>
      <c r="G196" s="197"/>
      <c r="H196" s="197"/>
      <c r="I196" s="197"/>
      <c r="J196" s="197"/>
      <c r="K196" s="197"/>
    </row>
    <row r="197" spans="1:11" ht="12.5">
      <c r="A197" s="197"/>
      <c r="B197" s="197"/>
      <c r="C197" s="197"/>
      <c r="D197" s="197"/>
      <c r="E197" s="197"/>
      <c r="F197" s="197"/>
      <c r="G197" s="197"/>
      <c r="H197" s="197"/>
      <c r="I197" s="197"/>
      <c r="J197" s="197"/>
      <c r="K197" s="197"/>
    </row>
    <row r="198" spans="1:11" ht="12.5">
      <c r="A198" s="197"/>
      <c r="B198" s="197"/>
      <c r="C198" s="197"/>
      <c r="D198" s="197"/>
      <c r="E198" s="197"/>
      <c r="F198" s="197"/>
      <c r="G198" s="197"/>
      <c r="H198" s="197"/>
      <c r="I198" s="197"/>
      <c r="J198" s="197"/>
      <c r="K198" s="197"/>
    </row>
    <row r="199" spans="1:11" ht="12.5">
      <c r="A199" s="197"/>
      <c r="B199" s="197"/>
      <c r="C199" s="197"/>
      <c r="D199" s="197"/>
      <c r="E199" s="197"/>
      <c r="F199" s="197"/>
      <c r="G199" s="197"/>
      <c r="H199" s="197"/>
      <c r="I199" s="197"/>
      <c r="J199" s="197"/>
      <c r="K199" s="197"/>
    </row>
    <row r="200" spans="1:11" ht="12.5">
      <c r="A200" s="197"/>
      <c r="B200" s="197"/>
      <c r="C200" s="197"/>
      <c r="D200" s="197"/>
      <c r="E200" s="197"/>
      <c r="F200" s="197"/>
      <c r="G200" s="197"/>
      <c r="H200" s="197"/>
      <c r="I200" s="197"/>
      <c r="J200" s="197"/>
      <c r="K200" s="197"/>
    </row>
    <row r="201" spans="1:11" ht="12.5">
      <c r="A201" s="197"/>
      <c r="B201" s="197"/>
      <c r="C201" s="197"/>
      <c r="D201" s="197"/>
      <c r="E201" s="197"/>
      <c r="F201" s="197"/>
      <c r="G201" s="197"/>
      <c r="H201" s="197"/>
      <c r="I201" s="197"/>
      <c r="J201" s="197"/>
      <c r="K201" s="197"/>
    </row>
    <row r="202" spans="1:11" ht="12.5">
      <c r="A202" s="197"/>
      <c r="B202" s="197"/>
      <c r="C202" s="197"/>
      <c r="D202" s="197"/>
      <c r="E202" s="197"/>
      <c r="F202" s="197"/>
      <c r="G202" s="197"/>
      <c r="H202" s="197"/>
      <c r="I202" s="197"/>
      <c r="J202" s="197"/>
      <c r="K202" s="197"/>
    </row>
    <row r="203" spans="1:11" ht="12.5">
      <c r="A203" s="197"/>
      <c r="B203" s="197"/>
      <c r="C203" s="197"/>
      <c r="D203" s="197"/>
      <c r="E203" s="197"/>
      <c r="F203" s="197"/>
      <c r="G203" s="197"/>
      <c r="H203" s="197"/>
      <c r="I203" s="197"/>
      <c r="J203" s="197"/>
      <c r="K203" s="197"/>
    </row>
    <row r="204" spans="1:11" ht="12.5">
      <c r="A204" s="197"/>
      <c r="B204" s="197"/>
      <c r="C204" s="197"/>
      <c r="D204" s="197"/>
      <c r="E204" s="197"/>
      <c r="F204" s="197"/>
      <c r="G204" s="197"/>
      <c r="H204" s="197"/>
      <c r="I204" s="197"/>
      <c r="J204" s="197"/>
      <c r="K204" s="197"/>
    </row>
    <row r="205" spans="1:11" ht="12.5">
      <c r="A205" s="197"/>
      <c r="B205" s="197"/>
      <c r="C205" s="197"/>
      <c r="D205" s="197"/>
      <c r="E205" s="197"/>
      <c r="F205" s="197"/>
      <c r="G205" s="197"/>
      <c r="H205" s="197"/>
      <c r="I205" s="197"/>
      <c r="J205" s="197"/>
      <c r="K205" s="197"/>
    </row>
    <row r="206" spans="1:11" ht="12.5">
      <c r="A206" s="197"/>
      <c r="B206" s="197"/>
      <c r="C206" s="197"/>
      <c r="D206" s="197"/>
      <c r="E206" s="197"/>
      <c r="F206" s="197"/>
      <c r="G206" s="197"/>
      <c r="H206" s="197"/>
      <c r="I206" s="197"/>
      <c r="J206" s="197"/>
      <c r="K206" s="197"/>
    </row>
    <row r="207" spans="1:11" ht="12.5">
      <c r="A207" s="197"/>
      <c r="B207" s="197"/>
      <c r="C207" s="197"/>
      <c r="D207" s="197"/>
      <c r="E207" s="197"/>
      <c r="F207" s="197"/>
      <c r="G207" s="197"/>
      <c r="H207" s="197"/>
      <c r="I207" s="197"/>
      <c r="J207" s="197"/>
      <c r="K207" s="197"/>
    </row>
    <row r="208" spans="1:11" ht="12.5">
      <c r="A208" s="197"/>
      <c r="B208" s="197"/>
      <c r="C208" s="197"/>
      <c r="D208" s="197"/>
      <c r="E208" s="197"/>
      <c r="F208" s="197"/>
      <c r="G208" s="197"/>
      <c r="H208" s="197"/>
      <c r="I208" s="197"/>
      <c r="J208" s="197"/>
      <c r="K208" s="197"/>
    </row>
    <row r="209" spans="1:11" ht="12.5">
      <c r="A209" s="197"/>
      <c r="B209" s="197"/>
      <c r="C209" s="197"/>
      <c r="D209" s="197"/>
      <c r="E209" s="197"/>
      <c r="F209" s="197"/>
      <c r="G209" s="197"/>
      <c r="H209" s="197"/>
      <c r="I209" s="197"/>
      <c r="J209" s="197"/>
      <c r="K209" s="197"/>
    </row>
    <row r="210" spans="1:11" ht="12.5">
      <c r="A210" s="197"/>
      <c r="B210" s="197"/>
      <c r="C210" s="197"/>
      <c r="D210" s="197"/>
      <c r="E210" s="197"/>
      <c r="F210" s="197"/>
      <c r="G210" s="197"/>
      <c r="H210" s="197"/>
      <c r="I210" s="197"/>
      <c r="J210" s="197"/>
      <c r="K210" s="197"/>
    </row>
    <row r="211" spans="1:11" ht="12.5">
      <c r="A211" s="197"/>
      <c r="B211" s="197"/>
      <c r="C211" s="197"/>
      <c r="D211" s="197"/>
      <c r="E211" s="197"/>
      <c r="F211" s="197"/>
      <c r="G211" s="197"/>
      <c r="H211" s="197"/>
      <c r="I211" s="197"/>
      <c r="J211" s="197"/>
      <c r="K211" s="197"/>
    </row>
    <row r="212" spans="1:11" ht="12.5">
      <c r="A212" s="197"/>
      <c r="B212" s="197"/>
      <c r="C212" s="197"/>
      <c r="D212" s="197"/>
      <c r="E212" s="197"/>
      <c r="F212" s="197"/>
      <c r="G212" s="197"/>
      <c r="H212" s="197"/>
      <c r="I212" s="197"/>
      <c r="J212" s="197"/>
      <c r="K212" s="197"/>
    </row>
    <row r="213" spans="1:11" ht="12.5">
      <c r="A213" s="197"/>
      <c r="B213" s="197"/>
      <c r="C213" s="197"/>
      <c r="D213" s="197"/>
      <c r="E213" s="197"/>
      <c r="F213" s="197"/>
      <c r="G213" s="197"/>
      <c r="H213" s="197"/>
      <c r="I213" s="197"/>
      <c r="J213" s="197"/>
      <c r="K213" s="197"/>
    </row>
    <row r="214" spans="1:11" ht="12.5">
      <c r="A214" s="197"/>
      <c r="B214" s="197"/>
      <c r="C214" s="197"/>
      <c r="D214" s="197"/>
      <c r="E214" s="197"/>
      <c r="F214" s="197"/>
      <c r="G214" s="197"/>
      <c r="H214" s="197"/>
      <c r="I214" s="197"/>
      <c r="J214" s="197"/>
      <c r="K214" s="197"/>
    </row>
    <row r="215" spans="1:11" ht="12.5">
      <c r="A215" s="197"/>
      <c r="B215" s="197"/>
      <c r="C215" s="197"/>
      <c r="D215" s="197"/>
      <c r="E215" s="197"/>
      <c r="F215" s="197"/>
      <c r="G215" s="197"/>
      <c r="H215" s="197"/>
      <c r="I215" s="197"/>
      <c r="J215" s="197"/>
      <c r="K215" s="197"/>
    </row>
    <row r="216" spans="1:11" ht="12.5">
      <c r="A216" s="197"/>
      <c r="B216" s="197"/>
      <c r="C216" s="197"/>
      <c r="D216" s="197"/>
      <c r="E216" s="197"/>
      <c r="F216" s="197"/>
      <c r="G216" s="197"/>
      <c r="H216" s="197"/>
      <c r="I216" s="197"/>
      <c r="J216" s="197"/>
      <c r="K216" s="197"/>
    </row>
    <row r="217" spans="1:11" ht="12.5">
      <c r="A217" s="197"/>
      <c r="B217" s="197"/>
      <c r="C217" s="197"/>
      <c r="D217" s="197"/>
      <c r="E217" s="197"/>
      <c r="F217" s="197"/>
      <c r="G217" s="197"/>
      <c r="H217" s="197"/>
      <c r="I217" s="197"/>
      <c r="J217" s="197"/>
      <c r="K217" s="197"/>
    </row>
    <row r="218" spans="1:11" ht="12.5">
      <c r="A218" s="197"/>
      <c r="B218" s="197"/>
      <c r="C218" s="197"/>
      <c r="D218" s="197"/>
      <c r="E218" s="197"/>
      <c r="F218" s="197"/>
      <c r="G218" s="197"/>
      <c r="H218" s="197"/>
      <c r="I218" s="197"/>
      <c r="J218" s="197"/>
      <c r="K218" s="197"/>
    </row>
    <row r="219" spans="1:11" ht="12.5">
      <c r="A219" s="197"/>
      <c r="B219" s="197"/>
      <c r="C219" s="197"/>
      <c r="D219" s="197"/>
      <c r="E219" s="197"/>
      <c r="F219" s="197"/>
      <c r="G219" s="197"/>
      <c r="H219" s="197"/>
      <c r="I219" s="197"/>
      <c r="J219" s="197"/>
      <c r="K219" s="197"/>
    </row>
    <row r="220" spans="1:11" ht="12.5">
      <c r="A220" s="197"/>
      <c r="B220" s="197"/>
      <c r="C220" s="197"/>
      <c r="D220" s="197"/>
      <c r="E220" s="197"/>
      <c r="F220" s="197"/>
      <c r="G220" s="197"/>
      <c r="H220" s="197"/>
      <c r="I220" s="197"/>
      <c r="J220" s="197"/>
      <c r="K220" s="197"/>
    </row>
    <row r="221" spans="1:11" ht="12.5">
      <c r="A221" s="197"/>
      <c r="B221" s="197"/>
      <c r="C221" s="197"/>
      <c r="D221" s="197"/>
      <c r="E221" s="197"/>
      <c r="F221" s="197"/>
      <c r="G221" s="197"/>
      <c r="H221" s="197"/>
      <c r="I221" s="197"/>
      <c r="J221" s="197"/>
      <c r="K221" s="197"/>
    </row>
    <row r="222" spans="1:11" ht="12.5">
      <c r="A222" s="197"/>
      <c r="B222" s="197"/>
      <c r="C222" s="197"/>
      <c r="D222" s="197"/>
      <c r="E222" s="197"/>
      <c r="F222" s="197"/>
      <c r="G222" s="197"/>
      <c r="H222" s="197"/>
      <c r="I222" s="197"/>
      <c r="J222" s="197"/>
      <c r="K222" s="197"/>
    </row>
    <row r="223" spans="1:11" ht="12.5">
      <c r="A223" s="197"/>
      <c r="B223" s="197"/>
      <c r="C223" s="197"/>
      <c r="D223" s="197"/>
      <c r="E223" s="197"/>
      <c r="F223" s="197"/>
      <c r="G223" s="197"/>
      <c r="H223" s="197"/>
      <c r="I223" s="197"/>
      <c r="J223" s="197"/>
      <c r="K223" s="197"/>
    </row>
    <row r="224" spans="1:11" ht="12.5">
      <c r="A224" s="197"/>
      <c r="B224" s="197"/>
      <c r="C224" s="197"/>
      <c r="D224" s="197"/>
      <c r="E224" s="197"/>
      <c r="F224" s="197"/>
      <c r="G224" s="197"/>
      <c r="H224" s="197"/>
      <c r="I224" s="197"/>
      <c r="J224" s="197"/>
      <c r="K224" s="197"/>
    </row>
    <row r="225" spans="1:11" ht="12.5">
      <c r="A225" s="197"/>
      <c r="B225" s="197"/>
      <c r="C225" s="197"/>
      <c r="D225" s="197"/>
      <c r="E225" s="197"/>
      <c r="F225" s="197"/>
      <c r="G225" s="197"/>
      <c r="H225" s="197"/>
      <c r="I225" s="197"/>
      <c r="J225" s="197"/>
      <c r="K225" s="197"/>
    </row>
    <row r="226" spans="1:11" ht="12.5">
      <c r="A226" s="197"/>
      <c r="B226" s="197"/>
      <c r="C226" s="197"/>
      <c r="D226" s="197"/>
      <c r="E226" s="197"/>
      <c r="F226" s="197"/>
      <c r="G226" s="197"/>
      <c r="H226" s="197"/>
      <c r="I226" s="197"/>
      <c r="J226" s="197"/>
      <c r="K226" s="197"/>
    </row>
    <row r="227" spans="1:11" ht="12.5">
      <c r="A227" s="197"/>
      <c r="B227" s="197"/>
      <c r="C227" s="197"/>
      <c r="D227" s="197"/>
      <c r="E227" s="197"/>
      <c r="F227" s="197"/>
      <c r="G227" s="197"/>
      <c r="H227" s="197"/>
      <c r="I227" s="197"/>
      <c r="J227" s="197"/>
      <c r="K227" s="197"/>
    </row>
    <row r="228" spans="1:11" ht="12.5">
      <c r="A228" s="197"/>
      <c r="B228" s="197"/>
      <c r="C228" s="197"/>
      <c r="D228" s="197"/>
      <c r="E228" s="197"/>
      <c r="F228" s="197"/>
      <c r="G228" s="197"/>
      <c r="H228" s="197"/>
      <c r="I228" s="197"/>
      <c r="J228" s="197"/>
      <c r="K228" s="197"/>
    </row>
    <row r="229" spans="1:11" ht="12.5">
      <c r="A229" s="197"/>
      <c r="B229" s="197"/>
      <c r="C229" s="197"/>
      <c r="D229" s="197"/>
      <c r="E229" s="197"/>
      <c r="F229" s="197"/>
      <c r="G229" s="197"/>
      <c r="H229" s="197"/>
      <c r="I229" s="197"/>
      <c r="J229" s="197"/>
      <c r="K229" s="197"/>
    </row>
    <row r="230" spans="1:11" ht="12.5">
      <c r="A230" s="197"/>
      <c r="B230" s="197"/>
      <c r="C230" s="197"/>
      <c r="D230" s="197"/>
      <c r="E230" s="197"/>
      <c r="F230" s="197"/>
      <c r="G230" s="197"/>
      <c r="H230" s="197"/>
      <c r="I230" s="197"/>
      <c r="J230" s="197"/>
      <c r="K230" s="197"/>
    </row>
    <row r="231" spans="1:11" ht="12.5">
      <c r="A231" s="197"/>
      <c r="B231" s="197"/>
      <c r="C231" s="197"/>
      <c r="D231" s="197"/>
      <c r="E231" s="197"/>
      <c r="F231" s="197"/>
      <c r="G231" s="197"/>
      <c r="H231" s="197"/>
      <c r="I231" s="197"/>
      <c r="J231" s="197"/>
      <c r="K231" s="197"/>
    </row>
    <row r="232" spans="1:11" ht="12.5">
      <c r="A232" s="197"/>
      <c r="B232" s="197"/>
      <c r="C232" s="197"/>
      <c r="D232" s="197"/>
      <c r="E232" s="197"/>
      <c r="F232" s="197"/>
      <c r="G232" s="197"/>
      <c r="H232" s="197"/>
      <c r="I232" s="197"/>
      <c r="J232" s="197"/>
      <c r="K232" s="197"/>
    </row>
    <row r="233" spans="1:11" ht="12.5">
      <c r="A233" s="197"/>
      <c r="B233" s="197"/>
      <c r="C233" s="197"/>
      <c r="D233" s="197"/>
      <c r="E233" s="197"/>
      <c r="F233" s="197"/>
      <c r="G233" s="197"/>
      <c r="H233" s="197"/>
      <c r="I233" s="197"/>
      <c r="J233" s="197"/>
      <c r="K233" s="197"/>
    </row>
    <row r="234" spans="1:11" ht="12.5">
      <c r="A234" s="197"/>
      <c r="B234" s="197"/>
      <c r="C234" s="197"/>
      <c r="D234" s="197"/>
      <c r="E234" s="197"/>
      <c r="F234" s="197"/>
      <c r="G234" s="197"/>
      <c r="H234" s="197"/>
      <c r="I234" s="197"/>
      <c r="J234" s="197"/>
      <c r="K234" s="197"/>
    </row>
    <row r="235" spans="1:11" ht="12.5">
      <c r="A235" s="197"/>
      <c r="B235" s="197"/>
      <c r="C235" s="197"/>
      <c r="D235" s="197"/>
      <c r="E235" s="197"/>
      <c r="F235" s="197"/>
      <c r="G235" s="197"/>
      <c r="H235" s="197"/>
      <c r="I235" s="197"/>
      <c r="J235" s="197"/>
      <c r="K235" s="197"/>
    </row>
    <row r="236" spans="1:11" ht="12.5">
      <c r="A236" s="197"/>
      <c r="B236" s="197"/>
      <c r="C236" s="197"/>
      <c r="D236" s="197"/>
      <c r="E236" s="197"/>
      <c r="F236" s="197"/>
      <c r="G236" s="197"/>
      <c r="H236" s="197"/>
      <c r="I236" s="197"/>
      <c r="J236" s="197"/>
      <c r="K236" s="197"/>
    </row>
    <row r="237" spans="1:11" ht="12.5">
      <c r="A237" s="197"/>
      <c r="B237" s="197"/>
      <c r="C237" s="197"/>
      <c r="D237" s="197"/>
      <c r="E237" s="197"/>
      <c r="F237" s="197"/>
      <c r="G237" s="197"/>
      <c r="H237" s="197"/>
      <c r="I237" s="197"/>
      <c r="J237" s="197"/>
      <c r="K237" s="197"/>
    </row>
    <row r="238" spans="1:11" ht="12.5">
      <c r="A238" s="197"/>
      <c r="B238" s="197"/>
      <c r="C238" s="197"/>
      <c r="D238" s="197"/>
      <c r="E238" s="197"/>
      <c r="F238" s="197"/>
      <c r="G238" s="197"/>
      <c r="H238" s="197"/>
      <c r="I238" s="197"/>
      <c r="J238" s="197"/>
      <c r="K238" s="197"/>
    </row>
    <row r="239" spans="1:11" ht="12.5">
      <c r="A239" s="197"/>
      <c r="B239" s="197"/>
      <c r="C239" s="197"/>
      <c r="D239" s="197"/>
      <c r="E239" s="197"/>
      <c r="F239" s="197"/>
      <c r="G239" s="197"/>
      <c r="H239" s="197"/>
      <c r="I239" s="197"/>
      <c r="J239" s="197"/>
      <c r="K239" s="197"/>
    </row>
    <row r="240" spans="1:11" ht="12.5">
      <c r="A240" s="197"/>
      <c r="B240" s="197"/>
      <c r="C240" s="197"/>
      <c r="D240" s="197"/>
      <c r="E240" s="197"/>
      <c r="F240" s="197"/>
      <c r="G240" s="197"/>
      <c r="H240" s="197"/>
      <c r="I240" s="197"/>
      <c r="J240" s="197"/>
      <c r="K240" s="197"/>
    </row>
    <row r="241" spans="1:11" ht="12.5">
      <c r="A241" s="197"/>
      <c r="B241" s="197"/>
      <c r="C241" s="197"/>
      <c r="D241" s="197"/>
      <c r="E241" s="197"/>
      <c r="F241" s="197"/>
      <c r="G241" s="197"/>
      <c r="H241" s="197"/>
      <c r="I241" s="197"/>
      <c r="J241" s="197"/>
      <c r="K241" s="197"/>
    </row>
    <row r="242" spans="1:11" ht="12.5">
      <c r="A242" s="197"/>
      <c r="B242" s="197"/>
      <c r="C242" s="197"/>
      <c r="D242" s="197"/>
      <c r="E242" s="197"/>
      <c r="F242" s="197"/>
      <c r="G242" s="197"/>
      <c r="H242" s="197"/>
      <c r="I242" s="197"/>
      <c r="J242" s="197"/>
      <c r="K242" s="197"/>
    </row>
    <row r="243" spans="1:11" ht="12.5">
      <c r="A243" s="197"/>
      <c r="B243" s="197"/>
      <c r="C243" s="197"/>
      <c r="D243" s="197"/>
      <c r="E243" s="197"/>
      <c r="F243" s="197"/>
      <c r="G243" s="197"/>
      <c r="H243" s="197"/>
      <c r="I243" s="197"/>
      <c r="J243" s="197"/>
      <c r="K243" s="197"/>
    </row>
    <row r="244" spans="1:11" ht="12.5">
      <c r="A244" s="197"/>
      <c r="B244" s="197"/>
      <c r="C244" s="197"/>
      <c r="D244" s="197"/>
      <c r="E244" s="197"/>
      <c r="F244" s="197"/>
      <c r="G244" s="197"/>
      <c r="H244" s="197"/>
      <c r="I244" s="197"/>
      <c r="J244" s="197"/>
      <c r="K244" s="197"/>
    </row>
    <row r="245" spans="1:11" ht="12.5">
      <c r="A245" s="197"/>
      <c r="B245" s="197"/>
      <c r="C245" s="197"/>
      <c r="D245" s="197"/>
      <c r="E245" s="197"/>
      <c r="F245" s="197"/>
      <c r="G245" s="197"/>
      <c r="H245" s="197"/>
      <c r="I245" s="197"/>
      <c r="J245" s="197"/>
      <c r="K245" s="197"/>
    </row>
    <row r="246" spans="1:11" ht="12.5">
      <c r="A246" s="197"/>
      <c r="B246" s="197"/>
      <c r="C246" s="197"/>
      <c r="D246" s="197"/>
      <c r="E246" s="197"/>
      <c r="F246" s="197"/>
      <c r="G246" s="197"/>
      <c r="H246" s="197"/>
      <c r="I246" s="197"/>
      <c r="J246" s="197"/>
      <c r="K246" s="197"/>
    </row>
    <row r="247" spans="1:11" ht="12.5">
      <c r="A247" s="197"/>
      <c r="B247" s="197"/>
      <c r="C247" s="197"/>
      <c r="D247" s="197"/>
      <c r="E247" s="197"/>
      <c r="F247" s="197"/>
      <c r="G247" s="197"/>
      <c r="H247" s="197"/>
      <c r="I247" s="197"/>
      <c r="J247" s="197"/>
      <c r="K247" s="197"/>
    </row>
    <row r="248" spans="1:11" ht="12.5">
      <c r="A248" s="197"/>
      <c r="B248" s="197"/>
      <c r="C248" s="197"/>
      <c r="D248" s="197"/>
      <c r="E248" s="197"/>
      <c r="F248" s="197"/>
      <c r="G248" s="197"/>
      <c r="H248" s="197"/>
      <c r="I248" s="197"/>
      <c r="J248" s="197"/>
      <c r="K248" s="197"/>
    </row>
    <row r="249" spans="1:11" ht="12.5">
      <c r="A249" s="197"/>
      <c r="B249" s="197"/>
      <c r="C249" s="197"/>
      <c r="D249" s="197"/>
      <c r="E249" s="197"/>
      <c r="F249" s="197"/>
      <c r="G249" s="197"/>
      <c r="H249" s="197"/>
      <c r="I249" s="197"/>
      <c r="J249" s="197"/>
      <c r="K249" s="197"/>
    </row>
    <row r="250" spans="1:11" ht="12.5">
      <c r="A250" s="197"/>
      <c r="B250" s="197"/>
      <c r="C250" s="197"/>
      <c r="D250" s="197"/>
      <c r="E250" s="197"/>
      <c r="F250" s="197"/>
      <c r="G250" s="197"/>
      <c r="H250" s="197"/>
      <c r="I250" s="197"/>
      <c r="J250" s="197"/>
      <c r="K250" s="197"/>
    </row>
    <row r="251" spans="1:11" ht="12.5">
      <c r="A251" s="197"/>
      <c r="B251" s="197"/>
      <c r="C251" s="197"/>
      <c r="D251" s="197"/>
      <c r="E251" s="197"/>
      <c r="F251" s="197"/>
      <c r="G251" s="197"/>
      <c r="H251" s="197"/>
      <c r="I251" s="197"/>
      <c r="J251" s="197"/>
      <c r="K251" s="197"/>
    </row>
    <row r="252" spans="1:11" ht="12.5">
      <c r="A252" s="197"/>
      <c r="B252" s="197"/>
      <c r="C252" s="197"/>
      <c r="D252" s="197"/>
      <c r="E252" s="197"/>
      <c r="F252" s="197"/>
      <c r="G252" s="197"/>
      <c r="H252" s="197"/>
      <c r="I252" s="197"/>
      <c r="J252" s="197"/>
      <c r="K252" s="197"/>
    </row>
    <row r="253" spans="1:11" ht="12.5">
      <c r="A253" s="197"/>
      <c r="B253" s="197"/>
      <c r="C253" s="197"/>
      <c r="D253" s="197"/>
      <c r="E253" s="197"/>
      <c r="F253" s="197"/>
      <c r="G253" s="197"/>
      <c r="H253" s="197"/>
      <c r="I253" s="197"/>
      <c r="J253" s="197"/>
      <c r="K253" s="197"/>
    </row>
    <row r="254" spans="1:11" ht="12.5">
      <c r="A254" s="197"/>
      <c r="B254" s="197"/>
      <c r="C254" s="197"/>
      <c r="D254" s="197"/>
      <c r="E254" s="197"/>
      <c r="F254" s="197"/>
      <c r="G254" s="197"/>
      <c r="H254" s="197"/>
      <c r="I254" s="197"/>
      <c r="J254" s="197"/>
      <c r="K254" s="197"/>
    </row>
    <row r="255" spans="1:11" ht="12.5">
      <c r="A255" s="197"/>
      <c r="B255" s="197"/>
      <c r="C255" s="197"/>
      <c r="D255" s="197"/>
      <c r="E255" s="197"/>
      <c r="F255" s="197"/>
      <c r="G255" s="197"/>
      <c r="H255" s="197"/>
      <c r="I255" s="197"/>
      <c r="J255" s="197"/>
      <c r="K255" s="197"/>
    </row>
    <row r="256" spans="1:11" ht="12.5">
      <c r="A256" s="197"/>
      <c r="B256" s="197"/>
      <c r="C256" s="197"/>
      <c r="D256" s="197"/>
      <c r="E256" s="197"/>
      <c r="F256" s="197"/>
      <c r="G256" s="197"/>
      <c r="H256" s="197"/>
      <c r="I256" s="197"/>
      <c r="J256" s="197"/>
      <c r="K256" s="197"/>
    </row>
    <row r="257" spans="1:11" ht="12.5">
      <c r="A257" s="197"/>
      <c r="B257" s="197"/>
      <c r="C257" s="197"/>
      <c r="D257" s="197"/>
      <c r="E257" s="197"/>
      <c r="F257" s="197"/>
      <c r="G257" s="197"/>
      <c r="H257" s="197"/>
      <c r="I257" s="197"/>
      <c r="J257" s="197"/>
      <c r="K257" s="197"/>
    </row>
    <row r="258" spans="1:11" ht="12.5">
      <c r="A258" s="197"/>
      <c r="B258" s="197"/>
      <c r="C258" s="197"/>
      <c r="D258" s="197"/>
      <c r="E258" s="197"/>
      <c r="F258" s="197"/>
      <c r="G258" s="197"/>
      <c r="H258" s="197"/>
      <c r="I258" s="197"/>
      <c r="J258" s="197"/>
      <c r="K258" s="197"/>
    </row>
    <row r="259" spans="1:11" ht="12.5">
      <c r="A259" s="197"/>
      <c r="B259" s="197"/>
      <c r="C259" s="197"/>
      <c r="D259" s="197"/>
      <c r="E259" s="197"/>
      <c r="F259" s="197"/>
      <c r="G259" s="197"/>
      <c r="H259" s="197"/>
      <c r="I259" s="197"/>
      <c r="J259" s="197"/>
      <c r="K259" s="197"/>
    </row>
    <row r="260" spans="1:11" ht="12.5">
      <c r="A260" s="197"/>
      <c r="B260" s="197"/>
      <c r="C260" s="197"/>
      <c r="D260" s="197"/>
      <c r="E260" s="197"/>
      <c r="F260" s="197"/>
      <c r="G260" s="197"/>
      <c r="H260" s="197"/>
      <c r="I260" s="197"/>
      <c r="J260" s="197"/>
      <c r="K260" s="197"/>
    </row>
    <row r="261" spans="1:11" ht="12.5">
      <c r="A261" s="197"/>
      <c r="B261" s="197"/>
      <c r="C261" s="197"/>
      <c r="D261" s="197"/>
      <c r="E261" s="197"/>
      <c r="F261" s="197"/>
      <c r="G261" s="197"/>
      <c r="H261" s="197"/>
      <c r="I261" s="197"/>
      <c r="J261" s="197"/>
      <c r="K261" s="197"/>
    </row>
    <row r="262" spans="1:11" ht="12.5">
      <c r="A262" s="197"/>
      <c r="B262" s="197"/>
      <c r="C262" s="197"/>
      <c r="D262" s="197"/>
      <c r="E262" s="197"/>
      <c r="F262" s="197"/>
      <c r="G262" s="197"/>
      <c r="H262" s="197"/>
      <c r="I262" s="197"/>
      <c r="J262" s="197"/>
      <c r="K262" s="197"/>
    </row>
    <row r="263" spans="1:11" ht="12.5">
      <c r="A263" s="197"/>
      <c r="B263" s="197"/>
      <c r="C263" s="197"/>
      <c r="D263" s="197"/>
      <c r="E263" s="197"/>
      <c r="F263" s="197"/>
      <c r="G263" s="197"/>
      <c r="H263" s="197"/>
      <c r="I263" s="197"/>
      <c r="J263" s="197"/>
      <c r="K263" s="197"/>
    </row>
    <row r="264" spans="1:11" ht="12.5">
      <c r="A264" s="197"/>
      <c r="B264" s="197"/>
      <c r="C264" s="197"/>
      <c r="D264" s="197"/>
      <c r="E264" s="197"/>
      <c r="F264" s="197"/>
      <c r="G264" s="197"/>
      <c r="H264" s="197"/>
      <c r="I264" s="197"/>
      <c r="J264" s="197"/>
      <c r="K264" s="197"/>
    </row>
    <row r="265" spans="1:11" ht="12.5">
      <c r="A265" s="197"/>
      <c r="B265" s="197"/>
      <c r="C265" s="197"/>
      <c r="D265" s="197"/>
      <c r="E265" s="197"/>
      <c r="F265" s="197"/>
      <c r="G265" s="197"/>
      <c r="H265" s="197"/>
      <c r="I265" s="197"/>
      <c r="J265" s="197"/>
      <c r="K265" s="197"/>
    </row>
    <row r="266" spans="1:11" ht="12.5">
      <c r="A266" s="197"/>
      <c r="B266" s="197"/>
      <c r="C266" s="197"/>
      <c r="D266" s="197"/>
      <c r="E266" s="197"/>
      <c r="F266" s="197"/>
      <c r="G266" s="197"/>
      <c r="H266" s="197"/>
      <c r="I266" s="197"/>
      <c r="J266" s="197"/>
      <c r="K266" s="197"/>
    </row>
    <row r="267" spans="1:11" ht="12.5">
      <c r="A267" s="197"/>
      <c r="B267" s="197"/>
      <c r="C267" s="197"/>
      <c r="D267" s="197"/>
      <c r="E267" s="197"/>
      <c r="F267" s="197"/>
      <c r="G267" s="197"/>
      <c r="H267" s="197"/>
      <c r="I267" s="197"/>
      <c r="J267" s="197"/>
      <c r="K267" s="197"/>
    </row>
    <row r="268" spans="1:11" ht="12.5">
      <c r="A268" s="197"/>
      <c r="B268" s="197"/>
      <c r="C268" s="197"/>
      <c r="D268" s="197"/>
      <c r="E268" s="197"/>
      <c r="F268" s="197"/>
      <c r="G268" s="197"/>
      <c r="H268" s="197"/>
      <c r="I268" s="197"/>
      <c r="J268" s="197"/>
      <c r="K268" s="197"/>
    </row>
    <row r="269" spans="1:11" ht="12.5">
      <c r="A269" s="197"/>
      <c r="B269" s="197"/>
      <c r="C269" s="197"/>
      <c r="D269" s="197"/>
      <c r="E269" s="197"/>
      <c r="F269" s="197"/>
      <c r="G269" s="197"/>
      <c r="H269" s="197"/>
      <c r="I269" s="197"/>
      <c r="J269" s="197"/>
      <c r="K269" s="197"/>
    </row>
    <row r="270" spans="1:11" ht="12.5">
      <c r="A270" s="197"/>
      <c r="B270" s="197"/>
      <c r="C270" s="197"/>
      <c r="D270" s="197"/>
      <c r="E270" s="197"/>
      <c r="F270" s="197"/>
      <c r="G270" s="197"/>
      <c r="H270" s="197"/>
      <c r="I270" s="197"/>
      <c r="J270" s="197"/>
      <c r="K270" s="197"/>
    </row>
    <row r="271" spans="1:11" ht="12.5">
      <c r="A271" s="197"/>
      <c r="B271" s="197"/>
      <c r="C271" s="197"/>
      <c r="D271" s="197"/>
      <c r="E271" s="197"/>
      <c r="F271" s="197"/>
      <c r="G271" s="197"/>
      <c r="H271" s="197"/>
      <c r="I271" s="197"/>
      <c r="J271" s="197"/>
      <c r="K271" s="197"/>
    </row>
    <row r="272" spans="1:11" ht="12.5">
      <c r="A272" s="197"/>
      <c r="B272" s="197"/>
      <c r="C272" s="197"/>
      <c r="D272" s="197"/>
      <c r="E272" s="197"/>
      <c r="F272" s="197"/>
      <c r="G272" s="197"/>
      <c r="H272" s="197"/>
      <c r="I272" s="197"/>
      <c r="J272" s="197"/>
      <c r="K272" s="197"/>
    </row>
    <row r="273" spans="1:11" ht="12.5">
      <c r="A273" s="197"/>
      <c r="B273" s="197"/>
      <c r="C273" s="197"/>
      <c r="D273" s="197"/>
      <c r="E273" s="197"/>
      <c r="F273" s="197"/>
      <c r="G273" s="197"/>
      <c r="H273" s="197"/>
      <c r="I273" s="197"/>
      <c r="J273" s="197"/>
      <c r="K273" s="197"/>
    </row>
    <row r="274" spans="1:11" ht="12.5">
      <c r="A274" s="197"/>
      <c r="B274" s="197"/>
      <c r="C274" s="197"/>
      <c r="D274" s="197"/>
      <c r="E274" s="197"/>
      <c r="F274" s="197"/>
      <c r="G274" s="197"/>
      <c r="H274" s="197"/>
      <c r="I274" s="197"/>
      <c r="J274" s="197"/>
      <c r="K274" s="197"/>
    </row>
    <row r="275" spans="1:11" ht="12.5">
      <c r="A275" s="197"/>
      <c r="B275" s="197"/>
      <c r="C275" s="197"/>
      <c r="D275" s="197"/>
      <c r="E275" s="197"/>
      <c r="F275" s="197"/>
      <c r="G275" s="197"/>
      <c r="H275" s="197"/>
      <c r="I275" s="197"/>
      <c r="J275" s="197"/>
      <c r="K275" s="197"/>
    </row>
    <row r="276" spans="1:11" ht="12.5">
      <c r="A276" s="197"/>
      <c r="B276" s="197"/>
      <c r="C276" s="197"/>
      <c r="D276" s="197"/>
      <c r="E276" s="197"/>
      <c r="F276" s="197"/>
      <c r="G276" s="197"/>
      <c r="H276" s="197"/>
      <c r="I276" s="197"/>
      <c r="J276" s="197"/>
      <c r="K276" s="197"/>
    </row>
    <row r="277" spans="1:11" ht="12.5">
      <c r="A277" s="197"/>
      <c r="B277" s="197"/>
      <c r="C277" s="197"/>
      <c r="D277" s="197"/>
      <c r="E277" s="197"/>
      <c r="F277" s="197"/>
      <c r="G277" s="197"/>
      <c r="H277" s="197"/>
      <c r="I277" s="197"/>
      <c r="J277" s="197"/>
      <c r="K277" s="197"/>
    </row>
    <row r="278" spans="1:11" ht="12.5">
      <c r="A278" s="197"/>
      <c r="B278" s="197"/>
      <c r="C278" s="197"/>
      <c r="D278" s="197"/>
      <c r="E278" s="197"/>
      <c r="F278" s="197"/>
      <c r="G278" s="197"/>
      <c r="H278" s="197"/>
      <c r="I278" s="197"/>
      <c r="J278" s="197"/>
      <c r="K278" s="197"/>
    </row>
    <row r="279" spans="1:11" ht="12.5">
      <c r="A279" s="197"/>
      <c r="B279" s="197"/>
      <c r="C279" s="197"/>
      <c r="D279" s="197"/>
      <c r="E279" s="197"/>
      <c r="F279" s="197"/>
      <c r="G279" s="197"/>
      <c r="H279" s="197"/>
      <c r="I279" s="197"/>
      <c r="J279" s="197"/>
      <c r="K279" s="197"/>
    </row>
    <row r="280" spans="1:11" ht="12.5">
      <c r="A280" s="197"/>
      <c r="B280" s="197"/>
      <c r="C280" s="197"/>
      <c r="D280" s="197"/>
      <c r="E280" s="197"/>
      <c r="F280" s="197"/>
      <c r="G280" s="197"/>
      <c r="H280" s="197"/>
      <c r="I280" s="197"/>
      <c r="J280" s="197"/>
      <c r="K280" s="197"/>
    </row>
    <row r="281" spans="1:11" ht="12.5">
      <c r="A281" s="197"/>
      <c r="B281" s="197"/>
      <c r="C281" s="197"/>
      <c r="D281" s="197"/>
      <c r="E281" s="197"/>
      <c r="F281" s="197"/>
      <c r="G281" s="197"/>
      <c r="H281" s="197"/>
      <c r="I281" s="197"/>
      <c r="J281" s="197"/>
      <c r="K281" s="197"/>
    </row>
    <row r="282" spans="1:11" ht="12.5">
      <c r="A282" s="197"/>
      <c r="B282" s="197"/>
      <c r="C282" s="197"/>
      <c r="D282" s="197"/>
      <c r="E282" s="197"/>
      <c r="F282" s="197"/>
      <c r="G282" s="197"/>
      <c r="H282" s="197"/>
      <c r="I282" s="197"/>
      <c r="J282" s="197"/>
      <c r="K282" s="197"/>
    </row>
    <row r="283" spans="1:11" ht="12.5">
      <c r="A283" s="197"/>
      <c r="B283" s="197"/>
      <c r="C283" s="197"/>
      <c r="D283" s="197"/>
      <c r="E283" s="197"/>
      <c r="F283" s="197"/>
      <c r="G283" s="197"/>
      <c r="H283" s="197"/>
      <c r="I283" s="197"/>
      <c r="J283" s="197"/>
      <c r="K283" s="197"/>
    </row>
    <row r="284" spans="1:11" ht="12.5">
      <c r="A284" s="197"/>
      <c r="B284" s="197"/>
      <c r="C284" s="197"/>
      <c r="D284" s="197"/>
      <c r="E284" s="197"/>
      <c r="F284" s="197"/>
      <c r="G284" s="197"/>
      <c r="H284" s="197"/>
      <c r="I284" s="197"/>
      <c r="J284" s="197"/>
      <c r="K284" s="197"/>
    </row>
    <row r="285" spans="1:11" ht="12.5">
      <c r="A285" s="197"/>
      <c r="B285" s="197"/>
      <c r="C285" s="197"/>
      <c r="D285" s="197"/>
      <c r="E285" s="197"/>
      <c r="F285" s="197"/>
      <c r="G285" s="197"/>
      <c r="H285" s="197"/>
      <c r="I285" s="197"/>
      <c r="J285" s="197"/>
      <c r="K285" s="197"/>
    </row>
    <row r="286" spans="1:11" ht="12.5">
      <c r="A286" s="197"/>
      <c r="B286" s="197"/>
      <c r="C286" s="197"/>
      <c r="D286" s="197"/>
      <c r="E286" s="197"/>
      <c r="F286" s="197"/>
      <c r="G286" s="197"/>
      <c r="H286" s="197"/>
      <c r="I286" s="197"/>
      <c r="J286" s="197"/>
      <c r="K286" s="197"/>
    </row>
    <row r="287" spans="1:11" ht="12.5">
      <c r="A287" s="197"/>
      <c r="B287" s="197"/>
      <c r="C287" s="197"/>
      <c r="D287" s="197"/>
      <c r="E287" s="197"/>
      <c r="F287" s="197"/>
      <c r="G287" s="197"/>
      <c r="H287" s="197"/>
      <c r="I287" s="197"/>
      <c r="J287" s="197"/>
      <c r="K287" s="197"/>
    </row>
    <row r="288" spans="1:11" ht="12.5">
      <c r="A288" s="197"/>
      <c r="B288" s="197"/>
      <c r="C288" s="197"/>
      <c r="D288" s="197"/>
      <c r="E288" s="197"/>
      <c r="F288" s="197"/>
      <c r="G288" s="197"/>
      <c r="H288" s="197"/>
      <c r="I288" s="197"/>
      <c r="J288" s="197"/>
      <c r="K288" s="197"/>
    </row>
    <row r="289" spans="1:11" ht="12.5">
      <c r="A289" s="197"/>
      <c r="B289" s="197"/>
      <c r="C289" s="197"/>
      <c r="D289" s="197"/>
      <c r="E289" s="197"/>
      <c r="F289" s="197"/>
      <c r="G289" s="197"/>
      <c r="H289" s="197"/>
      <c r="I289" s="197"/>
      <c r="J289" s="197"/>
      <c r="K289" s="197"/>
    </row>
    <row r="290" spans="1:11" ht="12.5">
      <c r="A290" s="197"/>
      <c r="B290" s="197"/>
      <c r="C290" s="197"/>
      <c r="D290" s="197"/>
      <c r="E290" s="197"/>
      <c r="F290" s="197"/>
      <c r="G290" s="197"/>
      <c r="H290" s="197"/>
      <c r="I290" s="197"/>
      <c r="J290" s="197"/>
      <c r="K290" s="197"/>
    </row>
    <row r="291" spans="1:11" ht="12.5">
      <c r="A291" s="197"/>
      <c r="B291" s="197"/>
      <c r="C291" s="197"/>
      <c r="D291" s="197"/>
      <c r="E291" s="197"/>
      <c r="F291" s="197"/>
      <c r="G291" s="197"/>
      <c r="H291" s="197"/>
      <c r="I291" s="197"/>
      <c r="J291" s="197"/>
      <c r="K291" s="197"/>
    </row>
    <row r="292" spans="1:11" ht="12.5">
      <c r="A292" s="197"/>
      <c r="B292" s="197"/>
      <c r="C292" s="197"/>
      <c r="D292" s="197"/>
      <c r="E292" s="197"/>
      <c r="F292" s="197"/>
      <c r="G292" s="197"/>
      <c r="H292" s="197"/>
      <c r="I292" s="197"/>
      <c r="J292" s="197"/>
      <c r="K292" s="197"/>
    </row>
    <row r="293" spans="1:11" ht="12.5">
      <c r="A293" s="197"/>
      <c r="B293" s="197"/>
      <c r="C293" s="197"/>
      <c r="D293" s="197"/>
      <c r="E293" s="197"/>
      <c r="F293" s="197"/>
      <c r="G293" s="197"/>
      <c r="H293" s="197"/>
      <c r="I293" s="197"/>
      <c r="J293" s="197"/>
      <c r="K293" s="197"/>
    </row>
    <row r="294" spans="1:11" ht="12.5">
      <c r="A294" s="197"/>
      <c r="B294" s="197"/>
      <c r="C294" s="197"/>
      <c r="D294" s="197"/>
      <c r="E294" s="197"/>
      <c r="F294" s="197"/>
      <c r="G294" s="197"/>
      <c r="H294" s="197"/>
      <c r="I294" s="197"/>
      <c r="J294" s="197"/>
      <c r="K294" s="197"/>
    </row>
    <row r="295" spans="1:11" ht="12.5">
      <c r="A295" s="197"/>
      <c r="B295" s="197"/>
      <c r="C295" s="197"/>
      <c r="D295" s="197"/>
      <c r="E295" s="197"/>
      <c r="F295" s="197"/>
      <c r="G295" s="197"/>
      <c r="H295" s="197"/>
      <c r="I295" s="197"/>
      <c r="J295" s="197"/>
      <c r="K295" s="197"/>
    </row>
    <row r="296" spans="1:11" ht="12.5">
      <c r="A296" s="197"/>
      <c r="B296" s="197"/>
      <c r="C296" s="197"/>
      <c r="D296" s="197"/>
      <c r="E296" s="197"/>
      <c r="F296" s="197"/>
      <c r="G296" s="197"/>
      <c r="H296" s="197"/>
      <c r="I296" s="197"/>
      <c r="J296" s="197"/>
      <c r="K296" s="197"/>
    </row>
    <row r="297" spans="1:11" ht="12.5">
      <c r="A297" s="197"/>
      <c r="B297" s="197"/>
      <c r="C297" s="197"/>
      <c r="D297" s="197"/>
      <c r="E297" s="197"/>
      <c r="F297" s="197"/>
      <c r="G297" s="197"/>
      <c r="H297" s="197"/>
      <c r="I297" s="197"/>
      <c r="J297" s="197"/>
      <c r="K297" s="197"/>
    </row>
    <row r="298" spans="1:11" ht="12.5">
      <c r="A298" s="197"/>
      <c r="B298" s="197"/>
      <c r="C298" s="197"/>
      <c r="D298" s="197"/>
      <c r="E298" s="197"/>
      <c r="F298" s="197"/>
      <c r="G298" s="197"/>
      <c r="H298" s="197"/>
      <c r="I298" s="197"/>
      <c r="J298" s="197"/>
      <c r="K298" s="197"/>
    </row>
    <row r="299" spans="1:11" ht="12.5">
      <c r="A299" s="197"/>
      <c r="B299" s="197"/>
      <c r="C299" s="197"/>
      <c r="D299" s="197"/>
      <c r="E299" s="197"/>
      <c r="F299" s="197"/>
      <c r="G299" s="197"/>
      <c r="H299" s="197"/>
      <c r="I299" s="197"/>
      <c r="J299" s="197"/>
      <c r="K299" s="197"/>
    </row>
    <row r="300" spans="1:11" ht="12.5">
      <c r="A300" s="197"/>
      <c r="B300" s="197"/>
      <c r="C300" s="197"/>
      <c r="D300" s="197"/>
      <c r="E300" s="197"/>
      <c r="F300" s="197"/>
      <c r="G300" s="197"/>
      <c r="H300" s="197"/>
      <c r="I300" s="197"/>
      <c r="J300" s="197"/>
      <c r="K300" s="197"/>
    </row>
    <row r="301" spans="1:11" ht="12.5">
      <c r="A301" s="197"/>
      <c r="B301" s="197"/>
      <c r="C301" s="197"/>
      <c r="D301" s="197"/>
      <c r="E301" s="197"/>
      <c r="F301" s="197"/>
      <c r="G301" s="197"/>
      <c r="H301" s="197"/>
      <c r="I301" s="197"/>
      <c r="J301" s="197"/>
      <c r="K301" s="197"/>
    </row>
    <row r="302" spans="1:11" ht="12.5">
      <c r="A302" s="197"/>
      <c r="B302" s="197"/>
      <c r="C302" s="197"/>
      <c r="D302" s="197"/>
      <c r="E302" s="197"/>
      <c r="F302" s="197"/>
      <c r="G302" s="197"/>
      <c r="H302" s="197"/>
      <c r="I302" s="197"/>
      <c r="J302" s="197"/>
      <c r="K302" s="197"/>
    </row>
    <row r="303" spans="1:11" ht="12.5">
      <c r="A303" s="197"/>
      <c r="B303" s="197"/>
      <c r="C303" s="197"/>
      <c r="D303" s="197"/>
      <c r="E303" s="197"/>
      <c r="F303" s="197"/>
      <c r="G303" s="197"/>
      <c r="H303" s="197"/>
      <c r="I303" s="197"/>
      <c r="J303" s="197"/>
      <c r="K303" s="197"/>
    </row>
    <row r="304" spans="1:11" ht="12.5">
      <c r="A304" s="197"/>
      <c r="B304" s="197"/>
      <c r="C304" s="197"/>
      <c r="D304" s="197"/>
      <c r="E304" s="197"/>
      <c r="F304" s="197"/>
      <c r="G304" s="197"/>
      <c r="H304" s="197"/>
      <c r="I304" s="197"/>
      <c r="J304" s="197"/>
      <c r="K304" s="197"/>
    </row>
    <row r="305" spans="1:11" ht="12.5">
      <c r="A305" s="197"/>
      <c r="B305" s="197"/>
      <c r="C305" s="197"/>
      <c r="D305" s="197"/>
      <c r="E305" s="197"/>
      <c r="F305" s="197"/>
      <c r="G305" s="197"/>
      <c r="H305" s="197"/>
      <c r="I305" s="197"/>
      <c r="J305" s="197"/>
      <c r="K305" s="197"/>
    </row>
    <row r="306" spans="1:11" ht="12.5">
      <c r="A306" s="197"/>
      <c r="B306" s="197"/>
      <c r="C306" s="197"/>
      <c r="D306" s="197"/>
      <c r="E306" s="197"/>
      <c r="F306" s="197"/>
      <c r="G306" s="197"/>
      <c r="H306" s="197"/>
      <c r="I306" s="197"/>
      <c r="J306" s="197"/>
      <c r="K306" s="197"/>
    </row>
    <row r="307" spans="1:11" ht="12.5">
      <c r="A307" s="197"/>
      <c r="B307" s="197"/>
      <c r="C307" s="197"/>
      <c r="D307" s="197"/>
      <c r="E307" s="197"/>
      <c r="F307" s="197"/>
      <c r="G307" s="197"/>
      <c r="H307" s="197"/>
      <c r="I307" s="197"/>
      <c r="J307" s="197"/>
      <c r="K307" s="197"/>
    </row>
    <row r="308" spans="1:11" ht="12.5">
      <c r="A308" s="197"/>
      <c r="B308" s="197"/>
      <c r="C308" s="197"/>
      <c r="D308" s="197"/>
      <c r="E308" s="197"/>
      <c r="F308" s="197"/>
      <c r="G308" s="197"/>
      <c r="H308" s="197"/>
      <c r="I308" s="197"/>
      <c r="J308" s="197"/>
      <c r="K308" s="197"/>
    </row>
    <row r="309" spans="1:11" ht="12.5">
      <c r="A309" s="197"/>
      <c r="B309" s="197"/>
      <c r="C309" s="197"/>
      <c r="D309" s="197"/>
      <c r="E309" s="197"/>
      <c r="F309" s="197"/>
      <c r="G309" s="197"/>
      <c r="H309" s="197"/>
      <c r="I309" s="197"/>
      <c r="J309" s="197"/>
      <c r="K309" s="197"/>
    </row>
    <row r="310" spans="1:11" ht="12.5">
      <c r="A310" s="197"/>
      <c r="B310" s="197"/>
      <c r="C310" s="197"/>
      <c r="D310" s="197"/>
      <c r="E310" s="197"/>
      <c r="F310" s="197"/>
      <c r="G310" s="197"/>
      <c r="H310" s="197"/>
      <c r="I310" s="197"/>
      <c r="J310" s="197"/>
      <c r="K310" s="197"/>
    </row>
    <row r="311" spans="1:11" ht="12.5">
      <c r="A311" s="197"/>
      <c r="B311" s="197"/>
      <c r="C311" s="197"/>
      <c r="D311" s="197"/>
      <c r="E311" s="197"/>
      <c r="F311" s="197"/>
      <c r="G311" s="197"/>
      <c r="H311" s="197"/>
      <c r="I311" s="197"/>
      <c r="J311" s="197"/>
      <c r="K311" s="197"/>
    </row>
    <row r="312" spans="1:11" ht="12.5">
      <c r="A312" s="197"/>
      <c r="B312" s="197"/>
      <c r="C312" s="197"/>
      <c r="D312" s="197"/>
      <c r="E312" s="197"/>
      <c r="F312" s="197"/>
      <c r="G312" s="197"/>
      <c r="H312" s="197"/>
      <c r="I312" s="197"/>
      <c r="J312" s="197"/>
      <c r="K312" s="197"/>
    </row>
    <row r="313" spans="1:11" ht="12.5">
      <c r="A313" s="197"/>
      <c r="B313" s="197"/>
      <c r="C313" s="197"/>
      <c r="D313" s="197"/>
      <c r="E313" s="197"/>
      <c r="F313" s="197"/>
      <c r="G313" s="197"/>
      <c r="H313" s="197"/>
      <c r="I313" s="197"/>
      <c r="J313" s="197"/>
      <c r="K313" s="197"/>
    </row>
    <row r="314" spans="1:11" ht="12.5">
      <c r="A314" s="197"/>
      <c r="B314" s="197"/>
      <c r="C314" s="197"/>
      <c r="D314" s="197"/>
      <c r="E314" s="197"/>
      <c r="F314" s="197"/>
      <c r="G314" s="197"/>
      <c r="H314" s="197"/>
      <c r="I314" s="197"/>
      <c r="J314" s="197"/>
      <c r="K314" s="197"/>
    </row>
    <row r="315" spans="1:11" ht="12.5">
      <c r="A315" s="197"/>
      <c r="B315" s="197"/>
      <c r="C315" s="197"/>
      <c r="D315" s="197"/>
      <c r="E315" s="197"/>
      <c r="F315" s="197"/>
      <c r="G315" s="197"/>
      <c r="H315" s="197"/>
      <c r="I315" s="197"/>
      <c r="J315" s="197"/>
      <c r="K315" s="197"/>
    </row>
    <row r="316" spans="1:11" ht="12.5">
      <c r="A316" s="197"/>
      <c r="B316" s="197"/>
      <c r="C316" s="197"/>
      <c r="D316" s="197"/>
      <c r="E316" s="197"/>
      <c r="F316" s="197"/>
      <c r="G316" s="197"/>
      <c r="H316" s="197"/>
      <c r="I316" s="197"/>
      <c r="J316" s="197"/>
      <c r="K316" s="197"/>
    </row>
    <row r="317" spans="1:11" ht="12.5">
      <c r="A317" s="197"/>
      <c r="B317" s="197"/>
      <c r="C317" s="197"/>
      <c r="D317" s="197"/>
      <c r="E317" s="197"/>
      <c r="F317" s="197"/>
      <c r="G317" s="197"/>
      <c r="H317" s="197"/>
      <c r="I317" s="197"/>
      <c r="J317" s="197"/>
      <c r="K317" s="197"/>
    </row>
    <row r="318" spans="1:11" ht="12.5">
      <c r="A318" s="197"/>
      <c r="B318" s="197"/>
      <c r="C318" s="197"/>
      <c r="D318" s="197"/>
      <c r="E318" s="197"/>
      <c r="F318" s="197"/>
      <c r="G318" s="197"/>
      <c r="H318" s="197"/>
      <c r="I318" s="197"/>
      <c r="J318" s="197"/>
      <c r="K318" s="197"/>
    </row>
    <row r="319" spans="1:11" ht="12.5">
      <c r="A319" s="197"/>
      <c r="B319" s="197"/>
      <c r="C319" s="197"/>
      <c r="D319" s="197"/>
      <c r="E319" s="197"/>
      <c r="F319" s="197"/>
      <c r="G319" s="197"/>
      <c r="H319" s="197"/>
      <c r="I319" s="197"/>
      <c r="J319" s="197"/>
      <c r="K319" s="197"/>
    </row>
    <row r="320" spans="1:11" ht="12.5">
      <c r="A320" s="197"/>
      <c r="B320" s="197"/>
      <c r="C320" s="197"/>
      <c r="D320" s="197"/>
      <c r="E320" s="197"/>
      <c r="F320" s="197"/>
      <c r="G320" s="197"/>
      <c r="H320" s="197"/>
      <c r="I320" s="197"/>
      <c r="J320" s="197"/>
      <c r="K320" s="197"/>
    </row>
    <row r="321" spans="1:11" ht="12.5">
      <c r="A321" s="197"/>
      <c r="B321" s="197"/>
      <c r="C321" s="197"/>
      <c r="D321" s="197"/>
      <c r="E321" s="197"/>
      <c r="F321" s="197"/>
      <c r="G321" s="197"/>
      <c r="H321" s="197"/>
      <c r="I321" s="197"/>
      <c r="J321" s="197"/>
      <c r="K321" s="197"/>
    </row>
    <row r="322" spans="1:11" ht="12.5">
      <c r="A322" s="197"/>
      <c r="B322" s="197"/>
      <c r="C322" s="197"/>
      <c r="D322" s="197"/>
      <c r="E322" s="197"/>
      <c r="F322" s="197"/>
      <c r="G322" s="197"/>
      <c r="H322" s="197"/>
      <c r="I322" s="197"/>
      <c r="J322" s="197"/>
      <c r="K322" s="197"/>
    </row>
    <row r="323" spans="1:11" ht="12.5">
      <c r="A323" s="197"/>
      <c r="B323" s="197"/>
      <c r="C323" s="197"/>
      <c r="D323" s="197"/>
      <c r="E323" s="197"/>
      <c r="F323" s="197"/>
      <c r="G323" s="197"/>
      <c r="H323" s="197"/>
      <c r="I323" s="197"/>
      <c r="J323" s="197"/>
      <c r="K323" s="197"/>
    </row>
    <row r="324" spans="1:11" ht="12.5">
      <c r="A324" s="197"/>
      <c r="B324" s="197"/>
      <c r="C324" s="197"/>
      <c r="D324" s="197"/>
      <c r="E324" s="197"/>
      <c r="F324" s="197"/>
      <c r="G324" s="197"/>
      <c r="H324" s="197"/>
      <c r="I324" s="197"/>
      <c r="J324" s="197"/>
      <c r="K324" s="197"/>
    </row>
    <row r="325" spans="1:11" ht="12.5">
      <c r="A325" s="197"/>
      <c r="B325" s="197"/>
      <c r="C325" s="197"/>
      <c r="D325" s="197"/>
      <c r="E325" s="197"/>
      <c r="F325" s="197"/>
      <c r="G325" s="197"/>
      <c r="H325" s="197"/>
      <c r="I325" s="197"/>
      <c r="J325" s="197"/>
      <c r="K325" s="197"/>
    </row>
    <row r="326" spans="1:11" ht="12.5">
      <c r="A326" s="197"/>
      <c r="B326" s="197"/>
      <c r="C326" s="197"/>
      <c r="D326" s="197"/>
      <c r="E326" s="197"/>
      <c r="F326" s="197"/>
      <c r="G326" s="197"/>
      <c r="H326" s="197"/>
      <c r="I326" s="197"/>
      <c r="J326" s="197"/>
      <c r="K326" s="197"/>
    </row>
    <row r="327" spans="1:11" ht="12.5">
      <c r="A327" s="197"/>
      <c r="B327" s="197"/>
      <c r="C327" s="197"/>
      <c r="D327" s="197"/>
      <c r="E327" s="197"/>
      <c r="F327" s="197"/>
      <c r="G327" s="197"/>
      <c r="H327" s="197"/>
      <c r="I327" s="197"/>
      <c r="J327" s="197"/>
      <c r="K327" s="197"/>
    </row>
    <row r="328" spans="1:11" ht="12.5">
      <c r="A328" s="197"/>
      <c r="B328" s="197"/>
      <c r="C328" s="197"/>
      <c r="D328" s="197"/>
      <c r="E328" s="197"/>
      <c r="F328" s="197"/>
      <c r="G328" s="197"/>
      <c r="H328" s="197"/>
      <c r="I328" s="197"/>
      <c r="J328" s="197"/>
      <c r="K328" s="197"/>
    </row>
    <row r="329" spans="1:11" ht="12.5">
      <c r="A329" s="197"/>
      <c r="B329" s="197"/>
      <c r="C329" s="197"/>
      <c r="D329" s="197"/>
      <c r="E329" s="197"/>
      <c r="F329" s="197"/>
      <c r="G329" s="197"/>
      <c r="H329" s="197"/>
      <c r="I329" s="197"/>
      <c r="J329" s="197"/>
      <c r="K329" s="197"/>
    </row>
    <row r="330" spans="1:11" ht="12.5">
      <c r="A330" s="197"/>
      <c r="B330" s="197"/>
      <c r="C330" s="197"/>
      <c r="D330" s="197"/>
      <c r="E330" s="197"/>
      <c r="F330" s="197"/>
      <c r="G330" s="197"/>
      <c r="H330" s="197"/>
      <c r="I330" s="197"/>
      <c r="J330" s="197"/>
      <c r="K330" s="197"/>
    </row>
    <row r="331" spans="1:11" ht="12.5">
      <c r="A331" s="197"/>
      <c r="B331" s="197"/>
      <c r="C331" s="197"/>
      <c r="D331" s="197"/>
      <c r="E331" s="197"/>
      <c r="F331" s="197"/>
      <c r="G331" s="197"/>
      <c r="H331" s="197"/>
      <c r="I331" s="197"/>
      <c r="J331" s="197"/>
      <c r="K331" s="197"/>
    </row>
    <row r="332" spans="1:11" ht="12.5">
      <c r="A332" s="197"/>
      <c r="B332" s="197"/>
      <c r="C332" s="197"/>
      <c r="D332" s="197"/>
      <c r="E332" s="197"/>
      <c r="F332" s="197"/>
      <c r="G332" s="197"/>
      <c r="H332" s="197"/>
      <c r="I332" s="197"/>
      <c r="J332" s="197"/>
      <c r="K332" s="197"/>
    </row>
    <row r="333" spans="1:11" ht="12.5">
      <c r="A333" s="197"/>
      <c r="B333" s="197"/>
      <c r="C333" s="197"/>
      <c r="D333" s="197"/>
      <c r="E333" s="197"/>
      <c r="F333" s="197"/>
      <c r="G333" s="197"/>
      <c r="H333" s="197"/>
      <c r="I333" s="197"/>
      <c r="J333" s="197"/>
      <c r="K333" s="197"/>
    </row>
    <row r="334" spans="1:11" ht="12.5">
      <c r="A334" s="197"/>
      <c r="B334" s="197"/>
      <c r="C334" s="197"/>
      <c r="D334" s="197"/>
      <c r="E334" s="197"/>
      <c r="F334" s="197"/>
      <c r="G334" s="197"/>
      <c r="H334" s="197"/>
      <c r="I334" s="197"/>
      <c r="J334" s="197"/>
      <c r="K334" s="197"/>
    </row>
    <row r="335" spans="1:11" ht="12.5">
      <c r="A335" s="197"/>
      <c r="B335" s="197"/>
      <c r="C335" s="197"/>
      <c r="D335" s="197"/>
      <c r="E335" s="197"/>
      <c r="F335" s="197"/>
      <c r="G335" s="197"/>
      <c r="H335" s="197"/>
      <c r="I335" s="197"/>
      <c r="J335" s="197"/>
      <c r="K335" s="197"/>
    </row>
    <row r="336" spans="1:11" ht="12.5">
      <c r="A336" s="197"/>
      <c r="B336" s="197"/>
      <c r="C336" s="197"/>
      <c r="D336" s="197"/>
      <c r="E336" s="197"/>
      <c r="F336" s="197"/>
      <c r="G336" s="197"/>
      <c r="H336" s="197"/>
      <c r="I336" s="197"/>
      <c r="J336" s="197"/>
      <c r="K336" s="197"/>
    </row>
    <row r="337" spans="1:11" ht="12.5">
      <c r="A337" s="197"/>
      <c r="B337" s="197"/>
      <c r="C337" s="197"/>
      <c r="D337" s="197"/>
      <c r="E337" s="197"/>
      <c r="F337" s="197"/>
      <c r="G337" s="197"/>
      <c r="H337" s="197"/>
      <c r="I337" s="197"/>
      <c r="J337" s="197"/>
      <c r="K337" s="197"/>
    </row>
    <row r="338" spans="1:11" ht="12.5">
      <c r="A338" s="197"/>
      <c r="B338" s="197"/>
      <c r="C338" s="197"/>
      <c r="D338" s="197"/>
      <c r="E338" s="197"/>
      <c r="F338" s="197"/>
      <c r="G338" s="197"/>
      <c r="H338" s="197"/>
      <c r="I338" s="197"/>
      <c r="J338" s="197"/>
      <c r="K338" s="197"/>
    </row>
    <row r="339" spans="1:11" ht="12.5">
      <c r="A339" s="197"/>
      <c r="B339" s="197"/>
      <c r="C339" s="197"/>
      <c r="D339" s="197"/>
      <c r="E339" s="197"/>
      <c r="F339" s="197"/>
      <c r="G339" s="197"/>
      <c r="H339" s="197"/>
      <c r="I339" s="197"/>
      <c r="J339" s="197"/>
      <c r="K339" s="197"/>
    </row>
    <row r="340" spans="1:11" ht="12.5">
      <c r="A340" s="197"/>
      <c r="B340" s="197"/>
      <c r="C340" s="197"/>
      <c r="D340" s="197"/>
      <c r="E340" s="197"/>
      <c r="F340" s="197"/>
      <c r="G340" s="197"/>
      <c r="H340" s="197"/>
      <c r="I340" s="197"/>
      <c r="J340" s="197"/>
      <c r="K340" s="197"/>
    </row>
    <row r="341" spans="1:11" ht="12.5">
      <c r="A341" s="197"/>
      <c r="B341" s="197"/>
      <c r="C341" s="197"/>
      <c r="D341" s="197"/>
      <c r="E341" s="197"/>
      <c r="F341" s="197"/>
      <c r="G341" s="197"/>
      <c r="H341" s="197"/>
      <c r="I341" s="197"/>
      <c r="J341" s="197"/>
      <c r="K341" s="197"/>
    </row>
    <row r="342" spans="1:11" ht="12.5">
      <c r="A342" s="197"/>
      <c r="B342" s="197"/>
      <c r="C342" s="197"/>
      <c r="D342" s="197"/>
      <c r="E342" s="197"/>
      <c r="F342" s="197"/>
      <c r="G342" s="197"/>
      <c r="H342" s="197"/>
      <c r="I342" s="197"/>
      <c r="J342" s="197"/>
      <c r="K342" s="197"/>
    </row>
    <row r="343" spans="1:11" ht="12.5">
      <c r="A343" s="197"/>
      <c r="B343" s="197"/>
      <c r="C343" s="197"/>
      <c r="D343" s="197"/>
      <c r="E343" s="197"/>
      <c r="F343" s="197"/>
      <c r="G343" s="197"/>
      <c r="H343" s="197"/>
      <c r="I343" s="197"/>
      <c r="J343" s="197"/>
      <c r="K343" s="197"/>
    </row>
    <row r="344" spans="1:11" ht="12.5">
      <c r="A344" s="197"/>
      <c r="B344" s="197"/>
      <c r="C344" s="197"/>
      <c r="D344" s="197"/>
      <c r="E344" s="197"/>
      <c r="F344" s="197"/>
      <c r="G344" s="197"/>
      <c r="H344" s="197"/>
      <c r="I344" s="197"/>
      <c r="J344" s="197"/>
      <c r="K344" s="197"/>
    </row>
    <row r="345" spans="1:11" ht="12.5">
      <c r="A345" s="197"/>
      <c r="B345" s="197"/>
      <c r="C345" s="197"/>
      <c r="D345" s="197"/>
      <c r="E345" s="197"/>
      <c r="F345" s="197"/>
      <c r="G345" s="197"/>
      <c r="H345" s="197"/>
      <c r="I345" s="197"/>
      <c r="J345" s="197"/>
      <c r="K345" s="197"/>
    </row>
    <row r="346" spans="1:11" ht="12.5">
      <c r="A346" s="197"/>
      <c r="B346" s="197"/>
      <c r="C346" s="197"/>
      <c r="D346" s="197"/>
      <c r="E346" s="197"/>
      <c r="F346" s="197"/>
      <c r="G346" s="197"/>
      <c r="H346" s="197"/>
      <c r="I346" s="197"/>
      <c r="J346" s="197"/>
      <c r="K346" s="197"/>
    </row>
    <row r="347" spans="1:11" ht="12.5">
      <c r="A347" s="197"/>
      <c r="B347" s="197"/>
      <c r="C347" s="197"/>
      <c r="D347" s="197"/>
      <c r="E347" s="197"/>
      <c r="F347" s="197"/>
      <c r="G347" s="197"/>
      <c r="H347" s="197"/>
      <c r="I347" s="197"/>
      <c r="J347" s="197"/>
      <c r="K347" s="197"/>
    </row>
    <row r="348" spans="1:11" ht="12.5">
      <c r="A348" s="197"/>
      <c r="B348" s="197"/>
      <c r="C348" s="197"/>
      <c r="D348" s="197"/>
      <c r="E348" s="197"/>
      <c r="F348" s="197"/>
      <c r="G348" s="197"/>
      <c r="H348" s="197"/>
      <c r="I348" s="197"/>
      <c r="J348" s="197"/>
      <c r="K348" s="197"/>
    </row>
    <row r="349" spans="1:11" ht="12.5">
      <c r="A349" s="197"/>
      <c r="B349" s="197"/>
      <c r="C349" s="197"/>
      <c r="D349" s="197"/>
      <c r="E349" s="197"/>
      <c r="F349" s="197"/>
      <c r="G349" s="197"/>
      <c r="H349" s="197"/>
      <c r="I349" s="197"/>
      <c r="J349" s="197"/>
      <c r="K349" s="197"/>
    </row>
    <row r="350" spans="1:11" ht="12.5">
      <c r="A350" s="197"/>
      <c r="B350" s="197"/>
      <c r="C350" s="197"/>
      <c r="D350" s="197"/>
      <c r="E350" s="197"/>
      <c r="F350" s="197"/>
      <c r="G350" s="197"/>
      <c r="H350" s="197"/>
      <c r="I350" s="197"/>
      <c r="J350" s="197"/>
      <c r="K350" s="197"/>
    </row>
    <row r="351" spans="1:11" ht="12.5">
      <c r="A351" s="197"/>
      <c r="B351" s="197"/>
      <c r="C351" s="197"/>
      <c r="D351" s="197"/>
      <c r="E351" s="197"/>
      <c r="F351" s="197"/>
      <c r="G351" s="197"/>
      <c r="H351" s="197"/>
      <c r="I351" s="197"/>
      <c r="J351" s="197"/>
      <c r="K351" s="197"/>
    </row>
    <row r="352" spans="1:11" ht="12.5">
      <c r="A352" s="197"/>
      <c r="B352" s="197"/>
      <c r="C352" s="197"/>
      <c r="D352" s="197"/>
      <c r="E352" s="197"/>
      <c r="F352" s="197"/>
      <c r="G352" s="197"/>
      <c r="H352" s="197"/>
      <c r="I352" s="197"/>
      <c r="J352" s="197"/>
      <c r="K352" s="197"/>
    </row>
    <row r="353" spans="1:11" ht="12.5">
      <c r="A353" s="197"/>
      <c r="B353" s="197"/>
      <c r="C353" s="197"/>
      <c r="D353" s="197"/>
      <c r="E353" s="197"/>
      <c r="F353" s="197"/>
      <c r="G353" s="197"/>
      <c r="H353" s="197"/>
      <c r="I353" s="197"/>
      <c r="J353" s="197"/>
      <c r="K353" s="197"/>
    </row>
    <row r="354" spans="1:11" ht="12.5">
      <c r="A354" s="197"/>
      <c r="B354" s="197"/>
      <c r="C354" s="197"/>
      <c r="D354" s="197"/>
      <c r="E354" s="197"/>
      <c r="F354" s="197"/>
      <c r="G354" s="197"/>
      <c r="H354" s="197"/>
      <c r="I354" s="197"/>
      <c r="J354" s="197"/>
      <c r="K354" s="197"/>
    </row>
    <row r="355" spans="1:11" ht="12.5">
      <c r="A355" s="197"/>
      <c r="B355" s="197"/>
      <c r="C355" s="197"/>
      <c r="D355" s="197"/>
      <c r="E355" s="197"/>
      <c r="F355" s="197"/>
      <c r="G355" s="197"/>
      <c r="H355" s="197"/>
      <c r="I355" s="197"/>
      <c r="J355" s="197"/>
      <c r="K355" s="197"/>
    </row>
    <row r="356" spans="1:11" ht="12.5">
      <c r="A356" s="197"/>
      <c r="B356" s="197"/>
      <c r="C356" s="197"/>
      <c r="D356" s="197"/>
      <c r="E356" s="197"/>
      <c r="F356" s="197"/>
      <c r="G356" s="197"/>
      <c r="H356" s="197"/>
      <c r="I356" s="197"/>
      <c r="J356" s="197"/>
      <c r="K356" s="197"/>
    </row>
    <row r="357" spans="1:11" ht="12.5">
      <c r="A357" s="197"/>
      <c r="B357" s="197"/>
      <c r="C357" s="197"/>
      <c r="D357" s="197"/>
      <c r="E357" s="197"/>
      <c r="F357" s="197"/>
      <c r="G357" s="197"/>
      <c r="H357" s="197"/>
      <c r="I357" s="197"/>
      <c r="J357" s="197"/>
      <c r="K357" s="197"/>
    </row>
    <row r="358" spans="1:11" ht="12.5">
      <c r="A358" s="197"/>
      <c r="B358" s="197"/>
      <c r="C358" s="197"/>
      <c r="D358" s="197"/>
      <c r="E358" s="197"/>
      <c r="F358" s="197"/>
      <c r="G358" s="197"/>
      <c r="H358" s="197"/>
      <c r="I358" s="197"/>
      <c r="J358" s="197"/>
      <c r="K358" s="197"/>
    </row>
    <row r="359" spans="1:11" ht="12.5">
      <c r="A359" s="197"/>
      <c r="B359" s="197"/>
      <c r="C359" s="197"/>
      <c r="D359" s="197"/>
      <c r="E359" s="197"/>
      <c r="F359" s="197"/>
      <c r="G359" s="197"/>
      <c r="H359" s="197"/>
      <c r="I359" s="197"/>
      <c r="J359" s="197"/>
      <c r="K359" s="197"/>
    </row>
    <row r="360" spans="1:11" ht="12.5">
      <c r="A360" s="197"/>
      <c r="B360" s="197"/>
      <c r="C360" s="197"/>
      <c r="D360" s="197"/>
      <c r="E360" s="197"/>
      <c r="F360" s="197"/>
      <c r="G360" s="197"/>
      <c r="H360" s="197"/>
      <c r="I360" s="197"/>
      <c r="J360" s="197"/>
      <c r="K360" s="197"/>
    </row>
    <row r="361" spans="1:11" ht="12.5">
      <c r="A361" s="197"/>
      <c r="B361" s="197"/>
      <c r="C361" s="197"/>
      <c r="D361" s="197"/>
      <c r="E361" s="197"/>
      <c r="F361" s="197"/>
      <c r="G361" s="197"/>
      <c r="H361" s="197"/>
      <c r="I361" s="197"/>
      <c r="J361" s="197"/>
      <c r="K361" s="197"/>
    </row>
    <row r="362" spans="1:11" ht="12.5">
      <c r="A362" s="197"/>
      <c r="B362" s="197"/>
      <c r="C362" s="197"/>
      <c r="D362" s="197"/>
      <c r="E362" s="197"/>
      <c r="F362" s="197"/>
      <c r="G362" s="197"/>
      <c r="H362" s="197"/>
      <c r="I362" s="197"/>
      <c r="J362" s="197"/>
      <c r="K362" s="197"/>
    </row>
    <row r="363" spans="1:11" ht="12.5">
      <c r="A363" s="197"/>
      <c r="B363" s="197"/>
      <c r="C363" s="197"/>
      <c r="D363" s="197"/>
      <c r="E363" s="197"/>
      <c r="F363" s="197"/>
      <c r="G363" s="197"/>
      <c r="H363" s="197"/>
      <c r="I363" s="197"/>
      <c r="J363" s="197"/>
      <c r="K363" s="197"/>
    </row>
    <row r="364" spans="1:11" ht="12.5">
      <c r="A364" s="197"/>
      <c r="B364" s="197"/>
      <c r="C364" s="197"/>
      <c r="D364" s="197"/>
      <c r="E364" s="197"/>
      <c r="F364" s="197"/>
      <c r="G364" s="197"/>
      <c r="H364" s="197"/>
      <c r="I364" s="197"/>
      <c r="J364" s="197"/>
      <c r="K364" s="197"/>
    </row>
    <row r="365" spans="1:11" ht="12.5">
      <c r="A365" s="197"/>
      <c r="B365" s="197"/>
      <c r="C365" s="197"/>
      <c r="D365" s="197"/>
      <c r="E365" s="197"/>
      <c r="F365" s="197"/>
      <c r="G365" s="197"/>
      <c r="H365" s="197"/>
      <c r="I365" s="197"/>
      <c r="J365" s="197"/>
      <c r="K365" s="197"/>
    </row>
    <row r="366" spans="1:11" ht="12.5">
      <c r="A366" s="197"/>
      <c r="B366" s="197"/>
      <c r="C366" s="197"/>
      <c r="D366" s="197"/>
      <c r="E366" s="197"/>
      <c r="F366" s="197"/>
      <c r="G366" s="197"/>
      <c r="H366" s="197"/>
      <c r="I366" s="197"/>
      <c r="J366" s="197"/>
      <c r="K366" s="197"/>
    </row>
    <row r="367" spans="1:11" ht="12.5">
      <c r="A367" s="197"/>
      <c r="B367" s="197"/>
      <c r="C367" s="197"/>
      <c r="D367" s="197"/>
      <c r="E367" s="197"/>
      <c r="F367" s="197"/>
      <c r="G367" s="197"/>
      <c r="H367" s="197"/>
      <c r="I367" s="197"/>
      <c r="J367" s="197"/>
      <c r="K367" s="197"/>
    </row>
    <row r="368" spans="1:11" ht="12.5">
      <c r="A368" s="197"/>
      <c r="B368" s="197"/>
      <c r="C368" s="197"/>
      <c r="D368" s="197"/>
      <c r="E368" s="197"/>
      <c r="F368" s="197"/>
      <c r="G368" s="197"/>
      <c r="H368" s="197"/>
      <c r="I368" s="197"/>
      <c r="J368" s="197"/>
      <c r="K368" s="197"/>
    </row>
    <row r="369" spans="1:11" ht="12.5">
      <c r="A369" s="197"/>
      <c r="B369" s="197"/>
      <c r="C369" s="197"/>
      <c r="D369" s="197"/>
      <c r="E369" s="197"/>
      <c r="F369" s="197"/>
      <c r="G369" s="197"/>
      <c r="H369" s="197"/>
      <c r="I369" s="197"/>
      <c r="J369" s="197"/>
      <c r="K369" s="197"/>
    </row>
    <row r="370" spans="1:11" ht="12.5">
      <c r="A370" s="197"/>
      <c r="B370" s="197"/>
      <c r="C370" s="197"/>
      <c r="D370" s="197"/>
      <c r="E370" s="197"/>
      <c r="F370" s="197"/>
      <c r="G370" s="197"/>
      <c r="H370" s="197"/>
      <c r="I370" s="197"/>
      <c r="J370" s="197"/>
      <c r="K370" s="197"/>
    </row>
    <row r="371" spans="1:11" ht="12.5">
      <c r="A371" s="197"/>
      <c r="B371" s="197"/>
      <c r="C371" s="197"/>
      <c r="D371" s="197"/>
      <c r="E371" s="197"/>
      <c r="F371" s="197"/>
      <c r="G371" s="197"/>
      <c r="H371" s="197"/>
      <c r="I371" s="197"/>
      <c r="J371" s="197"/>
      <c r="K371" s="197"/>
    </row>
    <row r="372" spans="1:11" ht="12.5">
      <c r="A372" s="197"/>
      <c r="B372" s="197"/>
      <c r="C372" s="197"/>
      <c r="D372" s="197"/>
      <c r="E372" s="197"/>
      <c r="F372" s="197"/>
      <c r="G372" s="197"/>
      <c r="H372" s="197"/>
      <c r="I372" s="197"/>
      <c r="J372" s="197"/>
      <c r="K372" s="197"/>
    </row>
    <row r="373" spans="1:11" ht="12.5">
      <c r="A373" s="197"/>
      <c r="B373" s="197"/>
      <c r="C373" s="197"/>
      <c r="D373" s="197"/>
      <c r="E373" s="197"/>
      <c r="F373" s="197"/>
      <c r="G373" s="197"/>
      <c r="H373" s="197"/>
      <c r="I373" s="197"/>
      <c r="J373" s="197"/>
      <c r="K373" s="197"/>
    </row>
    <row r="374" spans="1:11" ht="12.5">
      <c r="A374" s="197"/>
      <c r="B374" s="197"/>
      <c r="C374" s="197"/>
      <c r="D374" s="197"/>
      <c r="E374" s="197"/>
      <c r="F374" s="197"/>
      <c r="G374" s="197"/>
      <c r="H374" s="197"/>
      <c r="I374" s="197"/>
      <c r="J374" s="197"/>
      <c r="K374" s="197"/>
    </row>
    <row r="375" spans="1:11" ht="12.5">
      <c r="A375" s="197"/>
      <c r="B375" s="197"/>
      <c r="C375" s="197"/>
      <c r="D375" s="197"/>
      <c r="E375" s="197"/>
      <c r="F375" s="197"/>
      <c r="G375" s="197"/>
      <c r="H375" s="197"/>
      <c r="I375" s="197"/>
      <c r="J375" s="197"/>
      <c r="K375" s="197"/>
    </row>
    <row r="376" spans="1:11" ht="12.5">
      <c r="A376" s="197"/>
      <c r="B376" s="197"/>
      <c r="C376" s="197"/>
      <c r="D376" s="197"/>
      <c r="E376" s="197"/>
      <c r="F376" s="197"/>
      <c r="G376" s="197"/>
      <c r="H376" s="197"/>
      <c r="I376" s="197"/>
      <c r="J376" s="197"/>
      <c r="K376" s="197"/>
    </row>
    <row r="377" spans="1:11" ht="12.5">
      <c r="A377" s="197"/>
      <c r="B377" s="197"/>
      <c r="C377" s="197"/>
      <c r="D377" s="197"/>
      <c r="E377" s="197"/>
      <c r="F377" s="197"/>
      <c r="G377" s="197"/>
      <c r="H377" s="197"/>
      <c r="I377" s="197"/>
      <c r="J377" s="197"/>
      <c r="K377" s="197"/>
    </row>
    <row r="378" spans="1:11" ht="12.5">
      <c r="A378" s="197"/>
      <c r="B378" s="197"/>
      <c r="C378" s="197"/>
      <c r="D378" s="197"/>
      <c r="E378" s="197"/>
      <c r="F378" s="197"/>
      <c r="G378" s="197"/>
      <c r="H378" s="197"/>
      <c r="I378" s="197"/>
      <c r="J378" s="197"/>
      <c r="K378" s="197"/>
    </row>
    <row r="379" spans="1:11" ht="12.5">
      <c r="A379" s="197"/>
      <c r="B379" s="197"/>
      <c r="C379" s="197"/>
      <c r="D379" s="197"/>
      <c r="E379" s="197"/>
      <c r="F379" s="197"/>
      <c r="G379" s="197"/>
      <c r="H379" s="197"/>
      <c r="I379" s="197"/>
      <c r="J379" s="197"/>
      <c r="K379" s="197"/>
    </row>
    <row r="380" spans="1:11" ht="12.5">
      <c r="A380" s="197"/>
      <c r="B380" s="197"/>
      <c r="C380" s="197"/>
      <c r="D380" s="197"/>
      <c r="E380" s="197"/>
      <c r="F380" s="197"/>
      <c r="G380" s="197"/>
      <c r="H380" s="197"/>
      <c r="I380" s="197"/>
      <c r="J380" s="197"/>
      <c r="K380" s="197"/>
    </row>
    <row r="381" spans="1:11" ht="12.5">
      <c r="A381" s="197"/>
      <c r="B381" s="197"/>
      <c r="C381" s="197"/>
      <c r="D381" s="197"/>
      <c r="E381" s="197"/>
      <c r="F381" s="197"/>
      <c r="G381" s="197"/>
      <c r="H381" s="197"/>
      <c r="I381" s="197"/>
      <c r="J381" s="197"/>
      <c r="K381" s="197"/>
    </row>
    <row r="382" spans="1:11" ht="12.5">
      <c r="A382" s="197"/>
      <c r="B382" s="197"/>
      <c r="C382" s="197"/>
      <c r="D382" s="197"/>
      <c r="E382" s="197"/>
      <c r="F382" s="197"/>
      <c r="G382" s="197"/>
      <c r="H382" s="197"/>
      <c r="I382" s="197"/>
      <c r="J382" s="197"/>
      <c r="K382" s="197"/>
    </row>
    <row r="383" spans="1:11" ht="12.5">
      <c r="A383" s="197"/>
      <c r="B383" s="197"/>
      <c r="C383" s="197"/>
      <c r="D383" s="197"/>
      <c r="E383" s="197"/>
      <c r="F383" s="197"/>
      <c r="G383" s="197"/>
      <c r="H383" s="197"/>
      <c r="I383" s="197"/>
      <c r="J383" s="197"/>
      <c r="K383" s="197"/>
    </row>
    <row r="384" spans="1:11" ht="12.5">
      <c r="A384" s="197"/>
      <c r="B384" s="197"/>
      <c r="C384" s="197"/>
      <c r="D384" s="197"/>
      <c r="E384" s="197"/>
      <c r="F384" s="197"/>
      <c r="G384" s="197"/>
      <c r="H384" s="197"/>
      <c r="I384" s="197"/>
      <c r="J384" s="197"/>
      <c r="K384" s="197"/>
    </row>
    <row r="385" spans="1:11" ht="12.5">
      <c r="A385" s="197"/>
      <c r="B385" s="197"/>
      <c r="C385" s="197"/>
      <c r="D385" s="197"/>
      <c r="E385" s="197"/>
      <c r="F385" s="197"/>
      <c r="G385" s="197"/>
      <c r="H385" s="197"/>
      <c r="I385" s="197"/>
      <c r="J385" s="197"/>
      <c r="K385" s="197"/>
    </row>
    <row r="386" spans="1:11" ht="12.5">
      <c r="A386" s="197"/>
      <c r="B386" s="197"/>
      <c r="C386" s="197"/>
      <c r="D386" s="197"/>
      <c r="E386" s="197"/>
      <c r="F386" s="197"/>
      <c r="G386" s="197"/>
      <c r="H386" s="197"/>
      <c r="I386" s="197"/>
      <c r="J386" s="197"/>
      <c r="K386" s="197"/>
    </row>
    <row r="387" spans="1:11" ht="12.5">
      <c r="A387" s="197"/>
      <c r="B387" s="197"/>
      <c r="C387" s="197"/>
      <c r="D387" s="197"/>
      <c r="E387" s="197"/>
      <c r="F387" s="197"/>
      <c r="G387" s="197"/>
      <c r="H387" s="197"/>
      <c r="I387" s="197"/>
      <c r="J387" s="197"/>
      <c r="K387" s="197"/>
    </row>
    <row r="388" spans="1:11" ht="12.5">
      <c r="A388" s="197"/>
      <c r="B388" s="197"/>
      <c r="C388" s="197"/>
      <c r="D388" s="197"/>
      <c r="E388" s="197"/>
      <c r="F388" s="197"/>
      <c r="G388" s="197"/>
      <c r="H388" s="197"/>
      <c r="I388" s="197"/>
      <c r="J388" s="197"/>
      <c r="K388" s="197"/>
    </row>
    <row r="389" spans="1:11" ht="12.5">
      <c r="A389" s="197"/>
      <c r="B389" s="197"/>
      <c r="C389" s="197"/>
      <c r="D389" s="197"/>
      <c r="E389" s="197"/>
      <c r="F389" s="197"/>
      <c r="G389" s="197"/>
      <c r="H389" s="197"/>
      <c r="I389" s="197"/>
      <c r="J389" s="197"/>
      <c r="K389" s="197"/>
    </row>
    <row r="390" spans="1:11" ht="12.5">
      <c r="A390" s="197"/>
      <c r="B390" s="197"/>
      <c r="C390" s="197"/>
      <c r="D390" s="197"/>
      <c r="E390" s="197"/>
      <c r="F390" s="197"/>
      <c r="G390" s="197"/>
      <c r="H390" s="197"/>
      <c r="I390" s="197"/>
      <c r="J390" s="197"/>
      <c r="K390" s="197"/>
    </row>
    <row r="391" spans="1:11" ht="12.5">
      <c r="A391" s="197"/>
      <c r="B391" s="197"/>
      <c r="C391" s="197"/>
      <c r="D391" s="197"/>
      <c r="E391" s="197"/>
      <c r="F391" s="197"/>
      <c r="G391" s="197"/>
      <c r="H391" s="197"/>
      <c r="I391" s="197"/>
      <c r="J391" s="197"/>
      <c r="K391" s="197"/>
    </row>
    <row r="392" spans="1:11" ht="12.5">
      <c r="A392" s="197"/>
      <c r="B392" s="197"/>
      <c r="C392" s="197"/>
      <c r="D392" s="197"/>
      <c r="E392" s="197"/>
      <c r="F392" s="197"/>
      <c r="G392" s="197"/>
      <c r="H392" s="197"/>
      <c r="I392" s="197"/>
      <c r="J392" s="197"/>
      <c r="K392" s="197"/>
    </row>
    <row r="393" spans="1:11" ht="12.5">
      <c r="A393" s="197"/>
      <c r="B393" s="197"/>
      <c r="C393" s="197"/>
      <c r="D393" s="197"/>
      <c r="E393" s="197"/>
      <c r="F393" s="197"/>
      <c r="G393" s="197"/>
      <c r="H393" s="197"/>
      <c r="I393" s="197"/>
      <c r="J393" s="197"/>
      <c r="K393" s="197"/>
    </row>
    <row r="394" spans="1:11" ht="12.5">
      <c r="A394" s="197"/>
      <c r="B394" s="197"/>
      <c r="C394" s="197"/>
      <c r="D394" s="197"/>
      <c r="E394" s="197"/>
      <c r="F394" s="197"/>
      <c r="G394" s="197"/>
      <c r="H394" s="197"/>
      <c r="I394" s="197"/>
      <c r="J394" s="197"/>
      <c r="K394" s="197"/>
    </row>
    <row r="395" spans="1:11" ht="12.5">
      <c r="A395" s="197"/>
      <c r="B395" s="197"/>
      <c r="C395" s="197"/>
      <c r="D395" s="197"/>
      <c r="E395" s="197"/>
      <c r="F395" s="197"/>
      <c r="G395" s="197"/>
      <c r="H395" s="197"/>
      <c r="I395" s="197"/>
      <c r="J395" s="197"/>
      <c r="K395" s="197"/>
    </row>
    <row r="396" spans="1:11" ht="12.5">
      <c r="A396" s="197"/>
      <c r="B396" s="197"/>
      <c r="C396" s="197"/>
      <c r="D396" s="197"/>
      <c r="E396" s="197"/>
      <c r="F396" s="197"/>
      <c r="G396" s="197"/>
      <c r="H396" s="197"/>
      <c r="I396" s="197"/>
      <c r="J396" s="197"/>
      <c r="K396" s="197"/>
    </row>
    <row r="397" spans="1:11" ht="12.5">
      <c r="A397" s="197"/>
      <c r="B397" s="197"/>
      <c r="C397" s="197"/>
      <c r="D397" s="197"/>
      <c r="E397" s="197"/>
      <c r="F397" s="197"/>
      <c r="G397" s="197"/>
      <c r="H397" s="197"/>
      <c r="I397" s="197"/>
      <c r="J397" s="197"/>
      <c r="K397" s="197"/>
    </row>
    <row r="398" spans="1:11" ht="12.5">
      <c r="A398" s="197"/>
      <c r="B398" s="197"/>
      <c r="C398" s="197"/>
      <c r="D398" s="197"/>
      <c r="E398" s="197"/>
      <c r="F398" s="197"/>
      <c r="G398" s="197"/>
      <c r="H398" s="197"/>
      <c r="I398" s="197"/>
      <c r="J398" s="197"/>
      <c r="K398" s="197"/>
    </row>
    <row r="399" spans="1:11" ht="12.5">
      <c r="A399" s="197"/>
      <c r="B399" s="197"/>
      <c r="C399" s="197"/>
      <c r="D399" s="197"/>
      <c r="E399" s="197"/>
      <c r="F399" s="197"/>
      <c r="G399" s="197"/>
      <c r="H399" s="197"/>
      <c r="I399" s="197"/>
      <c r="J399" s="197"/>
      <c r="K399" s="197"/>
    </row>
    <row r="400" spans="1:11" ht="12.5">
      <c r="A400" s="197"/>
      <c r="B400" s="197"/>
      <c r="C400" s="197"/>
      <c r="D400" s="197"/>
      <c r="E400" s="197"/>
      <c r="F400" s="197"/>
      <c r="G400" s="197"/>
      <c r="H400" s="197"/>
      <c r="I400" s="197"/>
      <c r="J400" s="197"/>
      <c r="K400" s="197"/>
    </row>
    <row r="401" spans="1:11" ht="12.5">
      <c r="A401" s="197"/>
      <c r="B401" s="197"/>
      <c r="C401" s="197"/>
      <c r="D401" s="197"/>
      <c r="E401" s="197"/>
      <c r="F401" s="197"/>
      <c r="G401" s="197"/>
      <c r="H401" s="197"/>
      <c r="I401" s="197"/>
      <c r="J401" s="197"/>
      <c r="K401" s="197"/>
    </row>
    <row r="402" spans="1:11" ht="12.5">
      <c r="A402" s="197"/>
      <c r="B402" s="197"/>
      <c r="C402" s="197"/>
      <c r="D402" s="197"/>
      <c r="E402" s="197"/>
      <c r="F402" s="197"/>
      <c r="G402" s="197"/>
      <c r="H402" s="197"/>
      <c r="I402" s="197"/>
      <c r="J402" s="197"/>
      <c r="K402" s="197"/>
    </row>
    <row r="403" spans="1:11" ht="12.5">
      <c r="A403" s="197"/>
      <c r="B403" s="197"/>
      <c r="C403" s="197"/>
      <c r="D403" s="197"/>
      <c r="E403" s="197"/>
      <c r="F403" s="197"/>
      <c r="G403" s="197"/>
      <c r="H403" s="197"/>
      <c r="I403" s="197"/>
      <c r="J403" s="197"/>
      <c r="K403" s="197"/>
    </row>
    <row r="404" spans="1:11" ht="12.5">
      <c r="A404" s="197"/>
      <c r="B404" s="197"/>
      <c r="C404" s="197"/>
      <c r="D404" s="197"/>
      <c r="E404" s="197"/>
      <c r="F404" s="197"/>
      <c r="G404" s="197"/>
      <c r="H404" s="197"/>
      <c r="I404" s="197"/>
      <c r="J404" s="197"/>
      <c r="K404" s="197"/>
    </row>
    <row r="405" spans="1:11" ht="12.5">
      <c r="A405" s="197"/>
      <c r="B405" s="197"/>
      <c r="C405" s="197"/>
      <c r="D405" s="197"/>
      <c r="E405" s="197"/>
      <c r="F405" s="197"/>
      <c r="G405" s="197"/>
      <c r="H405" s="197"/>
      <c r="I405" s="197"/>
      <c r="J405" s="197"/>
      <c r="K405" s="197"/>
    </row>
    <row r="406" spans="1:11" ht="12.5">
      <c r="A406" s="197"/>
      <c r="B406" s="197"/>
      <c r="C406" s="197"/>
      <c r="D406" s="197"/>
      <c r="E406" s="197"/>
      <c r="F406" s="197"/>
      <c r="G406" s="197"/>
      <c r="H406" s="197"/>
      <c r="I406" s="197"/>
      <c r="J406" s="197"/>
      <c r="K406" s="197"/>
    </row>
    <row r="407" spans="1:11" ht="12.5">
      <c r="A407" s="197"/>
      <c r="B407" s="197"/>
      <c r="C407" s="197"/>
      <c r="D407" s="197"/>
      <c r="E407" s="197"/>
      <c r="F407" s="197"/>
      <c r="G407" s="197"/>
      <c r="H407" s="197"/>
      <c r="I407" s="197"/>
      <c r="J407" s="197"/>
      <c r="K407" s="197"/>
    </row>
    <row r="408" spans="1:11" ht="12.5">
      <c r="A408" s="197"/>
      <c r="B408" s="197"/>
      <c r="C408" s="197"/>
      <c r="D408" s="197"/>
      <c r="E408" s="197"/>
      <c r="F408" s="197"/>
      <c r="G408" s="197"/>
      <c r="H408" s="197"/>
      <c r="I408" s="197"/>
      <c r="J408" s="197"/>
      <c r="K408" s="197"/>
    </row>
    <row r="409" spans="1:11" ht="12.5">
      <c r="A409" s="197"/>
      <c r="B409" s="197"/>
      <c r="C409" s="197"/>
      <c r="D409" s="197"/>
      <c r="E409" s="197"/>
      <c r="F409" s="197"/>
      <c r="G409" s="197"/>
      <c r="H409" s="197"/>
      <c r="I409" s="197"/>
      <c r="J409" s="197"/>
      <c r="K409" s="197"/>
    </row>
    <row r="410" spans="1:11" ht="12.5">
      <c r="A410" s="197"/>
      <c r="B410" s="197"/>
      <c r="C410" s="197"/>
      <c r="D410" s="197"/>
      <c r="E410" s="197"/>
      <c r="F410" s="197"/>
      <c r="G410" s="197"/>
      <c r="H410" s="197"/>
      <c r="I410" s="197"/>
      <c r="J410" s="197"/>
      <c r="K410" s="197"/>
    </row>
    <row r="411" spans="1:11" ht="12.5">
      <c r="A411" s="197"/>
      <c r="B411" s="197"/>
      <c r="C411" s="197"/>
      <c r="D411" s="197"/>
      <c r="E411" s="197"/>
      <c r="F411" s="197"/>
      <c r="G411" s="197"/>
      <c r="H411" s="197"/>
      <c r="I411" s="197"/>
      <c r="J411" s="197"/>
      <c r="K411" s="197"/>
    </row>
    <row r="412" spans="1:11" ht="12.5">
      <c r="A412" s="197"/>
      <c r="B412" s="197"/>
      <c r="C412" s="197"/>
      <c r="D412" s="197"/>
      <c r="E412" s="197"/>
      <c r="F412" s="197"/>
      <c r="G412" s="197"/>
      <c r="H412" s="197"/>
      <c r="I412" s="197"/>
      <c r="J412" s="197"/>
      <c r="K412" s="197"/>
    </row>
    <row r="413" spans="1:11" ht="12.5">
      <c r="A413" s="197"/>
      <c r="B413" s="197"/>
      <c r="C413" s="197"/>
      <c r="D413" s="197"/>
      <c r="E413" s="197"/>
      <c r="F413" s="197"/>
      <c r="G413" s="197"/>
      <c r="H413" s="197"/>
      <c r="I413" s="197"/>
      <c r="J413" s="197"/>
      <c r="K413" s="197"/>
    </row>
    <row r="414" spans="1:11" ht="12.5">
      <c r="A414" s="197"/>
      <c r="B414" s="197"/>
      <c r="C414" s="197"/>
      <c r="D414" s="197"/>
      <c r="E414" s="197"/>
      <c r="F414" s="197"/>
      <c r="G414" s="197"/>
      <c r="H414" s="197"/>
      <c r="I414" s="197"/>
      <c r="J414" s="197"/>
      <c r="K414" s="197"/>
    </row>
    <row r="415" spans="1:11" ht="12.5">
      <c r="A415" s="197"/>
      <c r="B415" s="197"/>
      <c r="C415" s="197"/>
      <c r="D415" s="197"/>
      <c r="E415" s="197"/>
      <c r="F415" s="197"/>
      <c r="G415" s="197"/>
      <c r="H415" s="197"/>
      <c r="I415" s="197"/>
      <c r="J415" s="197"/>
      <c r="K415" s="197"/>
    </row>
    <row r="416" spans="1:11" ht="12.5">
      <c r="A416" s="197"/>
      <c r="B416" s="197"/>
      <c r="C416" s="197"/>
      <c r="D416" s="197"/>
      <c r="E416" s="197"/>
      <c r="F416" s="197"/>
      <c r="G416" s="197"/>
      <c r="H416" s="197"/>
      <c r="I416" s="197"/>
      <c r="J416" s="197"/>
      <c r="K416" s="197"/>
    </row>
    <row r="417" spans="1:11" ht="12.5">
      <c r="A417" s="197"/>
      <c r="B417" s="197"/>
      <c r="C417" s="197"/>
      <c r="D417" s="197"/>
      <c r="E417" s="197"/>
      <c r="F417" s="197"/>
      <c r="G417" s="197"/>
      <c r="H417" s="197"/>
      <c r="I417" s="197"/>
      <c r="J417" s="197"/>
      <c r="K417" s="197"/>
    </row>
    <row r="418" spans="1:11" ht="12.5">
      <c r="A418" s="197"/>
      <c r="B418" s="197"/>
      <c r="C418" s="197"/>
      <c r="D418" s="197"/>
      <c r="E418" s="197"/>
      <c r="F418" s="197"/>
      <c r="G418" s="197"/>
      <c r="H418" s="197"/>
      <c r="I418" s="197"/>
      <c r="J418" s="197"/>
      <c r="K418" s="197"/>
    </row>
    <row r="419" spans="1:11" ht="12.5">
      <c r="A419" s="197"/>
      <c r="B419" s="197"/>
      <c r="C419" s="197"/>
      <c r="D419" s="197"/>
      <c r="E419" s="197"/>
      <c r="F419" s="197"/>
      <c r="G419" s="197"/>
      <c r="H419" s="197"/>
      <c r="I419" s="197"/>
      <c r="J419" s="197"/>
      <c r="K419" s="197"/>
    </row>
    <row r="420" spans="1:11" ht="12.5">
      <c r="A420" s="197"/>
      <c r="B420" s="197"/>
      <c r="C420" s="197"/>
      <c r="D420" s="197"/>
      <c r="E420" s="197"/>
      <c r="F420" s="197"/>
      <c r="G420" s="197"/>
      <c r="H420" s="197"/>
      <c r="I420" s="197"/>
      <c r="J420" s="197"/>
      <c r="K420" s="197"/>
    </row>
    <row r="421" spans="1:11" ht="12.5">
      <c r="A421" s="197"/>
      <c r="B421" s="197"/>
      <c r="C421" s="197"/>
      <c r="D421" s="197"/>
      <c r="E421" s="197"/>
      <c r="F421" s="197"/>
      <c r="G421" s="197"/>
      <c r="H421" s="197"/>
      <c r="I421" s="197"/>
      <c r="J421" s="197"/>
      <c r="K421" s="197"/>
    </row>
    <row r="422" spans="1:11" ht="12.5">
      <c r="A422" s="197"/>
      <c r="B422" s="197"/>
      <c r="C422" s="197"/>
      <c r="D422" s="197"/>
      <c r="E422" s="197"/>
      <c r="F422" s="197"/>
      <c r="G422" s="197"/>
      <c r="H422" s="197"/>
      <c r="I422" s="197"/>
      <c r="J422" s="197"/>
      <c r="K422" s="197"/>
    </row>
    <row r="423" spans="1:11" ht="12.5">
      <c r="A423" s="197"/>
      <c r="B423" s="197"/>
      <c r="C423" s="197"/>
      <c r="D423" s="197"/>
      <c r="E423" s="197"/>
      <c r="F423" s="197"/>
      <c r="G423" s="197"/>
      <c r="H423" s="197"/>
      <c r="I423" s="197"/>
      <c r="J423" s="197"/>
      <c r="K423" s="197"/>
    </row>
    <row r="424" spans="1:11" ht="12.5">
      <c r="A424" s="197"/>
      <c r="B424" s="197"/>
      <c r="C424" s="197"/>
      <c r="D424" s="197"/>
      <c r="E424" s="197"/>
      <c r="F424" s="197"/>
      <c r="G424" s="197"/>
      <c r="H424" s="197"/>
      <c r="I424" s="197"/>
      <c r="J424" s="197"/>
      <c r="K424" s="197"/>
    </row>
    <row r="425" spans="1:11" ht="12.5">
      <c r="A425" s="197"/>
      <c r="B425" s="197"/>
      <c r="C425" s="197"/>
      <c r="D425" s="197"/>
      <c r="E425" s="197"/>
      <c r="F425" s="197"/>
      <c r="G425" s="197"/>
      <c r="H425" s="197"/>
      <c r="I425" s="197"/>
      <c r="J425" s="197"/>
      <c r="K425" s="197"/>
    </row>
    <row r="426" spans="1:11" ht="12.5">
      <c r="A426" s="197"/>
      <c r="B426" s="197"/>
      <c r="C426" s="197"/>
      <c r="D426" s="197"/>
      <c r="E426" s="197"/>
      <c r="F426" s="197"/>
      <c r="G426" s="197"/>
      <c r="H426" s="197"/>
      <c r="I426" s="197"/>
      <c r="J426" s="197"/>
      <c r="K426" s="197"/>
    </row>
    <row r="427" spans="1:11" ht="12.5">
      <c r="A427" s="197"/>
      <c r="B427" s="197"/>
      <c r="C427" s="197"/>
      <c r="D427" s="197"/>
      <c r="E427" s="197"/>
      <c r="F427" s="197"/>
      <c r="G427" s="197"/>
      <c r="H427" s="197"/>
      <c r="I427" s="197"/>
      <c r="J427" s="197"/>
      <c r="K427" s="197"/>
    </row>
    <row r="428" spans="1:11" ht="12.5">
      <c r="A428" s="197"/>
      <c r="B428" s="197"/>
      <c r="C428" s="197"/>
      <c r="D428" s="197"/>
      <c r="E428" s="197"/>
      <c r="F428" s="197"/>
      <c r="G428" s="197"/>
      <c r="H428" s="197"/>
      <c r="I428" s="197"/>
      <c r="J428" s="197"/>
      <c r="K428" s="197"/>
    </row>
    <row r="429" spans="1:11" ht="12.5">
      <c r="A429" s="197"/>
      <c r="B429" s="197"/>
      <c r="C429" s="197"/>
      <c r="D429" s="197"/>
      <c r="E429" s="197"/>
      <c r="F429" s="197"/>
      <c r="G429" s="197"/>
      <c r="H429" s="197"/>
      <c r="I429" s="197"/>
      <c r="J429" s="197"/>
      <c r="K429" s="197"/>
    </row>
    <row r="430" spans="1:11" ht="12.5">
      <c r="A430" s="197"/>
      <c r="B430" s="197"/>
      <c r="C430" s="197"/>
      <c r="D430" s="197"/>
      <c r="E430" s="197"/>
      <c r="F430" s="197"/>
      <c r="G430" s="197"/>
      <c r="H430" s="197"/>
      <c r="I430" s="197"/>
      <c r="J430" s="197"/>
      <c r="K430" s="197"/>
    </row>
    <row r="431" spans="1:11" ht="12.5">
      <c r="A431" s="197"/>
      <c r="B431" s="197"/>
      <c r="C431" s="197"/>
      <c r="D431" s="197"/>
      <c r="E431" s="197"/>
      <c r="F431" s="197"/>
      <c r="G431" s="197"/>
      <c r="H431" s="197"/>
      <c r="I431" s="197"/>
      <c r="J431" s="197"/>
      <c r="K431" s="197"/>
    </row>
    <row r="432" spans="1:11" ht="12.5">
      <c r="A432" s="197"/>
      <c r="B432" s="197"/>
      <c r="C432" s="197"/>
      <c r="D432" s="197"/>
      <c r="E432" s="197"/>
      <c r="F432" s="197"/>
      <c r="G432" s="197"/>
      <c r="H432" s="197"/>
      <c r="I432" s="197"/>
      <c r="J432" s="197"/>
      <c r="K432" s="197"/>
    </row>
    <row r="433" spans="1:11" ht="12.5">
      <c r="A433" s="197"/>
      <c r="B433" s="197"/>
      <c r="C433" s="197"/>
      <c r="D433" s="197"/>
      <c r="E433" s="197"/>
      <c r="F433" s="197"/>
      <c r="G433" s="197"/>
      <c r="H433" s="197"/>
      <c r="I433" s="197"/>
      <c r="J433" s="197"/>
      <c r="K433" s="197"/>
    </row>
    <row r="434" spans="1:11" ht="12.5">
      <c r="A434" s="197"/>
      <c r="B434" s="197"/>
      <c r="C434" s="197"/>
      <c r="D434" s="197"/>
      <c r="E434" s="197"/>
      <c r="F434" s="197"/>
      <c r="G434" s="197"/>
      <c r="H434" s="197"/>
      <c r="I434" s="197"/>
      <c r="J434" s="197"/>
      <c r="K434" s="197"/>
    </row>
    <row r="435" spans="1:11" ht="12.5">
      <c r="A435" s="197"/>
      <c r="B435" s="197"/>
      <c r="C435" s="197"/>
      <c r="D435" s="197"/>
      <c r="E435" s="197"/>
      <c r="F435" s="197"/>
      <c r="G435" s="197"/>
      <c r="H435" s="197"/>
      <c r="I435" s="197"/>
      <c r="J435" s="197"/>
      <c r="K435" s="197"/>
    </row>
    <row r="436" spans="1:11" ht="12.5">
      <c r="A436" s="197"/>
      <c r="B436" s="197"/>
      <c r="C436" s="197"/>
      <c r="D436" s="197"/>
      <c r="E436" s="197"/>
      <c r="F436" s="197"/>
      <c r="G436" s="197"/>
      <c r="H436" s="197"/>
      <c r="I436" s="197"/>
      <c r="J436" s="197"/>
      <c r="K436" s="197"/>
    </row>
    <row r="437" spans="1:11" ht="12.5">
      <c r="A437" s="197"/>
      <c r="B437" s="197"/>
      <c r="C437" s="197"/>
      <c r="D437" s="197"/>
      <c r="E437" s="197"/>
      <c r="F437" s="197"/>
      <c r="G437" s="197"/>
      <c r="H437" s="197"/>
      <c r="I437" s="197"/>
      <c r="J437" s="197"/>
      <c r="K437" s="197"/>
    </row>
    <row r="438" spans="1:11" ht="12.5">
      <c r="A438" s="197"/>
      <c r="B438" s="197"/>
      <c r="C438" s="197"/>
      <c r="D438" s="197"/>
      <c r="E438" s="197"/>
      <c r="F438" s="197"/>
      <c r="G438" s="197"/>
      <c r="H438" s="197"/>
      <c r="I438" s="197"/>
      <c r="J438" s="197"/>
      <c r="K438" s="197"/>
    </row>
    <row r="439" spans="1:11" ht="12.5">
      <c r="A439" s="197"/>
      <c r="B439" s="197"/>
      <c r="C439" s="197"/>
      <c r="D439" s="197"/>
      <c r="E439" s="197"/>
      <c r="F439" s="197"/>
      <c r="G439" s="197"/>
      <c r="H439" s="197"/>
      <c r="I439" s="197"/>
      <c r="J439" s="197"/>
      <c r="K439" s="197"/>
    </row>
    <row r="440" spans="1:11" ht="12.5">
      <c r="A440" s="197"/>
      <c r="B440" s="197"/>
      <c r="C440" s="197"/>
      <c r="D440" s="197"/>
      <c r="E440" s="197"/>
      <c r="F440" s="197"/>
      <c r="G440" s="197"/>
      <c r="H440" s="197"/>
      <c r="I440" s="197"/>
      <c r="J440" s="197"/>
      <c r="K440" s="197"/>
    </row>
    <row r="441" spans="1:11" ht="12.5">
      <c r="A441" s="197"/>
      <c r="B441" s="197"/>
      <c r="C441" s="197"/>
      <c r="D441" s="197"/>
      <c r="E441" s="197"/>
      <c r="F441" s="197"/>
      <c r="G441" s="197"/>
      <c r="H441" s="197"/>
      <c r="I441" s="197"/>
      <c r="J441" s="197"/>
      <c r="K441" s="197"/>
    </row>
    <row r="442" spans="1:11" ht="12.5">
      <c r="A442" s="197"/>
      <c r="B442" s="197"/>
      <c r="C442" s="197"/>
      <c r="D442" s="197"/>
      <c r="E442" s="197"/>
      <c r="F442" s="197"/>
      <c r="G442" s="197"/>
      <c r="H442" s="197"/>
      <c r="I442" s="197"/>
      <c r="J442" s="197"/>
      <c r="K442" s="197"/>
    </row>
    <row r="443" spans="1:11" ht="12.5">
      <c r="A443" s="197"/>
      <c r="B443" s="197"/>
      <c r="C443" s="197"/>
      <c r="D443" s="197"/>
      <c r="E443" s="197"/>
      <c r="F443" s="197"/>
      <c r="G443" s="197"/>
      <c r="H443" s="197"/>
      <c r="I443" s="197"/>
      <c r="J443" s="197"/>
      <c r="K443" s="197"/>
    </row>
    <row r="444" spans="1:11" ht="12.5">
      <c r="A444" s="197"/>
      <c r="B444" s="197"/>
      <c r="C444" s="197"/>
      <c r="D444" s="197"/>
      <c r="E444" s="197"/>
      <c r="F444" s="197"/>
      <c r="G444" s="197"/>
      <c r="H444" s="197"/>
      <c r="I444" s="197"/>
      <c r="J444" s="197"/>
      <c r="K444" s="197"/>
    </row>
    <row r="445" spans="1:11" ht="12.5">
      <c r="A445" s="197"/>
      <c r="B445" s="197"/>
      <c r="C445" s="197"/>
      <c r="D445" s="197"/>
      <c r="E445" s="197"/>
      <c r="F445" s="197"/>
      <c r="G445" s="197"/>
      <c r="H445" s="197"/>
      <c r="I445" s="197"/>
      <c r="J445" s="197"/>
      <c r="K445" s="197"/>
    </row>
    <row r="446" spans="1:11" ht="12.5">
      <c r="A446" s="197"/>
      <c r="B446" s="197"/>
      <c r="C446" s="197"/>
      <c r="D446" s="197"/>
      <c r="E446" s="197"/>
      <c r="F446" s="197"/>
      <c r="G446" s="197"/>
      <c r="H446" s="197"/>
      <c r="I446" s="197"/>
      <c r="J446" s="197"/>
      <c r="K446" s="197"/>
    </row>
    <row r="447" spans="1:11" ht="12.5">
      <c r="A447" s="197"/>
      <c r="B447" s="197"/>
      <c r="C447" s="197"/>
      <c r="D447" s="197"/>
      <c r="E447" s="197"/>
      <c r="F447" s="197"/>
      <c r="G447" s="197"/>
      <c r="H447" s="197"/>
      <c r="I447" s="197"/>
      <c r="J447" s="197"/>
      <c r="K447" s="197"/>
    </row>
    <row r="448" spans="1:11" ht="12.5">
      <c r="A448" s="197"/>
      <c r="B448" s="197"/>
      <c r="C448" s="197"/>
      <c r="D448" s="197"/>
      <c r="E448" s="197"/>
      <c r="F448" s="197"/>
      <c r="G448" s="197"/>
      <c r="H448" s="197"/>
      <c r="I448" s="197"/>
      <c r="J448" s="197"/>
      <c r="K448" s="197"/>
    </row>
    <row r="449" spans="1:11" ht="12.5">
      <c r="A449" s="197"/>
      <c r="B449" s="197"/>
      <c r="C449" s="197"/>
      <c r="D449" s="197"/>
      <c r="E449" s="197"/>
      <c r="F449" s="197"/>
      <c r="G449" s="197"/>
      <c r="H449" s="197"/>
      <c r="I449" s="197"/>
      <c r="J449" s="197"/>
      <c r="K449" s="197"/>
    </row>
    <row r="450" spans="1:11" ht="12.5">
      <c r="A450" s="197"/>
      <c r="B450" s="197"/>
      <c r="C450" s="197"/>
      <c r="D450" s="197"/>
      <c r="E450" s="197"/>
      <c r="F450" s="197"/>
      <c r="G450" s="197"/>
      <c r="H450" s="197"/>
      <c r="I450" s="197"/>
      <c r="J450" s="197"/>
      <c r="K450" s="197"/>
    </row>
    <row r="451" spans="1:11" ht="12.5">
      <c r="A451" s="197"/>
      <c r="B451" s="197"/>
      <c r="C451" s="197"/>
      <c r="D451" s="197"/>
      <c r="E451" s="197"/>
      <c r="F451" s="197"/>
      <c r="G451" s="197"/>
      <c r="H451" s="197"/>
      <c r="I451" s="197"/>
      <c r="J451" s="197"/>
      <c r="K451" s="197"/>
    </row>
    <row r="452" spans="1:11" ht="12.5">
      <c r="A452" s="197"/>
      <c r="B452" s="197"/>
      <c r="C452" s="197"/>
      <c r="D452" s="197"/>
      <c r="E452" s="197"/>
      <c r="F452" s="197"/>
      <c r="G452" s="197"/>
      <c r="H452" s="197"/>
      <c r="I452" s="197"/>
      <c r="J452" s="197"/>
      <c r="K452" s="197"/>
    </row>
    <row r="453" spans="1:11" ht="12.5">
      <c r="A453" s="197"/>
      <c r="B453" s="197"/>
      <c r="C453" s="197"/>
      <c r="D453" s="197"/>
      <c r="E453" s="197"/>
      <c r="F453" s="197"/>
      <c r="G453" s="197"/>
      <c r="H453" s="197"/>
      <c r="I453" s="197"/>
      <c r="J453" s="197"/>
      <c r="K453" s="197"/>
    </row>
    <row r="454" spans="1:11" ht="12.5">
      <c r="A454" s="197"/>
      <c r="B454" s="197"/>
      <c r="C454" s="197"/>
      <c r="D454" s="197"/>
      <c r="E454" s="197"/>
      <c r="F454" s="197"/>
      <c r="G454" s="197"/>
      <c r="H454" s="197"/>
      <c r="I454" s="197"/>
      <c r="J454" s="197"/>
      <c r="K454" s="197"/>
    </row>
    <row r="455" spans="1:11" ht="12.5">
      <c r="A455" s="197"/>
      <c r="B455" s="197"/>
      <c r="C455" s="197"/>
      <c r="D455" s="197"/>
      <c r="E455" s="197"/>
      <c r="F455" s="197"/>
      <c r="G455" s="197"/>
      <c r="H455" s="197"/>
      <c r="I455" s="197"/>
      <c r="J455" s="197"/>
      <c r="K455" s="197"/>
    </row>
    <row r="456" spans="1:11" ht="12.5">
      <c r="A456" s="197"/>
      <c r="B456" s="197"/>
      <c r="C456" s="197"/>
      <c r="D456" s="197"/>
      <c r="E456" s="197"/>
      <c r="F456" s="197"/>
      <c r="G456" s="197"/>
      <c r="H456" s="197"/>
      <c r="I456" s="197"/>
      <c r="J456" s="197"/>
      <c r="K456" s="197"/>
    </row>
    <row r="457" spans="1:11" ht="12.5">
      <c r="A457" s="197"/>
      <c r="B457" s="197"/>
      <c r="C457" s="197"/>
      <c r="D457" s="197"/>
      <c r="E457" s="197"/>
      <c r="F457" s="197"/>
      <c r="G457" s="197"/>
      <c r="H457" s="197"/>
      <c r="I457" s="197"/>
      <c r="J457" s="197"/>
      <c r="K457" s="197"/>
    </row>
    <row r="458" spans="1:11" ht="12.5">
      <c r="A458" s="197"/>
      <c r="B458" s="197"/>
      <c r="C458" s="197"/>
      <c r="D458" s="197"/>
      <c r="E458" s="197"/>
      <c r="F458" s="197"/>
      <c r="G458" s="197"/>
      <c r="H458" s="197"/>
      <c r="I458" s="197"/>
      <c r="J458" s="197"/>
      <c r="K458" s="197"/>
    </row>
    <row r="459" spans="1:11" ht="12.5">
      <c r="A459" s="197"/>
      <c r="B459" s="197"/>
      <c r="C459" s="197"/>
      <c r="D459" s="197"/>
      <c r="E459" s="197"/>
      <c r="F459" s="197"/>
      <c r="G459" s="197"/>
      <c r="H459" s="197"/>
      <c r="I459" s="197"/>
      <c r="J459" s="197"/>
      <c r="K459" s="197"/>
    </row>
    <row r="460" spans="1:11" ht="12.5">
      <c r="A460" s="197"/>
      <c r="B460" s="197"/>
      <c r="C460" s="197"/>
      <c r="D460" s="197"/>
      <c r="E460" s="197"/>
      <c r="F460" s="197"/>
      <c r="G460" s="197"/>
      <c r="H460" s="197"/>
      <c r="I460" s="197"/>
      <c r="J460" s="197"/>
      <c r="K460" s="197"/>
    </row>
    <row r="461" spans="1:11" ht="12.5">
      <c r="A461" s="197"/>
      <c r="B461" s="197"/>
      <c r="C461" s="197"/>
      <c r="D461" s="197"/>
      <c r="E461" s="197"/>
      <c r="F461" s="197"/>
      <c r="G461" s="197"/>
      <c r="H461" s="197"/>
      <c r="I461" s="197"/>
      <c r="J461" s="197"/>
      <c r="K461" s="197"/>
    </row>
    <row r="462" spans="1:11" ht="12.5">
      <c r="A462" s="197"/>
      <c r="B462" s="197"/>
      <c r="C462" s="197"/>
      <c r="D462" s="197"/>
      <c r="E462" s="197"/>
      <c r="F462" s="197"/>
      <c r="G462" s="197"/>
      <c r="H462" s="197"/>
      <c r="I462" s="197"/>
      <c r="J462" s="197"/>
      <c r="K462" s="197"/>
    </row>
    <row r="463" spans="1:11" ht="12.5">
      <c r="A463" s="197"/>
      <c r="B463" s="197"/>
      <c r="C463" s="197"/>
      <c r="D463" s="197"/>
      <c r="E463" s="197"/>
      <c r="F463" s="197"/>
      <c r="G463" s="197"/>
      <c r="H463" s="197"/>
      <c r="I463" s="197"/>
      <c r="J463" s="197"/>
      <c r="K463" s="197"/>
    </row>
    <row r="464" spans="1:11" ht="12.5">
      <c r="A464" s="197"/>
      <c r="B464" s="197"/>
      <c r="C464" s="197"/>
      <c r="D464" s="197"/>
      <c r="E464" s="197"/>
      <c r="F464" s="197"/>
      <c r="G464" s="197"/>
      <c r="H464" s="197"/>
      <c r="I464" s="197"/>
      <c r="J464" s="197"/>
      <c r="K464" s="197"/>
    </row>
    <row r="465" spans="1:11" ht="12.5">
      <c r="A465" s="197"/>
      <c r="B465" s="197"/>
      <c r="C465" s="197"/>
      <c r="D465" s="197"/>
      <c r="E465" s="197"/>
      <c r="F465" s="197"/>
      <c r="G465" s="197"/>
      <c r="H465" s="197"/>
      <c r="I465" s="197"/>
      <c r="J465" s="197"/>
      <c r="K465" s="197"/>
    </row>
    <row r="466" spans="1:11" ht="12.5">
      <c r="A466" s="197"/>
      <c r="B466" s="197"/>
      <c r="C466" s="197"/>
      <c r="D466" s="197"/>
      <c r="E466" s="197"/>
      <c r="F466" s="197"/>
      <c r="G466" s="197"/>
      <c r="H466" s="197"/>
      <c r="I466" s="197"/>
      <c r="J466" s="197"/>
      <c r="K466" s="197"/>
    </row>
    <row r="467" spans="1:11" ht="12.5">
      <c r="A467" s="197"/>
      <c r="B467" s="197"/>
      <c r="C467" s="197"/>
      <c r="D467" s="197"/>
      <c r="E467" s="197"/>
      <c r="F467" s="197"/>
      <c r="G467" s="197"/>
      <c r="H467" s="197"/>
      <c r="I467" s="197"/>
      <c r="J467" s="197"/>
      <c r="K467" s="197"/>
    </row>
    <row r="468" spans="1:11" ht="12.5">
      <c r="A468" s="197"/>
      <c r="B468" s="197"/>
      <c r="C468" s="197"/>
      <c r="D468" s="197"/>
      <c r="E468" s="197"/>
      <c r="F468" s="197"/>
      <c r="G468" s="197"/>
      <c r="H468" s="197"/>
      <c r="I468" s="197"/>
      <c r="J468" s="197"/>
      <c r="K468" s="197"/>
    </row>
    <row r="469" spans="1:11" ht="12.5">
      <c r="A469" s="197"/>
      <c r="B469" s="197"/>
      <c r="C469" s="197"/>
      <c r="D469" s="197"/>
      <c r="E469" s="197"/>
      <c r="F469" s="197"/>
      <c r="G469" s="197"/>
      <c r="H469" s="197"/>
      <c r="I469" s="197"/>
      <c r="J469" s="197"/>
      <c r="K469" s="197"/>
    </row>
    <row r="470" spans="1:11" ht="12.5">
      <c r="A470" s="197"/>
      <c r="B470" s="197"/>
      <c r="C470" s="197"/>
      <c r="D470" s="197"/>
      <c r="E470" s="197"/>
      <c r="F470" s="197"/>
      <c r="G470" s="197"/>
      <c r="H470" s="197"/>
      <c r="I470" s="197"/>
      <c r="J470" s="197"/>
      <c r="K470" s="197"/>
    </row>
    <row r="471" spans="1:11" ht="12.5">
      <c r="A471" s="197"/>
      <c r="B471" s="197"/>
      <c r="C471" s="197"/>
      <c r="D471" s="197"/>
      <c r="E471" s="197"/>
      <c r="F471" s="197"/>
      <c r="G471" s="197"/>
      <c r="H471" s="197"/>
      <c r="I471" s="197"/>
      <c r="J471" s="197"/>
      <c r="K471" s="197"/>
    </row>
    <row r="472" spans="1:11" ht="12.5">
      <c r="A472" s="197"/>
      <c r="B472" s="197"/>
      <c r="C472" s="197"/>
      <c r="D472" s="197"/>
      <c r="E472" s="197"/>
      <c r="F472" s="197"/>
      <c r="G472" s="197"/>
      <c r="H472" s="197"/>
      <c r="I472" s="197"/>
      <c r="J472" s="197"/>
      <c r="K472" s="197"/>
    </row>
    <row r="473" spans="1:11" ht="12.5">
      <c r="A473" s="197"/>
      <c r="B473" s="197"/>
      <c r="C473" s="197"/>
      <c r="D473" s="197"/>
      <c r="E473" s="197"/>
      <c r="F473" s="197"/>
      <c r="G473" s="197"/>
      <c r="H473" s="197"/>
      <c r="I473" s="197"/>
      <c r="J473" s="197"/>
      <c r="K473" s="197"/>
    </row>
    <row r="474" spans="1:11" ht="12.5">
      <c r="A474" s="197"/>
      <c r="B474" s="197"/>
      <c r="C474" s="197"/>
      <c r="D474" s="197"/>
      <c r="E474" s="197"/>
      <c r="F474" s="197"/>
      <c r="G474" s="197"/>
      <c r="H474" s="197"/>
      <c r="I474" s="197"/>
      <c r="J474" s="197"/>
      <c r="K474" s="197"/>
    </row>
    <row r="475" spans="1:11" ht="12.5">
      <c r="A475" s="197"/>
      <c r="B475" s="197"/>
      <c r="C475" s="197"/>
      <c r="D475" s="197"/>
      <c r="E475" s="197"/>
      <c r="F475" s="197"/>
      <c r="G475" s="197"/>
      <c r="H475" s="197"/>
      <c r="I475" s="197"/>
      <c r="J475" s="197"/>
      <c r="K475" s="197"/>
    </row>
    <row r="476" spans="1:11" ht="12.5">
      <c r="A476" s="197"/>
      <c r="B476" s="197"/>
      <c r="C476" s="197"/>
      <c r="D476" s="197"/>
      <c r="E476" s="197"/>
      <c r="F476" s="197"/>
      <c r="G476" s="197"/>
      <c r="H476" s="197"/>
      <c r="I476" s="197"/>
      <c r="J476" s="197"/>
      <c r="K476" s="197"/>
    </row>
    <row r="477" spans="1:11" ht="12.5">
      <c r="A477" s="197"/>
      <c r="B477" s="197"/>
      <c r="C477" s="197"/>
      <c r="D477" s="197"/>
      <c r="E477" s="197"/>
      <c r="F477" s="197"/>
      <c r="G477" s="197"/>
      <c r="H477" s="197"/>
      <c r="I477" s="197"/>
      <c r="J477" s="197"/>
      <c r="K477" s="197"/>
    </row>
    <row r="478" spans="1:11" ht="12.5">
      <c r="A478" s="197"/>
      <c r="B478" s="197"/>
      <c r="C478" s="197"/>
      <c r="D478" s="197"/>
      <c r="E478" s="197"/>
      <c r="F478" s="197"/>
      <c r="G478" s="197"/>
      <c r="H478" s="197"/>
      <c r="I478" s="197"/>
      <c r="J478" s="197"/>
      <c r="K478" s="197"/>
    </row>
    <row r="479" spans="1:11" ht="12.5">
      <c r="A479" s="197"/>
      <c r="B479" s="197"/>
      <c r="C479" s="197"/>
      <c r="D479" s="197"/>
      <c r="E479" s="197"/>
      <c r="F479" s="197"/>
      <c r="G479" s="197"/>
      <c r="H479" s="197"/>
      <c r="I479" s="197"/>
      <c r="J479" s="197"/>
      <c r="K479" s="197"/>
    </row>
    <row r="480" spans="1:11" ht="12.5">
      <c r="A480" s="197"/>
      <c r="B480" s="197"/>
      <c r="C480" s="197"/>
      <c r="D480" s="197"/>
      <c r="E480" s="197"/>
      <c r="F480" s="197"/>
      <c r="G480" s="197"/>
      <c r="H480" s="197"/>
      <c r="I480" s="197"/>
      <c r="J480" s="197"/>
      <c r="K480" s="197"/>
    </row>
    <row r="481" spans="1:11" ht="12.5">
      <c r="A481" s="197"/>
      <c r="B481" s="197"/>
      <c r="C481" s="197"/>
      <c r="D481" s="197"/>
      <c r="E481" s="197"/>
      <c r="F481" s="197"/>
      <c r="G481" s="197"/>
      <c r="H481" s="197"/>
      <c r="I481" s="197"/>
      <c r="J481" s="197"/>
      <c r="K481" s="197"/>
    </row>
    <row r="482" spans="1:11" ht="12.5">
      <c r="A482" s="197"/>
      <c r="B482" s="197"/>
      <c r="C482" s="197"/>
      <c r="D482" s="197"/>
      <c r="E482" s="197"/>
      <c r="F482" s="197"/>
      <c r="G482" s="197"/>
      <c r="H482" s="197"/>
      <c r="I482" s="197"/>
      <c r="J482" s="197"/>
      <c r="K482" s="197"/>
    </row>
    <row r="483" spans="1:11" ht="12.5">
      <c r="A483" s="197"/>
      <c r="B483" s="197"/>
      <c r="C483" s="197"/>
      <c r="D483" s="197"/>
      <c r="E483" s="197"/>
      <c r="F483" s="197"/>
      <c r="G483" s="197"/>
      <c r="H483" s="197"/>
      <c r="I483" s="197"/>
      <c r="J483" s="197"/>
      <c r="K483" s="197"/>
    </row>
    <row r="484" spans="1:11" ht="12.5">
      <c r="A484" s="197"/>
      <c r="B484" s="197"/>
      <c r="C484" s="197"/>
      <c r="D484" s="197"/>
      <c r="E484" s="197"/>
      <c r="F484" s="197"/>
      <c r="G484" s="197"/>
      <c r="H484" s="197"/>
      <c r="I484" s="197"/>
      <c r="J484" s="197"/>
      <c r="K484" s="197"/>
    </row>
    <row r="485" spans="1:11" ht="12.5">
      <c r="A485" s="197"/>
      <c r="B485" s="197"/>
      <c r="C485" s="197"/>
      <c r="D485" s="197"/>
      <c r="E485" s="197"/>
      <c r="F485" s="197"/>
      <c r="G485" s="197"/>
      <c r="H485" s="197"/>
      <c r="I485" s="197"/>
      <c r="J485" s="197"/>
      <c r="K485" s="197"/>
    </row>
    <row r="486" spans="1:11" ht="12.5">
      <c r="A486" s="197"/>
      <c r="B486" s="197"/>
      <c r="C486" s="197"/>
      <c r="D486" s="197"/>
      <c r="E486" s="197"/>
      <c r="F486" s="197"/>
      <c r="G486" s="197"/>
      <c r="H486" s="197"/>
      <c r="I486" s="197"/>
      <c r="J486" s="197"/>
      <c r="K486" s="197"/>
    </row>
    <row r="487" spans="1:11" ht="12.5">
      <c r="A487" s="197"/>
      <c r="B487" s="197"/>
      <c r="C487" s="197"/>
      <c r="D487" s="197"/>
      <c r="E487" s="197"/>
      <c r="F487" s="197"/>
      <c r="G487" s="197"/>
      <c r="H487" s="197"/>
      <c r="I487" s="197"/>
      <c r="J487" s="197"/>
      <c r="K487" s="197"/>
    </row>
    <row r="488" spans="1:11" ht="12.5">
      <c r="A488" s="197"/>
      <c r="B488" s="197"/>
      <c r="C488" s="197"/>
      <c r="D488" s="197"/>
      <c r="E488" s="197"/>
      <c r="F488" s="197"/>
      <c r="G488" s="197"/>
      <c r="H488" s="197"/>
      <c r="I488" s="197"/>
      <c r="J488" s="197"/>
      <c r="K488" s="197"/>
    </row>
    <row r="489" spans="1:11" ht="12.5">
      <c r="A489" s="197"/>
      <c r="B489" s="197"/>
      <c r="C489" s="197"/>
      <c r="D489" s="197"/>
      <c r="E489" s="197"/>
      <c r="F489" s="197"/>
      <c r="G489" s="197"/>
      <c r="H489" s="197"/>
      <c r="I489" s="197"/>
      <c r="J489" s="197"/>
      <c r="K489" s="197"/>
    </row>
    <row r="490" spans="1:11" ht="12.5">
      <c r="A490" s="197"/>
      <c r="B490" s="197"/>
      <c r="C490" s="197"/>
      <c r="D490" s="197"/>
      <c r="E490" s="197"/>
      <c r="F490" s="197"/>
      <c r="G490" s="197"/>
      <c r="H490" s="197"/>
      <c r="I490" s="197"/>
      <c r="J490" s="197"/>
      <c r="K490" s="197"/>
    </row>
    <row r="491" spans="1:11" ht="12.5">
      <c r="A491" s="197"/>
      <c r="B491" s="197"/>
      <c r="C491" s="197"/>
      <c r="D491" s="197"/>
      <c r="E491" s="197"/>
      <c r="F491" s="197"/>
      <c r="G491" s="197"/>
      <c r="H491" s="197"/>
      <c r="I491" s="197"/>
      <c r="J491" s="197"/>
      <c r="K491" s="197"/>
    </row>
    <row r="492" spans="1:11" ht="12.5">
      <c r="A492" s="197"/>
      <c r="B492" s="197"/>
      <c r="C492" s="197"/>
      <c r="D492" s="197"/>
      <c r="E492" s="197"/>
      <c r="F492" s="197"/>
      <c r="G492" s="197"/>
      <c r="H492" s="197"/>
      <c r="I492" s="197"/>
      <c r="J492" s="197"/>
      <c r="K492" s="197"/>
    </row>
    <row r="493" spans="1:11" ht="12.5">
      <c r="A493" s="197"/>
      <c r="B493" s="197"/>
      <c r="C493" s="197"/>
      <c r="D493" s="197"/>
      <c r="E493" s="197"/>
      <c r="F493" s="197"/>
      <c r="G493" s="197"/>
      <c r="H493" s="197"/>
      <c r="I493" s="197"/>
      <c r="J493" s="197"/>
      <c r="K493" s="197"/>
    </row>
    <row r="494" spans="1:11" ht="12.5">
      <c r="A494" s="197"/>
      <c r="B494" s="197"/>
      <c r="C494" s="197"/>
      <c r="D494" s="197"/>
      <c r="E494" s="197"/>
      <c r="F494" s="197"/>
      <c r="G494" s="197"/>
      <c r="H494" s="197"/>
      <c r="I494" s="197"/>
      <c r="J494" s="197"/>
      <c r="K494" s="197"/>
    </row>
    <row r="495" spans="1:11" ht="12.5">
      <c r="A495" s="197"/>
      <c r="B495" s="197"/>
      <c r="C495" s="197"/>
      <c r="D495" s="197"/>
      <c r="E495" s="197"/>
      <c r="F495" s="197"/>
      <c r="G495" s="197"/>
      <c r="H495" s="197"/>
      <c r="I495" s="197"/>
      <c r="J495" s="197"/>
      <c r="K495" s="197"/>
    </row>
    <row r="496" spans="1:11" ht="12.5">
      <c r="A496" s="197"/>
      <c r="B496" s="197"/>
      <c r="C496" s="197"/>
      <c r="D496" s="197"/>
      <c r="E496" s="197"/>
      <c r="F496" s="197"/>
      <c r="G496" s="197"/>
      <c r="H496" s="197"/>
      <c r="I496" s="197"/>
      <c r="J496" s="197"/>
      <c r="K496" s="197"/>
    </row>
    <row r="497" spans="1:11" ht="12.5">
      <c r="A497" s="197"/>
      <c r="B497" s="197"/>
      <c r="C497" s="197"/>
      <c r="D497" s="197"/>
      <c r="E497" s="197"/>
      <c r="F497" s="197"/>
      <c r="G497" s="197"/>
      <c r="H497" s="197"/>
      <c r="I497" s="197"/>
      <c r="J497" s="197"/>
      <c r="K497" s="197"/>
    </row>
    <row r="498" spans="1:11" ht="12.5">
      <c r="A498" s="197"/>
      <c r="B498" s="197"/>
      <c r="C498" s="197"/>
      <c r="D498" s="197"/>
      <c r="E498" s="197"/>
      <c r="F498" s="197"/>
      <c r="G498" s="197"/>
      <c r="H498" s="197"/>
      <c r="I498" s="197"/>
      <c r="J498" s="197"/>
      <c r="K498" s="197"/>
    </row>
    <row r="499" spans="1:11" ht="12.5">
      <c r="A499" s="197"/>
      <c r="B499" s="197"/>
      <c r="C499" s="197"/>
      <c r="D499" s="197"/>
      <c r="E499" s="197"/>
      <c r="F499" s="197"/>
      <c r="G499" s="197"/>
      <c r="H499" s="197"/>
      <c r="I499" s="197"/>
      <c r="J499" s="197"/>
      <c r="K499" s="197"/>
    </row>
    <row r="500" spans="1:11" ht="12.5">
      <c r="A500" s="197"/>
      <c r="B500" s="197"/>
      <c r="C500" s="197"/>
      <c r="D500" s="197"/>
      <c r="E500" s="197"/>
      <c r="F500" s="197"/>
      <c r="G500" s="197"/>
      <c r="H500" s="197"/>
      <c r="I500" s="197"/>
      <c r="J500" s="197"/>
      <c r="K500" s="197"/>
    </row>
    <row r="501" spans="1:11" ht="12.5">
      <c r="A501" s="197"/>
      <c r="B501" s="197"/>
      <c r="C501" s="197"/>
      <c r="D501" s="197"/>
      <c r="E501" s="197"/>
      <c r="F501" s="197"/>
      <c r="G501" s="197"/>
      <c r="H501" s="197"/>
      <c r="I501" s="197"/>
      <c r="J501" s="197"/>
      <c r="K501" s="197"/>
    </row>
    <row r="502" spans="1:11" ht="12.5">
      <c r="A502" s="197"/>
      <c r="B502" s="197"/>
      <c r="C502" s="197"/>
      <c r="D502" s="197"/>
      <c r="E502" s="197"/>
      <c r="F502" s="197"/>
      <c r="G502" s="197"/>
      <c r="H502" s="197"/>
      <c r="I502" s="197"/>
      <c r="J502" s="197"/>
      <c r="K502" s="197"/>
    </row>
    <row r="503" spans="1:11" ht="12.5">
      <c r="A503" s="197"/>
      <c r="B503" s="197"/>
      <c r="C503" s="197"/>
      <c r="D503" s="197"/>
      <c r="E503" s="197"/>
      <c r="F503" s="197"/>
      <c r="G503" s="197"/>
      <c r="H503" s="197"/>
      <c r="I503" s="197"/>
      <c r="J503" s="197"/>
      <c r="K503" s="197"/>
    </row>
    <row r="504" spans="1:11" ht="12.5">
      <c r="A504" s="197"/>
      <c r="B504" s="197"/>
      <c r="C504" s="197"/>
      <c r="D504" s="197"/>
      <c r="E504" s="197"/>
      <c r="F504" s="197"/>
      <c r="G504" s="197"/>
      <c r="H504" s="197"/>
      <c r="I504" s="197"/>
      <c r="J504" s="197"/>
      <c r="K504" s="197"/>
    </row>
    <row r="505" spans="1:11" ht="12.5">
      <c r="A505" s="197"/>
      <c r="B505" s="197"/>
      <c r="C505" s="197"/>
      <c r="D505" s="197"/>
      <c r="E505" s="197"/>
      <c r="F505" s="197"/>
      <c r="G505" s="197"/>
      <c r="H505" s="197"/>
      <c r="I505" s="197"/>
      <c r="J505" s="197"/>
      <c r="K505" s="197"/>
    </row>
    <row r="506" spans="1:11" ht="12.5">
      <c r="A506" s="197"/>
      <c r="B506" s="197"/>
      <c r="C506" s="197"/>
      <c r="D506" s="197"/>
      <c r="E506" s="197"/>
      <c r="F506" s="197"/>
      <c r="G506" s="197"/>
      <c r="H506" s="197"/>
      <c r="I506" s="197"/>
      <c r="J506" s="197"/>
      <c r="K506" s="197"/>
    </row>
    <row r="507" spans="1:11" ht="12.5">
      <c r="A507" s="197"/>
      <c r="B507" s="197"/>
      <c r="C507" s="197"/>
      <c r="D507" s="197"/>
      <c r="E507" s="197"/>
      <c r="F507" s="197"/>
      <c r="G507" s="197"/>
      <c r="H507" s="197"/>
      <c r="I507" s="197"/>
      <c r="J507" s="197"/>
      <c r="K507" s="197"/>
    </row>
    <row r="508" spans="1:11" ht="12.5">
      <c r="A508" s="197"/>
      <c r="B508" s="197"/>
      <c r="C508" s="197"/>
      <c r="D508" s="197"/>
      <c r="E508" s="197"/>
      <c r="F508" s="197"/>
      <c r="G508" s="197"/>
      <c r="H508" s="197"/>
      <c r="I508" s="197"/>
      <c r="J508" s="197"/>
      <c r="K508" s="197"/>
    </row>
    <row r="509" spans="1:11" ht="12.5">
      <c r="A509" s="197"/>
      <c r="B509" s="197"/>
      <c r="C509" s="197"/>
      <c r="D509" s="197"/>
      <c r="E509" s="197"/>
      <c r="F509" s="197"/>
      <c r="G509" s="197"/>
      <c r="H509" s="197"/>
      <c r="I509" s="197"/>
      <c r="J509" s="197"/>
      <c r="K509" s="197"/>
    </row>
    <row r="510" spans="1:11" ht="12.5">
      <c r="A510" s="197"/>
      <c r="B510" s="197"/>
      <c r="C510" s="197"/>
      <c r="D510" s="197"/>
      <c r="E510" s="197"/>
      <c r="F510" s="197"/>
      <c r="G510" s="197"/>
      <c r="H510" s="197"/>
      <c r="I510" s="197"/>
      <c r="J510" s="197"/>
      <c r="K510" s="197"/>
    </row>
    <row r="511" spans="1:11" ht="12.5">
      <c r="A511" s="197"/>
      <c r="B511" s="197"/>
      <c r="C511" s="197"/>
      <c r="D511" s="197"/>
      <c r="E511" s="197"/>
      <c r="F511" s="197"/>
      <c r="G511" s="197"/>
      <c r="H511" s="197"/>
      <c r="I511" s="197"/>
      <c r="J511" s="197"/>
      <c r="K511" s="197"/>
    </row>
    <row r="512" spans="1:11" ht="12.5">
      <c r="A512" s="197"/>
      <c r="B512" s="197"/>
      <c r="C512" s="197"/>
      <c r="D512" s="197"/>
      <c r="E512" s="197"/>
      <c r="F512" s="197"/>
      <c r="G512" s="197"/>
      <c r="H512" s="197"/>
      <c r="I512" s="197"/>
      <c r="J512" s="197"/>
      <c r="K512" s="197"/>
    </row>
    <row r="513" spans="1:11" ht="12.5">
      <c r="A513" s="197"/>
      <c r="B513" s="197"/>
      <c r="C513" s="197"/>
      <c r="D513" s="197"/>
      <c r="E513" s="197"/>
      <c r="F513" s="197"/>
      <c r="G513" s="197"/>
      <c r="H513" s="197"/>
      <c r="I513" s="197"/>
      <c r="J513" s="197"/>
      <c r="K513" s="197"/>
    </row>
    <row r="514" spans="1:11" ht="12.5">
      <c r="A514" s="197"/>
      <c r="B514" s="197"/>
      <c r="C514" s="197"/>
      <c r="D514" s="197"/>
      <c r="E514" s="197"/>
      <c r="F514" s="197"/>
      <c r="G514" s="197"/>
      <c r="H514" s="197"/>
      <c r="I514" s="197"/>
      <c r="J514" s="197"/>
      <c r="K514" s="197"/>
    </row>
    <row r="515" spans="1:11" ht="12.5">
      <c r="A515" s="197"/>
      <c r="B515" s="197"/>
      <c r="C515" s="197"/>
      <c r="D515" s="197"/>
      <c r="E515" s="197"/>
      <c r="F515" s="197"/>
      <c r="G515" s="197"/>
      <c r="H515" s="197"/>
      <c r="I515" s="197"/>
      <c r="J515" s="197"/>
      <c r="K515" s="197"/>
    </row>
    <row r="516" spans="1:11" ht="12.5">
      <c r="A516" s="197"/>
      <c r="B516" s="197"/>
      <c r="C516" s="197"/>
      <c r="D516" s="197"/>
      <c r="E516" s="197"/>
      <c r="F516" s="197"/>
      <c r="G516" s="197"/>
      <c r="H516" s="197"/>
      <c r="I516" s="197"/>
      <c r="J516" s="197"/>
      <c r="K516" s="197"/>
    </row>
    <row r="517" spans="1:11" ht="12.5">
      <c r="A517" s="197"/>
      <c r="B517" s="197"/>
      <c r="C517" s="197"/>
      <c r="D517" s="197"/>
      <c r="E517" s="197"/>
      <c r="F517" s="197"/>
      <c r="G517" s="197"/>
      <c r="H517" s="197"/>
      <c r="I517" s="197"/>
      <c r="J517" s="197"/>
      <c r="K517" s="197"/>
    </row>
    <row r="518" spans="1:11" ht="12.5">
      <c r="A518" s="197"/>
      <c r="B518" s="197"/>
      <c r="C518" s="197"/>
      <c r="D518" s="197"/>
      <c r="E518" s="197"/>
      <c r="F518" s="197"/>
      <c r="G518" s="197"/>
      <c r="H518" s="197"/>
      <c r="I518" s="197"/>
      <c r="J518" s="197"/>
      <c r="K518" s="197"/>
    </row>
    <row r="519" spans="1:11" ht="12.5">
      <c r="A519" s="197"/>
      <c r="B519" s="197"/>
      <c r="C519" s="197"/>
      <c r="D519" s="197"/>
      <c r="E519" s="197"/>
      <c r="F519" s="197"/>
      <c r="G519" s="197"/>
      <c r="H519" s="197"/>
      <c r="I519" s="197"/>
      <c r="J519" s="197"/>
      <c r="K519" s="197"/>
    </row>
    <row r="520" spans="1:11" ht="12.5">
      <c r="A520" s="197"/>
      <c r="B520" s="197"/>
      <c r="C520" s="197"/>
      <c r="D520" s="197"/>
      <c r="E520" s="197"/>
      <c r="F520" s="197"/>
      <c r="G520" s="197"/>
      <c r="H520" s="197"/>
      <c r="I520" s="197"/>
      <c r="J520" s="197"/>
      <c r="K520" s="197"/>
    </row>
    <row r="521" spans="1:11" ht="12.5">
      <c r="A521" s="197"/>
      <c r="B521" s="197"/>
      <c r="C521" s="197"/>
      <c r="D521" s="197"/>
      <c r="E521" s="197"/>
      <c r="F521" s="197"/>
      <c r="G521" s="197"/>
      <c r="H521" s="197"/>
      <c r="I521" s="197"/>
      <c r="J521" s="197"/>
      <c r="K521" s="197"/>
    </row>
    <row r="522" spans="1:11" ht="12.5">
      <c r="A522" s="197"/>
      <c r="B522" s="197"/>
      <c r="C522" s="197"/>
      <c r="D522" s="197"/>
      <c r="E522" s="197"/>
      <c r="F522" s="197"/>
      <c r="G522" s="197"/>
      <c r="H522" s="197"/>
      <c r="I522" s="197"/>
      <c r="J522" s="197"/>
      <c r="K522" s="197"/>
    </row>
    <row r="523" spans="1:11" ht="12.5">
      <c r="A523" s="197"/>
      <c r="B523" s="197"/>
      <c r="C523" s="197"/>
      <c r="D523" s="197"/>
      <c r="E523" s="197"/>
      <c r="F523" s="197"/>
      <c r="G523" s="197"/>
      <c r="H523" s="197"/>
      <c r="I523" s="197"/>
      <c r="J523" s="197"/>
      <c r="K523" s="197"/>
    </row>
    <row r="524" spans="1:11" ht="12.5">
      <c r="A524" s="197"/>
      <c r="B524" s="197"/>
      <c r="C524" s="197"/>
      <c r="D524" s="197"/>
      <c r="E524" s="197"/>
      <c r="F524" s="197"/>
      <c r="G524" s="197"/>
      <c r="H524" s="197"/>
      <c r="I524" s="197"/>
      <c r="J524" s="197"/>
      <c r="K524" s="197"/>
    </row>
    <row r="525" spans="1:11" ht="12.5">
      <c r="A525" s="197"/>
      <c r="B525" s="197"/>
      <c r="C525" s="197"/>
      <c r="D525" s="197"/>
      <c r="E525" s="197"/>
      <c r="F525" s="197"/>
      <c r="G525" s="197"/>
      <c r="H525" s="197"/>
      <c r="I525" s="197"/>
      <c r="J525" s="197"/>
      <c r="K525" s="197"/>
    </row>
    <row r="526" spans="1:11" ht="12.5">
      <c r="A526" s="197"/>
      <c r="B526" s="197"/>
      <c r="C526" s="197"/>
      <c r="D526" s="197"/>
      <c r="E526" s="197"/>
      <c r="F526" s="197"/>
      <c r="G526" s="197"/>
      <c r="H526" s="197"/>
      <c r="I526" s="197"/>
      <c r="J526" s="197"/>
      <c r="K526" s="197"/>
    </row>
    <row r="527" spans="1:11" ht="12.5">
      <c r="A527" s="197"/>
      <c r="B527" s="197"/>
      <c r="C527" s="197"/>
      <c r="D527" s="197"/>
      <c r="E527" s="197"/>
      <c r="F527" s="197"/>
      <c r="G527" s="197"/>
      <c r="H527" s="197"/>
      <c r="I527" s="197"/>
      <c r="J527" s="197"/>
      <c r="K527" s="197"/>
    </row>
    <row r="528" spans="1:11" ht="12.5">
      <c r="A528" s="197"/>
      <c r="B528" s="197"/>
      <c r="C528" s="197"/>
      <c r="D528" s="197"/>
      <c r="E528" s="197"/>
      <c r="F528" s="197"/>
      <c r="G528" s="197"/>
      <c r="H528" s="197"/>
      <c r="I528" s="197"/>
      <c r="J528" s="197"/>
      <c r="K528" s="197"/>
    </row>
    <row r="529" spans="1:11" ht="12.5">
      <c r="A529" s="197"/>
      <c r="B529" s="197"/>
      <c r="C529" s="197"/>
      <c r="D529" s="197"/>
      <c r="E529" s="197"/>
      <c r="F529" s="197"/>
      <c r="G529" s="197"/>
      <c r="H529" s="197"/>
      <c r="I529" s="197"/>
      <c r="J529" s="197"/>
      <c r="K529" s="197"/>
    </row>
    <row r="530" spans="1:11" ht="12.5">
      <c r="A530" s="197"/>
      <c r="B530" s="197"/>
      <c r="C530" s="197"/>
      <c r="D530" s="197"/>
      <c r="E530" s="197"/>
      <c r="F530" s="197"/>
      <c r="G530" s="197"/>
      <c r="H530" s="197"/>
      <c r="I530" s="197"/>
      <c r="J530" s="197"/>
      <c r="K530" s="197"/>
    </row>
    <row r="531" spans="1:11" ht="12.5">
      <c r="A531" s="197"/>
      <c r="B531" s="197"/>
      <c r="C531" s="197"/>
      <c r="D531" s="197"/>
      <c r="E531" s="197"/>
      <c r="F531" s="197"/>
      <c r="G531" s="197"/>
      <c r="H531" s="197"/>
      <c r="I531" s="197"/>
      <c r="J531" s="197"/>
      <c r="K531" s="197"/>
    </row>
    <row r="532" spans="1:11" ht="12.5">
      <c r="A532" s="197"/>
      <c r="B532" s="197"/>
      <c r="C532" s="197"/>
      <c r="D532" s="197"/>
      <c r="E532" s="197"/>
      <c r="F532" s="197"/>
      <c r="G532" s="197"/>
      <c r="H532" s="197"/>
      <c r="I532" s="197"/>
      <c r="J532" s="197"/>
      <c r="K532" s="197"/>
    </row>
    <row r="533" spans="1:11" ht="12.5">
      <c r="A533" s="197"/>
      <c r="B533" s="197"/>
      <c r="C533" s="197"/>
      <c r="D533" s="197"/>
      <c r="E533" s="197"/>
      <c r="F533" s="197"/>
      <c r="G533" s="197"/>
      <c r="H533" s="197"/>
      <c r="I533" s="197"/>
      <c r="J533" s="197"/>
      <c r="K533" s="197"/>
    </row>
    <row r="534" spans="1:11" ht="12.5">
      <c r="A534" s="197"/>
      <c r="B534" s="197"/>
      <c r="C534" s="197"/>
      <c r="D534" s="197"/>
      <c r="E534" s="197"/>
      <c r="F534" s="197"/>
      <c r="G534" s="197"/>
      <c r="H534" s="197"/>
      <c r="I534" s="197"/>
      <c r="J534" s="197"/>
      <c r="K534" s="197"/>
    </row>
    <row r="535" spans="1:11" ht="12.5">
      <c r="A535" s="197"/>
      <c r="B535" s="197"/>
      <c r="C535" s="197"/>
      <c r="D535" s="197"/>
      <c r="E535" s="197"/>
      <c r="F535" s="197"/>
      <c r="G535" s="197"/>
      <c r="H535" s="197"/>
      <c r="I535" s="197"/>
      <c r="J535" s="197"/>
      <c r="K535" s="197"/>
    </row>
    <row r="536" spans="1:11" ht="12.5">
      <c r="A536" s="197"/>
      <c r="B536" s="197"/>
      <c r="C536" s="197"/>
      <c r="D536" s="197"/>
      <c r="E536" s="197"/>
      <c r="F536" s="197"/>
      <c r="G536" s="197"/>
      <c r="H536" s="197"/>
      <c r="I536" s="197"/>
      <c r="J536" s="197"/>
      <c r="K536" s="197"/>
    </row>
    <row r="537" spans="1:11" ht="12.5">
      <c r="A537" s="197"/>
      <c r="B537" s="197"/>
      <c r="C537" s="197"/>
      <c r="D537" s="197"/>
      <c r="E537" s="197"/>
      <c r="F537" s="197"/>
      <c r="G537" s="197"/>
      <c r="H537" s="197"/>
      <c r="I537" s="197"/>
      <c r="J537" s="197"/>
      <c r="K537" s="197"/>
    </row>
    <row r="538" spans="1:11" ht="12.5">
      <c r="A538" s="197"/>
      <c r="B538" s="197"/>
      <c r="C538" s="197"/>
      <c r="D538" s="197"/>
      <c r="E538" s="197"/>
      <c r="F538" s="197"/>
      <c r="G538" s="197"/>
      <c r="H538" s="197"/>
      <c r="I538" s="197"/>
      <c r="J538" s="197"/>
      <c r="K538" s="197"/>
    </row>
    <row r="539" spans="1:11" ht="12.5">
      <c r="A539" s="197"/>
      <c r="B539" s="197"/>
      <c r="C539" s="197"/>
      <c r="D539" s="197"/>
      <c r="E539" s="197"/>
      <c r="F539" s="197"/>
      <c r="G539" s="197"/>
      <c r="H539" s="197"/>
      <c r="I539" s="197"/>
      <c r="J539" s="197"/>
      <c r="K539" s="197"/>
    </row>
    <row r="540" spans="1:11" ht="12.5">
      <c r="A540" s="197"/>
      <c r="B540" s="197"/>
      <c r="C540" s="197"/>
      <c r="D540" s="197"/>
      <c r="E540" s="197"/>
      <c r="F540" s="197"/>
      <c r="G540" s="197"/>
      <c r="H540" s="197"/>
      <c r="I540" s="197"/>
      <c r="J540" s="197"/>
      <c r="K540" s="197"/>
    </row>
    <row r="541" spans="1:11" ht="12.5">
      <c r="A541" s="197"/>
      <c r="B541" s="197"/>
      <c r="C541" s="197"/>
      <c r="D541" s="197"/>
      <c r="E541" s="197"/>
      <c r="F541" s="197"/>
      <c r="G541" s="197"/>
      <c r="H541" s="197"/>
      <c r="I541" s="197"/>
      <c r="J541" s="197"/>
      <c r="K541" s="197"/>
    </row>
    <row r="542" spans="1:11" ht="12.5">
      <c r="A542" s="197"/>
      <c r="B542" s="197"/>
      <c r="C542" s="197"/>
      <c r="D542" s="197"/>
      <c r="E542" s="197"/>
      <c r="F542" s="197"/>
      <c r="G542" s="197"/>
      <c r="H542" s="197"/>
      <c r="I542" s="197"/>
      <c r="J542" s="197"/>
      <c r="K542" s="197"/>
    </row>
    <row r="543" spans="1:11" ht="12.5">
      <c r="A543" s="197"/>
      <c r="B543" s="197"/>
      <c r="C543" s="197"/>
      <c r="D543" s="197"/>
      <c r="E543" s="197"/>
      <c r="F543" s="197"/>
      <c r="G543" s="197"/>
      <c r="H543" s="197"/>
      <c r="I543" s="197"/>
      <c r="J543" s="197"/>
      <c r="K543" s="197"/>
    </row>
    <row r="544" spans="1:11" ht="12.5">
      <c r="A544" s="197"/>
      <c r="B544" s="197"/>
      <c r="C544" s="197"/>
      <c r="D544" s="197"/>
      <c r="E544" s="197"/>
      <c r="F544" s="197"/>
      <c r="G544" s="197"/>
      <c r="H544" s="197"/>
      <c r="I544" s="197"/>
      <c r="J544" s="197"/>
      <c r="K544" s="197"/>
    </row>
    <row r="545" spans="1:11" ht="12.5">
      <c r="A545" s="197"/>
      <c r="B545" s="197"/>
      <c r="C545" s="197"/>
      <c r="D545" s="197"/>
      <c r="E545" s="197"/>
      <c r="F545" s="197"/>
      <c r="G545" s="197"/>
      <c r="H545" s="197"/>
      <c r="I545" s="197"/>
      <c r="J545" s="197"/>
      <c r="K545" s="197"/>
    </row>
    <row r="546" spans="1:11" ht="12.5">
      <c r="A546" s="197"/>
      <c r="B546" s="197"/>
      <c r="C546" s="197"/>
      <c r="D546" s="197"/>
      <c r="E546" s="197"/>
      <c r="F546" s="197"/>
      <c r="G546" s="197"/>
      <c r="H546" s="197"/>
      <c r="I546" s="197"/>
      <c r="J546" s="197"/>
      <c r="K546" s="197"/>
    </row>
    <row r="547" spans="1:11" ht="12.5">
      <c r="A547" s="197"/>
      <c r="B547" s="197"/>
      <c r="C547" s="197"/>
      <c r="D547" s="197"/>
      <c r="E547" s="197"/>
      <c r="F547" s="197"/>
      <c r="G547" s="197"/>
      <c r="H547" s="197"/>
      <c r="I547" s="197"/>
      <c r="J547" s="197"/>
      <c r="K547" s="197"/>
    </row>
    <row r="548" spans="1:11" ht="12.5">
      <c r="A548" s="197"/>
      <c r="B548" s="197"/>
      <c r="C548" s="197"/>
      <c r="D548" s="197"/>
      <c r="E548" s="197"/>
      <c r="F548" s="197"/>
      <c r="G548" s="197"/>
      <c r="H548" s="197"/>
      <c r="I548" s="197"/>
      <c r="J548" s="197"/>
      <c r="K548" s="197"/>
    </row>
    <row r="549" spans="1:11" ht="12.5">
      <c r="A549" s="197"/>
      <c r="B549" s="197"/>
      <c r="C549" s="197"/>
      <c r="D549" s="197"/>
      <c r="E549" s="197"/>
      <c r="F549" s="197"/>
      <c r="G549" s="197"/>
      <c r="H549" s="197"/>
      <c r="I549" s="197"/>
      <c r="J549" s="197"/>
      <c r="K549" s="197"/>
    </row>
    <row r="550" spans="1:11" ht="12.5">
      <c r="A550" s="197"/>
      <c r="B550" s="197"/>
      <c r="C550" s="197"/>
      <c r="D550" s="197"/>
      <c r="E550" s="197"/>
      <c r="F550" s="197"/>
      <c r="G550" s="197"/>
      <c r="H550" s="197"/>
      <c r="I550" s="197"/>
      <c r="J550" s="197"/>
      <c r="K550" s="197"/>
    </row>
    <row r="551" spans="1:11" ht="12.5">
      <c r="A551" s="197"/>
      <c r="B551" s="197"/>
      <c r="C551" s="197"/>
      <c r="D551" s="197"/>
      <c r="E551" s="197"/>
      <c r="F551" s="197"/>
      <c r="G551" s="197"/>
      <c r="H551" s="197"/>
      <c r="I551" s="197"/>
      <c r="J551" s="197"/>
      <c r="K551" s="197"/>
    </row>
    <row r="552" spans="1:11" ht="12.5">
      <c r="A552" s="197"/>
      <c r="B552" s="197"/>
      <c r="C552" s="197"/>
      <c r="D552" s="197"/>
      <c r="E552" s="197"/>
      <c r="F552" s="197"/>
      <c r="G552" s="197"/>
      <c r="H552" s="197"/>
      <c r="I552" s="197"/>
      <c r="J552" s="197"/>
      <c r="K552" s="197"/>
    </row>
    <row r="553" spans="1:11" ht="12.5">
      <c r="A553" s="197"/>
      <c r="B553" s="197"/>
      <c r="C553" s="197"/>
      <c r="D553" s="197"/>
      <c r="E553" s="197"/>
      <c r="F553" s="197"/>
      <c r="G553" s="197"/>
      <c r="H553" s="197"/>
      <c r="I553" s="197"/>
      <c r="J553" s="197"/>
      <c r="K553" s="197"/>
    </row>
    <row r="554" spans="1:11" ht="12.5">
      <c r="A554" s="197"/>
      <c r="B554" s="197"/>
      <c r="C554" s="197"/>
      <c r="D554" s="197"/>
      <c r="E554" s="197"/>
      <c r="F554" s="197"/>
      <c r="G554" s="197"/>
      <c r="H554" s="197"/>
      <c r="I554" s="197"/>
      <c r="J554" s="197"/>
      <c r="K554" s="197"/>
    </row>
    <row r="555" spans="1:11" ht="12.5">
      <c r="A555" s="197"/>
      <c r="B555" s="197"/>
      <c r="C555" s="197"/>
      <c r="D555" s="197"/>
      <c r="E555" s="197"/>
      <c r="F555" s="197"/>
      <c r="G555" s="197"/>
      <c r="H555" s="197"/>
      <c r="I555" s="197"/>
      <c r="J555" s="197"/>
      <c r="K555" s="197"/>
    </row>
    <row r="556" spans="1:11" ht="12.5">
      <c r="A556" s="197"/>
      <c r="B556" s="197"/>
      <c r="C556" s="197"/>
      <c r="D556" s="197"/>
      <c r="E556" s="197"/>
      <c r="F556" s="197"/>
      <c r="G556" s="197"/>
      <c r="H556" s="197"/>
      <c r="I556" s="197"/>
      <c r="J556" s="197"/>
      <c r="K556" s="197"/>
    </row>
    <row r="557" spans="1:11" ht="12.5">
      <c r="A557" s="197"/>
      <c r="B557" s="197"/>
      <c r="C557" s="197"/>
      <c r="D557" s="197"/>
      <c r="E557" s="197"/>
      <c r="F557" s="197"/>
      <c r="G557" s="197"/>
      <c r="H557" s="197"/>
      <c r="I557" s="197"/>
      <c r="J557" s="197"/>
      <c r="K557" s="197"/>
    </row>
    <row r="558" spans="1:11" ht="12.5">
      <c r="A558" s="197"/>
      <c r="B558" s="197"/>
      <c r="C558" s="197"/>
      <c r="D558" s="197"/>
      <c r="E558" s="197"/>
      <c r="F558" s="197"/>
      <c r="G558" s="197"/>
      <c r="H558" s="197"/>
      <c r="I558" s="197"/>
      <c r="J558" s="197"/>
      <c r="K558" s="197"/>
    </row>
    <row r="559" spans="1:11" ht="12.5">
      <c r="A559" s="197"/>
      <c r="B559" s="197"/>
      <c r="C559" s="197"/>
      <c r="D559" s="197"/>
      <c r="E559" s="197"/>
      <c r="F559" s="197"/>
      <c r="G559" s="197"/>
      <c r="H559" s="197"/>
      <c r="I559" s="197"/>
      <c r="J559" s="197"/>
      <c r="K559" s="197"/>
    </row>
    <row r="560" spans="1:11" ht="12.5">
      <c r="A560" s="197"/>
      <c r="B560" s="197"/>
      <c r="C560" s="197"/>
      <c r="D560" s="197"/>
      <c r="E560" s="197"/>
      <c r="F560" s="197"/>
      <c r="G560" s="197"/>
      <c r="H560" s="197"/>
      <c r="I560" s="197"/>
      <c r="J560" s="197"/>
      <c r="K560" s="197"/>
    </row>
    <row r="561" spans="1:11" ht="12.5">
      <c r="A561" s="197"/>
      <c r="B561" s="197"/>
      <c r="C561" s="197"/>
      <c r="D561" s="197"/>
      <c r="E561" s="197"/>
      <c r="F561" s="197"/>
      <c r="G561" s="197"/>
      <c r="H561" s="197"/>
      <c r="I561" s="197"/>
      <c r="J561" s="197"/>
      <c r="K561" s="197"/>
    </row>
    <row r="562" spans="1:11" ht="12.5">
      <c r="A562" s="197"/>
      <c r="B562" s="197"/>
      <c r="C562" s="197"/>
      <c r="D562" s="197"/>
      <c r="E562" s="197"/>
      <c r="F562" s="197"/>
      <c r="G562" s="197"/>
      <c r="H562" s="197"/>
      <c r="I562" s="197"/>
      <c r="J562" s="197"/>
      <c r="K562" s="197"/>
    </row>
    <row r="563" spans="1:11" ht="12.5">
      <c r="A563" s="197"/>
      <c r="B563" s="197"/>
      <c r="C563" s="197"/>
      <c r="D563" s="197"/>
      <c r="E563" s="197"/>
      <c r="F563" s="197"/>
      <c r="G563" s="197"/>
      <c r="H563" s="197"/>
      <c r="I563" s="197"/>
      <c r="J563" s="197"/>
      <c r="K563" s="197"/>
    </row>
    <row r="564" spans="1:11" ht="12.5">
      <c r="A564" s="197"/>
      <c r="B564" s="197"/>
      <c r="C564" s="197"/>
      <c r="D564" s="197"/>
      <c r="E564" s="197"/>
      <c r="F564" s="197"/>
      <c r="G564" s="197"/>
      <c r="H564" s="197"/>
      <c r="I564" s="197"/>
      <c r="J564" s="197"/>
      <c r="K564" s="197"/>
    </row>
    <row r="565" spans="1:11" ht="12.5">
      <c r="A565" s="197"/>
      <c r="B565" s="197"/>
      <c r="C565" s="197"/>
      <c r="D565" s="197"/>
      <c r="E565" s="197"/>
      <c r="F565" s="197"/>
      <c r="G565" s="197"/>
      <c r="H565" s="197"/>
      <c r="I565" s="197"/>
      <c r="J565" s="197"/>
      <c r="K565" s="197"/>
    </row>
    <row r="566" spans="1:11" ht="12.5">
      <c r="A566" s="197"/>
      <c r="B566" s="197"/>
      <c r="C566" s="197"/>
      <c r="D566" s="197"/>
      <c r="E566" s="197"/>
      <c r="F566" s="197"/>
      <c r="G566" s="197"/>
      <c r="H566" s="197"/>
      <c r="I566" s="197"/>
      <c r="J566" s="197"/>
      <c r="K566" s="197"/>
    </row>
    <row r="567" spans="1:11" ht="12.5">
      <c r="A567" s="197"/>
      <c r="B567" s="197"/>
      <c r="C567" s="197"/>
      <c r="D567" s="197"/>
      <c r="E567" s="197"/>
      <c r="F567" s="197"/>
      <c r="G567" s="197"/>
      <c r="H567" s="197"/>
      <c r="I567" s="197"/>
      <c r="J567" s="197"/>
      <c r="K567" s="197"/>
    </row>
    <row r="568" spans="1:11" ht="12.5">
      <c r="A568" s="197"/>
      <c r="B568" s="197"/>
      <c r="C568" s="197"/>
      <c r="D568" s="197"/>
      <c r="E568" s="197"/>
      <c r="F568" s="197"/>
      <c r="G568" s="197"/>
      <c r="H568" s="197"/>
      <c r="I568" s="197"/>
      <c r="J568" s="197"/>
      <c r="K568" s="197"/>
    </row>
    <row r="569" spans="1:11" ht="12.5">
      <c r="A569" s="197"/>
      <c r="B569" s="197"/>
      <c r="C569" s="197"/>
      <c r="D569" s="197"/>
      <c r="E569" s="197"/>
      <c r="F569" s="197"/>
      <c r="G569" s="197"/>
      <c r="H569" s="197"/>
      <c r="I569" s="197"/>
      <c r="J569" s="197"/>
      <c r="K569" s="197"/>
    </row>
    <row r="570" spans="1:11" ht="12.5">
      <c r="A570" s="197"/>
      <c r="B570" s="197"/>
      <c r="C570" s="197"/>
      <c r="D570" s="197"/>
      <c r="E570" s="197"/>
      <c r="F570" s="197"/>
      <c r="G570" s="197"/>
      <c r="H570" s="197"/>
      <c r="I570" s="197"/>
      <c r="J570" s="197"/>
      <c r="K570" s="197"/>
    </row>
    <row r="571" spans="1:11" ht="12.5">
      <c r="A571" s="197"/>
      <c r="B571" s="197"/>
      <c r="C571" s="197"/>
      <c r="D571" s="197"/>
      <c r="E571" s="197"/>
      <c r="F571" s="197"/>
      <c r="G571" s="197"/>
      <c r="H571" s="197"/>
      <c r="I571" s="197"/>
      <c r="J571" s="197"/>
      <c r="K571" s="197"/>
    </row>
    <row r="572" spans="1:11" ht="12.5">
      <c r="A572" s="197"/>
      <c r="B572" s="197"/>
      <c r="C572" s="197"/>
      <c r="D572" s="197"/>
      <c r="E572" s="197"/>
      <c r="F572" s="197"/>
      <c r="G572" s="197"/>
      <c r="H572" s="197"/>
      <c r="I572" s="197"/>
      <c r="J572" s="197"/>
      <c r="K572" s="197"/>
    </row>
    <row r="573" spans="1:11" ht="12.5">
      <c r="A573" s="197"/>
      <c r="B573" s="197"/>
      <c r="C573" s="197"/>
      <c r="D573" s="197"/>
      <c r="E573" s="197"/>
      <c r="F573" s="197"/>
      <c r="G573" s="197"/>
      <c r="H573" s="197"/>
      <c r="I573" s="197"/>
      <c r="J573" s="197"/>
      <c r="K573" s="197"/>
    </row>
    <row r="574" spans="1:11" ht="12.5">
      <c r="A574" s="197"/>
      <c r="B574" s="197"/>
      <c r="C574" s="197"/>
      <c r="D574" s="197"/>
      <c r="E574" s="197"/>
      <c r="F574" s="197"/>
      <c r="G574" s="197"/>
      <c r="H574" s="197"/>
      <c r="I574" s="197"/>
      <c r="J574" s="197"/>
      <c r="K574" s="197"/>
    </row>
    <row r="575" spans="1:11" ht="12.5">
      <c r="A575" s="197"/>
      <c r="B575" s="197"/>
      <c r="C575" s="197"/>
      <c r="D575" s="197"/>
      <c r="E575" s="197"/>
      <c r="F575" s="197"/>
      <c r="G575" s="197"/>
      <c r="H575" s="197"/>
      <c r="I575" s="197"/>
      <c r="J575" s="197"/>
      <c r="K575" s="197"/>
    </row>
    <row r="576" spans="1:11" ht="12.5">
      <c r="A576" s="197"/>
      <c r="B576" s="197"/>
      <c r="C576" s="197"/>
      <c r="D576" s="197"/>
      <c r="E576" s="197"/>
      <c r="F576" s="197"/>
      <c r="G576" s="197"/>
      <c r="H576" s="197"/>
      <c r="I576" s="197"/>
      <c r="J576" s="197"/>
      <c r="K576" s="197"/>
    </row>
    <row r="577" spans="1:11" ht="12.5">
      <c r="A577" s="197"/>
      <c r="B577" s="197"/>
      <c r="C577" s="197"/>
      <c r="D577" s="197"/>
      <c r="E577" s="197"/>
      <c r="F577" s="197"/>
      <c r="G577" s="197"/>
      <c r="H577" s="197"/>
      <c r="I577" s="197"/>
      <c r="J577" s="197"/>
      <c r="K577" s="197"/>
    </row>
    <row r="578" spans="1:11" ht="12.5">
      <c r="A578" s="197"/>
      <c r="B578" s="197"/>
      <c r="C578" s="197"/>
      <c r="D578" s="197"/>
      <c r="E578" s="197"/>
      <c r="F578" s="197"/>
      <c r="G578" s="197"/>
      <c r="H578" s="197"/>
      <c r="I578" s="197"/>
      <c r="J578" s="197"/>
      <c r="K578" s="197"/>
    </row>
    <row r="579" spans="1:11" ht="12.5">
      <c r="A579" s="197"/>
      <c r="B579" s="197"/>
      <c r="C579" s="197"/>
      <c r="D579" s="197"/>
      <c r="E579" s="197"/>
      <c r="F579" s="197"/>
      <c r="G579" s="197"/>
      <c r="H579" s="197"/>
      <c r="I579" s="197"/>
      <c r="J579" s="197"/>
      <c r="K579" s="197"/>
    </row>
    <row r="580" spans="1:11" ht="12.5">
      <c r="A580" s="197"/>
      <c r="B580" s="197"/>
      <c r="C580" s="197"/>
      <c r="D580" s="197"/>
      <c r="E580" s="197"/>
      <c r="F580" s="197"/>
      <c r="G580" s="197"/>
      <c r="H580" s="197"/>
      <c r="I580" s="197"/>
      <c r="J580" s="197"/>
      <c r="K580" s="197"/>
    </row>
    <row r="581" spans="1:11" ht="12.5">
      <c r="A581" s="197"/>
      <c r="B581" s="197"/>
      <c r="C581" s="197"/>
      <c r="D581" s="197"/>
      <c r="E581" s="197"/>
      <c r="F581" s="197"/>
      <c r="G581" s="197"/>
      <c r="H581" s="197"/>
      <c r="I581" s="197"/>
      <c r="J581" s="197"/>
      <c r="K581" s="197"/>
    </row>
    <row r="582" spans="1:11" ht="12.5">
      <c r="A582" s="197"/>
      <c r="B582" s="197"/>
      <c r="C582" s="197"/>
      <c r="D582" s="197"/>
      <c r="E582" s="197"/>
      <c r="F582" s="197"/>
      <c r="G582" s="197"/>
      <c r="H582" s="197"/>
      <c r="I582" s="197"/>
      <c r="J582" s="197"/>
      <c r="K582" s="197"/>
    </row>
    <row r="583" spans="1:11" ht="12.5">
      <c r="A583" s="197"/>
      <c r="B583" s="197"/>
      <c r="C583" s="197"/>
      <c r="D583" s="197"/>
      <c r="E583" s="197"/>
      <c r="F583" s="197"/>
      <c r="G583" s="197"/>
      <c r="H583" s="197"/>
      <c r="I583" s="197"/>
      <c r="J583" s="197"/>
      <c r="K583" s="197"/>
    </row>
    <row r="584" spans="1:11" ht="12.5">
      <c r="A584" s="197"/>
      <c r="B584" s="197"/>
      <c r="C584" s="197"/>
      <c r="D584" s="197"/>
      <c r="E584" s="197"/>
      <c r="F584" s="197"/>
      <c r="G584" s="197"/>
      <c r="H584" s="197"/>
      <c r="I584" s="197"/>
      <c r="J584" s="197"/>
      <c r="K584" s="197"/>
    </row>
    <row r="585" spans="1:11" ht="12.5">
      <c r="A585" s="197"/>
      <c r="B585" s="197"/>
      <c r="C585" s="197"/>
      <c r="D585" s="197"/>
      <c r="E585" s="197"/>
      <c r="F585" s="197"/>
      <c r="G585" s="197"/>
      <c r="H585" s="197"/>
      <c r="I585" s="197"/>
      <c r="J585" s="197"/>
      <c r="K585" s="197"/>
    </row>
    <row r="586" spans="1:11" ht="12.5">
      <c r="A586" s="197"/>
      <c r="B586" s="197"/>
      <c r="C586" s="197"/>
      <c r="D586" s="197"/>
      <c r="E586" s="197"/>
      <c r="F586" s="197"/>
      <c r="G586" s="197"/>
      <c r="H586" s="197"/>
      <c r="I586" s="197"/>
      <c r="J586" s="197"/>
      <c r="K586" s="197"/>
    </row>
    <row r="587" spans="1:11" ht="12.5">
      <c r="A587" s="197"/>
      <c r="B587" s="197"/>
      <c r="C587" s="197"/>
      <c r="D587" s="197"/>
      <c r="E587" s="197"/>
      <c r="F587" s="197"/>
      <c r="G587" s="197"/>
      <c r="H587" s="197"/>
      <c r="I587" s="197"/>
      <c r="J587" s="197"/>
      <c r="K587" s="197"/>
    </row>
    <row r="588" spans="1:11" ht="12.5">
      <c r="A588" s="197"/>
      <c r="B588" s="197"/>
      <c r="C588" s="197"/>
      <c r="D588" s="197"/>
      <c r="E588" s="197"/>
      <c r="F588" s="197"/>
      <c r="G588" s="197"/>
      <c r="H588" s="197"/>
      <c r="I588" s="197"/>
      <c r="J588" s="197"/>
      <c r="K588" s="197"/>
    </row>
    <row r="589" spans="1:11" ht="12.5">
      <c r="A589" s="197"/>
      <c r="B589" s="197"/>
      <c r="C589" s="197"/>
      <c r="D589" s="197"/>
      <c r="E589" s="197"/>
      <c r="F589" s="197"/>
      <c r="G589" s="197"/>
      <c r="H589" s="197"/>
      <c r="I589" s="197"/>
      <c r="J589" s="197"/>
      <c r="K589" s="197"/>
    </row>
    <row r="590" spans="1:11" ht="12.5">
      <c r="A590" s="197"/>
      <c r="B590" s="197"/>
      <c r="C590" s="197"/>
      <c r="D590" s="197"/>
      <c r="E590" s="197"/>
      <c r="F590" s="197"/>
      <c r="G590" s="197"/>
      <c r="H590" s="197"/>
      <c r="I590" s="197"/>
      <c r="J590" s="197"/>
      <c r="K590" s="197"/>
    </row>
    <row r="591" spans="1:11" ht="12.5">
      <c r="A591" s="197"/>
      <c r="B591" s="197"/>
      <c r="C591" s="197"/>
      <c r="D591" s="197"/>
      <c r="E591" s="197"/>
      <c r="F591" s="197"/>
      <c r="G591" s="197"/>
      <c r="H591" s="197"/>
      <c r="I591" s="197"/>
      <c r="J591" s="197"/>
      <c r="K591" s="197"/>
    </row>
    <row r="592" spans="1:11" ht="12.5">
      <c r="A592" s="197"/>
      <c r="B592" s="197"/>
      <c r="C592" s="197"/>
      <c r="D592" s="197"/>
      <c r="E592" s="197"/>
      <c r="F592" s="197"/>
      <c r="G592" s="197"/>
      <c r="H592" s="197"/>
      <c r="I592" s="197"/>
      <c r="J592" s="197"/>
      <c r="K592" s="197"/>
    </row>
    <row r="593" spans="1:11" ht="12.5">
      <c r="A593" s="197"/>
      <c r="B593" s="197"/>
      <c r="C593" s="197"/>
      <c r="D593" s="197"/>
      <c r="E593" s="197"/>
      <c r="F593" s="197"/>
      <c r="G593" s="197"/>
      <c r="H593" s="197"/>
      <c r="I593" s="197"/>
      <c r="J593" s="197"/>
      <c r="K593" s="197"/>
    </row>
    <row r="594" spans="1:11" ht="12.5">
      <c r="A594" s="197"/>
      <c r="B594" s="197"/>
      <c r="C594" s="197"/>
      <c r="D594" s="197"/>
      <c r="E594" s="197"/>
      <c r="F594" s="197"/>
      <c r="G594" s="197"/>
      <c r="H594" s="197"/>
      <c r="I594" s="197"/>
      <c r="J594" s="197"/>
      <c r="K594" s="197"/>
    </row>
    <row r="595" spans="1:11" ht="12.5">
      <c r="A595" s="197"/>
      <c r="B595" s="197"/>
      <c r="C595" s="197"/>
      <c r="D595" s="197"/>
      <c r="E595" s="197"/>
      <c r="F595" s="197"/>
      <c r="G595" s="197"/>
      <c r="H595" s="197"/>
      <c r="I595" s="197"/>
      <c r="J595" s="197"/>
      <c r="K595" s="197"/>
    </row>
    <row r="596" spans="1:11" ht="12.5">
      <c r="A596" s="197"/>
      <c r="B596" s="197"/>
      <c r="C596" s="197"/>
      <c r="D596" s="197"/>
      <c r="E596" s="197"/>
      <c r="F596" s="197"/>
      <c r="G596" s="197"/>
      <c r="H596" s="197"/>
      <c r="I596" s="197"/>
      <c r="J596" s="197"/>
      <c r="K596" s="197"/>
    </row>
    <row r="597" spans="1:11" ht="12.5">
      <c r="A597" s="197"/>
      <c r="B597" s="197"/>
      <c r="C597" s="197"/>
      <c r="D597" s="197"/>
      <c r="E597" s="197"/>
      <c r="F597" s="197"/>
      <c r="G597" s="197"/>
      <c r="H597" s="197"/>
      <c r="I597" s="197"/>
      <c r="J597" s="197"/>
      <c r="K597" s="197"/>
    </row>
    <row r="598" spans="1:11" ht="12.5">
      <c r="A598" s="197"/>
      <c r="B598" s="197"/>
      <c r="C598" s="197"/>
      <c r="D598" s="197"/>
      <c r="E598" s="197"/>
      <c r="F598" s="197"/>
      <c r="G598" s="197"/>
      <c r="H598" s="197"/>
      <c r="I598" s="197"/>
      <c r="J598" s="197"/>
      <c r="K598" s="197"/>
    </row>
    <row r="599" spans="1:11" ht="12.5">
      <c r="A599" s="197"/>
      <c r="B599" s="197"/>
      <c r="C599" s="197"/>
      <c r="D599" s="197"/>
      <c r="E599" s="197"/>
      <c r="F599" s="197"/>
      <c r="G599" s="197"/>
      <c r="H599" s="197"/>
      <c r="I599" s="197"/>
      <c r="J599" s="197"/>
      <c r="K599" s="197"/>
    </row>
    <row r="600" spans="1:11" ht="12.5">
      <c r="A600" s="197"/>
      <c r="B600" s="197"/>
      <c r="C600" s="197"/>
      <c r="D600" s="197"/>
      <c r="E600" s="197"/>
      <c r="F600" s="197"/>
      <c r="G600" s="197"/>
      <c r="H600" s="197"/>
      <c r="I600" s="197"/>
      <c r="J600" s="197"/>
      <c r="K600" s="197"/>
    </row>
    <row r="601" spans="1:11" ht="12.5">
      <c r="A601" s="197"/>
      <c r="B601" s="197"/>
      <c r="C601" s="197"/>
      <c r="D601" s="197"/>
      <c r="E601" s="197"/>
      <c r="F601" s="197"/>
      <c r="G601" s="197"/>
      <c r="H601" s="197"/>
      <c r="I601" s="197"/>
      <c r="J601" s="197"/>
      <c r="K601" s="197"/>
    </row>
    <row r="602" spans="1:11" ht="12.5">
      <c r="A602" s="197"/>
      <c r="B602" s="197"/>
      <c r="C602" s="197"/>
      <c r="D602" s="197"/>
      <c r="E602" s="197"/>
      <c r="F602" s="197"/>
      <c r="G602" s="197"/>
      <c r="H602" s="197"/>
      <c r="I602" s="197"/>
      <c r="J602" s="197"/>
      <c r="K602" s="197"/>
    </row>
    <row r="603" spans="1:11" ht="12.5">
      <c r="A603" s="197"/>
      <c r="B603" s="197"/>
      <c r="C603" s="197"/>
      <c r="D603" s="197"/>
      <c r="E603" s="197"/>
      <c r="F603" s="197"/>
      <c r="G603" s="197"/>
      <c r="H603" s="197"/>
      <c r="I603" s="197"/>
      <c r="J603" s="197"/>
      <c r="K603" s="197"/>
    </row>
    <row r="604" spans="1:11" ht="12.5">
      <c r="A604" s="197"/>
      <c r="B604" s="197"/>
      <c r="C604" s="197"/>
      <c r="D604" s="197"/>
      <c r="E604" s="197"/>
      <c r="F604" s="197"/>
      <c r="G604" s="197"/>
      <c r="H604" s="197"/>
      <c r="I604" s="197"/>
      <c r="J604" s="197"/>
      <c r="K604" s="197"/>
    </row>
    <row r="605" spans="1:11" ht="12.5">
      <c r="A605" s="197"/>
      <c r="B605" s="197"/>
      <c r="C605" s="197"/>
      <c r="D605" s="197"/>
      <c r="E605" s="197"/>
      <c r="F605" s="197"/>
      <c r="G605" s="197"/>
      <c r="H605" s="197"/>
      <c r="I605" s="197"/>
      <c r="J605" s="197"/>
      <c r="K605" s="197"/>
    </row>
    <row r="606" spans="1:11" ht="12.5">
      <c r="A606" s="197"/>
      <c r="B606" s="197"/>
      <c r="C606" s="197"/>
      <c r="D606" s="197"/>
      <c r="E606" s="197"/>
      <c r="F606" s="197"/>
      <c r="G606" s="197"/>
      <c r="H606" s="197"/>
      <c r="I606" s="197"/>
      <c r="J606" s="197"/>
      <c r="K606" s="197"/>
    </row>
    <row r="607" spans="1:11" ht="12.5">
      <c r="A607" s="197"/>
      <c r="B607" s="197"/>
      <c r="C607" s="197"/>
      <c r="D607" s="197"/>
      <c r="E607" s="197"/>
      <c r="F607" s="197"/>
      <c r="G607" s="197"/>
      <c r="H607" s="197"/>
      <c r="I607" s="197"/>
      <c r="J607" s="197"/>
      <c r="K607" s="197"/>
    </row>
    <row r="608" spans="1:11" ht="12.5">
      <c r="A608" s="197"/>
      <c r="B608" s="197"/>
      <c r="C608" s="197"/>
      <c r="D608" s="197"/>
      <c r="E608" s="197"/>
      <c r="F608" s="197"/>
      <c r="G608" s="197"/>
      <c r="H608" s="197"/>
      <c r="I608" s="197"/>
      <c r="J608" s="197"/>
      <c r="K608" s="197"/>
    </row>
    <row r="609" spans="1:11" ht="12.5">
      <c r="A609" s="197"/>
      <c r="B609" s="197"/>
      <c r="C609" s="197"/>
      <c r="D609" s="197"/>
      <c r="E609" s="197"/>
      <c r="F609" s="197"/>
      <c r="G609" s="197"/>
      <c r="H609" s="197"/>
      <c r="I609" s="197"/>
      <c r="J609" s="197"/>
      <c r="K609" s="197"/>
    </row>
    <row r="610" spans="1:11" ht="12.5">
      <c r="A610" s="197"/>
      <c r="B610" s="197"/>
      <c r="C610" s="197"/>
      <c r="D610" s="197"/>
      <c r="E610" s="197"/>
      <c r="F610" s="197"/>
      <c r="G610" s="197"/>
      <c r="H610" s="197"/>
      <c r="I610" s="197"/>
      <c r="J610" s="197"/>
      <c r="K610" s="197"/>
    </row>
    <row r="611" spans="1:11" ht="12.5">
      <c r="A611" s="197"/>
      <c r="B611" s="197"/>
      <c r="C611" s="197"/>
      <c r="D611" s="197"/>
      <c r="E611" s="197"/>
      <c r="F611" s="197"/>
      <c r="G611" s="197"/>
      <c r="H611" s="197"/>
      <c r="I611" s="197"/>
      <c r="J611" s="197"/>
      <c r="K611" s="197"/>
    </row>
    <row r="612" spans="1:11" ht="12.5">
      <c r="A612" s="197"/>
      <c r="B612" s="197"/>
      <c r="C612" s="197"/>
      <c r="D612" s="197"/>
      <c r="E612" s="197"/>
      <c r="F612" s="197"/>
      <c r="G612" s="197"/>
      <c r="H612" s="197"/>
      <c r="I612" s="197"/>
      <c r="J612" s="197"/>
      <c r="K612" s="197"/>
    </row>
    <row r="613" spans="1:11" ht="12.5">
      <c r="A613" s="197"/>
      <c r="B613" s="197"/>
      <c r="C613" s="197"/>
      <c r="D613" s="197"/>
      <c r="E613" s="197"/>
      <c r="F613" s="197"/>
      <c r="G613" s="197"/>
      <c r="H613" s="197"/>
      <c r="I613" s="197"/>
      <c r="J613" s="197"/>
      <c r="K613" s="197"/>
    </row>
    <row r="614" spans="1:11" ht="12.5">
      <c r="A614" s="197"/>
      <c r="B614" s="197"/>
      <c r="C614" s="197"/>
      <c r="D614" s="197"/>
      <c r="E614" s="197"/>
      <c r="F614" s="197"/>
      <c r="G614" s="197"/>
      <c r="H614" s="197"/>
      <c r="I614" s="197"/>
      <c r="J614" s="197"/>
      <c r="K614" s="197"/>
    </row>
    <row r="615" spans="1:11" ht="12.5">
      <c r="A615" s="197"/>
      <c r="B615" s="197"/>
      <c r="C615" s="197"/>
      <c r="D615" s="197"/>
      <c r="E615" s="197"/>
      <c r="F615" s="197"/>
      <c r="G615" s="197"/>
      <c r="H615" s="197"/>
      <c r="I615" s="197"/>
      <c r="J615" s="197"/>
      <c r="K615" s="197"/>
    </row>
    <row r="616" spans="1:11" ht="12.5">
      <c r="A616" s="197"/>
      <c r="B616" s="197"/>
      <c r="C616" s="197"/>
      <c r="D616" s="197"/>
      <c r="E616" s="197"/>
      <c r="F616" s="197"/>
      <c r="G616" s="197"/>
      <c r="H616" s="197"/>
      <c r="I616" s="197"/>
      <c r="J616" s="197"/>
      <c r="K616" s="197"/>
    </row>
    <row r="617" spans="1:11" ht="12.5">
      <c r="A617" s="197"/>
      <c r="B617" s="197"/>
      <c r="C617" s="197"/>
      <c r="D617" s="197"/>
      <c r="E617" s="197"/>
      <c r="F617" s="197"/>
      <c r="G617" s="197"/>
      <c r="H617" s="197"/>
      <c r="I617" s="197"/>
      <c r="J617" s="197"/>
      <c r="K617" s="197"/>
    </row>
    <row r="618" spans="1:11" ht="12.5">
      <c r="A618" s="197"/>
      <c r="B618" s="197"/>
      <c r="C618" s="197"/>
      <c r="D618" s="197"/>
      <c r="E618" s="197"/>
      <c r="F618" s="197"/>
      <c r="G618" s="197"/>
      <c r="H618" s="197"/>
      <c r="I618" s="197"/>
      <c r="J618" s="197"/>
      <c r="K618" s="197"/>
    </row>
    <row r="619" spans="1:11" ht="12.5">
      <c r="A619" s="197"/>
      <c r="B619" s="197"/>
      <c r="C619" s="197"/>
      <c r="D619" s="197"/>
      <c r="E619" s="197"/>
      <c r="F619" s="197"/>
      <c r="G619" s="197"/>
      <c r="H619" s="197"/>
      <c r="I619" s="197"/>
      <c r="J619" s="197"/>
      <c r="K619" s="197"/>
    </row>
    <row r="620" spans="1:11" ht="12.5">
      <c r="A620" s="197"/>
      <c r="B620" s="197"/>
      <c r="C620" s="197"/>
      <c r="D620" s="197"/>
      <c r="E620" s="197"/>
      <c r="F620" s="197"/>
      <c r="G620" s="197"/>
      <c r="H620" s="197"/>
      <c r="I620" s="197"/>
      <c r="J620" s="197"/>
      <c r="K620" s="197"/>
    </row>
    <row r="621" spans="1:11" ht="12.5">
      <c r="A621" s="197"/>
      <c r="B621" s="197"/>
      <c r="C621" s="197"/>
      <c r="D621" s="197"/>
      <c r="E621" s="197"/>
      <c r="F621" s="197"/>
      <c r="G621" s="197"/>
      <c r="H621" s="197"/>
      <c r="I621" s="197"/>
      <c r="J621" s="197"/>
      <c r="K621" s="197"/>
    </row>
    <row r="622" spans="1:11" ht="12.5">
      <c r="A622" s="197"/>
      <c r="B622" s="197"/>
      <c r="C622" s="197"/>
      <c r="D622" s="197"/>
      <c r="E622" s="197"/>
      <c r="F622" s="197"/>
      <c r="G622" s="197"/>
      <c r="H622" s="197"/>
      <c r="I622" s="197"/>
      <c r="J622" s="197"/>
      <c r="K622" s="197"/>
    </row>
    <row r="623" spans="1:11" ht="12.5">
      <c r="A623" s="197"/>
      <c r="B623" s="197"/>
      <c r="C623" s="197"/>
      <c r="D623" s="197"/>
      <c r="E623" s="197"/>
      <c r="F623" s="197"/>
      <c r="G623" s="197"/>
      <c r="H623" s="197"/>
      <c r="I623" s="197"/>
      <c r="J623" s="197"/>
      <c r="K623" s="197"/>
    </row>
    <row r="624" spans="1:11" ht="12.5">
      <c r="A624" s="197"/>
      <c r="B624" s="197"/>
      <c r="C624" s="197"/>
      <c r="D624" s="197"/>
      <c r="E624" s="197"/>
      <c r="F624" s="197"/>
      <c r="G624" s="197"/>
      <c r="H624" s="197"/>
      <c r="I624" s="197"/>
      <c r="J624" s="197"/>
      <c r="K624" s="197"/>
    </row>
    <row r="625" spans="1:11" ht="12.5">
      <c r="A625" s="197"/>
      <c r="B625" s="197"/>
      <c r="C625" s="197"/>
      <c r="D625" s="197"/>
      <c r="E625" s="197"/>
      <c r="F625" s="197"/>
      <c r="G625" s="197"/>
      <c r="H625" s="197"/>
      <c r="I625" s="197"/>
      <c r="J625" s="197"/>
      <c r="K625" s="197"/>
    </row>
    <row r="626" spans="1:11" ht="12.5">
      <c r="A626" s="197"/>
      <c r="B626" s="197"/>
      <c r="C626" s="197"/>
      <c r="D626" s="197"/>
      <c r="E626" s="197"/>
      <c r="F626" s="197"/>
      <c r="G626" s="197"/>
      <c r="H626" s="197"/>
      <c r="I626" s="197"/>
      <c r="J626" s="197"/>
      <c r="K626" s="197"/>
    </row>
    <row r="627" spans="1:11" ht="12.5">
      <c r="A627" s="197"/>
      <c r="B627" s="197"/>
      <c r="C627" s="197"/>
      <c r="D627" s="197"/>
      <c r="E627" s="197"/>
      <c r="F627" s="197"/>
      <c r="G627" s="197"/>
      <c r="H627" s="197"/>
      <c r="I627" s="197"/>
      <c r="J627" s="197"/>
      <c r="K627" s="197"/>
    </row>
    <row r="628" spans="1:11" ht="12.5">
      <c r="A628" s="197"/>
      <c r="B628" s="197"/>
      <c r="C628" s="197"/>
      <c r="D628" s="197"/>
      <c r="E628" s="197"/>
      <c r="F628" s="197"/>
      <c r="G628" s="197"/>
      <c r="H628" s="197"/>
      <c r="I628" s="197"/>
      <c r="J628" s="197"/>
      <c r="K628" s="197"/>
    </row>
    <row r="629" spans="1:11" ht="12.5">
      <c r="A629" s="197"/>
      <c r="B629" s="197"/>
      <c r="C629" s="197"/>
      <c r="D629" s="197"/>
      <c r="E629" s="197"/>
      <c r="F629" s="197"/>
      <c r="G629" s="197"/>
      <c r="H629" s="197"/>
      <c r="I629" s="197"/>
      <c r="J629" s="197"/>
      <c r="K629" s="197"/>
    </row>
    <row r="630" spans="1:11" ht="12.5">
      <c r="A630" s="197"/>
      <c r="B630" s="197"/>
      <c r="C630" s="197"/>
      <c r="D630" s="197"/>
      <c r="E630" s="197"/>
      <c r="F630" s="197"/>
      <c r="G630" s="197"/>
      <c r="H630" s="197"/>
      <c r="I630" s="197"/>
      <c r="J630" s="197"/>
      <c r="K630" s="197"/>
    </row>
    <row r="631" spans="1:11" ht="12.5">
      <c r="A631" s="197"/>
      <c r="B631" s="197"/>
      <c r="C631" s="197"/>
      <c r="D631" s="197"/>
      <c r="E631" s="197"/>
      <c r="F631" s="197"/>
      <c r="G631" s="197"/>
      <c r="H631" s="197"/>
      <c r="I631" s="197"/>
      <c r="J631" s="197"/>
      <c r="K631" s="197"/>
    </row>
    <row r="632" spans="1:11" ht="12.5">
      <c r="A632" s="197"/>
      <c r="B632" s="197"/>
      <c r="C632" s="197"/>
      <c r="D632" s="197"/>
      <c r="E632" s="197"/>
      <c r="F632" s="197"/>
      <c r="G632" s="197"/>
      <c r="H632" s="197"/>
      <c r="I632" s="197"/>
      <c r="J632" s="197"/>
      <c r="K632" s="197"/>
    </row>
    <row r="633" spans="1:11" ht="12.5">
      <c r="A633" s="197"/>
      <c r="B633" s="197"/>
      <c r="C633" s="197"/>
      <c r="D633" s="197"/>
      <c r="E633" s="197"/>
      <c r="F633" s="197"/>
      <c r="G633" s="197"/>
      <c r="H633" s="197"/>
      <c r="I633" s="197"/>
      <c r="J633" s="197"/>
      <c r="K633" s="197"/>
    </row>
    <row r="634" spans="1:11" ht="12.5">
      <c r="A634" s="197"/>
      <c r="B634" s="197"/>
      <c r="C634" s="197"/>
      <c r="D634" s="197"/>
      <c r="E634" s="197"/>
      <c r="F634" s="197"/>
      <c r="G634" s="197"/>
      <c r="H634" s="197"/>
      <c r="I634" s="197"/>
      <c r="J634" s="197"/>
      <c r="K634" s="197"/>
    </row>
    <row r="635" spans="1:11" ht="12.5">
      <c r="A635" s="197"/>
      <c r="B635" s="197"/>
      <c r="C635" s="197"/>
      <c r="D635" s="197"/>
      <c r="E635" s="197"/>
      <c r="F635" s="197"/>
      <c r="G635" s="197"/>
      <c r="H635" s="197"/>
      <c r="I635" s="197"/>
      <c r="J635" s="197"/>
      <c r="K635" s="197"/>
    </row>
    <row r="636" spans="1:11" ht="12.5">
      <c r="A636" s="197"/>
      <c r="B636" s="197"/>
      <c r="C636" s="197"/>
      <c r="D636" s="197"/>
      <c r="E636" s="197"/>
      <c r="F636" s="197"/>
      <c r="G636" s="197"/>
      <c r="H636" s="197"/>
      <c r="I636" s="197"/>
      <c r="J636" s="197"/>
      <c r="K636" s="197"/>
    </row>
    <row r="637" spans="1:11" ht="12.5">
      <c r="A637" s="197"/>
      <c r="B637" s="197"/>
      <c r="C637" s="197"/>
      <c r="D637" s="197"/>
      <c r="E637" s="197"/>
      <c r="F637" s="197"/>
      <c r="G637" s="197"/>
      <c r="H637" s="197"/>
      <c r="I637" s="197"/>
      <c r="J637" s="197"/>
      <c r="K637" s="197"/>
    </row>
    <row r="638" spans="1:11" ht="12.5">
      <c r="A638" s="197"/>
      <c r="B638" s="197"/>
      <c r="C638" s="197"/>
      <c r="D638" s="197"/>
      <c r="E638" s="197"/>
      <c r="F638" s="197"/>
      <c r="G638" s="197"/>
      <c r="H638" s="197"/>
      <c r="I638" s="197"/>
      <c r="J638" s="197"/>
      <c r="K638" s="197"/>
    </row>
    <row r="639" spans="1:11" ht="12.5">
      <c r="A639" s="197"/>
      <c r="B639" s="197"/>
      <c r="C639" s="197"/>
      <c r="D639" s="197"/>
      <c r="E639" s="197"/>
      <c r="F639" s="197"/>
      <c r="G639" s="197"/>
      <c r="H639" s="197"/>
      <c r="I639" s="197"/>
      <c r="J639" s="197"/>
      <c r="K639" s="197"/>
    </row>
    <row r="640" spans="1:11" ht="12.5">
      <c r="A640" s="197"/>
      <c r="B640" s="197"/>
      <c r="C640" s="197"/>
      <c r="D640" s="197"/>
      <c r="E640" s="197"/>
      <c r="F640" s="197"/>
      <c r="G640" s="197"/>
      <c r="H640" s="197"/>
      <c r="I640" s="197"/>
      <c r="J640" s="197"/>
      <c r="K640" s="197"/>
    </row>
    <row r="641" spans="1:11" ht="12.5">
      <c r="A641" s="197"/>
      <c r="B641" s="197"/>
      <c r="C641" s="197"/>
      <c r="D641" s="197"/>
      <c r="E641" s="197"/>
      <c r="F641" s="197"/>
      <c r="G641" s="197"/>
      <c r="H641" s="197"/>
      <c r="I641" s="197"/>
      <c r="J641" s="197"/>
      <c r="K641" s="197"/>
    </row>
    <row r="642" spans="1:11" ht="12.5">
      <c r="A642" s="197"/>
      <c r="B642" s="197"/>
      <c r="C642" s="197"/>
      <c r="D642" s="197"/>
      <c r="E642" s="197"/>
      <c r="F642" s="197"/>
      <c r="G642" s="197"/>
      <c r="H642" s="197"/>
      <c r="I642" s="197"/>
      <c r="J642" s="197"/>
      <c r="K642" s="197"/>
    </row>
    <row r="643" spans="1:11" ht="12.5">
      <c r="A643" s="197"/>
      <c r="B643" s="197"/>
      <c r="C643" s="197"/>
      <c r="D643" s="197"/>
      <c r="E643" s="197"/>
      <c r="F643" s="197"/>
      <c r="G643" s="197"/>
      <c r="H643" s="197"/>
      <c r="I643" s="197"/>
      <c r="J643" s="197"/>
      <c r="K643" s="197"/>
    </row>
    <row r="644" spans="1:11" ht="12.5">
      <c r="A644" s="197"/>
      <c r="B644" s="197"/>
      <c r="C644" s="197"/>
      <c r="D644" s="197"/>
      <c r="E644" s="197"/>
      <c r="F644" s="197"/>
      <c r="G644" s="197"/>
      <c r="H644" s="197"/>
      <c r="I644" s="197"/>
      <c r="J644" s="197"/>
      <c r="K644" s="197"/>
    </row>
    <row r="645" spans="1:11" ht="12.5">
      <c r="A645" s="197"/>
      <c r="B645" s="197"/>
      <c r="C645" s="197"/>
      <c r="D645" s="197"/>
      <c r="E645" s="197"/>
      <c r="F645" s="197"/>
      <c r="G645" s="197"/>
      <c r="H645" s="197"/>
      <c r="I645" s="197"/>
      <c r="J645" s="197"/>
      <c r="K645" s="197"/>
    </row>
    <row r="646" spans="1:11" ht="12.5">
      <c r="A646" s="197"/>
      <c r="B646" s="197"/>
      <c r="C646" s="197"/>
      <c r="D646" s="197"/>
      <c r="E646" s="197"/>
      <c r="F646" s="197"/>
      <c r="G646" s="197"/>
      <c r="H646" s="197"/>
      <c r="I646" s="197"/>
      <c r="J646" s="197"/>
      <c r="K646" s="197"/>
    </row>
    <row r="647" spans="1:11" ht="12.5">
      <c r="A647" s="197"/>
      <c r="B647" s="197"/>
      <c r="C647" s="197"/>
      <c r="D647" s="197"/>
      <c r="E647" s="197"/>
      <c r="F647" s="197"/>
      <c r="G647" s="197"/>
      <c r="H647" s="197"/>
      <c r="I647" s="197"/>
      <c r="J647" s="197"/>
      <c r="K647" s="197"/>
    </row>
    <row r="648" spans="1:11" ht="12.5">
      <c r="A648" s="197"/>
      <c r="B648" s="197"/>
      <c r="C648" s="197"/>
      <c r="D648" s="197"/>
      <c r="E648" s="197"/>
      <c r="F648" s="197"/>
      <c r="G648" s="197"/>
      <c r="H648" s="197"/>
      <c r="I648" s="197"/>
      <c r="J648" s="197"/>
      <c r="K648" s="197"/>
    </row>
    <row r="649" spans="1:11" ht="12.5">
      <c r="A649" s="197"/>
      <c r="B649" s="197"/>
      <c r="C649" s="197"/>
      <c r="D649" s="197"/>
      <c r="E649" s="197"/>
      <c r="F649" s="197"/>
      <c r="G649" s="197"/>
      <c r="H649" s="197"/>
      <c r="I649" s="197"/>
      <c r="J649" s="197"/>
      <c r="K649" s="197"/>
    </row>
    <row r="650" spans="1:11" ht="12.5">
      <c r="A650" s="197"/>
      <c r="B650" s="197"/>
      <c r="C650" s="197"/>
      <c r="D650" s="197"/>
      <c r="E650" s="197"/>
      <c r="F650" s="197"/>
      <c r="G650" s="197"/>
      <c r="H650" s="197"/>
      <c r="I650" s="197"/>
      <c r="J650" s="197"/>
      <c r="K650" s="197"/>
    </row>
    <row r="651" spans="1:11" ht="12.5">
      <c r="A651" s="197"/>
      <c r="B651" s="197"/>
      <c r="C651" s="197"/>
      <c r="D651" s="197"/>
      <c r="E651" s="197"/>
      <c r="F651" s="197"/>
      <c r="G651" s="197"/>
      <c r="H651" s="197"/>
      <c r="I651" s="197"/>
      <c r="J651" s="197"/>
      <c r="K651" s="197"/>
    </row>
    <row r="652" spans="1:11" ht="12.5">
      <c r="A652" s="197"/>
      <c r="B652" s="197"/>
      <c r="C652" s="197"/>
      <c r="D652" s="197"/>
      <c r="E652" s="197"/>
      <c r="F652" s="197"/>
      <c r="G652" s="197"/>
      <c r="H652" s="197"/>
      <c r="I652" s="197"/>
      <c r="J652" s="197"/>
      <c r="K652" s="197"/>
    </row>
    <row r="653" spans="1:11" ht="12.5">
      <c r="A653" s="197"/>
      <c r="B653" s="197"/>
      <c r="C653" s="197"/>
      <c r="D653" s="197"/>
      <c r="E653" s="197"/>
      <c r="F653" s="197"/>
      <c r="G653" s="197"/>
      <c r="H653" s="197"/>
      <c r="I653" s="197"/>
      <c r="J653" s="197"/>
      <c r="K653" s="197"/>
    </row>
    <row r="654" spans="1:11" ht="12.5">
      <c r="A654" s="197"/>
      <c r="B654" s="197"/>
      <c r="C654" s="197"/>
      <c r="D654" s="197"/>
      <c r="E654" s="197"/>
      <c r="F654" s="197"/>
      <c r="G654" s="197"/>
      <c r="H654" s="197"/>
      <c r="I654" s="197"/>
      <c r="J654" s="197"/>
      <c r="K654" s="197"/>
    </row>
    <row r="655" spans="1:11" ht="12.5">
      <c r="A655" s="197"/>
      <c r="B655" s="197"/>
      <c r="C655" s="197"/>
      <c r="D655" s="197"/>
      <c r="E655" s="197"/>
      <c r="F655" s="197"/>
      <c r="G655" s="197"/>
      <c r="H655" s="197"/>
      <c r="I655" s="197"/>
      <c r="J655" s="197"/>
      <c r="K655" s="197"/>
    </row>
    <row r="656" spans="1:11" ht="12.5">
      <c r="A656" s="197"/>
      <c r="B656" s="197"/>
      <c r="C656" s="197"/>
      <c r="D656" s="197"/>
      <c r="E656" s="197"/>
      <c r="F656" s="197"/>
      <c r="G656" s="197"/>
      <c r="H656" s="197"/>
      <c r="I656" s="197"/>
      <c r="J656" s="197"/>
      <c r="K656" s="197"/>
    </row>
    <row r="657" spans="1:11" ht="12.5">
      <c r="A657" s="197"/>
      <c r="B657" s="197"/>
      <c r="C657" s="197"/>
      <c r="D657" s="197"/>
      <c r="E657" s="197"/>
      <c r="F657" s="197"/>
      <c r="G657" s="197"/>
      <c r="H657" s="197"/>
      <c r="I657" s="197"/>
      <c r="J657" s="197"/>
      <c r="K657" s="197"/>
    </row>
    <row r="658" spans="1:11" ht="12.5">
      <c r="A658" s="197"/>
      <c r="B658" s="197"/>
      <c r="C658" s="197"/>
      <c r="D658" s="197"/>
      <c r="E658" s="197"/>
      <c r="F658" s="197"/>
      <c r="G658" s="197"/>
      <c r="H658" s="197"/>
      <c r="I658" s="197"/>
      <c r="J658" s="197"/>
      <c r="K658" s="197"/>
    </row>
    <row r="659" spans="1:11" ht="12.5">
      <c r="A659" s="197"/>
      <c r="B659" s="197"/>
      <c r="C659" s="197"/>
      <c r="D659" s="197"/>
      <c r="E659" s="197"/>
      <c r="F659" s="197"/>
      <c r="G659" s="197"/>
      <c r="H659" s="197"/>
      <c r="I659" s="197"/>
      <c r="J659" s="197"/>
      <c r="K659" s="197"/>
    </row>
    <row r="660" spans="1:11" ht="12.5">
      <c r="A660" s="197"/>
      <c r="B660" s="197"/>
      <c r="C660" s="197"/>
      <c r="D660" s="197"/>
      <c r="E660" s="197"/>
      <c r="F660" s="197"/>
      <c r="G660" s="197"/>
      <c r="H660" s="197"/>
      <c r="I660" s="197"/>
      <c r="J660" s="197"/>
      <c r="K660" s="197"/>
    </row>
    <row r="661" spans="1:11" ht="12.5">
      <c r="A661" s="197"/>
      <c r="B661" s="197"/>
      <c r="C661" s="197"/>
      <c r="D661" s="197"/>
      <c r="E661" s="197"/>
      <c r="F661" s="197"/>
      <c r="G661" s="197"/>
      <c r="H661" s="197"/>
      <c r="I661" s="197"/>
      <c r="J661" s="197"/>
      <c r="K661" s="197"/>
    </row>
    <row r="662" spans="1:11" ht="12.5">
      <c r="A662" s="197"/>
      <c r="B662" s="197"/>
      <c r="C662" s="197"/>
      <c r="D662" s="197"/>
      <c r="E662" s="197"/>
      <c r="F662" s="197"/>
      <c r="G662" s="197"/>
      <c r="H662" s="197"/>
      <c r="I662" s="197"/>
      <c r="J662" s="197"/>
      <c r="K662" s="197"/>
    </row>
    <row r="663" spans="1:11" ht="12.5">
      <c r="A663" s="197"/>
      <c r="B663" s="197"/>
      <c r="C663" s="197"/>
      <c r="D663" s="197"/>
      <c r="E663" s="197"/>
      <c r="F663" s="197"/>
      <c r="G663" s="197"/>
      <c r="H663" s="197"/>
      <c r="I663" s="197"/>
      <c r="J663" s="197"/>
      <c r="K663" s="197"/>
    </row>
    <row r="664" spans="1:11" ht="12.5">
      <c r="A664" s="197"/>
      <c r="B664" s="197"/>
      <c r="C664" s="197"/>
      <c r="D664" s="197"/>
      <c r="E664" s="197"/>
      <c r="F664" s="197"/>
      <c r="G664" s="197"/>
      <c r="H664" s="197"/>
      <c r="I664" s="197"/>
      <c r="J664" s="197"/>
      <c r="K664" s="197"/>
    </row>
    <row r="665" spans="1:11" ht="12.5">
      <c r="A665" s="197"/>
      <c r="B665" s="197"/>
      <c r="C665" s="197"/>
      <c r="D665" s="197"/>
      <c r="E665" s="197"/>
      <c r="F665" s="197"/>
      <c r="G665" s="197"/>
      <c r="H665" s="197"/>
      <c r="I665" s="197"/>
      <c r="J665" s="197"/>
      <c r="K665" s="197"/>
    </row>
    <row r="666" spans="1:11" ht="12.5">
      <c r="A666" s="197"/>
      <c r="B666" s="197"/>
      <c r="C666" s="197"/>
      <c r="D666" s="197"/>
      <c r="E666" s="197"/>
      <c r="F666" s="197"/>
      <c r="G666" s="197"/>
      <c r="H666" s="197"/>
      <c r="I666" s="197"/>
      <c r="J666" s="197"/>
      <c r="K666" s="197"/>
    </row>
    <row r="667" spans="1:11" ht="12.5">
      <c r="A667" s="197"/>
      <c r="B667" s="197"/>
      <c r="C667" s="197"/>
      <c r="D667" s="197"/>
      <c r="E667" s="197"/>
      <c r="F667" s="197"/>
      <c r="G667" s="197"/>
      <c r="H667" s="197"/>
      <c r="I667" s="197"/>
      <c r="J667" s="197"/>
      <c r="K667" s="197"/>
    </row>
    <row r="668" spans="1:11" ht="12.5">
      <c r="A668" s="197"/>
      <c r="B668" s="197"/>
      <c r="C668" s="197"/>
      <c r="D668" s="197"/>
      <c r="E668" s="197"/>
      <c r="F668" s="197"/>
      <c r="G668" s="197"/>
      <c r="H668" s="197"/>
      <c r="I668" s="197"/>
      <c r="J668" s="197"/>
      <c r="K668" s="197"/>
    </row>
    <row r="669" spans="1:11" ht="12.5">
      <c r="A669" s="197"/>
      <c r="B669" s="197"/>
      <c r="C669" s="197"/>
      <c r="D669" s="197"/>
      <c r="E669" s="197"/>
      <c r="F669" s="197"/>
      <c r="G669" s="197"/>
      <c r="H669" s="197"/>
      <c r="I669" s="197"/>
      <c r="J669" s="197"/>
      <c r="K669" s="197"/>
    </row>
    <row r="670" spans="1:11" ht="12.5">
      <c r="A670" s="197"/>
      <c r="B670" s="197"/>
      <c r="C670" s="197"/>
      <c r="D670" s="197"/>
      <c r="E670" s="197"/>
      <c r="F670" s="197"/>
      <c r="G670" s="197"/>
      <c r="H670" s="197"/>
      <c r="I670" s="197"/>
      <c r="J670" s="197"/>
      <c r="K670" s="197"/>
    </row>
    <row r="671" spans="1:11" ht="12.5">
      <c r="A671" s="197"/>
      <c r="B671" s="197"/>
      <c r="C671" s="197"/>
      <c r="D671" s="197"/>
      <c r="E671" s="197"/>
      <c r="F671" s="197"/>
      <c r="G671" s="197"/>
      <c r="H671" s="197"/>
      <c r="I671" s="197"/>
      <c r="J671" s="197"/>
      <c r="K671" s="197"/>
    </row>
    <row r="672" spans="1:11" ht="12.5">
      <c r="A672" s="197"/>
      <c r="B672" s="197"/>
      <c r="C672" s="197"/>
      <c r="D672" s="197"/>
      <c r="E672" s="197"/>
      <c r="F672" s="197"/>
      <c r="G672" s="197"/>
      <c r="H672" s="197"/>
      <c r="I672" s="197"/>
      <c r="J672" s="197"/>
      <c r="K672" s="197"/>
    </row>
    <row r="673" spans="1:11" ht="12.5">
      <c r="A673" s="197"/>
      <c r="B673" s="197"/>
      <c r="C673" s="197"/>
      <c r="D673" s="197"/>
      <c r="E673" s="197"/>
      <c r="F673" s="197"/>
      <c r="G673" s="197"/>
      <c r="H673" s="197"/>
      <c r="I673" s="197"/>
      <c r="J673" s="197"/>
      <c r="K673" s="197"/>
    </row>
    <row r="674" spans="1:11" ht="12.5">
      <c r="A674" s="197"/>
      <c r="B674" s="197"/>
      <c r="C674" s="197"/>
      <c r="D674" s="197"/>
      <c r="E674" s="197"/>
      <c r="F674" s="197"/>
      <c r="G674" s="197"/>
      <c r="H674" s="197"/>
      <c r="I674" s="197"/>
      <c r="J674" s="197"/>
      <c r="K674" s="197"/>
    </row>
    <row r="675" spans="1:11" ht="12.5">
      <c r="A675" s="197"/>
      <c r="B675" s="197"/>
      <c r="C675" s="197"/>
      <c r="D675" s="197"/>
      <c r="E675" s="197"/>
      <c r="F675" s="197"/>
      <c r="G675" s="197"/>
      <c r="H675" s="197"/>
      <c r="I675" s="197"/>
      <c r="J675" s="197"/>
      <c r="K675" s="197"/>
    </row>
    <row r="676" spans="1:11" ht="12.5">
      <c r="A676" s="197"/>
      <c r="B676" s="197"/>
      <c r="C676" s="197"/>
      <c r="D676" s="197"/>
      <c r="E676" s="197"/>
      <c r="F676" s="197"/>
      <c r="G676" s="197"/>
      <c r="H676" s="197"/>
      <c r="I676" s="197"/>
      <c r="J676" s="197"/>
      <c r="K676" s="197"/>
    </row>
    <row r="677" spans="1:11" ht="12.5">
      <c r="A677" s="197"/>
      <c r="B677" s="197"/>
      <c r="C677" s="197"/>
      <c r="D677" s="197"/>
      <c r="E677" s="197"/>
      <c r="F677" s="197"/>
      <c r="G677" s="197"/>
      <c r="H677" s="197"/>
      <c r="I677" s="197"/>
      <c r="J677" s="197"/>
      <c r="K677" s="197"/>
    </row>
    <row r="678" spans="1:11" ht="12.5">
      <c r="A678" s="197"/>
      <c r="B678" s="197"/>
      <c r="C678" s="197"/>
      <c r="D678" s="197"/>
      <c r="E678" s="197"/>
      <c r="F678" s="197"/>
      <c r="G678" s="197"/>
      <c r="H678" s="197"/>
      <c r="I678" s="197"/>
      <c r="J678" s="197"/>
      <c r="K678" s="197"/>
    </row>
    <row r="679" spans="1:11" ht="12.5">
      <c r="A679" s="197"/>
      <c r="B679" s="197"/>
      <c r="C679" s="197"/>
      <c r="D679" s="197"/>
      <c r="E679" s="197"/>
      <c r="F679" s="197"/>
      <c r="G679" s="197"/>
      <c r="H679" s="197"/>
      <c r="I679" s="197"/>
      <c r="J679" s="197"/>
      <c r="K679" s="197"/>
    </row>
    <row r="680" spans="1:11" ht="12.5">
      <c r="A680" s="197"/>
      <c r="B680" s="197"/>
      <c r="C680" s="197"/>
      <c r="D680" s="197"/>
      <c r="E680" s="197"/>
      <c r="F680" s="197"/>
      <c r="G680" s="197"/>
      <c r="H680" s="197"/>
      <c r="I680" s="197"/>
      <c r="J680" s="197"/>
      <c r="K680" s="197"/>
    </row>
    <row r="681" spans="1:11" ht="12.5">
      <c r="A681" s="197"/>
      <c r="B681" s="197"/>
      <c r="C681" s="197"/>
      <c r="D681" s="197"/>
      <c r="E681" s="197"/>
      <c r="F681" s="197"/>
      <c r="G681" s="197"/>
      <c r="H681" s="197"/>
      <c r="I681" s="197"/>
      <c r="J681" s="197"/>
      <c r="K681" s="197"/>
    </row>
    <row r="682" spans="1:11" ht="12.5">
      <c r="A682" s="197"/>
      <c r="B682" s="197"/>
      <c r="C682" s="197"/>
      <c r="D682" s="197"/>
      <c r="E682" s="197"/>
      <c r="F682" s="197"/>
      <c r="G682" s="197"/>
      <c r="H682" s="197"/>
      <c r="I682" s="197"/>
      <c r="J682" s="197"/>
      <c r="K682" s="197"/>
    </row>
    <row r="683" spans="1:11" ht="12.5">
      <c r="A683" s="197"/>
      <c r="B683" s="197"/>
      <c r="C683" s="197"/>
      <c r="D683" s="197"/>
      <c r="E683" s="197"/>
      <c r="F683" s="197"/>
      <c r="G683" s="197"/>
      <c r="H683" s="197"/>
      <c r="I683" s="197"/>
      <c r="J683" s="197"/>
      <c r="K683" s="197"/>
    </row>
    <row r="684" spans="1:11" ht="12.5">
      <c r="A684" s="197"/>
      <c r="B684" s="197"/>
      <c r="C684" s="197"/>
      <c r="D684" s="197"/>
      <c r="E684" s="197"/>
      <c r="F684" s="197"/>
      <c r="G684" s="197"/>
      <c r="H684" s="197"/>
      <c r="I684" s="197"/>
      <c r="J684" s="197"/>
      <c r="K684" s="197"/>
    </row>
    <row r="685" spans="1:11" ht="12.5">
      <c r="A685" s="197"/>
      <c r="B685" s="197"/>
      <c r="C685" s="197"/>
      <c r="D685" s="197"/>
      <c r="E685" s="197"/>
      <c r="F685" s="197"/>
      <c r="G685" s="197"/>
      <c r="H685" s="197"/>
      <c r="I685" s="197"/>
      <c r="J685" s="197"/>
      <c r="K685" s="197"/>
    </row>
    <row r="686" spans="1:11" ht="12.5">
      <c r="A686" s="197"/>
      <c r="B686" s="197"/>
      <c r="C686" s="197"/>
      <c r="D686" s="197"/>
      <c r="E686" s="197"/>
      <c r="F686" s="197"/>
      <c r="G686" s="197"/>
      <c r="H686" s="197"/>
      <c r="I686" s="197"/>
      <c r="J686" s="197"/>
      <c r="K686" s="197"/>
    </row>
    <row r="687" spans="1:11" ht="12.5">
      <c r="A687" s="197"/>
      <c r="B687" s="197"/>
      <c r="C687" s="197"/>
      <c r="D687" s="197"/>
      <c r="E687" s="197"/>
      <c r="F687" s="197"/>
      <c r="G687" s="197"/>
      <c r="H687" s="197"/>
      <c r="I687" s="197"/>
      <c r="J687" s="197"/>
      <c r="K687" s="197"/>
    </row>
    <row r="688" spans="1:11" ht="12.5">
      <c r="A688" s="197"/>
      <c r="B688" s="197"/>
      <c r="C688" s="197"/>
      <c r="D688" s="197"/>
      <c r="E688" s="197"/>
      <c r="F688" s="197"/>
      <c r="G688" s="197"/>
      <c r="H688" s="197"/>
      <c r="I688" s="197"/>
      <c r="J688" s="197"/>
      <c r="K688" s="197"/>
    </row>
    <row r="689" spans="1:11" ht="12.5">
      <c r="A689" s="197"/>
      <c r="B689" s="197"/>
      <c r="C689" s="197"/>
      <c r="D689" s="197"/>
      <c r="E689" s="197"/>
      <c r="F689" s="197"/>
      <c r="G689" s="197"/>
      <c r="H689" s="197"/>
      <c r="I689" s="197"/>
      <c r="J689" s="197"/>
      <c r="K689" s="197"/>
    </row>
    <row r="690" spans="1:11" ht="12.5">
      <c r="A690" s="197"/>
      <c r="B690" s="197"/>
      <c r="C690" s="197"/>
      <c r="D690" s="197"/>
      <c r="E690" s="197"/>
      <c r="F690" s="197"/>
      <c r="G690" s="197"/>
      <c r="H690" s="197"/>
      <c r="I690" s="197"/>
      <c r="J690" s="197"/>
      <c r="K690" s="197"/>
    </row>
    <row r="691" spans="1:11" ht="12.5">
      <c r="A691" s="197"/>
      <c r="B691" s="197"/>
      <c r="C691" s="197"/>
      <c r="D691" s="197"/>
      <c r="E691" s="197"/>
      <c r="F691" s="197"/>
      <c r="G691" s="197"/>
      <c r="H691" s="197"/>
      <c r="I691" s="197"/>
      <c r="J691" s="197"/>
      <c r="K691" s="197"/>
    </row>
    <row r="692" spans="1:11" ht="12.5">
      <c r="A692" s="197"/>
      <c r="B692" s="197"/>
      <c r="C692" s="197"/>
      <c r="D692" s="197"/>
      <c r="E692" s="197"/>
      <c r="F692" s="197"/>
      <c r="G692" s="197"/>
      <c r="H692" s="197"/>
      <c r="I692" s="197"/>
      <c r="J692" s="197"/>
      <c r="K692" s="197"/>
    </row>
    <row r="693" spans="1:11" ht="12.5">
      <c r="A693" s="197"/>
      <c r="B693" s="197"/>
      <c r="C693" s="197"/>
      <c r="D693" s="197"/>
      <c r="E693" s="197"/>
      <c r="F693" s="197"/>
      <c r="G693" s="197"/>
      <c r="H693" s="197"/>
      <c r="I693" s="197"/>
      <c r="J693" s="197"/>
      <c r="K693" s="197"/>
    </row>
    <row r="694" spans="1:11" ht="12.5">
      <c r="A694" s="197"/>
      <c r="B694" s="197"/>
      <c r="C694" s="197"/>
      <c r="D694" s="197"/>
      <c r="E694" s="197"/>
      <c r="F694" s="197"/>
      <c r="G694" s="197"/>
      <c r="H694" s="197"/>
      <c r="I694" s="197"/>
      <c r="J694" s="197"/>
      <c r="K694" s="197"/>
    </row>
    <row r="695" spans="1:11" ht="12.5">
      <c r="A695" s="197"/>
      <c r="B695" s="197"/>
      <c r="C695" s="197"/>
      <c r="D695" s="197"/>
      <c r="E695" s="197"/>
      <c r="F695" s="197"/>
      <c r="G695" s="197"/>
      <c r="H695" s="197"/>
      <c r="I695" s="197"/>
      <c r="J695" s="197"/>
      <c r="K695" s="197"/>
    </row>
    <row r="696" spans="1:11" ht="12.5">
      <c r="A696" s="197"/>
      <c r="B696" s="197"/>
      <c r="C696" s="197"/>
      <c r="D696" s="197"/>
      <c r="E696" s="197"/>
      <c r="F696" s="197"/>
      <c r="G696" s="197"/>
      <c r="H696" s="197"/>
      <c r="I696" s="197"/>
      <c r="J696" s="197"/>
      <c r="K696" s="197"/>
    </row>
    <row r="697" spans="1:11" ht="12.5">
      <c r="A697" s="197"/>
      <c r="B697" s="197"/>
      <c r="C697" s="197"/>
      <c r="D697" s="197"/>
      <c r="E697" s="197"/>
      <c r="F697" s="197"/>
      <c r="G697" s="197"/>
      <c r="H697" s="197"/>
      <c r="I697" s="197"/>
      <c r="J697" s="197"/>
      <c r="K697" s="197"/>
    </row>
    <row r="698" spans="1:11" ht="12.5">
      <c r="A698" s="197"/>
      <c r="B698" s="197"/>
      <c r="C698" s="197"/>
      <c r="D698" s="197"/>
      <c r="E698" s="197"/>
      <c r="F698" s="197"/>
      <c r="G698" s="197"/>
      <c r="H698" s="197"/>
      <c r="I698" s="197"/>
      <c r="J698" s="197"/>
      <c r="K698" s="197"/>
    </row>
    <row r="699" spans="1:11" ht="12.5">
      <c r="A699" s="197"/>
      <c r="B699" s="197"/>
      <c r="C699" s="197"/>
      <c r="D699" s="197"/>
      <c r="E699" s="197"/>
      <c r="F699" s="197"/>
      <c r="G699" s="197"/>
      <c r="H699" s="197"/>
      <c r="I699" s="197"/>
      <c r="J699" s="197"/>
      <c r="K699" s="197"/>
    </row>
    <row r="700" spans="1:11" ht="12.5">
      <c r="A700" s="197"/>
      <c r="B700" s="197"/>
      <c r="C700" s="197"/>
      <c r="D700" s="197"/>
      <c r="E700" s="197"/>
      <c r="F700" s="197"/>
      <c r="G700" s="197"/>
      <c r="H700" s="197"/>
      <c r="I700" s="197"/>
      <c r="J700" s="197"/>
      <c r="K700" s="197"/>
    </row>
    <row r="701" spans="1:11" ht="12.5">
      <c r="A701" s="197"/>
      <c r="B701" s="197"/>
      <c r="C701" s="197"/>
      <c r="D701" s="197"/>
      <c r="E701" s="197"/>
      <c r="F701" s="197"/>
      <c r="G701" s="197"/>
      <c r="H701" s="197"/>
      <c r="I701" s="197"/>
      <c r="J701" s="197"/>
      <c r="K701" s="197"/>
    </row>
    <row r="702" spans="1:11" ht="12.5">
      <c r="A702" s="197"/>
      <c r="B702" s="197"/>
      <c r="C702" s="197"/>
      <c r="D702" s="197"/>
      <c r="E702" s="197"/>
      <c r="F702" s="197"/>
      <c r="G702" s="197"/>
      <c r="H702" s="197"/>
      <c r="I702" s="197"/>
      <c r="J702" s="197"/>
      <c r="K702" s="197"/>
    </row>
    <row r="703" spans="1:11" ht="12.5">
      <c r="A703" s="197"/>
      <c r="B703" s="197"/>
      <c r="C703" s="197"/>
      <c r="D703" s="197"/>
      <c r="E703" s="197"/>
      <c r="F703" s="197"/>
      <c r="G703" s="197"/>
      <c r="H703" s="197"/>
      <c r="I703" s="197"/>
      <c r="J703" s="197"/>
      <c r="K703" s="197"/>
    </row>
    <row r="704" spans="1:11" ht="12.5">
      <c r="A704" s="197"/>
      <c r="B704" s="197"/>
      <c r="C704" s="197"/>
      <c r="D704" s="197"/>
      <c r="E704" s="197"/>
      <c r="F704" s="197"/>
      <c r="G704" s="197"/>
      <c r="H704" s="197"/>
      <c r="I704" s="197"/>
      <c r="J704" s="197"/>
      <c r="K704" s="197"/>
    </row>
    <row r="705" spans="1:11" ht="12.5">
      <c r="A705" s="197"/>
      <c r="B705" s="197"/>
      <c r="C705" s="197"/>
      <c r="D705" s="197"/>
      <c r="E705" s="197"/>
      <c r="F705" s="197"/>
      <c r="G705" s="197"/>
      <c r="H705" s="197"/>
      <c r="I705" s="197"/>
      <c r="J705" s="197"/>
      <c r="K705" s="197"/>
    </row>
    <row r="706" spans="1:11" ht="12.5">
      <c r="A706" s="197"/>
      <c r="B706" s="197"/>
      <c r="C706" s="197"/>
      <c r="D706" s="197"/>
      <c r="E706" s="197"/>
      <c r="F706" s="197"/>
      <c r="G706" s="197"/>
      <c r="H706" s="197"/>
      <c r="I706" s="197"/>
      <c r="J706" s="197"/>
      <c r="K706" s="197"/>
    </row>
    <row r="707" spans="1:11" ht="12.5">
      <c r="A707" s="197"/>
      <c r="B707" s="197"/>
      <c r="C707" s="197"/>
      <c r="D707" s="197"/>
      <c r="E707" s="197"/>
      <c r="F707" s="197"/>
      <c r="G707" s="197"/>
      <c r="H707" s="197"/>
      <c r="I707" s="197"/>
      <c r="J707" s="197"/>
      <c r="K707" s="197"/>
    </row>
    <row r="708" spans="1:11" ht="12.5">
      <c r="A708" s="197"/>
      <c r="B708" s="197"/>
      <c r="C708" s="197"/>
      <c r="D708" s="197"/>
      <c r="E708" s="197"/>
      <c r="F708" s="197"/>
      <c r="G708" s="197"/>
      <c r="H708" s="197"/>
      <c r="I708" s="197"/>
      <c r="J708" s="197"/>
      <c r="K708" s="197"/>
    </row>
    <row r="709" spans="1:11" ht="12.5">
      <c r="A709" s="197"/>
      <c r="B709" s="197"/>
      <c r="C709" s="197"/>
      <c r="D709" s="197"/>
      <c r="E709" s="197"/>
      <c r="F709" s="197"/>
      <c r="G709" s="197"/>
      <c r="H709" s="197"/>
      <c r="I709" s="197"/>
      <c r="J709" s="197"/>
      <c r="K709" s="197"/>
    </row>
    <row r="710" spans="1:11" ht="12.5">
      <c r="A710" s="197"/>
      <c r="B710" s="197"/>
      <c r="C710" s="197"/>
      <c r="D710" s="197"/>
      <c r="E710" s="197"/>
      <c r="F710" s="197"/>
      <c r="G710" s="197"/>
      <c r="H710" s="197"/>
      <c r="I710" s="197"/>
      <c r="J710" s="197"/>
      <c r="K710" s="197"/>
    </row>
    <row r="711" spans="1:11" ht="12.5">
      <c r="A711" s="197"/>
      <c r="B711" s="197"/>
      <c r="C711" s="197"/>
      <c r="D711" s="197"/>
      <c r="E711" s="197"/>
      <c r="F711" s="197"/>
      <c r="G711" s="197"/>
      <c r="H711" s="197"/>
      <c r="I711" s="197"/>
      <c r="J711" s="197"/>
      <c r="K711" s="197"/>
    </row>
    <row r="712" spans="1:11" ht="12.5">
      <c r="A712" s="197"/>
      <c r="B712" s="197"/>
      <c r="C712" s="197"/>
      <c r="D712" s="197"/>
      <c r="E712" s="197"/>
      <c r="F712" s="197"/>
      <c r="G712" s="197"/>
      <c r="H712" s="197"/>
      <c r="I712" s="197"/>
      <c r="J712" s="197"/>
      <c r="K712" s="197"/>
    </row>
    <row r="713" spans="1:11" ht="12.5">
      <c r="A713" s="197"/>
      <c r="B713" s="197"/>
      <c r="C713" s="197"/>
      <c r="D713" s="197"/>
      <c r="E713" s="197"/>
      <c r="F713" s="197"/>
      <c r="G713" s="197"/>
      <c r="H713" s="197"/>
      <c r="I713" s="197"/>
      <c r="J713" s="197"/>
      <c r="K713" s="197"/>
    </row>
    <row r="714" spans="1:11" ht="12.5">
      <c r="A714" s="197"/>
      <c r="B714" s="197"/>
      <c r="C714" s="197"/>
      <c r="D714" s="197"/>
      <c r="E714" s="197"/>
      <c r="F714" s="197"/>
      <c r="G714" s="197"/>
      <c r="H714" s="197"/>
      <c r="I714" s="197"/>
      <c r="J714" s="197"/>
      <c r="K714" s="197"/>
    </row>
    <row r="715" spans="1:11" ht="12.5">
      <c r="A715" s="197"/>
      <c r="B715" s="197"/>
      <c r="C715" s="197"/>
      <c r="D715" s="197"/>
      <c r="E715" s="197"/>
      <c r="F715" s="197"/>
      <c r="G715" s="197"/>
      <c r="H715" s="197"/>
      <c r="I715" s="197"/>
      <c r="J715" s="197"/>
      <c r="K715" s="197"/>
    </row>
    <row r="716" spans="1:11" ht="12.5">
      <c r="A716" s="197"/>
      <c r="B716" s="197"/>
      <c r="C716" s="197"/>
      <c r="D716" s="197"/>
      <c r="E716" s="197"/>
      <c r="F716" s="197"/>
      <c r="G716" s="197"/>
      <c r="H716" s="197"/>
      <c r="I716" s="197"/>
      <c r="J716" s="197"/>
      <c r="K716" s="197"/>
    </row>
    <row r="717" spans="1:11" ht="12.5">
      <c r="A717" s="197"/>
      <c r="B717" s="197"/>
      <c r="C717" s="197"/>
      <c r="D717" s="197"/>
      <c r="E717" s="197"/>
      <c r="F717" s="197"/>
      <c r="G717" s="197"/>
      <c r="H717" s="197"/>
      <c r="I717" s="197"/>
      <c r="J717" s="197"/>
      <c r="K717" s="197"/>
    </row>
    <row r="718" spans="1:11" ht="12.5">
      <c r="A718" s="197"/>
      <c r="B718" s="197"/>
      <c r="C718" s="197"/>
      <c r="D718" s="197"/>
      <c r="E718" s="197"/>
      <c r="F718" s="197"/>
      <c r="G718" s="197"/>
      <c r="H718" s="197"/>
      <c r="I718" s="197"/>
      <c r="J718" s="197"/>
      <c r="K718" s="197"/>
    </row>
    <row r="719" spans="1:11" ht="12.5">
      <c r="A719" s="197"/>
      <c r="B719" s="197"/>
      <c r="C719" s="197"/>
      <c r="D719" s="197"/>
      <c r="E719" s="197"/>
      <c r="F719" s="197"/>
      <c r="G719" s="197"/>
      <c r="H719" s="197"/>
      <c r="I719" s="197"/>
      <c r="J719" s="197"/>
      <c r="K719" s="197"/>
    </row>
    <row r="720" spans="1:11" ht="12.5">
      <c r="A720" s="197"/>
      <c r="B720" s="197"/>
      <c r="C720" s="197"/>
      <c r="D720" s="197"/>
      <c r="E720" s="197"/>
      <c r="F720" s="197"/>
      <c r="G720" s="197"/>
      <c r="H720" s="197"/>
      <c r="I720" s="197"/>
      <c r="J720" s="197"/>
      <c r="K720" s="197"/>
    </row>
    <row r="721" spans="1:11" ht="12.5">
      <c r="A721" s="197"/>
      <c r="B721" s="197"/>
      <c r="C721" s="197"/>
      <c r="D721" s="197"/>
      <c r="E721" s="197"/>
      <c r="F721" s="197"/>
      <c r="G721" s="197"/>
      <c r="H721" s="197"/>
      <c r="I721" s="197"/>
      <c r="J721" s="197"/>
      <c r="K721" s="197"/>
    </row>
    <row r="722" spans="1:11" ht="12.5">
      <c r="A722" s="197"/>
      <c r="B722" s="197"/>
      <c r="C722" s="197"/>
      <c r="D722" s="197"/>
      <c r="E722" s="197"/>
      <c r="F722" s="197"/>
      <c r="G722" s="197"/>
      <c r="H722" s="197"/>
      <c r="I722" s="197"/>
      <c r="J722" s="197"/>
      <c r="K722" s="197"/>
    </row>
    <row r="723" spans="1:11" ht="12.5">
      <c r="A723" s="197"/>
      <c r="B723" s="197"/>
      <c r="C723" s="197"/>
      <c r="D723" s="197"/>
      <c r="E723" s="197"/>
      <c r="F723" s="197"/>
      <c r="G723" s="197"/>
      <c r="H723" s="197"/>
      <c r="I723" s="197"/>
      <c r="J723" s="197"/>
      <c r="K723" s="197"/>
    </row>
    <row r="724" spans="1:11" ht="12.5">
      <c r="A724" s="197"/>
      <c r="B724" s="197"/>
      <c r="C724" s="197"/>
      <c r="D724" s="197"/>
      <c r="E724" s="197"/>
      <c r="F724" s="197"/>
      <c r="G724" s="197"/>
      <c r="H724" s="197"/>
      <c r="I724" s="197"/>
      <c r="J724" s="197"/>
      <c r="K724" s="197"/>
    </row>
    <row r="725" spans="1:11" ht="12.5">
      <c r="A725" s="197"/>
      <c r="B725" s="197"/>
      <c r="C725" s="197"/>
      <c r="D725" s="197"/>
      <c r="E725" s="197"/>
      <c r="F725" s="197"/>
      <c r="G725" s="197"/>
      <c r="H725" s="197"/>
      <c r="I725" s="197"/>
      <c r="J725" s="197"/>
      <c r="K725" s="197"/>
    </row>
    <row r="726" spans="1:11" ht="12.5">
      <c r="A726" s="197"/>
      <c r="B726" s="197"/>
      <c r="C726" s="197"/>
      <c r="D726" s="197"/>
      <c r="E726" s="197"/>
      <c r="F726" s="197"/>
      <c r="G726" s="197"/>
      <c r="H726" s="197"/>
      <c r="I726" s="197"/>
      <c r="J726" s="197"/>
      <c r="K726" s="197"/>
    </row>
    <row r="727" spans="1:11" ht="12.5">
      <c r="A727" s="197"/>
      <c r="B727" s="197"/>
      <c r="C727" s="197"/>
      <c r="D727" s="197"/>
      <c r="E727" s="197"/>
      <c r="F727" s="197"/>
      <c r="G727" s="197"/>
      <c r="H727" s="197"/>
      <c r="I727" s="197"/>
      <c r="J727" s="197"/>
      <c r="K727" s="197"/>
    </row>
    <row r="728" spans="1:11" ht="12.5">
      <c r="A728" s="197"/>
      <c r="B728" s="197"/>
      <c r="C728" s="197"/>
      <c r="D728" s="197"/>
      <c r="E728" s="197"/>
      <c r="F728" s="197"/>
      <c r="G728" s="197"/>
      <c r="H728" s="197"/>
      <c r="I728" s="197"/>
      <c r="J728" s="197"/>
      <c r="K728" s="197"/>
    </row>
    <row r="729" spans="1:11" ht="12.5">
      <c r="A729" s="197"/>
      <c r="B729" s="197"/>
      <c r="C729" s="197"/>
      <c r="D729" s="197"/>
      <c r="E729" s="197"/>
      <c r="F729" s="197"/>
      <c r="G729" s="197"/>
      <c r="H729" s="197"/>
      <c r="I729" s="197"/>
      <c r="J729" s="197"/>
      <c r="K729" s="197"/>
    </row>
    <row r="730" spans="1:11" ht="12.5">
      <c r="A730" s="197"/>
      <c r="B730" s="197"/>
      <c r="C730" s="197"/>
      <c r="D730" s="197"/>
      <c r="E730" s="197"/>
      <c r="F730" s="197"/>
      <c r="G730" s="197"/>
      <c r="H730" s="197"/>
      <c r="I730" s="197"/>
      <c r="J730" s="197"/>
      <c r="K730" s="197"/>
    </row>
    <row r="731" spans="1:11" ht="12.5">
      <c r="A731" s="197"/>
      <c r="B731" s="197"/>
      <c r="C731" s="197"/>
      <c r="D731" s="197"/>
      <c r="E731" s="197"/>
      <c r="F731" s="197"/>
      <c r="G731" s="197"/>
      <c r="H731" s="197"/>
      <c r="I731" s="197"/>
      <c r="J731" s="197"/>
      <c r="K731" s="197"/>
    </row>
    <row r="732" spans="1:11" ht="12.5">
      <c r="A732" s="197"/>
      <c r="B732" s="197"/>
      <c r="C732" s="197"/>
      <c r="D732" s="197"/>
      <c r="E732" s="197"/>
      <c r="F732" s="197"/>
      <c r="G732" s="197"/>
      <c r="H732" s="197"/>
      <c r="I732" s="197"/>
      <c r="J732" s="197"/>
      <c r="K732" s="197"/>
    </row>
    <row r="733" spans="1:11" ht="12.5">
      <c r="A733" s="197"/>
      <c r="B733" s="197"/>
      <c r="C733" s="197"/>
      <c r="D733" s="197"/>
      <c r="E733" s="197"/>
      <c r="F733" s="197"/>
      <c r="G733" s="197"/>
      <c r="H733" s="197"/>
      <c r="I733" s="197"/>
      <c r="J733" s="197"/>
      <c r="K733" s="197"/>
    </row>
    <row r="734" spans="1:11" ht="12.5">
      <c r="A734" s="197"/>
      <c r="B734" s="197"/>
      <c r="C734" s="197"/>
      <c r="D734" s="197"/>
      <c r="E734" s="197"/>
      <c r="F734" s="197"/>
      <c r="G734" s="197"/>
      <c r="H734" s="197"/>
      <c r="I734" s="197"/>
      <c r="J734" s="197"/>
      <c r="K734" s="197"/>
    </row>
    <row r="735" spans="1:11" ht="12.5">
      <c r="A735" s="197"/>
      <c r="B735" s="197"/>
      <c r="C735" s="197"/>
      <c r="D735" s="197"/>
      <c r="E735" s="197"/>
      <c r="F735" s="197"/>
      <c r="G735" s="197"/>
      <c r="H735" s="197"/>
      <c r="I735" s="197"/>
      <c r="J735" s="197"/>
      <c r="K735" s="197"/>
    </row>
    <row r="736" spans="1:11" ht="12.5">
      <c r="A736" s="197"/>
      <c r="B736" s="197"/>
      <c r="C736" s="197"/>
      <c r="D736" s="197"/>
      <c r="E736" s="197"/>
      <c r="F736" s="197"/>
      <c r="G736" s="197"/>
      <c r="H736" s="197"/>
      <c r="I736" s="197"/>
      <c r="J736" s="197"/>
      <c r="K736" s="197"/>
    </row>
    <row r="737" spans="1:11" ht="12.5">
      <c r="A737" s="197"/>
      <c r="B737" s="197"/>
      <c r="C737" s="197"/>
      <c r="D737" s="197"/>
      <c r="E737" s="197"/>
      <c r="F737" s="197"/>
      <c r="G737" s="197"/>
      <c r="H737" s="197"/>
      <c r="I737" s="197"/>
      <c r="J737" s="197"/>
      <c r="K737" s="197"/>
    </row>
    <row r="738" spans="1:11" ht="12.5">
      <c r="A738" s="197"/>
      <c r="B738" s="197"/>
      <c r="C738" s="197"/>
      <c r="D738" s="197"/>
      <c r="E738" s="197"/>
      <c r="F738" s="197"/>
      <c r="G738" s="197"/>
      <c r="H738" s="197"/>
      <c r="I738" s="197"/>
      <c r="J738" s="197"/>
      <c r="K738" s="197"/>
    </row>
    <row r="739" spans="1:11" ht="12.5">
      <c r="A739" s="197"/>
      <c r="B739" s="197"/>
      <c r="C739" s="197"/>
      <c r="D739" s="197"/>
      <c r="E739" s="197"/>
      <c r="F739" s="197"/>
      <c r="G739" s="197"/>
      <c r="H739" s="197"/>
      <c r="I739" s="197"/>
      <c r="J739" s="197"/>
      <c r="K739" s="197"/>
    </row>
    <row r="740" spans="1:11" ht="12.5">
      <c r="A740" s="197"/>
      <c r="B740" s="197"/>
      <c r="C740" s="197"/>
      <c r="D740" s="197"/>
      <c r="E740" s="197"/>
      <c r="F740" s="197"/>
      <c r="G740" s="197"/>
      <c r="H740" s="197"/>
      <c r="I740" s="197"/>
      <c r="J740" s="197"/>
      <c r="K740" s="197"/>
    </row>
    <row r="741" spans="1:11" ht="12.5">
      <c r="A741" s="197"/>
      <c r="B741" s="197"/>
      <c r="C741" s="197"/>
      <c r="D741" s="197"/>
      <c r="E741" s="197"/>
      <c r="F741" s="197"/>
      <c r="G741" s="197"/>
      <c r="H741" s="197"/>
      <c r="I741" s="197"/>
      <c r="J741" s="197"/>
      <c r="K741" s="197"/>
    </row>
    <row r="742" spans="1:11" ht="12.5">
      <c r="A742" s="197"/>
      <c r="B742" s="197"/>
      <c r="C742" s="197"/>
      <c r="D742" s="197"/>
      <c r="E742" s="197"/>
      <c r="F742" s="197"/>
      <c r="G742" s="197"/>
      <c r="H742" s="197"/>
      <c r="I742" s="197"/>
      <c r="J742" s="197"/>
      <c r="K742" s="197"/>
    </row>
    <row r="743" spans="1:11" ht="12.5">
      <c r="A743" s="197"/>
      <c r="B743" s="197"/>
      <c r="C743" s="197"/>
      <c r="D743" s="197"/>
      <c r="E743" s="197"/>
      <c r="F743" s="197"/>
      <c r="G743" s="197"/>
      <c r="H743" s="197"/>
      <c r="I743" s="197"/>
      <c r="J743" s="197"/>
      <c r="K743" s="197"/>
    </row>
    <row r="744" spans="1:11" ht="12.5">
      <c r="A744" s="197"/>
      <c r="B744" s="197"/>
      <c r="C744" s="197"/>
      <c r="D744" s="197"/>
      <c r="E744" s="197"/>
      <c r="F744" s="197"/>
      <c r="G744" s="197"/>
      <c r="H744" s="197"/>
      <c r="I744" s="197"/>
      <c r="J744" s="197"/>
      <c r="K744" s="197"/>
    </row>
    <row r="745" spans="1:11" ht="12.5">
      <c r="A745" s="197"/>
      <c r="B745" s="197"/>
      <c r="C745" s="197"/>
      <c r="D745" s="197"/>
      <c r="E745" s="197"/>
      <c r="F745" s="197"/>
      <c r="G745" s="197"/>
      <c r="H745" s="197"/>
      <c r="I745" s="197"/>
      <c r="J745" s="197"/>
      <c r="K745" s="197"/>
    </row>
    <row r="746" spans="1:11" ht="12.5">
      <c r="A746" s="197"/>
      <c r="B746" s="197"/>
      <c r="C746" s="197"/>
      <c r="D746" s="197"/>
      <c r="E746" s="197"/>
      <c r="F746" s="197"/>
      <c r="G746" s="197"/>
      <c r="H746" s="197"/>
      <c r="I746" s="197"/>
      <c r="J746" s="197"/>
      <c r="K746" s="197"/>
    </row>
    <row r="747" spans="1:11" ht="12.5">
      <c r="A747" s="197"/>
      <c r="B747" s="197"/>
      <c r="C747" s="197"/>
      <c r="D747" s="197"/>
      <c r="E747" s="197"/>
      <c r="F747" s="197"/>
      <c r="G747" s="197"/>
      <c r="H747" s="197"/>
      <c r="I747" s="197"/>
      <c r="J747" s="197"/>
      <c r="K747" s="197"/>
    </row>
    <row r="748" spans="1:11" ht="12.5">
      <c r="A748" s="197"/>
      <c r="B748" s="197"/>
      <c r="C748" s="197"/>
      <c r="D748" s="197"/>
      <c r="E748" s="197"/>
      <c r="F748" s="197"/>
      <c r="G748" s="197"/>
      <c r="H748" s="197"/>
      <c r="I748" s="197"/>
      <c r="J748" s="197"/>
      <c r="K748" s="197"/>
    </row>
    <row r="749" spans="1:11" ht="12.5">
      <c r="A749" s="197"/>
      <c r="B749" s="197"/>
      <c r="C749" s="197"/>
      <c r="D749" s="197"/>
      <c r="E749" s="197"/>
      <c r="F749" s="197"/>
      <c r="G749" s="197"/>
      <c r="H749" s="197"/>
      <c r="I749" s="197"/>
      <c r="J749" s="197"/>
      <c r="K749" s="197"/>
    </row>
    <row r="750" spans="1:11" ht="12.5">
      <c r="A750" s="197"/>
      <c r="B750" s="197"/>
      <c r="C750" s="197"/>
      <c r="D750" s="197"/>
      <c r="E750" s="197"/>
      <c r="F750" s="197"/>
      <c r="G750" s="197"/>
      <c r="H750" s="197"/>
      <c r="I750" s="197"/>
      <c r="J750" s="197"/>
      <c r="K750" s="197"/>
    </row>
    <row r="751" spans="1:11" ht="12.5">
      <c r="A751" s="197"/>
      <c r="B751" s="197"/>
      <c r="C751" s="197"/>
      <c r="D751" s="197"/>
      <c r="E751" s="197"/>
      <c r="F751" s="197"/>
      <c r="G751" s="197"/>
      <c r="H751" s="197"/>
      <c r="I751" s="197"/>
      <c r="J751" s="197"/>
      <c r="K751" s="197"/>
    </row>
    <row r="752" spans="1:11" ht="12.5">
      <c r="A752" s="197"/>
      <c r="B752" s="197"/>
      <c r="C752" s="197"/>
      <c r="D752" s="197"/>
      <c r="E752" s="197"/>
      <c r="F752" s="197"/>
      <c r="G752" s="197"/>
      <c r="H752" s="197"/>
      <c r="I752" s="197"/>
      <c r="J752" s="197"/>
      <c r="K752" s="197"/>
    </row>
    <row r="753" spans="1:11" ht="12.5">
      <c r="A753" s="197"/>
      <c r="B753" s="197"/>
      <c r="C753" s="197"/>
      <c r="D753" s="197"/>
      <c r="E753" s="197"/>
      <c r="F753" s="197"/>
      <c r="G753" s="197"/>
      <c r="H753" s="197"/>
      <c r="I753" s="197"/>
      <c r="J753" s="197"/>
      <c r="K753" s="197"/>
    </row>
    <row r="754" spans="1:11" ht="12.5">
      <c r="A754" s="197"/>
      <c r="B754" s="197"/>
      <c r="C754" s="197"/>
      <c r="D754" s="197"/>
      <c r="E754" s="197"/>
      <c r="F754" s="197"/>
      <c r="G754" s="197"/>
      <c r="H754" s="197"/>
      <c r="I754" s="197"/>
      <c r="J754" s="197"/>
      <c r="K754" s="197"/>
    </row>
    <row r="755" spans="1:11" ht="12.5">
      <c r="A755" s="197"/>
      <c r="B755" s="197"/>
      <c r="C755" s="197"/>
      <c r="D755" s="197"/>
      <c r="E755" s="197"/>
      <c r="F755" s="197"/>
      <c r="G755" s="197"/>
      <c r="H755" s="197"/>
      <c r="I755" s="197"/>
      <c r="J755" s="197"/>
      <c r="K755" s="197"/>
    </row>
    <row r="756" spans="1:11" ht="12.5">
      <c r="A756" s="197"/>
      <c r="B756" s="197"/>
      <c r="C756" s="197"/>
      <c r="D756" s="197"/>
      <c r="E756" s="197"/>
      <c r="F756" s="197"/>
      <c r="G756" s="197"/>
      <c r="H756" s="197"/>
      <c r="I756" s="197"/>
      <c r="J756" s="197"/>
      <c r="K756" s="197"/>
    </row>
    <row r="757" spans="1:11" ht="12.5">
      <c r="A757" s="197"/>
      <c r="B757" s="197"/>
      <c r="C757" s="197"/>
      <c r="D757" s="197"/>
      <c r="E757" s="197"/>
      <c r="F757" s="197"/>
      <c r="G757" s="197"/>
      <c r="H757" s="197"/>
      <c r="I757" s="197"/>
      <c r="J757" s="197"/>
      <c r="K757" s="197"/>
    </row>
    <row r="758" spans="1:11" ht="12.5">
      <c r="A758" s="197"/>
      <c r="B758" s="197"/>
      <c r="C758" s="197"/>
      <c r="D758" s="197"/>
      <c r="E758" s="197"/>
      <c r="F758" s="197"/>
      <c r="G758" s="197"/>
      <c r="H758" s="197"/>
      <c r="I758" s="197"/>
      <c r="J758" s="197"/>
      <c r="K758" s="197"/>
    </row>
    <row r="759" spans="1:11" ht="12.5">
      <c r="A759" s="197"/>
      <c r="B759" s="197"/>
      <c r="C759" s="197"/>
      <c r="D759" s="197"/>
      <c r="E759" s="197"/>
      <c r="F759" s="197"/>
      <c r="G759" s="197"/>
      <c r="H759" s="197"/>
      <c r="I759" s="197"/>
      <c r="J759" s="197"/>
      <c r="K759" s="197"/>
    </row>
    <row r="760" spans="1:11" ht="12.5">
      <c r="A760" s="197"/>
      <c r="B760" s="197"/>
      <c r="C760" s="197"/>
      <c r="D760" s="197"/>
      <c r="E760" s="197"/>
      <c r="F760" s="197"/>
      <c r="G760" s="197"/>
      <c r="H760" s="197"/>
      <c r="I760" s="197"/>
      <c r="J760" s="197"/>
      <c r="K760" s="197"/>
    </row>
    <row r="761" spans="1:11" ht="12.5">
      <c r="A761" s="197"/>
      <c r="B761" s="197"/>
      <c r="C761" s="197"/>
      <c r="D761" s="197"/>
      <c r="E761" s="197"/>
      <c r="F761" s="197"/>
      <c r="G761" s="197"/>
      <c r="H761" s="197"/>
      <c r="I761" s="197"/>
      <c r="J761" s="197"/>
      <c r="K761" s="197"/>
    </row>
    <row r="762" spans="1:11" ht="12.5">
      <c r="A762" s="197"/>
      <c r="B762" s="197"/>
      <c r="C762" s="197"/>
      <c r="D762" s="197"/>
      <c r="E762" s="197"/>
      <c r="F762" s="197"/>
      <c r="G762" s="197"/>
      <c r="H762" s="197"/>
      <c r="I762" s="197"/>
      <c r="J762" s="197"/>
      <c r="K762" s="197"/>
    </row>
    <row r="763" spans="1:11" ht="12.5">
      <c r="A763" s="197"/>
      <c r="B763" s="197"/>
      <c r="C763" s="197"/>
      <c r="D763" s="197"/>
      <c r="E763" s="197"/>
      <c r="F763" s="197"/>
      <c r="G763" s="197"/>
      <c r="H763" s="197"/>
      <c r="I763" s="197"/>
      <c r="J763" s="197"/>
      <c r="K763" s="197"/>
    </row>
    <row r="764" spans="1:11" ht="12.5">
      <c r="A764" s="197"/>
      <c r="B764" s="197"/>
      <c r="C764" s="197"/>
      <c r="D764" s="197"/>
      <c r="E764" s="197"/>
      <c r="F764" s="197"/>
      <c r="G764" s="197"/>
      <c r="H764" s="197"/>
      <c r="I764" s="197"/>
      <c r="J764" s="197"/>
      <c r="K764" s="197"/>
    </row>
    <row r="765" spans="1:11" ht="12.5">
      <c r="A765" s="197"/>
      <c r="B765" s="197"/>
      <c r="C765" s="197"/>
      <c r="D765" s="197"/>
      <c r="E765" s="197"/>
      <c r="F765" s="197"/>
      <c r="G765" s="197"/>
      <c r="H765" s="197"/>
      <c r="I765" s="197"/>
      <c r="J765" s="197"/>
      <c r="K765" s="197"/>
    </row>
    <row r="766" spans="1:11" ht="12.5">
      <c r="A766" s="197"/>
      <c r="B766" s="197"/>
      <c r="C766" s="197"/>
      <c r="D766" s="197"/>
      <c r="E766" s="197"/>
      <c r="F766" s="197"/>
      <c r="G766" s="197"/>
      <c r="H766" s="197"/>
      <c r="I766" s="197"/>
      <c r="J766" s="197"/>
      <c r="K766" s="197"/>
    </row>
    <row r="767" spans="1:11" ht="12.5">
      <c r="A767" s="197"/>
      <c r="B767" s="197"/>
      <c r="C767" s="197"/>
      <c r="D767" s="197"/>
      <c r="E767" s="197"/>
      <c r="F767" s="197"/>
      <c r="G767" s="197"/>
      <c r="H767" s="197"/>
      <c r="I767" s="197"/>
      <c r="J767" s="197"/>
      <c r="K767" s="197"/>
    </row>
    <row r="768" spans="1:11" ht="12.5">
      <c r="A768" s="197"/>
      <c r="B768" s="197"/>
      <c r="C768" s="197"/>
      <c r="D768" s="197"/>
      <c r="E768" s="197"/>
      <c r="F768" s="197"/>
      <c r="G768" s="197"/>
      <c r="H768" s="197"/>
      <c r="I768" s="197"/>
      <c r="J768" s="197"/>
      <c r="K768" s="197"/>
    </row>
    <row r="769" spans="1:11" ht="12.5">
      <c r="A769" s="197"/>
      <c r="B769" s="197"/>
      <c r="C769" s="197"/>
      <c r="D769" s="197"/>
      <c r="E769" s="197"/>
      <c r="F769" s="197"/>
      <c r="G769" s="197"/>
      <c r="H769" s="197"/>
      <c r="I769" s="197"/>
      <c r="J769" s="197"/>
      <c r="K769" s="197"/>
    </row>
    <row r="770" spans="1:11" ht="12.5">
      <c r="A770" s="197"/>
      <c r="B770" s="197"/>
      <c r="C770" s="197"/>
      <c r="D770" s="197"/>
      <c r="E770" s="197"/>
      <c r="F770" s="197"/>
      <c r="G770" s="197"/>
      <c r="H770" s="197"/>
      <c r="I770" s="197"/>
      <c r="J770" s="197"/>
      <c r="K770" s="197"/>
    </row>
    <row r="771" spans="1:11" ht="12.5">
      <c r="A771" s="197"/>
      <c r="B771" s="197"/>
      <c r="C771" s="197"/>
      <c r="D771" s="197"/>
      <c r="E771" s="197"/>
      <c r="F771" s="197"/>
      <c r="G771" s="197"/>
      <c r="H771" s="197"/>
      <c r="I771" s="197"/>
      <c r="J771" s="197"/>
      <c r="K771" s="197"/>
    </row>
    <row r="772" spans="1:11" ht="12.5">
      <c r="A772" s="197"/>
      <c r="B772" s="197"/>
      <c r="C772" s="197"/>
      <c r="D772" s="197"/>
      <c r="E772" s="197"/>
      <c r="F772" s="197"/>
      <c r="G772" s="197"/>
      <c r="H772" s="197"/>
      <c r="I772" s="197"/>
      <c r="J772" s="197"/>
      <c r="K772" s="197"/>
    </row>
    <row r="773" spans="1:11" ht="12.5">
      <c r="A773" s="197"/>
      <c r="B773" s="197"/>
      <c r="C773" s="197"/>
      <c r="D773" s="197"/>
      <c r="E773" s="197"/>
      <c r="F773" s="197"/>
      <c r="G773" s="197"/>
      <c r="H773" s="197"/>
      <c r="I773" s="197"/>
      <c r="J773" s="197"/>
      <c r="K773" s="197"/>
    </row>
    <row r="774" spans="1:11" ht="12.5">
      <c r="A774" s="197"/>
      <c r="B774" s="197"/>
      <c r="C774" s="197"/>
      <c r="D774" s="197"/>
      <c r="E774" s="197"/>
      <c r="F774" s="197"/>
      <c r="G774" s="197"/>
      <c r="H774" s="197"/>
      <c r="I774" s="197"/>
      <c r="J774" s="197"/>
      <c r="K774" s="197"/>
    </row>
    <row r="775" spans="1:11" ht="12.5">
      <c r="A775" s="197"/>
      <c r="B775" s="197"/>
      <c r="C775" s="197"/>
      <c r="D775" s="197"/>
      <c r="E775" s="197"/>
      <c r="F775" s="197"/>
      <c r="G775" s="197"/>
      <c r="H775" s="197"/>
      <c r="I775" s="197"/>
      <c r="J775" s="197"/>
      <c r="K775" s="197"/>
    </row>
    <row r="776" spans="1:11" ht="12.5">
      <c r="A776" s="197"/>
      <c r="B776" s="197"/>
      <c r="C776" s="197"/>
      <c r="D776" s="197"/>
      <c r="E776" s="197"/>
      <c r="F776" s="197"/>
      <c r="G776" s="197"/>
      <c r="H776" s="197"/>
      <c r="I776" s="197"/>
      <c r="J776" s="197"/>
      <c r="K776" s="197"/>
    </row>
    <row r="777" spans="1:11" ht="12.5">
      <c r="A777" s="197"/>
      <c r="B777" s="197"/>
      <c r="C777" s="197"/>
      <c r="D777" s="197"/>
      <c r="E777" s="197"/>
      <c r="F777" s="197"/>
      <c r="G777" s="197"/>
      <c r="H777" s="197"/>
      <c r="I777" s="197"/>
      <c r="J777" s="197"/>
      <c r="K777" s="197"/>
    </row>
    <row r="778" spans="1:11" ht="12.5">
      <c r="A778" s="197"/>
      <c r="B778" s="197"/>
      <c r="C778" s="197"/>
      <c r="D778" s="197"/>
      <c r="E778" s="197"/>
      <c r="F778" s="197"/>
      <c r="G778" s="197"/>
      <c r="H778" s="197"/>
      <c r="I778" s="197"/>
      <c r="J778" s="197"/>
      <c r="K778" s="197"/>
    </row>
    <row r="779" spans="1:11" ht="12.5">
      <c r="A779" s="197"/>
      <c r="B779" s="197"/>
      <c r="C779" s="197"/>
      <c r="D779" s="197"/>
      <c r="E779" s="197"/>
      <c r="F779" s="197"/>
      <c r="G779" s="197"/>
      <c r="H779" s="197"/>
      <c r="I779" s="197"/>
      <c r="J779" s="197"/>
      <c r="K779" s="197"/>
    </row>
    <row r="780" spans="1:11" ht="12.5">
      <c r="A780" s="197"/>
      <c r="B780" s="197"/>
      <c r="C780" s="197"/>
      <c r="D780" s="197"/>
      <c r="E780" s="197"/>
      <c r="F780" s="197"/>
      <c r="G780" s="197"/>
      <c r="H780" s="197"/>
      <c r="I780" s="197"/>
      <c r="J780" s="197"/>
      <c r="K780" s="197"/>
    </row>
    <row r="781" spans="1:11" ht="12.5">
      <c r="A781" s="197"/>
      <c r="B781" s="197"/>
      <c r="C781" s="197"/>
      <c r="D781" s="197"/>
      <c r="E781" s="197"/>
      <c r="F781" s="197"/>
      <c r="G781" s="197"/>
      <c r="H781" s="197"/>
      <c r="I781" s="197"/>
      <c r="J781" s="197"/>
      <c r="K781" s="197"/>
    </row>
    <row r="782" spans="1:11" ht="12.5">
      <c r="A782" s="197"/>
      <c r="B782" s="197"/>
      <c r="C782" s="197"/>
      <c r="D782" s="197"/>
      <c r="E782" s="197"/>
      <c r="F782" s="197"/>
      <c r="G782" s="197"/>
      <c r="H782" s="197"/>
      <c r="I782" s="197"/>
      <c r="J782" s="197"/>
      <c r="K782" s="197"/>
    </row>
    <row r="783" spans="1:11" ht="12.5">
      <c r="A783" s="197"/>
      <c r="B783" s="197"/>
      <c r="C783" s="197"/>
      <c r="D783" s="197"/>
      <c r="E783" s="197"/>
      <c r="F783" s="197"/>
      <c r="G783" s="197"/>
      <c r="H783" s="197"/>
      <c r="I783" s="197"/>
      <c r="J783" s="197"/>
      <c r="K783" s="197"/>
    </row>
    <row r="784" spans="1:11" ht="12.5">
      <c r="A784" s="197"/>
      <c r="B784" s="197"/>
      <c r="C784" s="197"/>
      <c r="D784" s="197"/>
      <c r="E784" s="197"/>
      <c r="F784" s="197"/>
      <c r="G784" s="197"/>
      <c r="H784" s="197"/>
      <c r="I784" s="197"/>
      <c r="J784" s="197"/>
      <c r="K784" s="197"/>
    </row>
    <row r="785" spans="1:11" ht="12.5">
      <c r="A785" s="197"/>
      <c r="B785" s="197"/>
      <c r="C785" s="197"/>
      <c r="D785" s="197"/>
      <c r="E785" s="197"/>
      <c r="F785" s="197"/>
      <c r="G785" s="197"/>
      <c r="H785" s="197"/>
      <c r="I785" s="197"/>
      <c r="J785" s="197"/>
      <c r="K785" s="197"/>
    </row>
    <row r="786" spans="1:11" ht="12.5">
      <c r="A786" s="197"/>
      <c r="B786" s="197"/>
      <c r="C786" s="197"/>
      <c r="D786" s="197"/>
      <c r="E786" s="197"/>
      <c r="F786" s="197"/>
      <c r="G786" s="197"/>
      <c r="H786" s="197"/>
      <c r="I786" s="197"/>
      <c r="J786" s="197"/>
      <c r="K786" s="197"/>
    </row>
    <row r="787" spans="1:11" ht="12.5">
      <c r="A787" s="197"/>
      <c r="B787" s="197"/>
      <c r="C787" s="197"/>
      <c r="D787" s="197"/>
      <c r="E787" s="197"/>
      <c r="F787" s="197"/>
      <c r="G787" s="197"/>
      <c r="H787" s="197"/>
      <c r="I787" s="197"/>
      <c r="J787" s="197"/>
      <c r="K787" s="197"/>
    </row>
    <row r="788" spans="1:11" ht="12.5">
      <c r="A788" s="197"/>
      <c r="B788" s="197"/>
      <c r="C788" s="197"/>
      <c r="D788" s="197"/>
      <c r="E788" s="197"/>
      <c r="F788" s="197"/>
      <c r="G788" s="197"/>
      <c r="H788" s="197"/>
      <c r="I788" s="197"/>
      <c r="J788" s="197"/>
      <c r="K788" s="197"/>
    </row>
    <row r="789" spans="1:11" ht="12.5">
      <c r="A789" s="197"/>
      <c r="B789" s="197"/>
      <c r="C789" s="197"/>
      <c r="D789" s="197"/>
      <c r="E789" s="197"/>
      <c r="F789" s="197"/>
      <c r="G789" s="197"/>
      <c r="H789" s="197"/>
      <c r="I789" s="197"/>
      <c r="J789" s="197"/>
      <c r="K789" s="197"/>
    </row>
    <row r="790" spans="1:11" ht="12.5">
      <c r="A790" s="197"/>
      <c r="B790" s="197"/>
      <c r="C790" s="197"/>
      <c r="D790" s="197"/>
      <c r="E790" s="197"/>
      <c r="F790" s="197"/>
      <c r="G790" s="197"/>
      <c r="H790" s="197"/>
      <c r="I790" s="197"/>
      <c r="J790" s="197"/>
      <c r="K790" s="197"/>
    </row>
    <row r="791" spans="1:11" ht="12.5">
      <c r="A791" s="197"/>
      <c r="B791" s="197"/>
      <c r="C791" s="197"/>
      <c r="D791" s="197"/>
      <c r="E791" s="197"/>
      <c r="F791" s="197"/>
      <c r="G791" s="197"/>
      <c r="H791" s="197"/>
      <c r="I791" s="197"/>
      <c r="J791" s="197"/>
      <c r="K791" s="197"/>
    </row>
    <row r="792" spans="1:11" ht="12.5">
      <c r="A792" s="197"/>
      <c r="B792" s="197"/>
      <c r="C792" s="197"/>
      <c r="D792" s="197"/>
      <c r="E792" s="197"/>
      <c r="F792" s="197"/>
      <c r="G792" s="197"/>
      <c r="H792" s="197"/>
      <c r="I792" s="197"/>
      <c r="J792" s="197"/>
      <c r="K792" s="197"/>
    </row>
    <row r="793" spans="1:11" ht="12.5">
      <c r="A793" s="197"/>
      <c r="B793" s="197"/>
      <c r="C793" s="197"/>
      <c r="D793" s="197"/>
      <c r="E793" s="197"/>
      <c r="F793" s="197"/>
      <c r="G793" s="197"/>
      <c r="H793" s="197"/>
      <c r="I793" s="197"/>
      <c r="J793" s="197"/>
      <c r="K793" s="197"/>
    </row>
    <row r="794" spans="1:11" ht="12.5">
      <c r="A794" s="197"/>
      <c r="B794" s="197"/>
      <c r="C794" s="197"/>
      <c r="D794" s="197"/>
      <c r="E794" s="197"/>
      <c r="F794" s="197"/>
      <c r="G794" s="197"/>
      <c r="H794" s="197"/>
      <c r="I794" s="197"/>
      <c r="J794" s="197"/>
      <c r="K794" s="197"/>
    </row>
    <row r="795" spans="1:11" ht="12.5">
      <c r="A795" s="197"/>
      <c r="B795" s="197"/>
      <c r="C795" s="197"/>
      <c r="D795" s="197"/>
      <c r="E795" s="197"/>
      <c r="F795" s="197"/>
      <c r="G795" s="197"/>
      <c r="H795" s="197"/>
      <c r="I795" s="197"/>
      <c r="J795" s="197"/>
      <c r="K795" s="197"/>
    </row>
    <row r="796" spans="1:11" ht="12.5">
      <c r="A796" s="197"/>
      <c r="B796" s="197"/>
      <c r="C796" s="197"/>
      <c r="D796" s="197"/>
      <c r="E796" s="197"/>
      <c r="F796" s="197"/>
      <c r="G796" s="197"/>
      <c r="H796" s="197"/>
      <c r="I796" s="197"/>
      <c r="J796" s="197"/>
      <c r="K796" s="197"/>
    </row>
    <row r="797" spans="1:11" ht="12.5">
      <c r="A797" s="197"/>
      <c r="B797" s="197"/>
      <c r="C797" s="197"/>
      <c r="D797" s="197"/>
      <c r="E797" s="197"/>
      <c r="F797" s="197"/>
      <c r="G797" s="197"/>
      <c r="H797" s="197"/>
      <c r="I797" s="197"/>
      <c r="J797" s="197"/>
      <c r="K797" s="197"/>
    </row>
    <row r="798" spans="1:11" ht="12.5">
      <c r="A798" s="197"/>
      <c r="B798" s="197"/>
      <c r="C798" s="197"/>
      <c r="D798" s="197"/>
      <c r="E798" s="197"/>
      <c r="F798" s="197"/>
      <c r="G798" s="197"/>
      <c r="H798" s="197"/>
      <c r="I798" s="197"/>
      <c r="J798" s="197"/>
      <c r="K798" s="197"/>
    </row>
    <row r="799" spans="1:11" ht="12.5">
      <c r="A799" s="197"/>
      <c r="B799" s="197"/>
      <c r="C799" s="197"/>
      <c r="D799" s="197"/>
      <c r="E799" s="197"/>
      <c r="F799" s="197"/>
      <c r="G799" s="197"/>
      <c r="H799" s="197"/>
      <c r="I799" s="197"/>
      <c r="J799" s="197"/>
      <c r="K799" s="197"/>
    </row>
    <row r="800" spans="1:11" ht="12.5">
      <c r="A800" s="197"/>
      <c r="B800" s="197"/>
      <c r="C800" s="197"/>
      <c r="D800" s="197"/>
      <c r="E800" s="197"/>
      <c r="F800" s="197"/>
      <c r="G800" s="197"/>
      <c r="H800" s="197"/>
      <c r="I800" s="197"/>
      <c r="J800" s="197"/>
      <c r="K800" s="197"/>
    </row>
    <row r="801" spans="1:11" ht="12.5">
      <c r="A801" s="197"/>
      <c r="B801" s="197"/>
      <c r="C801" s="197"/>
      <c r="D801" s="197"/>
      <c r="E801" s="197"/>
      <c r="F801" s="197"/>
      <c r="G801" s="197"/>
      <c r="H801" s="197"/>
      <c r="I801" s="197"/>
      <c r="J801" s="197"/>
      <c r="K801" s="197"/>
    </row>
    <row r="802" spans="1:11" ht="12.5">
      <c r="A802" s="197"/>
      <c r="B802" s="197"/>
      <c r="C802" s="197"/>
      <c r="D802" s="197"/>
      <c r="E802" s="197"/>
      <c r="F802" s="197"/>
      <c r="G802" s="197"/>
      <c r="H802" s="197"/>
      <c r="I802" s="197"/>
      <c r="J802" s="197"/>
      <c r="K802" s="197"/>
    </row>
    <row r="803" spans="1:11" ht="12.5">
      <c r="A803" s="197"/>
      <c r="B803" s="197"/>
      <c r="C803" s="197"/>
      <c r="D803" s="197"/>
      <c r="E803" s="197"/>
      <c r="F803" s="197"/>
      <c r="G803" s="197"/>
      <c r="H803" s="197"/>
      <c r="I803" s="197"/>
      <c r="J803" s="197"/>
      <c r="K803" s="197"/>
    </row>
    <row r="804" spans="1:11" ht="12.5">
      <c r="A804" s="197"/>
      <c r="B804" s="197"/>
      <c r="C804" s="197"/>
      <c r="D804" s="197"/>
      <c r="E804" s="197"/>
      <c r="F804" s="197"/>
      <c r="G804" s="197"/>
      <c r="H804" s="197"/>
      <c r="I804" s="197"/>
      <c r="J804" s="197"/>
      <c r="K804" s="197"/>
    </row>
    <row r="805" spans="1:11" ht="12.5">
      <c r="A805" s="197"/>
      <c r="B805" s="197"/>
      <c r="C805" s="197"/>
      <c r="D805" s="197"/>
      <c r="E805" s="197"/>
      <c r="F805" s="197"/>
      <c r="G805" s="197"/>
      <c r="H805" s="197"/>
      <c r="I805" s="197"/>
      <c r="J805" s="197"/>
      <c r="K805" s="197"/>
    </row>
    <row r="806" spans="1:11" ht="12.5">
      <c r="A806" s="197"/>
      <c r="B806" s="197"/>
      <c r="C806" s="197"/>
      <c r="D806" s="197"/>
      <c r="E806" s="197"/>
      <c r="F806" s="197"/>
      <c r="G806" s="197"/>
      <c r="H806" s="197"/>
      <c r="I806" s="197"/>
      <c r="J806" s="197"/>
      <c r="K806" s="197"/>
    </row>
    <row r="807" spans="1:11" ht="12.5">
      <c r="A807" s="197"/>
      <c r="B807" s="197"/>
      <c r="C807" s="197"/>
      <c r="D807" s="197"/>
      <c r="E807" s="197"/>
      <c r="F807" s="197"/>
      <c r="G807" s="197"/>
      <c r="H807" s="197"/>
      <c r="I807" s="197"/>
      <c r="J807" s="197"/>
      <c r="K807" s="197"/>
    </row>
    <row r="808" spans="1:11" ht="12.5">
      <c r="A808" s="197"/>
      <c r="B808" s="197"/>
      <c r="C808" s="197"/>
      <c r="D808" s="197"/>
      <c r="E808" s="197"/>
      <c r="F808" s="197"/>
      <c r="G808" s="197"/>
      <c r="H808" s="197"/>
      <c r="I808" s="197"/>
      <c r="J808" s="197"/>
      <c r="K808" s="197"/>
    </row>
    <row r="809" spans="1:11" ht="12.5">
      <c r="A809" s="197"/>
      <c r="B809" s="197"/>
      <c r="C809" s="197"/>
      <c r="D809" s="197"/>
      <c r="E809" s="197"/>
      <c r="F809" s="197"/>
      <c r="G809" s="197"/>
      <c r="H809" s="197"/>
      <c r="I809" s="197"/>
      <c r="J809" s="197"/>
      <c r="K809" s="197"/>
    </row>
    <row r="810" spans="1:11" ht="12.5">
      <c r="A810" s="197"/>
      <c r="B810" s="197"/>
      <c r="C810" s="197"/>
      <c r="D810" s="197"/>
      <c r="E810" s="197"/>
      <c r="F810" s="197"/>
      <c r="G810" s="197"/>
      <c r="H810" s="197"/>
      <c r="I810" s="197"/>
      <c r="J810" s="197"/>
      <c r="K810" s="197"/>
    </row>
    <row r="811" spans="1:11" ht="12.5">
      <c r="A811" s="197"/>
      <c r="B811" s="197"/>
      <c r="C811" s="197"/>
      <c r="D811" s="197"/>
      <c r="E811" s="197"/>
      <c r="F811" s="197"/>
      <c r="G811" s="197"/>
      <c r="H811" s="197"/>
      <c r="I811" s="197"/>
      <c r="J811" s="197"/>
      <c r="K811" s="197"/>
    </row>
    <row r="812" spans="1:11" ht="12.5">
      <c r="A812" s="197"/>
      <c r="B812" s="197"/>
      <c r="C812" s="197"/>
      <c r="D812" s="197"/>
      <c r="E812" s="197"/>
      <c r="F812" s="197"/>
      <c r="G812" s="197"/>
      <c r="H812" s="197"/>
      <c r="I812" s="197"/>
      <c r="J812" s="197"/>
      <c r="K812" s="197"/>
    </row>
    <row r="813" spans="1:11" ht="12.5">
      <c r="A813" s="197"/>
      <c r="B813" s="197"/>
      <c r="C813" s="197"/>
      <c r="D813" s="197"/>
      <c r="E813" s="197"/>
      <c r="F813" s="197"/>
      <c r="G813" s="197"/>
      <c r="H813" s="197"/>
      <c r="I813" s="197"/>
      <c r="J813" s="197"/>
      <c r="K813" s="197"/>
    </row>
    <row r="814" spans="1:11" ht="12.5">
      <c r="A814" s="197"/>
      <c r="B814" s="197"/>
      <c r="C814" s="197"/>
      <c r="D814" s="197"/>
      <c r="E814" s="197"/>
      <c r="F814" s="197"/>
      <c r="G814" s="197"/>
      <c r="H814" s="197"/>
      <c r="I814" s="197"/>
      <c r="J814" s="197"/>
      <c r="K814" s="197"/>
    </row>
    <row r="815" spans="1:11" ht="12.5">
      <c r="A815" s="197"/>
      <c r="B815" s="197"/>
      <c r="C815" s="197"/>
      <c r="D815" s="197"/>
      <c r="E815" s="197"/>
      <c r="F815" s="197"/>
      <c r="G815" s="197"/>
      <c r="H815" s="197"/>
      <c r="I815" s="197"/>
      <c r="J815" s="197"/>
      <c r="K815" s="197"/>
    </row>
    <row r="816" spans="1:11" ht="12.5">
      <c r="A816" s="197"/>
      <c r="B816" s="197"/>
      <c r="C816" s="197"/>
      <c r="D816" s="197"/>
      <c r="E816" s="197"/>
      <c r="F816" s="197"/>
      <c r="G816" s="197"/>
      <c r="H816" s="197"/>
      <c r="I816" s="197"/>
      <c r="J816" s="197"/>
      <c r="K816" s="197"/>
    </row>
    <row r="817" spans="1:11" ht="12.5">
      <c r="A817" s="197"/>
      <c r="B817" s="197"/>
      <c r="C817" s="197"/>
      <c r="D817" s="197"/>
      <c r="E817" s="197"/>
      <c r="F817" s="197"/>
      <c r="G817" s="197"/>
      <c r="H817" s="197"/>
      <c r="I817" s="197"/>
      <c r="J817" s="197"/>
      <c r="K817" s="197"/>
    </row>
    <row r="818" spans="1:11" ht="12.5">
      <c r="A818" s="197"/>
      <c r="B818" s="197"/>
      <c r="C818" s="197"/>
      <c r="D818" s="197"/>
      <c r="E818" s="197"/>
      <c r="F818" s="197"/>
      <c r="G818" s="197"/>
      <c r="H818" s="197"/>
      <c r="I818" s="197"/>
      <c r="J818" s="197"/>
      <c r="K818" s="197"/>
    </row>
    <row r="819" spans="1:11" ht="12.5">
      <c r="A819" s="197"/>
      <c r="B819" s="197"/>
      <c r="C819" s="197"/>
      <c r="D819" s="197"/>
      <c r="E819" s="197"/>
      <c r="F819" s="197"/>
      <c r="G819" s="197"/>
      <c r="H819" s="197"/>
      <c r="I819" s="197"/>
      <c r="J819" s="197"/>
      <c r="K819" s="197"/>
    </row>
    <row r="820" spans="1:11" ht="12.5">
      <c r="A820" s="197"/>
      <c r="B820" s="197"/>
      <c r="C820" s="197"/>
      <c r="D820" s="197"/>
      <c r="E820" s="197"/>
      <c r="F820" s="197"/>
      <c r="G820" s="197"/>
      <c r="H820" s="197"/>
      <c r="I820" s="197"/>
      <c r="J820" s="197"/>
      <c r="K820" s="197"/>
    </row>
    <row r="821" spans="1:11" ht="12.5">
      <c r="A821" s="197"/>
      <c r="B821" s="197"/>
      <c r="C821" s="197"/>
      <c r="D821" s="197"/>
      <c r="E821" s="197"/>
      <c r="F821" s="197"/>
      <c r="G821" s="197"/>
      <c r="H821" s="197"/>
      <c r="I821" s="197"/>
      <c r="J821" s="197"/>
      <c r="K821" s="197"/>
    </row>
    <row r="822" spans="1:11" ht="12.5">
      <c r="A822" s="197"/>
      <c r="B822" s="197"/>
      <c r="C822" s="197"/>
      <c r="D822" s="197"/>
      <c r="E822" s="197"/>
      <c r="F822" s="197"/>
      <c r="G822" s="197"/>
      <c r="H822" s="197"/>
      <c r="I822" s="197"/>
      <c r="J822" s="197"/>
      <c r="K822" s="197"/>
    </row>
    <row r="823" spans="1:11" ht="12.5">
      <c r="A823" s="197"/>
      <c r="B823" s="197"/>
      <c r="C823" s="197"/>
      <c r="D823" s="197"/>
      <c r="E823" s="197"/>
      <c r="F823" s="197"/>
      <c r="G823" s="197"/>
      <c r="H823" s="197"/>
      <c r="I823" s="197"/>
      <c r="J823" s="197"/>
      <c r="K823" s="197"/>
    </row>
    <row r="824" spans="1:11" ht="12.5">
      <c r="A824" s="197"/>
      <c r="B824" s="197"/>
      <c r="C824" s="197"/>
      <c r="D824" s="197"/>
      <c r="E824" s="197"/>
      <c r="F824" s="197"/>
      <c r="G824" s="197"/>
      <c r="H824" s="197"/>
      <c r="I824" s="197"/>
      <c r="J824" s="197"/>
      <c r="K824" s="197"/>
    </row>
    <row r="825" spans="1:11" ht="12.5">
      <c r="A825" s="197"/>
      <c r="B825" s="197"/>
      <c r="C825" s="197"/>
      <c r="D825" s="197"/>
      <c r="E825" s="197"/>
      <c r="F825" s="197"/>
      <c r="G825" s="197"/>
      <c r="H825" s="197"/>
      <c r="I825" s="197"/>
      <c r="J825" s="197"/>
      <c r="K825" s="197"/>
    </row>
    <row r="826" spans="1:11" ht="12.5">
      <c r="A826" s="197"/>
      <c r="B826" s="197"/>
      <c r="C826" s="197"/>
      <c r="D826" s="197"/>
      <c r="E826" s="197"/>
      <c r="F826" s="197"/>
      <c r="G826" s="197"/>
      <c r="H826" s="197"/>
      <c r="I826" s="197"/>
      <c r="J826" s="197"/>
      <c r="K826" s="197"/>
    </row>
    <row r="827" spans="1:11" ht="12.5">
      <c r="A827" s="197"/>
      <c r="B827" s="197"/>
      <c r="C827" s="197"/>
      <c r="D827" s="197"/>
      <c r="E827" s="197"/>
      <c r="F827" s="197"/>
      <c r="G827" s="197"/>
      <c r="H827" s="197"/>
      <c r="I827" s="197"/>
      <c r="J827" s="197"/>
      <c r="K827" s="197"/>
    </row>
    <row r="828" spans="1:11" ht="12.5">
      <c r="A828" s="197"/>
      <c r="B828" s="197"/>
      <c r="C828" s="197"/>
      <c r="D828" s="197"/>
      <c r="E828" s="197"/>
      <c r="F828" s="197"/>
      <c r="G828" s="197"/>
      <c r="H828" s="197"/>
      <c r="I828" s="197"/>
      <c r="J828" s="197"/>
      <c r="K828" s="197"/>
    </row>
    <row r="829" spans="1:11" ht="12.5">
      <c r="A829" s="197"/>
      <c r="B829" s="197"/>
      <c r="C829" s="197"/>
      <c r="D829" s="197"/>
      <c r="E829" s="197"/>
      <c r="F829" s="197"/>
      <c r="G829" s="197"/>
      <c r="H829" s="197"/>
      <c r="I829" s="197"/>
      <c r="J829" s="197"/>
      <c r="K829" s="197"/>
    </row>
    <row r="830" spans="1:11" ht="12.5">
      <c r="A830" s="197"/>
      <c r="B830" s="197"/>
      <c r="C830" s="197"/>
      <c r="D830" s="197"/>
      <c r="E830" s="197"/>
      <c r="F830" s="197"/>
      <c r="G830" s="197"/>
      <c r="H830" s="197"/>
      <c r="I830" s="197"/>
      <c r="J830" s="197"/>
      <c r="K830" s="197"/>
    </row>
    <row r="831" spans="1:11" ht="12.5">
      <c r="A831" s="197"/>
      <c r="B831" s="197"/>
      <c r="C831" s="197"/>
      <c r="D831" s="197"/>
      <c r="E831" s="197"/>
      <c r="F831" s="197"/>
      <c r="G831" s="197"/>
      <c r="H831" s="197"/>
      <c r="I831" s="197"/>
      <c r="J831" s="197"/>
      <c r="K831" s="197"/>
    </row>
    <row r="832" spans="1:11" ht="12.5">
      <c r="A832" s="197"/>
      <c r="B832" s="197"/>
      <c r="C832" s="197"/>
      <c r="D832" s="197"/>
      <c r="E832" s="197"/>
      <c r="F832" s="197"/>
      <c r="G832" s="197"/>
      <c r="H832" s="197"/>
      <c r="I832" s="197"/>
      <c r="J832" s="197"/>
      <c r="K832" s="197"/>
    </row>
    <row r="833" spans="1:11" ht="12.5">
      <c r="A833" s="197"/>
      <c r="B833" s="197"/>
      <c r="C833" s="197"/>
      <c r="D833" s="197"/>
      <c r="E833" s="197"/>
      <c r="F833" s="197"/>
      <c r="G833" s="197"/>
      <c r="H833" s="197"/>
      <c r="I833" s="197"/>
      <c r="J833" s="197"/>
      <c r="K833" s="197"/>
    </row>
    <row r="834" spans="1:11" ht="12.5">
      <c r="A834" s="197"/>
      <c r="B834" s="197"/>
      <c r="C834" s="197"/>
      <c r="D834" s="197"/>
      <c r="E834" s="197"/>
      <c r="F834" s="197"/>
      <c r="G834" s="197"/>
      <c r="H834" s="197"/>
      <c r="I834" s="197"/>
      <c r="J834" s="197"/>
      <c r="K834" s="197"/>
    </row>
    <row r="835" spans="1:11" ht="12.5">
      <c r="A835" s="197"/>
      <c r="B835" s="197"/>
      <c r="C835" s="197"/>
      <c r="D835" s="197"/>
      <c r="E835" s="197"/>
      <c r="F835" s="197"/>
      <c r="G835" s="197"/>
      <c r="H835" s="197"/>
      <c r="I835" s="197"/>
      <c r="J835" s="197"/>
      <c r="K835" s="197"/>
    </row>
    <row r="836" spans="1:11" ht="12.5">
      <c r="A836" s="197"/>
      <c r="B836" s="197"/>
      <c r="C836" s="197"/>
      <c r="D836" s="197"/>
      <c r="E836" s="197"/>
      <c r="F836" s="197"/>
      <c r="G836" s="197"/>
      <c r="H836" s="197"/>
      <c r="I836" s="197"/>
      <c r="J836" s="197"/>
      <c r="K836" s="197"/>
    </row>
    <row r="837" spans="1:11" ht="12.5">
      <c r="A837" s="197"/>
      <c r="B837" s="197"/>
      <c r="C837" s="197"/>
      <c r="D837" s="197"/>
      <c r="E837" s="197"/>
      <c r="F837" s="197"/>
      <c r="G837" s="197"/>
      <c r="H837" s="197"/>
      <c r="I837" s="197"/>
      <c r="J837" s="197"/>
      <c r="K837" s="197"/>
    </row>
    <row r="838" spans="1:11" ht="12.5">
      <c r="A838" s="197"/>
      <c r="B838" s="197"/>
      <c r="C838" s="197"/>
      <c r="D838" s="197"/>
      <c r="E838" s="197"/>
      <c r="F838" s="197"/>
      <c r="G838" s="197"/>
      <c r="H838" s="197"/>
      <c r="I838" s="197"/>
      <c r="J838" s="197"/>
      <c r="K838" s="197"/>
    </row>
    <row r="839" spans="1:11" ht="12.5">
      <c r="A839" s="197"/>
      <c r="B839" s="197"/>
      <c r="C839" s="197"/>
      <c r="D839" s="197"/>
      <c r="E839" s="197"/>
      <c r="F839" s="197"/>
      <c r="G839" s="197"/>
      <c r="H839" s="197"/>
      <c r="I839" s="197"/>
      <c r="J839" s="197"/>
      <c r="K839" s="197"/>
    </row>
    <row r="840" spans="1:11" ht="12.5">
      <c r="A840" s="197"/>
      <c r="B840" s="197"/>
      <c r="C840" s="197"/>
      <c r="D840" s="197"/>
      <c r="E840" s="197"/>
      <c r="F840" s="197"/>
      <c r="G840" s="197"/>
      <c r="H840" s="197"/>
      <c r="I840" s="197"/>
      <c r="J840" s="197"/>
      <c r="K840" s="197"/>
    </row>
    <row r="841" spans="1:11" ht="12.5">
      <c r="A841" s="197"/>
      <c r="B841" s="197"/>
      <c r="C841" s="197"/>
      <c r="D841" s="197"/>
      <c r="E841" s="197"/>
      <c r="F841" s="197"/>
      <c r="G841" s="197"/>
      <c r="H841" s="197"/>
      <c r="I841" s="197"/>
      <c r="J841" s="197"/>
      <c r="K841" s="197"/>
    </row>
    <row r="842" spans="1:11" ht="12.5">
      <c r="A842" s="197"/>
      <c r="B842" s="197"/>
      <c r="C842" s="197"/>
      <c r="D842" s="197"/>
      <c r="E842" s="197"/>
      <c r="F842" s="197"/>
      <c r="G842" s="197"/>
      <c r="H842" s="197"/>
      <c r="I842" s="197"/>
      <c r="J842" s="197"/>
      <c r="K842" s="197"/>
    </row>
    <row r="843" spans="1:11" ht="12.5">
      <c r="A843" s="197"/>
      <c r="B843" s="197"/>
      <c r="C843" s="197"/>
      <c r="D843" s="197"/>
      <c r="E843" s="197"/>
      <c r="F843" s="197"/>
      <c r="G843" s="197"/>
      <c r="H843" s="197"/>
      <c r="I843" s="197"/>
      <c r="J843" s="197"/>
      <c r="K843" s="197"/>
    </row>
    <row r="844" spans="1:11" ht="12.5">
      <c r="A844" s="197"/>
      <c r="B844" s="197"/>
      <c r="C844" s="197"/>
      <c r="D844" s="197"/>
      <c r="E844" s="197"/>
      <c r="F844" s="197"/>
      <c r="G844" s="197"/>
      <c r="H844" s="197"/>
      <c r="I844" s="197"/>
      <c r="J844" s="197"/>
      <c r="K844" s="197"/>
    </row>
    <row r="845" spans="1:11" ht="12.5">
      <c r="A845" s="197"/>
      <c r="B845" s="197"/>
      <c r="C845" s="197"/>
      <c r="D845" s="197"/>
      <c r="E845" s="197"/>
      <c r="F845" s="197"/>
      <c r="G845" s="197"/>
      <c r="H845" s="197"/>
      <c r="I845" s="197"/>
      <c r="J845" s="197"/>
      <c r="K845" s="197"/>
    </row>
    <row r="846" spans="1:11" ht="12.5">
      <c r="A846" s="197"/>
      <c r="B846" s="197"/>
      <c r="C846" s="197"/>
      <c r="D846" s="197"/>
      <c r="E846" s="197"/>
      <c r="F846" s="197"/>
      <c r="G846" s="197"/>
      <c r="H846" s="197"/>
      <c r="I846" s="197"/>
      <c r="J846" s="197"/>
      <c r="K846" s="197"/>
    </row>
    <row r="847" spans="1:11" ht="12.5">
      <c r="A847" s="197"/>
      <c r="B847" s="197"/>
      <c r="C847" s="197"/>
      <c r="D847" s="197"/>
      <c r="E847" s="197"/>
      <c r="F847" s="197"/>
      <c r="G847" s="197"/>
      <c r="H847" s="197"/>
      <c r="I847" s="197"/>
      <c r="J847" s="197"/>
      <c r="K847" s="197"/>
    </row>
    <row r="848" spans="1:11" ht="12.5">
      <c r="A848" s="197"/>
      <c r="B848" s="197"/>
      <c r="C848" s="197"/>
      <c r="D848" s="197"/>
      <c r="E848" s="197"/>
      <c r="F848" s="197"/>
      <c r="G848" s="197"/>
      <c r="H848" s="197"/>
      <c r="I848" s="197"/>
      <c r="J848" s="197"/>
      <c r="K848" s="197"/>
    </row>
    <row r="849" spans="1:11" ht="12.5">
      <c r="A849" s="197"/>
      <c r="B849" s="197"/>
      <c r="C849" s="197"/>
      <c r="D849" s="197"/>
      <c r="E849" s="197"/>
      <c r="F849" s="197"/>
      <c r="G849" s="197"/>
      <c r="H849" s="197"/>
      <c r="I849" s="197"/>
      <c r="J849" s="197"/>
      <c r="K849" s="197"/>
    </row>
    <row r="850" spans="1:11" ht="12.5">
      <c r="A850" s="197"/>
      <c r="B850" s="197"/>
      <c r="C850" s="197"/>
      <c r="D850" s="197"/>
      <c r="E850" s="197"/>
      <c r="F850" s="197"/>
      <c r="G850" s="197"/>
      <c r="H850" s="197"/>
      <c r="I850" s="197"/>
      <c r="J850" s="197"/>
      <c r="K850" s="197"/>
    </row>
    <row r="851" spans="1:11" ht="12.5">
      <c r="A851" s="197"/>
      <c r="B851" s="197"/>
      <c r="C851" s="197"/>
      <c r="D851" s="197"/>
      <c r="E851" s="197"/>
      <c r="F851" s="197"/>
      <c r="G851" s="197"/>
      <c r="H851" s="197"/>
      <c r="I851" s="197"/>
      <c r="J851" s="197"/>
      <c r="K851" s="197"/>
    </row>
    <row r="852" spans="1:11" ht="12.5">
      <c r="A852" s="197"/>
      <c r="B852" s="197"/>
      <c r="C852" s="197"/>
      <c r="D852" s="197"/>
      <c r="E852" s="197"/>
      <c r="F852" s="197"/>
      <c r="G852" s="197"/>
      <c r="H852" s="197"/>
      <c r="I852" s="197"/>
      <c r="J852" s="197"/>
      <c r="K852" s="197"/>
    </row>
    <row r="853" spans="1:11" ht="12.5">
      <c r="A853" s="197"/>
      <c r="B853" s="197"/>
      <c r="C853" s="197"/>
      <c r="D853" s="197"/>
      <c r="E853" s="197"/>
      <c r="F853" s="197"/>
      <c r="G853" s="197"/>
      <c r="H853" s="197"/>
      <c r="I853" s="197"/>
      <c r="J853" s="197"/>
      <c r="K853" s="197"/>
    </row>
    <row r="854" spans="1:11" ht="12.5">
      <c r="A854" s="197"/>
      <c r="B854" s="197"/>
      <c r="C854" s="197"/>
      <c r="D854" s="197"/>
      <c r="E854" s="197"/>
      <c r="F854" s="197"/>
      <c r="G854" s="197"/>
      <c r="H854" s="197"/>
      <c r="I854" s="197"/>
      <c r="J854" s="197"/>
      <c r="K854" s="197"/>
    </row>
    <row r="855" spans="1:11" ht="12.5">
      <c r="A855" s="197"/>
      <c r="B855" s="197"/>
      <c r="C855" s="197"/>
      <c r="D855" s="197"/>
      <c r="E855" s="197"/>
      <c r="F855" s="197"/>
      <c r="G855" s="197"/>
      <c r="H855" s="197"/>
      <c r="I855" s="197"/>
      <c r="J855" s="197"/>
      <c r="K855" s="197"/>
    </row>
    <row r="856" spans="1:11" ht="12.5">
      <c r="A856" s="197"/>
      <c r="B856" s="197"/>
      <c r="C856" s="197"/>
      <c r="D856" s="197"/>
      <c r="E856" s="197"/>
      <c r="F856" s="197"/>
      <c r="G856" s="197"/>
      <c r="H856" s="197"/>
      <c r="I856" s="197"/>
      <c r="J856" s="197"/>
      <c r="K856" s="197"/>
    </row>
    <row r="857" spans="1:11" ht="12.5">
      <c r="A857" s="197"/>
      <c r="B857" s="197"/>
      <c r="C857" s="197"/>
      <c r="D857" s="197"/>
      <c r="E857" s="197"/>
      <c r="F857" s="197"/>
      <c r="G857" s="197"/>
      <c r="H857" s="197"/>
      <c r="I857" s="197"/>
      <c r="J857" s="197"/>
      <c r="K857" s="197"/>
    </row>
    <row r="858" spans="1:11" ht="12.5">
      <c r="A858" s="197"/>
      <c r="B858" s="197"/>
      <c r="C858" s="197"/>
      <c r="D858" s="197"/>
      <c r="E858" s="197"/>
      <c r="F858" s="197"/>
      <c r="G858" s="197"/>
      <c r="H858" s="197"/>
      <c r="I858" s="197"/>
      <c r="J858" s="197"/>
      <c r="K858" s="197"/>
    </row>
    <row r="859" spans="1:11" ht="12.5">
      <c r="A859" s="197"/>
      <c r="B859" s="197"/>
      <c r="C859" s="197"/>
      <c r="D859" s="197"/>
      <c r="E859" s="197"/>
      <c r="F859" s="197"/>
      <c r="G859" s="197"/>
      <c r="H859" s="197"/>
      <c r="I859" s="197"/>
      <c r="J859" s="197"/>
      <c r="K859" s="197"/>
    </row>
    <row r="860" spans="1:11" ht="12.5">
      <c r="A860" s="197"/>
      <c r="B860" s="197"/>
      <c r="C860" s="197"/>
      <c r="D860" s="197"/>
      <c r="E860" s="197"/>
      <c r="F860" s="197"/>
      <c r="G860" s="197"/>
      <c r="H860" s="197"/>
      <c r="I860" s="197"/>
      <c r="J860" s="197"/>
      <c r="K860" s="197"/>
    </row>
    <row r="861" spans="1:11" ht="12.5">
      <c r="A861" s="197"/>
      <c r="B861" s="197"/>
      <c r="C861" s="197"/>
      <c r="D861" s="197"/>
      <c r="E861" s="197"/>
      <c r="F861" s="197"/>
      <c r="G861" s="197"/>
      <c r="H861" s="197"/>
      <c r="I861" s="197"/>
      <c r="J861" s="197"/>
      <c r="K861" s="197"/>
    </row>
    <row r="862" spans="1:11" ht="12.5">
      <c r="A862" s="197"/>
      <c r="B862" s="197"/>
      <c r="C862" s="197"/>
      <c r="D862" s="197"/>
      <c r="E862" s="197"/>
      <c r="F862" s="197"/>
      <c r="G862" s="197"/>
      <c r="H862" s="197"/>
      <c r="I862" s="197"/>
      <c r="J862" s="197"/>
      <c r="K862" s="197"/>
    </row>
    <row r="863" spans="1:11" ht="12.5">
      <c r="A863" s="197"/>
      <c r="B863" s="197"/>
      <c r="C863" s="197"/>
      <c r="D863" s="197"/>
      <c r="E863" s="197"/>
      <c r="F863" s="197"/>
      <c r="G863" s="197"/>
      <c r="H863" s="197"/>
      <c r="I863" s="197"/>
      <c r="J863" s="197"/>
      <c r="K863" s="197"/>
    </row>
    <row r="864" spans="1:11" ht="12.5">
      <c r="A864" s="197"/>
      <c r="B864" s="197"/>
      <c r="C864" s="197"/>
      <c r="D864" s="197"/>
      <c r="E864" s="197"/>
      <c r="F864" s="197"/>
      <c r="G864" s="197"/>
      <c r="H864" s="197"/>
      <c r="I864" s="197"/>
      <c r="J864" s="197"/>
      <c r="K864" s="197"/>
    </row>
    <row r="865" spans="1:11" ht="12.5">
      <c r="A865" s="197"/>
      <c r="B865" s="197"/>
      <c r="C865" s="197"/>
      <c r="D865" s="197"/>
      <c r="E865" s="197"/>
      <c r="F865" s="197"/>
      <c r="G865" s="197"/>
      <c r="H865" s="197"/>
      <c r="I865" s="197"/>
      <c r="J865" s="197"/>
      <c r="K865" s="197"/>
    </row>
    <row r="866" spans="1:11" ht="12.5">
      <c r="A866" s="197"/>
      <c r="B866" s="197"/>
      <c r="C866" s="197"/>
      <c r="D866" s="197"/>
      <c r="E866" s="197"/>
      <c r="F866" s="197"/>
      <c r="G866" s="197"/>
      <c r="H866" s="197"/>
      <c r="I866" s="197"/>
      <c r="J866" s="197"/>
      <c r="K866" s="197"/>
    </row>
    <row r="867" spans="1:11" ht="12.5">
      <c r="A867" s="197"/>
      <c r="B867" s="197"/>
      <c r="C867" s="197"/>
      <c r="D867" s="197"/>
      <c r="E867" s="197"/>
      <c r="F867" s="197"/>
      <c r="G867" s="197"/>
      <c r="H867" s="197"/>
      <c r="I867" s="197"/>
      <c r="J867" s="197"/>
      <c r="K867" s="197"/>
    </row>
    <row r="868" spans="1:11" ht="12.5">
      <c r="A868" s="197"/>
      <c r="B868" s="197"/>
      <c r="C868" s="197"/>
      <c r="D868" s="197"/>
      <c r="E868" s="197"/>
      <c r="F868" s="197"/>
      <c r="G868" s="197"/>
      <c r="H868" s="197"/>
      <c r="I868" s="197"/>
      <c r="J868" s="197"/>
      <c r="K868" s="197"/>
    </row>
    <row r="869" spans="1:11" ht="12.5">
      <c r="A869" s="197"/>
      <c r="B869" s="197"/>
      <c r="C869" s="197"/>
      <c r="D869" s="197"/>
      <c r="E869" s="197"/>
      <c r="F869" s="197"/>
      <c r="G869" s="197"/>
      <c r="H869" s="197"/>
      <c r="I869" s="197"/>
      <c r="J869" s="197"/>
      <c r="K869" s="197"/>
    </row>
    <row r="870" spans="1:11" ht="12.5">
      <c r="A870" s="197"/>
      <c r="B870" s="197"/>
      <c r="C870" s="197"/>
      <c r="D870" s="197"/>
      <c r="E870" s="197"/>
      <c r="F870" s="197"/>
      <c r="G870" s="197"/>
      <c r="H870" s="197"/>
      <c r="I870" s="197"/>
      <c r="J870" s="197"/>
      <c r="K870" s="197"/>
    </row>
    <row r="871" spans="1:11" ht="12.5">
      <c r="A871" s="197"/>
      <c r="B871" s="197"/>
      <c r="C871" s="197"/>
      <c r="D871" s="197"/>
      <c r="E871" s="197"/>
      <c r="F871" s="197"/>
      <c r="G871" s="197"/>
      <c r="H871" s="197"/>
      <c r="I871" s="197"/>
      <c r="J871" s="197"/>
      <c r="K871" s="197"/>
    </row>
    <row r="872" spans="1:11" ht="12.5">
      <c r="A872" s="197"/>
      <c r="B872" s="197"/>
      <c r="C872" s="197"/>
      <c r="D872" s="197"/>
      <c r="E872" s="197"/>
      <c r="F872" s="197"/>
      <c r="G872" s="197"/>
      <c r="H872" s="197"/>
      <c r="I872" s="197"/>
      <c r="J872" s="197"/>
      <c r="K872" s="197"/>
    </row>
    <row r="873" spans="1:11" ht="12.5">
      <c r="A873" s="197"/>
      <c r="B873" s="197"/>
      <c r="C873" s="197"/>
      <c r="D873" s="197"/>
      <c r="E873" s="197"/>
      <c r="F873" s="197"/>
      <c r="G873" s="197"/>
      <c r="H873" s="197"/>
      <c r="I873" s="197"/>
      <c r="J873" s="197"/>
      <c r="K873" s="197"/>
    </row>
    <row r="874" spans="1:11" ht="12.5">
      <c r="A874" s="197"/>
      <c r="B874" s="197"/>
      <c r="C874" s="197"/>
      <c r="D874" s="197"/>
      <c r="E874" s="197"/>
      <c r="F874" s="197"/>
      <c r="G874" s="197"/>
      <c r="H874" s="197"/>
      <c r="I874" s="197"/>
      <c r="J874" s="197"/>
      <c r="K874" s="197"/>
    </row>
    <row r="875" spans="1:11" ht="12.5">
      <c r="A875" s="197"/>
      <c r="B875" s="197"/>
      <c r="C875" s="197"/>
      <c r="D875" s="197"/>
      <c r="E875" s="197"/>
      <c r="F875" s="197"/>
      <c r="G875" s="197"/>
      <c r="H875" s="197"/>
      <c r="I875" s="197"/>
      <c r="J875" s="197"/>
      <c r="K875" s="197"/>
    </row>
    <row r="876" spans="1:11" ht="12.5">
      <c r="A876" s="197"/>
      <c r="B876" s="197"/>
      <c r="C876" s="197"/>
      <c r="D876" s="197"/>
      <c r="E876" s="197"/>
      <c r="F876" s="197"/>
      <c r="G876" s="197"/>
      <c r="H876" s="197"/>
      <c r="I876" s="197"/>
      <c r="J876" s="197"/>
      <c r="K876" s="197"/>
    </row>
    <row r="877" spans="1:11" ht="12.5">
      <c r="A877" s="197"/>
      <c r="B877" s="197"/>
      <c r="C877" s="197"/>
      <c r="D877" s="197"/>
      <c r="E877" s="197"/>
      <c r="F877" s="197"/>
      <c r="G877" s="197"/>
      <c r="H877" s="197"/>
      <c r="I877" s="197"/>
      <c r="J877" s="197"/>
      <c r="K877" s="197"/>
    </row>
    <row r="878" spans="1:11" ht="12.5">
      <c r="A878" s="197"/>
      <c r="B878" s="197"/>
      <c r="C878" s="197"/>
      <c r="D878" s="197"/>
      <c r="E878" s="197"/>
      <c r="F878" s="197"/>
      <c r="G878" s="197"/>
      <c r="H878" s="197"/>
      <c r="I878" s="197"/>
      <c r="J878" s="197"/>
      <c r="K878" s="197"/>
    </row>
    <row r="879" spans="1:11" ht="12.5">
      <c r="A879" s="197"/>
      <c r="B879" s="197"/>
      <c r="C879" s="197"/>
      <c r="D879" s="197"/>
      <c r="E879" s="197"/>
      <c r="F879" s="197"/>
      <c r="G879" s="197"/>
      <c r="H879" s="197"/>
      <c r="I879" s="197"/>
      <c r="J879" s="197"/>
      <c r="K879" s="197"/>
    </row>
    <row r="880" spans="1:11" ht="12.5">
      <c r="A880" s="197"/>
      <c r="B880" s="197"/>
      <c r="C880" s="197"/>
      <c r="D880" s="197"/>
      <c r="E880" s="197"/>
      <c r="F880" s="197"/>
      <c r="G880" s="197"/>
      <c r="H880" s="197"/>
      <c r="I880" s="197"/>
      <c r="J880" s="197"/>
      <c r="K880" s="197"/>
    </row>
    <row r="881" spans="1:11" ht="12.5">
      <c r="A881" s="197"/>
      <c r="B881" s="197"/>
      <c r="C881" s="197"/>
      <c r="D881" s="197"/>
      <c r="E881" s="197"/>
      <c r="F881" s="197"/>
      <c r="G881" s="197"/>
      <c r="H881" s="197"/>
      <c r="I881" s="197"/>
      <c r="J881" s="197"/>
      <c r="K881" s="197"/>
    </row>
    <row r="882" spans="1:11" ht="12.5">
      <c r="A882" s="197"/>
      <c r="B882" s="197"/>
      <c r="C882" s="197"/>
      <c r="D882" s="197"/>
      <c r="E882" s="197"/>
      <c r="F882" s="197"/>
      <c r="G882" s="197"/>
      <c r="H882" s="197"/>
      <c r="I882" s="197"/>
      <c r="J882" s="197"/>
      <c r="K882" s="197"/>
    </row>
    <row r="883" spans="1:11" ht="12.5">
      <c r="A883" s="197"/>
      <c r="B883" s="197"/>
      <c r="C883" s="197"/>
      <c r="D883" s="197"/>
      <c r="E883" s="197"/>
      <c r="F883" s="197"/>
      <c r="G883" s="197"/>
      <c r="H883" s="197"/>
      <c r="I883" s="197"/>
      <c r="J883" s="197"/>
      <c r="K883" s="197"/>
    </row>
    <row r="884" spans="1:11" ht="12.5">
      <c r="A884" s="197"/>
      <c r="B884" s="197"/>
      <c r="C884" s="197"/>
      <c r="D884" s="197"/>
      <c r="E884" s="197"/>
      <c r="F884" s="197"/>
      <c r="G884" s="197"/>
      <c r="H884" s="197"/>
      <c r="I884" s="197"/>
      <c r="J884" s="197"/>
      <c r="K884" s="197"/>
    </row>
    <row r="885" spans="1:11" ht="12.5">
      <c r="A885" s="197"/>
      <c r="B885" s="197"/>
      <c r="C885" s="197"/>
      <c r="D885" s="197"/>
      <c r="E885" s="197"/>
      <c r="F885" s="197"/>
      <c r="G885" s="197"/>
      <c r="H885" s="197"/>
      <c r="I885" s="197"/>
      <c r="J885" s="197"/>
      <c r="K885" s="197"/>
    </row>
    <row r="886" spans="1:11" ht="12.5">
      <c r="A886" s="197"/>
      <c r="B886" s="197"/>
      <c r="C886" s="197"/>
      <c r="D886" s="197"/>
      <c r="E886" s="197"/>
      <c r="F886" s="197"/>
      <c r="G886" s="197"/>
      <c r="H886" s="197"/>
      <c r="I886" s="197"/>
      <c r="J886" s="197"/>
      <c r="K886" s="197"/>
    </row>
    <row r="887" spans="1:11" ht="12.5">
      <c r="A887" s="197"/>
      <c r="B887" s="197"/>
      <c r="C887" s="197"/>
      <c r="D887" s="197"/>
      <c r="E887" s="197"/>
      <c r="F887" s="197"/>
      <c r="G887" s="197"/>
      <c r="H887" s="197"/>
      <c r="I887" s="197"/>
      <c r="J887" s="197"/>
      <c r="K887" s="197"/>
    </row>
    <row r="888" spans="1:11" ht="12.5">
      <c r="A888" s="197"/>
      <c r="B888" s="197"/>
      <c r="C888" s="197"/>
      <c r="D888" s="197"/>
      <c r="E888" s="197"/>
      <c r="F888" s="197"/>
      <c r="G888" s="197"/>
      <c r="H888" s="197"/>
      <c r="I888" s="197"/>
      <c r="J888" s="197"/>
      <c r="K888" s="197"/>
    </row>
    <row r="889" spans="1:11" ht="12.5">
      <c r="A889" s="197"/>
      <c r="B889" s="197"/>
      <c r="C889" s="197"/>
      <c r="D889" s="197"/>
      <c r="E889" s="197"/>
      <c r="F889" s="197"/>
      <c r="G889" s="197"/>
      <c r="H889" s="197"/>
      <c r="I889" s="197"/>
      <c r="J889" s="197"/>
      <c r="K889" s="197"/>
    </row>
    <row r="890" spans="1:11" ht="12.5">
      <c r="A890" s="197"/>
      <c r="B890" s="197"/>
      <c r="C890" s="197"/>
      <c r="D890" s="197"/>
      <c r="E890" s="197"/>
      <c r="F890" s="197"/>
      <c r="G890" s="197"/>
      <c r="H890" s="197"/>
      <c r="I890" s="197"/>
      <c r="J890" s="197"/>
      <c r="K890" s="197"/>
    </row>
    <row r="891" spans="1:11" ht="12.5">
      <c r="A891" s="197"/>
      <c r="B891" s="197"/>
      <c r="C891" s="197"/>
      <c r="D891" s="197"/>
      <c r="E891" s="197"/>
      <c r="F891" s="197"/>
      <c r="G891" s="197"/>
      <c r="H891" s="197"/>
      <c r="I891" s="197"/>
      <c r="J891" s="197"/>
      <c r="K891" s="197"/>
    </row>
    <row r="892" spans="1:11" ht="12.5">
      <c r="A892" s="197"/>
      <c r="B892" s="197"/>
      <c r="C892" s="197"/>
      <c r="D892" s="197"/>
      <c r="E892" s="197"/>
      <c r="F892" s="197"/>
      <c r="G892" s="197"/>
      <c r="H892" s="197"/>
      <c r="I892" s="197"/>
      <c r="J892" s="197"/>
      <c r="K892" s="197"/>
    </row>
    <row r="893" spans="1:11" ht="12.5">
      <c r="A893" s="197"/>
      <c r="B893" s="197"/>
      <c r="C893" s="197"/>
      <c r="D893" s="197"/>
      <c r="E893" s="197"/>
      <c r="F893" s="197"/>
      <c r="G893" s="197"/>
      <c r="H893" s="197"/>
      <c r="I893" s="197"/>
      <c r="J893" s="197"/>
      <c r="K893" s="197"/>
    </row>
    <row r="894" spans="1:11" ht="12.5">
      <c r="A894" s="197"/>
      <c r="B894" s="197"/>
      <c r="C894" s="197"/>
      <c r="D894" s="197"/>
      <c r="E894" s="197"/>
      <c r="F894" s="197"/>
      <c r="G894" s="197"/>
      <c r="H894" s="197"/>
      <c r="I894" s="197"/>
      <c r="J894" s="197"/>
      <c r="K894" s="197"/>
    </row>
    <row r="895" spans="1:11" ht="12.5">
      <c r="A895" s="197"/>
      <c r="B895" s="197"/>
      <c r="C895" s="197"/>
      <c r="D895" s="197"/>
      <c r="E895" s="197"/>
      <c r="F895" s="197"/>
      <c r="G895" s="197"/>
      <c r="H895" s="197"/>
      <c r="I895" s="197"/>
      <c r="J895" s="197"/>
      <c r="K895" s="197"/>
    </row>
    <row r="896" spans="1:11" ht="12.5">
      <c r="A896" s="197"/>
      <c r="B896" s="197"/>
      <c r="C896" s="197"/>
      <c r="D896" s="197"/>
      <c r="E896" s="197"/>
      <c r="F896" s="197"/>
      <c r="G896" s="197"/>
      <c r="H896" s="197"/>
      <c r="I896" s="197"/>
      <c r="J896" s="197"/>
      <c r="K896" s="197"/>
    </row>
    <row r="897" spans="1:11" ht="12.5">
      <c r="A897" s="197"/>
      <c r="B897" s="197"/>
      <c r="C897" s="197"/>
      <c r="D897" s="197"/>
      <c r="E897" s="197"/>
      <c r="F897" s="197"/>
      <c r="G897" s="197"/>
      <c r="H897" s="197"/>
      <c r="I897" s="197"/>
      <c r="J897" s="197"/>
      <c r="K897" s="197"/>
    </row>
    <row r="898" spans="1:11" ht="12.5">
      <c r="A898" s="197"/>
      <c r="B898" s="197"/>
      <c r="C898" s="197"/>
      <c r="D898" s="197"/>
      <c r="E898" s="197"/>
      <c r="F898" s="197"/>
      <c r="G898" s="197"/>
      <c r="H898" s="197"/>
      <c r="I898" s="197"/>
      <c r="J898" s="197"/>
      <c r="K898" s="197"/>
    </row>
    <row r="899" spans="1:11" ht="12.5">
      <c r="A899" s="197"/>
      <c r="B899" s="197"/>
      <c r="C899" s="197"/>
      <c r="D899" s="197"/>
      <c r="E899" s="197"/>
      <c r="F899" s="197"/>
      <c r="G899" s="197"/>
      <c r="H899" s="197"/>
      <c r="I899" s="197"/>
      <c r="J899" s="197"/>
      <c r="K899" s="197"/>
    </row>
    <row r="900" spans="1:11" ht="12.5">
      <c r="A900" s="197"/>
      <c r="B900" s="197"/>
      <c r="C900" s="197"/>
      <c r="D900" s="197"/>
      <c r="E900" s="197"/>
      <c r="F900" s="197"/>
      <c r="G900" s="197"/>
      <c r="H900" s="197"/>
      <c r="I900" s="197"/>
      <c r="J900" s="197"/>
      <c r="K900" s="197"/>
    </row>
    <row r="901" spans="1:11" ht="12.5">
      <c r="A901" s="197"/>
      <c r="B901" s="197"/>
      <c r="C901" s="197"/>
      <c r="D901" s="197"/>
      <c r="E901" s="197"/>
      <c r="F901" s="197"/>
      <c r="G901" s="197"/>
      <c r="H901" s="197"/>
      <c r="I901" s="197"/>
      <c r="J901" s="197"/>
      <c r="K901" s="197"/>
    </row>
    <row r="902" spans="1:11" ht="12.5">
      <c r="A902" s="197"/>
      <c r="B902" s="197"/>
      <c r="C902" s="197"/>
      <c r="D902" s="197"/>
      <c r="E902" s="197"/>
      <c r="F902" s="197"/>
      <c r="G902" s="197"/>
      <c r="H902" s="197"/>
      <c r="I902" s="197"/>
      <c r="J902" s="197"/>
      <c r="K902" s="197"/>
    </row>
    <row r="903" spans="1:11" ht="12.5">
      <c r="A903" s="197"/>
      <c r="B903" s="197"/>
      <c r="C903" s="197"/>
      <c r="D903" s="197"/>
      <c r="E903" s="197"/>
      <c r="F903" s="197"/>
      <c r="G903" s="197"/>
      <c r="H903" s="197"/>
      <c r="I903" s="197"/>
      <c r="J903" s="197"/>
      <c r="K903" s="197"/>
    </row>
    <row r="904" spans="1:11" ht="12.5">
      <c r="A904" s="197"/>
      <c r="B904" s="197"/>
      <c r="C904" s="197"/>
      <c r="D904" s="197"/>
      <c r="E904" s="197"/>
      <c r="F904" s="197"/>
      <c r="G904" s="197"/>
      <c r="H904" s="197"/>
      <c r="I904" s="197"/>
      <c r="J904" s="197"/>
      <c r="K904" s="197"/>
    </row>
    <row r="905" spans="1:11" ht="12.5">
      <c r="A905" s="197"/>
      <c r="B905" s="197"/>
      <c r="C905" s="197"/>
      <c r="D905" s="197"/>
      <c r="E905" s="197"/>
      <c r="F905" s="197"/>
      <c r="G905" s="197"/>
      <c r="H905" s="197"/>
      <c r="I905" s="197"/>
      <c r="J905" s="197"/>
      <c r="K905" s="197"/>
    </row>
    <row r="906" spans="1:11" ht="12.5">
      <c r="A906" s="197"/>
      <c r="B906" s="197"/>
      <c r="C906" s="197"/>
      <c r="D906" s="197"/>
      <c r="E906" s="197"/>
      <c r="F906" s="197"/>
      <c r="G906" s="197"/>
      <c r="H906" s="197"/>
      <c r="I906" s="197"/>
      <c r="J906" s="197"/>
      <c r="K906" s="197"/>
    </row>
    <row r="907" spans="1:11" ht="12.5">
      <c r="A907" s="197"/>
      <c r="B907" s="197"/>
      <c r="C907" s="197"/>
      <c r="D907" s="197"/>
      <c r="E907" s="197"/>
      <c r="F907" s="197"/>
      <c r="G907" s="197"/>
      <c r="H907" s="197"/>
      <c r="I907" s="197"/>
      <c r="J907" s="197"/>
      <c r="K907" s="197"/>
    </row>
    <row r="908" spans="1:11" ht="12.5">
      <c r="A908" s="197"/>
      <c r="B908" s="197"/>
      <c r="C908" s="197"/>
      <c r="D908" s="197"/>
      <c r="E908" s="197"/>
      <c r="F908" s="197"/>
      <c r="G908" s="197"/>
      <c r="H908" s="197"/>
      <c r="I908" s="197"/>
      <c r="J908" s="197"/>
      <c r="K908" s="197"/>
    </row>
    <row r="909" spans="1:11" ht="12.5">
      <c r="A909" s="197"/>
      <c r="B909" s="197"/>
      <c r="C909" s="197"/>
      <c r="D909" s="197"/>
      <c r="E909" s="197"/>
      <c r="F909" s="197"/>
      <c r="G909" s="197"/>
      <c r="H909" s="197"/>
      <c r="I909" s="197"/>
      <c r="J909" s="197"/>
      <c r="K909" s="197"/>
    </row>
    <row r="910" spans="1:11" ht="12.5">
      <c r="A910" s="197"/>
      <c r="B910" s="197"/>
      <c r="C910" s="197"/>
      <c r="D910" s="197"/>
      <c r="E910" s="197"/>
      <c r="F910" s="197"/>
      <c r="G910" s="197"/>
      <c r="H910" s="197"/>
      <c r="I910" s="197"/>
      <c r="J910" s="197"/>
      <c r="K910" s="197"/>
    </row>
    <row r="911" spans="1:11" ht="12.5">
      <c r="A911" s="197"/>
      <c r="B911" s="197"/>
      <c r="C911" s="197"/>
      <c r="D911" s="197"/>
      <c r="E911" s="197"/>
      <c r="F911" s="197"/>
      <c r="G911" s="197"/>
      <c r="H911" s="197"/>
      <c r="I911" s="197"/>
      <c r="J911" s="197"/>
      <c r="K911" s="197"/>
    </row>
    <row r="912" spans="1:11" ht="12.5">
      <c r="A912" s="197"/>
      <c r="B912" s="197"/>
      <c r="C912" s="197"/>
      <c r="D912" s="197"/>
      <c r="E912" s="197"/>
      <c r="F912" s="197"/>
      <c r="G912" s="197"/>
      <c r="H912" s="197"/>
      <c r="I912" s="197"/>
      <c r="J912" s="197"/>
      <c r="K912" s="197"/>
    </row>
    <row r="913" spans="1:11" ht="12.5">
      <c r="A913" s="197"/>
      <c r="B913" s="197"/>
      <c r="C913" s="197"/>
      <c r="D913" s="197"/>
      <c r="E913" s="197"/>
      <c r="F913" s="197"/>
      <c r="G913" s="197"/>
      <c r="H913" s="197"/>
      <c r="I913" s="197"/>
      <c r="J913" s="197"/>
      <c r="K913" s="197"/>
    </row>
    <row r="914" spans="1:11" ht="12.5">
      <c r="A914" s="197"/>
      <c r="B914" s="197"/>
      <c r="C914" s="197"/>
      <c r="D914" s="197"/>
      <c r="E914" s="197"/>
      <c r="F914" s="197"/>
      <c r="G914" s="197"/>
      <c r="H914" s="197"/>
      <c r="I914" s="197"/>
      <c r="J914" s="197"/>
      <c r="K914" s="197"/>
    </row>
    <row r="915" spans="1:11" ht="12.5">
      <c r="A915" s="197"/>
      <c r="B915" s="197"/>
      <c r="C915" s="197"/>
      <c r="D915" s="197"/>
      <c r="E915" s="197"/>
      <c r="F915" s="197"/>
      <c r="G915" s="197"/>
      <c r="H915" s="197"/>
      <c r="I915" s="197"/>
      <c r="J915" s="197"/>
      <c r="K915" s="197"/>
    </row>
    <row r="916" spans="1:11" ht="12.5">
      <c r="A916" s="197"/>
      <c r="B916" s="197"/>
      <c r="C916" s="197"/>
      <c r="D916" s="197"/>
      <c r="E916" s="197"/>
      <c r="F916" s="197"/>
      <c r="G916" s="197"/>
      <c r="H916" s="197"/>
      <c r="I916" s="197"/>
      <c r="J916" s="197"/>
      <c r="K916" s="197"/>
    </row>
    <row r="917" spans="1:11" ht="12.5">
      <c r="A917" s="197"/>
      <c r="B917" s="197"/>
      <c r="C917" s="197"/>
      <c r="D917" s="197"/>
      <c r="E917" s="197"/>
      <c r="F917" s="197"/>
      <c r="G917" s="197"/>
      <c r="H917" s="197"/>
      <c r="I917" s="197"/>
      <c r="J917" s="197"/>
      <c r="K917" s="197"/>
    </row>
    <row r="918" spans="1:11" ht="12.5">
      <c r="A918" s="197"/>
      <c r="B918" s="197"/>
      <c r="C918" s="197"/>
      <c r="D918" s="197"/>
      <c r="E918" s="197"/>
      <c r="F918" s="197"/>
      <c r="G918" s="197"/>
      <c r="H918" s="197"/>
      <c r="I918" s="197"/>
      <c r="J918" s="197"/>
      <c r="K918" s="197"/>
    </row>
    <row r="919" spans="1:11" ht="12.5">
      <c r="A919" s="197"/>
      <c r="B919" s="197"/>
      <c r="C919" s="197"/>
      <c r="D919" s="197"/>
      <c r="E919" s="197"/>
      <c r="F919" s="197"/>
      <c r="G919" s="197"/>
      <c r="H919" s="197"/>
      <c r="I919" s="197"/>
      <c r="J919" s="197"/>
      <c r="K919" s="197"/>
    </row>
    <row r="920" spans="1:11" ht="12.5">
      <c r="A920" s="197"/>
      <c r="B920" s="197"/>
      <c r="C920" s="197"/>
      <c r="D920" s="197"/>
      <c r="E920" s="197"/>
      <c r="F920" s="197"/>
      <c r="G920" s="197"/>
      <c r="H920" s="197"/>
      <c r="I920" s="197"/>
      <c r="J920" s="197"/>
      <c r="K920" s="197"/>
    </row>
    <row r="921" spans="1:11" ht="12.5">
      <c r="A921" s="197"/>
      <c r="B921" s="197"/>
      <c r="C921" s="197"/>
      <c r="D921" s="197"/>
      <c r="E921" s="197"/>
      <c r="F921" s="197"/>
      <c r="G921" s="197"/>
      <c r="H921" s="197"/>
      <c r="I921" s="197"/>
      <c r="J921" s="197"/>
      <c r="K921" s="197"/>
    </row>
    <row r="922" spans="1:11" ht="12.5">
      <c r="A922" s="197"/>
      <c r="B922" s="197"/>
      <c r="C922" s="197"/>
      <c r="D922" s="197"/>
      <c r="E922" s="197"/>
      <c r="F922" s="197"/>
      <c r="G922" s="197"/>
      <c r="H922" s="197"/>
      <c r="I922" s="197"/>
      <c r="J922" s="197"/>
      <c r="K922" s="197"/>
    </row>
    <row r="923" spans="1:11" ht="12.5">
      <c r="A923" s="197"/>
      <c r="B923" s="197"/>
      <c r="C923" s="197"/>
      <c r="D923" s="197"/>
      <c r="E923" s="197"/>
      <c r="F923" s="197"/>
      <c r="G923" s="197"/>
      <c r="H923" s="197"/>
      <c r="I923" s="197"/>
      <c r="J923" s="197"/>
      <c r="K923" s="197"/>
    </row>
    <row r="924" spans="1:11" ht="12.5">
      <c r="A924" s="197"/>
      <c r="B924" s="197"/>
      <c r="C924" s="197"/>
      <c r="D924" s="197"/>
      <c r="E924" s="197"/>
      <c r="F924" s="197"/>
      <c r="G924" s="197"/>
      <c r="H924" s="197"/>
      <c r="I924" s="197"/>
      <c r="J924" s="197"/>
      <c r="K924" s="197"/>
    </row>
    <row r="925" spans="1:11" ht="12.5">
      <c r="A925" s="197"/>
      <c r="B925" s="197"/>
      <c r="C925" s="197"/>
      <c r="D925" s="197"/>
      <c r="E925" s="197"/>
      <c r="F925" s="197"/>
      <c r="G925" s="197"/>
      <c r="H925" s="197"/>
      <c r="I925" s="197"/>
      <c r="J925" s="197"/>
      <c r="K925" s="197"/>
    </row>
    <row r="926" spans="1:11" ht="12.5">
      <c r="A926" s="197"/>
      <c r="B926" s="197"/>
      <c r="C926" s="197"/>
      <c r="D926" s="197"/>
      <c r="E926" s="197"/>
      <c r="F926" s="197"/>
      <c r="G926" s="197"/>
      <c r="H926" s="197"/>
      <c r="I926" s="197"/>
      <c r="J926" s="197"/>
      <c r="K926" s="197"/>
    </row>
    <row r="927" spans="1:11" ht="12.5">
      <c r="A927" s="197"/>
      <c r="B927" s="197"/>
      <c r="C927" s="197"/>
      <c r="D927" s="197"/>
      <c r="E927" s="197"/>
      <c r="F927" s="197"/>
      <c r="G927" s="197"/>
      <c r="H927" s="197"/>
      <c r="I927" s="197"/>
      <c r="J927" s="197"/>
      <c r="K927" s="197"/>
    </row>
    <row r="928" spans="1:11" ht="12.5">
      <c r="A928" s="197"/>
      <c r="B928" s="197"/>
      <c r="C928" s="197"/>
      <c r="D928" s="197"/>
      <c r="E928" s="197"/>
      <c r="F928" s="197"/>
      <c r="G928" s="197"/>
      <c r="H928" s="197"/>
      <c r="I928" s="197"/>
      <c r="J928" s="197"/>
      <c r="K928" s="197"/>
    </row>
    <row r="929" spans="1:11" ht="12.5">
      <c r="A929" s="197"/>
      <c r="B929" s="197"/>
      <c r="C929" s="197"/>
      <c r="D929" s="197"/>
      <c r="E929" s="197"/>
      <c r="F929" s="197"/>
      <c r="G929" s="197"/>
      <c r="H929" s="197"/>
      <c r="I929" s="197"/>
      <c r="J929" s="197"/>
      <c r="K929" s="197"/>
    </row>
    <row r="930" spans="1:11" ht="12.5">
      <c r="A930" s="197"/>
      <c r="B930" s="197"/>
      <c r="C930" s="197"/>
      <c r="D930" s="197"/>
      <c r="E930" s="197"/>
      <c r="F930" s="197"/>
      <c r="G930" s="197"/>
      <c r="H930" s="197"/>
      <c r="I930" s="197"/>
      <c r="J930" s="197"/>
      <c r="K930" s="197"/>
    </row>
    <row r="931" spans="1:11" ht="12.5">
      <c r="A931" s="197"/>
      <c r="B931" s="197"/>
      <c r="C931" s="197"/>
      <c r="D931" s="197"/>
      <c r="E931" s="197"/>
      <c r="F931" s="197"/>
      <c r="G931" s="197"/>
      <c r="H931" s="197"/>
      <c r="I931" s="197"/>
      <c r="J931" s="197"/>
      <c r="K931" s="197"/>
    </row>
    <row r="932" spans="1:11" ht="12.5">
      <c r="A932" s="197"/>
      <c r="B932" s="197"/>
      <c r="C932" s="197"/>
      <c r="D932" s="197"/>
      <c r="E932" s="197"/>
      <c r="F932" s="197"/>
      <c r="G932" s="197"/>
      <c r="H932" s="197"/>
      <c r="I932" s="197"/>
      <c r="J932" s="197"/>
      <c r="K932" s="197"/>
    </row>
    <row r="933" spans="1:11" ht="12.5">
      <c r="A933" s="197"/>
      <c r="B933" s="197"/>
      <c r="C933" s="197"/>
      <c r="D933" s="197"/>
      <c r="E933" s="197"/>
      <c r="F933" s="197"/>
      <c r="G933" s="197"/>
      <c r="H933" s="197"/>
      <c r="I933" s="197"/>
      <c r="J933" s="197"/>
      <c r="K933" s="197"/>
    </row>
    <row r="934" spans="1:11" ht="12.5">
      <c r="A934" s="197"/>
      <c r="B934" s="197"/>
      <c r="C934" s="197"/>
      <c r="D934" s="197"/>
      <c r="E934" s="197"/>
      <c r="F934" s="197"/>
      <c r="G934" s="197"/>
      <c r="H934" s="197"/>
      <c r="I934" s="197"/>
      <c r="J934" s="197"/>
      <c r="K934" s="197"/>
    </row>
    <row r="935" spans="1:11" ht="12.5">
      <c r="A935" s="197"/>
      <c r="B935" s="197"/>
      <c r="C935" s="197"/>
      <c r="D935" s="197"/>
      <c r="E935" s="197"/>
      <c r="F935" s="197"/>
      <c r="G935" s="197"/>
      <c r="H935" s="197"/>
      <c r="I935" s="197"/>
      <c r="J935" s="197"/>
      <c r="K935" s="197"/>
    </row>
    <row r="936" spans="1:11" ht="12.5">
      <c r="A936" s="197"/>
      <c r="B936" s="197"/>
      <c r="C936" s="197"/>
      <c r="D936" s="197"/>
      <c r="E936" s="197"/>
      <c r="F936" s="197"/>
      <c r="G936" s="197"/>
      <c r="H936" s="197"/>
      <c r="I936" s="197"/>
      <c r="J936" s="197"/>
      <c r="K936" s="197"/>
    </row>
    <row r="937" spans="1:11" ht="12.5">
      <c r="A937" s="197"/>
      <c r="B937" s="197"/>
      <c r="C937" s="197"/>
      <c r="D937" s="197"/>
      <c r="E937" s="197"/>
      <c r="F937" s="197"/>
      <c r="G937" s="197"/>
      <c r="H937" s="197"/>
      <c r="I937" s="197"/>
      <c r="J937" s="197"/>
      <c r="K937" s="197"/>
    </row>
    <row r="938" spans="1:11" ht="12.5">
      <c r="A938" s="197"/>
      <c r="B938" s="197"/>
      <c r="C938" s="197"/>
      <c r="D938" s="197"/>
      <c r="E938" s="197"/>
      <c r="F938" s="197"/>
      <c r="G938" s="197"/>
      <c r="H938" s="197"/>
      <c r="I938" s="197"/>
      <c r="J938" s="197"/>
      <c r="K938" s="197"/>
    </row>
    <row r="939" spans="1:11" ht="12.5">
      <c r="A939" s="197"/>
      <c r="B939" s="197"/>
      <c r="C939" s="197"/>
      <c r="D939" s="197"/>
      <c r="E939" s="197"/>
      <c r="F939" s="197"/>
      <c r="G939" s="197"/>
      <c r="H939" s="197"/>
      <c r="I939" s="197"/>
      <c r="J939" s="197"/>
      <c r="K939" s="197"/>
    </row>
    <row r="940" spans="1:11" ht="12.5">
      <c r="A940" s="197"/>
      <c r="B940" s="197"/>
      <c r="C940" s="197"/>
      <c r="D940" s="197"/>
      <c r="E940" s="197"/>
      <c r="F940" s="197"/>
      <c r="G940" s="197"/>
      <c r="H940" s="197"/>
      <c r="I940" s="197"/>
      <c r="J940" s="197"/>
      <c r="K940" s="197"/>
    </row>
    <row r="941" spans="1:11" ht="12.5">
      <c r="A941" s="197"/>
      <c r="B941" s="197"/>
      <c r="C941" s="197"/>
      <c r="D941" s="197"/>
      <c r="E941" s="197"/>
      <c r="F941" s="197"/>
      <c r="G941" s="197"/>
      <c r="H941" s="197"/>
      <c r="I941" s="197"/>
      <c r="J941" s="197"/>
      <c r="K941" s="197"/>
    </row>
    <row r="942" spans="1:11" ht="12.5">
      <c r="A942" s="197"/>
      <c r="B942" s="197"/>
      <c r="C942" s="197"/>
      <c r="D942" s="197"/>
      <c r="E942" s="197"/>
      <c r="F942" s="197"/>
      <c r="G942" s="197"/>
      <c r="H942" s="197"/>
      <c r="I942" s="197"/>
      <c r="J942" s="197"/>
      <c r="K942" s="197"/>
    </row>
    <row r="943" spans="1:11" ht="12.5">
      <c r="A943" s="197"/>
      <c r="B943" s="197"/>
      <c r="C943" s="197"/>
      <c r="D943" s="197"/>
      <c r="E943" s="197"/>
      <c r="F943" s="197"/>
      <c r="G943" s="197"/>
      <c r="H943" s="197"/>
      <c r="I943" s="197"/>
      <c r="J943" s="197"/>
      <c r="K943" s="197"/>
    </row>
    <row r="944" spans="1:11" ht="12.5">
      <c r="A944" s="197"/>
      <c r="B944" s="197"/>
      <c r="C944" s="197"/>
      <c r="D944" s="197"/>
      <c r="E944" s="197"/>
      <c r="F944" s="197"/>
      <c r="G944" s="197"/>
      <c r="H944" s="197"/>
      <c r="I944" s="197"/>
      <c r="J944" s="197"/>
      <c r="K944" s="197"/>
    </row>
    <row r="945" spans="1:11" ht="12.5">
      <c r="A945" s="197"/>
      <c r="B945" s="197"/>
      <c r="C945" s="197"/>
      <c r="D945" s="197"/>
      <c r="E945" s="197"/>
      <c r="F945" s="197"/>
      <c r="G945" s="197"/>
      <c r="H945" s="197"/>
      <c r="I945" s="197"/>
      <c r="J945" s="197"/>
      <c r="K945" s="197"/>
    </row>
    <row r="946" spans="1:11" ht="12.5">
      <c r="A946" s="197"/>
      <c r="B946" s="197"/>
      <c r="C946" s="197"/>
      <c r="D946" s="197"/>
      <c r="E946" s="197"/>
      <c r="F946" s="197"/>
      <c r="G946" s="197"/>
      <c r="H946" s="197"/>
      <c r="I946" s="197"/>
      <c r="J946" s="197"/>
      <c r="K946" s="197"/>
    </row>
    <row r="947" spans="1:11" ht="12.5">
      <c r="A947" s="197"/>
      <c r="B947" s="197"/>
      <c r="C947" s="197"/>
      <c r="D947" s="197"/>
      <c r="E947" s="197"/>
      <c r="F947" s="197"/>
      <c r="G947" s="197"/>
      <c r="H947" s="197"/>
      <c r="I947" s="197"/>
      <c r="J947" s="197"/>
      <c r="K947" s="197"/>
    </row>
    <row r="948" spans="1:11" ht="12.5">
      <c r="A948" s="197"/>
      <c r="B948" s="197"/>
      <c r="C948" s="197"/>
      <c r="D948" s="197"/>
      <c r="E948" s="197"/>
      <c r="F948" s="197"/>
      <c r="G948" s="197"/>
      <c r="H948" s="197"/>
      <c r="I948" s="197"/>
      <c r="J948" s="197"/>
      <c r="K948" s="197"/>
    </row>
    <row r="949" spans="1:11" ht="12.5">
      <c r="A949" s="197"/>
      <c r="B949" s="197"/>
      <c r="C949" s="197"/>
      <c r="D949" s="197"/>
      <c r="E949" s="197"/>
      <c r="F949" s="197"/>
      <c r="G949" s="197"/>
      <c r="H949" s="197"/>
      <c r="I949" s="197"/>
      <c r="J949" s="197"/>
      <c r="K949" s="197"/>
    </row>
    <row r="950" spans="1:11" ht="12.5">
      <c r="A950" s="197"/>
      <c r="B950" s="197"/>
      <c r="C950" s="197"/>
      <c r="D950" s="197"/>
      <c r="E950" s="197"/>
      <c r="F950" s="197"/>
      <c r="G950" s="197"/>
      <c r="H950" s="197"/>
      <c r="I950" s="197"/>
      <c r="J950" s="197"/>
      <c r="K950" s="197"/>
    </row>
    <row r="951" spans="1:11" ht="12.5">
      <c r="A951" s="197"/>
      <c r="B951" s="197"/>
      <c r="C951" s="197"/>
      <c r="D951" s="197"/>
      <c r="E951" s="197"/>
      <c r="F951" s="197"/>
      <c r="G951" s="197"/>
      <c r="H951" s="197"/>
      <c r="I951" s="197"/>
      <c r="J951" s="197"/>
      <c r="K951" s="197"/>
    </row>
    <row r="952" spans="1:11" ht="12.5">
      <c r="A952" s="197"/>
      <c r="B952" s="197"/>
      <c r="C952" s="197"/>
      <c r="D952" s="197"/>
      <c r="E952" s="197"/>
      <c r="F952" s="197"/>
      <c r="G952" s="197"/>
      <c r="H952" s="197"/>
      <c r="I952" s="197"/>
      <c r="J952" s="197"/>
      <c r="K952" s="197"/>
    </row>
    <row r="953" spans="1:11" ht="12.5">
      <c r="A953" s="197"/>
      <c r="B953" s="197"/>
      <c r="C953" s="197"/>
      <c r="D953" s="197"/>
      <c r="E953" s="197"/>
      <c r="F953" s="197"/>
      <c r="G953" s="197"/>
      <c r="H953" s="197"/>
      <c r="I953" s="197"/>
      <c r="J953" s="197"/>
      <c r="K953" s="197"/>
    </row>
    <row r="954" spans="1:11" ht="12.5">
      <c r="A954" s="197"/>
      <c r="B954" s="197"/>
      <c r="C954" s="197"/>
      <c r="D954" s="197"/>
      <c r="E954" s="197"/>
      <c r="F954" s="197"/>
      <c r="G954" s="197"/>
      <c r="H954" s="197"/>
      <c r="I954" s="197"/>
      <c r="J954" s="197"/>
      <c r="K954" s="197"/>
    </row>
    <row r="955" spans="1:11" ht="12.5">
      <c r="A955" s="197"/>
      <c r="B955" s="197"/>
      <c r="C955" s="197"/>
      <c r="D955" s="197"/>
      <c r="E955" s="197"/>
      <c r="F955" s="197"/>
      <c r="G955" s="197"/>
      <c r="H955" s="197"/>
      <c r="I955" s="197"/>
      <c r="J955" s="197"/>
      <c r="K955" s="197"/>
    </row>
    <row r="956" spans="1:11" ht="12.5">
      <c r="A956" s="197"/>
      <c r="B956" s="197"/>
      <c r="C956" s="197"/>
      <c r="D956" s="197"/>
      <c r="E956" s="197"/>
      <c r="F956" s="197"/>
      <c r="G956" s="197"/>
      <c r="H956" s="197"/>
      <c r="I956" s="197"/>
      <c r="J956" s="197"/>
      <c r="K956" s="197"/>
    </row>
    <row r="957" spans="1:11" ht="12.5">
      <c r="A957" s="197"/>
      <c r="B957" s="197"/>
      <c r="C957" s="197"/>
      <c r="D957" s="197"/>
      <c r="E957" s="197"/>
      <c r="F957" s="197"/>
      <c r="G957" s="197"/>
      <c r="H957" s="197"/>
      <c r="I957" s="197"/>
      <c r="J957" s="197"/>
      <c r="K957" s="197"/>
    </row>
    <row r="958" spans="1:11" ht="12.5">
      <c r="A958" s="197"/>
      <c r="B958" s="197"/>
      <c r="C958" s="197"/>
      <c r="D958" s="197"/>
      <c r="E958" s="197"/>
      <c r="F958" s="197"/>
      <c r="G958" s="197"/>
      <c r="H958" s="197"/>
      <c r="I958" s="197"/>
      <c r="J958" s="197"/>
      <c r="K958" s="197"/>
    </row>
    <row r="959" spans="1:11" ht="12.5">
      <c r="A959" s="197"/>
      <c r="B959" s="197"/>
      <c r="C959" s="197"/>
      <c r="D959" s="197"/>
      <c r="E959" s="197"/>
      <c r="F959" s="197"/>
      <c r="G959" s="197"/>
      <c r="H959" s="197"/>
      <c r="I959" s="197"/>
      <c r="J959" s="197"/>
      <c r="K959" s="197"/>
    </row>
    <row r="960" spans="1:11" ht="12.5">
      <c r="A960" s="197"/>
      <c r="B960" s="197"/>
      <c r="C960" s="197"/>
      <c r="D960" s="197"/>
      <c r="E960" s="197"/>
      <c r="F960" s="197"/>
      <c r="G960" s="197"/>
      <c r="H960" s="197"/>
      <c r="I960" s="197"/>
      <c r="J960" s="197"/>
      <c r="K960" s="197"/>
    </row>
    <row r="961" spans="1:11" ht="12.5">
      <c r="A961" s="197"/>
      <c r="B961" s="197"/>
      <c r="C961" s="197"/>
      <c r="D961" s="197"/>
      <c r="E961" s="197"/>
      <c r="F961" s="197"/>
      <c r="G961" s="197"/>
      <c r="H961" s="197"/>
      <c r="I961" s="197"/>
      <c r="J961" s="197"/>
      <c r="K961" s="197"/>
    </row>
    <row r="962" spans="1:11" ht="12.5">
      <c r="A962" s="197"/>
      <c r="B962" s="197"/>
      <c r="C962" s="197"/>
      <c r="D962" s="197"/>
      <c r="E962" s="197"/>
      <c r="F962" s="197"/>
      <c r="G962" s="197"/>
      <c r="H962" s="197"/>
      <c r="I962" s="197"/>
      <c r="J962" s="197"/>
      <c r="K962" s="197"/>
    </row>
    <row r="963" spans="1:11" ht="12.5">
      <c r="A963" s="197"/>
      <c r="B963" s="197"/>
      <c r="C963" s="197"/>
      <c r="D963" s="197"/>
      <c r="E963" s="197"/>
      <c r="F963" s="197"/>
      <c r="G963" s="197"/>
      <c r="H963" s="197"/>
      <c r="I963" s="197"/>
      <c r="J963" s="197"/>
      <c r="K963" s="197"/>
    </row>
    <row r="964" spans="1:11" ht="12.5">
      <c r="A964" s="197"/>
      <c r="B964" s="197"/>
      <c r="C964" s="197"/>
      <c r="D964" s="197"/>
      <c r="E964" s="197"/>
      <c r="F964" s="197"/>
      <c r="G964" s="197"/>
      <c r="H964" s="197"/>
      <c r="I964" s="197"/>
      <c r="J964" s="197"/>
      <c r="K964" s="197"/>
    </row>
    <row r="965" spans="1:11" ht="12.5">
      <c r="A965" s="197"/>
      <c r="B965" s="197"/>
      <c r="C965" s="197"/>
      <c r="D965" s="197"/>
      <c r="E965" s="197"/>
      <c r="F965" s="197"/>
      <c r="G965" s="197"/>
      <c r="H965" s="197"/>
      <c r="I965" s="197"/>
      <c r="J965" s="197"/>
      <c r="K965" s="197"/>
    </row>
    <row r="966" spans="1:11" ht="12.5">
      <c r="A966" s="197"/>
      <c r="B966" s="197"/>
      <c r="C966" s="197"/>
      <c r="D966" s="197"/>
      <c r="E966" s="197"/>
      <c r="F966" s="197"/>
      <c r="G966" s="197"/>
      <c r="H966" s="197"/>
      <c r="I966" s="197"/>
      <c r="J966" s="197"/>
      <c r="K966" s="197"/>
    </row>
    <row r="967" spans="1:11" ht="12.5">
      <c r="A967" s="197"/>
      <c r="B967" s="197"/>
      <c r="C967" s="197"/>
      <c r="D967" s="197"/>
      <c r="E967" s="197"/>
      <c r="F967" s="197"/>
      <c r="G967" s="197"/>
      <c r="H967" s="197"/>
      <c r="I967" s="197"/>
      <c r="J967" s="197"/>
      <c r="K967" s="197"/>
    </row>
    <row r="968" spans="1:11" ht="12.5">
      <c r="A968" s="197"/>
      <c r="B968" s="197"/>
      <c r="C968" s="197"/>
      <c r="D968" s="197"/>
      <c r="E968" s="197"/>
      <c r="F968" s="197"/>
      <c r="G968" s="197"/>
      <c r="H968" s="197"/>
      <c r="I968" s="197"/>
      <c r="J968" s="197"/>
      <c r="K968" s="197"/>
    </row>
    <row r="969" spans="1:11" ht="12.5">
      <c r="A969" s="197"/>
      <c r="B969" s="197"/>
      <c r="C969" s="197"/>
      <c r="D969" s="197"/>
      <c r="E969" s="197"/>
      <c r="F969" s="197"/>
      <c r="G969" s="197"/>
      <c r="H969" s="197"/>
      <c r="I969" s="197"/>
      <c r="J969" s="197"/>
      <c r="K969" s="197"/>
    </row>
    <row r="970" spans="1:11" ht="12.5">
      <c r="A970" s="197"/>
      <c r="B970" s="197"/>
      <c r="C970" s="197"/>
      <c r="D970" s="197"/>
      <c r="E970" s="197"/>
      <c r="F970" s="197"/>
      <c r="G970" s="197"/>
      <c r="H970" s="197"/>
      <c r="I970" s="197"/>
      <c r="J970" s="197"/>
      <c r="K970" s="197"/>
    </row>
    <row r="971" spans="1:11" ht="12.5">
      <c r="A971" s="197"/>
      <c r="B971" s="197"/>
      <c r="C971" s="197"/>
      <c r="D971" s="197"/>
      <c r="E971" s="197"/>
      <c r="F971" s="197"/>
      <c r="G971" s="197"/>
      <c r="H971" s="197"/>
      <c r="I971" s="197"/>
      <c r="J971" s="197"/>
      <c r="K971" s="197"/>
    </row>
    <row r="972" spans="1:11" ht="12.5">
      <c r="A972" s="197"/>
      <c r="B972" s="197"/>
      <c r="C972" s="197"/>
      <c r="D972" s="197"/>
      <c r="E972" s="197"/>
      <c r="F972" s="197"/>
      <c r="G972" s="197"/>
      <c r="H972" s="197"/>
      <c r="I972" s="197"/>
      <c r="J972" s="197"/>
      <c r="K972" s="197"/>
    </row>
    <row r="973" spans="1:11" ht="12.5">
      <c r="A973" s="197"/>
      <c r="B973" s="197"/>
      <c r="C973" s="197"/>
      <c r="D973" s="197"/>
      <c r="E973" s="197"/>
      <c r="F973" s="197"/>
      <c r="G973" s="197"/>
      <c r="H973" s="197"/>
      <c r="I973" s="197"/>
      <c r="J973" s="197"/>
      <c r="K973" s="197"/>
    </row>
    <row r="974" spans="1:11" ht="12.5">
      <c r="A974" s="197"/>
      <c r="B974" s="197"/>
      <c r="C974" s="197"/>
      <c r="D974" s="197"/>
      <c r="E974" s="197"/>
      <c r="F974" s="197"/>
      <c r="G974" s="197"/>
      <c r="H974" s="197"/>
      <c r="I974" s="197"/>
      <c r="J974" s="197"/>
      <c r="K974" s="197"/>
    </row>
    <row r="975" spans="1:11" ht="12.5">
      <c r="A975" s="197"/>
      <c r="B975" s="197"/>
      <c r="C975" s="197"/>
      <c r="D975" s="197"/>
      <c r="E975" s="197"/>
      <c r="F975" s="197"/>
      <c r="G975" s="197"/>
      <c r="H975" s="197"/>
      <c r="I975" s="197"/>
      <c r="J975" s="197"/>
      <c r="K975" s="197"/>
    </row>
    <row r="976" spans="1:11" ht="12.5">
      <c r="A976" s="197"/>
      <c r="B976" s="197"/>
      <c r="C976" s="197"/>
      <c r="D976" s="197"/>
      <c r="E976" s="197"/>
      <c r="F976" s="197"/>
      <c r="G976" s="197"/>
      <c r="H976" s="197"/>
      <c r="I976" s="197"/>
      <c r="J976" s="197"/>
      <c r="K976" s="197"/>
    </row>
    <row r="977" spans="1:11" ht="12.5">
      <c r="A977" s="197"/>
      <c r="B977" s="197"/>
      <c r="C977" s="197"/>
      <c r="D977" s="197"/>
      <c r="E977" s="197"/>
      <c r="F977" s="197"/>
      <c r="G977" s="197"/>
      <c r="H977" s="197"/>
      <c r="I977" s="197"/>
      <c r="J977" s="197"/>
      <c r="K977" s="197"/>
    </row>
    <row r="978" spans="1:11" ht="12.5">
      <c r="A978" s="197"/>
      <c r="B978" s="197"/>
      <c r="C978" s="197"/>
      <c r="D978" s="197"/>
      <c r="E978" s="197"/>
      <c r="F978" s="197"/>
      <c r="G978" s="197"/>
      <c r="H978" s="197"/>
      <c r="I978" s="197"/>
      <c r="J978" s="197"/>
      <c r="K978" s="197"/>
    </row>
    <row r="979" spans="1:11" ht="12.5">
      <c r="A979" s="197"/>
      <c r="B979" s="197"/>
      <c r="C979" s="197"/>
      <c r="D979" s="197"/>
      <c r="E979" s="197"/>
      <c r="F979" s="197"/>
      <c r="G979" s="197"/>
      <c r="H979" s="197"/>
      <c r="I979" s="197"/>
      <c r="J979" s="197"/>
      <c r="K979" s="197"/>
    </row>
    <row r="980" spans="1:11" ht="12.5">
      <c r="A980" s="197"/>
      <c r="B980" s="197"/>
      <c r="C980" s="197"/>
      <c r="D980" s="197"/>
      <c r="E980" s="197"/>
      <c r="F980" s="197"/>
      <c r="G980" s="197"/>
      <c r="H980" s="197"/>
      <c r="I980" s="197"/>
      <c r="J980" s="197"/>
      <c r="K980" s="197"/>
    </row>
    <row r="981" spans="1:11" ht="12.5">
      <c r="A981" s="197"/>
      <c r="B981" s="197"/>
      <c r="C981" s="197"/>
      <c r="D981" s="197"/>
      <c r="E981" s="197"/>
      <c r="F981" s="197"/>
      <c r="G981" s="197"/>
      <c r="H981" s="197"/>
      <c r="I981" s="197"/>
      <c r="J981" s="197"/>
      <c r="K981" s="197"/>
    </row>
    <row r="982" spans="1:11" ht="12.5">
      <c r="A982" s="197"/>
      <c r="B982" s="197"/>
      <c r="C982" s="197"/>
      <c r="D982" s="197"/>
      <c r="E982" s="197"/>
      <c r="F982" s="197"/>
      <c r="G982" s="197"/>
      <c r="H982" s="197"/>
      <c r="I982" s="197"/>
      <c r="J982" s="197"/>
      <c r="K982" s="197"/>
    </row>
    <row r="983" spans="1:11" ht="12.5">
      <c r="A983" s="197"/>
      <c r="B983" s="197"/>
      <c r="C983" s="197"/>
      <c r="D983" s="197"/>
      <c r="E983" s="197"/>
      <c r="F983" s="197"/>
      <c r="G983" s="197"/>
      <c r="H983" s="197"/>
      <c r="I983" s="197"/>
      <c r="J983" s="197"/>
      <c r="K983" s="197"/>
    </row>
    <row r="984" spans="1:11" ht="12.5">
      <c r="A984" s="197"/>
      <c r="B984" s="197"/>
      <c r="C984" s="197"/>
      <c r="D984" s="197"/>
      <c r="E984" s="197"/>
      <c r="F984" s="197"/>
      <c r="G984" s="197"/>
      <c r="H984" s="197"/>
      <c r="I984" s="197"/>
      <c r="J984" s="197"/>
      <c r="K984" s="197"/>
    </row>
    <row r="985" spans="1:11" ht="12.5">
      <c r="A985" s="197"/>
      <c r="B985" s="197"/>
      <c r="C985" s="197"/>
      <c r="D985" s="197"/>
      <c r="E985" s="197"/>
      <c r="F985" s="197"/>
      <c r="G985" s="197"/>
      <c r="H985" s="197"/>
      <c r="I985" s="197"/>
      <c r="J985" s="197"/>
      <c r="K985" s="197"/>
    </row>
    <row r="986" spans="1:11" ht="12.5">
      <c r="A986" s="197"/>
      <c r="B986" s="197"/>
      <c r="C986" s="197"/>
      <c r="D986" s="197"/>
      <c r="E986" s="197"/>
      <c r="F986" s="197"/>
      <c r="G986" s="197"/>
      <c r="H986" s="197"/>
      <c r="I986" s="197"/>
      <c r="J986" s="197"/>
      <c r="K986" s="197"/>
    </row>
    <row r="987" spans="1:11" ht="12.5">
      <c r="A987" s="197"/>
      <c r="B987" s="197"/>
      <c r="C987" s="197"/>
      <c r="D987" s="197"/>
      <c r="E987" s="197"/>
      <c r="F987" s="197"/>
      <c r="G987" s="197"/>
      <c r="H987" s="197"/>
      <c r="I987" s="197"/>
      <c r="J987" s="197"/>
      <c r="K987" s="197"/>
    </row>
    <row r="988" spans="1:11" ht="12.5">
      <c r="A988" s="197"/>
      <c r="B988" s="197"/>
      <c r="C988" s="197"/>
      <c r="D988" s="197"/>
      <c r="E988" s="197"/>
      <c r="F988" s="197"/>
      <c r="G988" s="197"/>
      <c r="H988" s="197"/>
      <c r="I988" s="197"/>
      <c r="J988" s="197"/>
      <c r="K988" s="197"/>
    </row>
    <row r="989" spans="1:11" ht="12.5">
      <c r="A989" s="197"/>
      <c r="B989" s="197"/>
      <c r="C989" s="197"/>
      <c r="D989" s="197"/>
      <c r="E989" s="197"/>
      <c r="F989" s="197"/>
      <c r="G989" s="197"/>
      <c r="H989" s="197"/>
      <c r="I989" s="197"/>
      <c r="J989" s="197"/>
      <c r="K989" s="197"/>
    </row>
    <row r="990" spans="1:11" ht="12.5">
      <c r="A990" s="197"/>
      <c r="B990" s="197"/>
      <c r="C990" s="197"/>
      <c r="D990" s="197"/>
      <c r="E990" s="197"/>
      <c r="F990" s="197"/>
      <c r="G990" s="197"/>
      <c r="H990" s="197"/>
      <c r="I990" s="197"/>
      <c r="J990" s="197"/>
      <c r="K990" s="197"/>
    </row>
    <row r="991" spans="1:11" ht="12.5">
      <c r="A991" s="197"/>
      <c r="B991" s="197"/>
      <c r="C991" s="197"/>
      <c r="D991" s="197"/>
      <c r="E991" s="197"/>
      <c r="F991" s="197"/>
      <c r="G991" s="197"/>
      <c r="H991" s="197"/>
      <c r="I991" s="197"/>
      <c r="J991" s="197"/>
      <c r="K991" s="197"/>
    </row>
    <row r="992" spans="1:11" ht="12.5">
      <c r="A992" s="197"/>
      <c r="B992" s="197"/>
      <c r="C992" s="197"/>
      <c r="D992" s="197"/>
      <c r="E992" s="197"/>
      <c r="F992" s="197"/>
      <c r="G992" s="197"/>
      <c r="H992" s="197"/>
      <c r="I992" s="197"/>
      <c r="J992" s="197"/>
      <c r="K992" s="197"/>
    </row>
    <row r="993" spans="1:11" ht="12.5">
      <c r="A993" s="197"/>
      <c r="B993" s="197"/>
      <c r="C993" s="197"/>
      <c r="D993" s="197"/>
      <c r="E993" s="197"/>
      <c r="F993" s="197"/>
      <c r="G993" s="197"/>
      <c r="H993" s="197"/>
      <c r="I993" s="197"/>
      <c r="J993" s="197"/>
      <c r="K993" s="197"/>
    </row>
    <row r="994" spans="1:11" ht="12.5">
      <c r="A994" s="197"/>
      <c r="B994" s="197"/>
      <c r="C994" s="197"/>
      <c r="D994" s="197"/>
      <c r="E994" s="197"/>
      <c r="F994" s="197"/>
      <c r="G994" s="197"/>
      <c r="H994" s="197"/>
      <c r="I994" s="197"/>
      <c r="J994" s="197"/>
      <c r="K994" s="197"/>
    </row>
    <row r="995" spans="1:11" ht="12.5">
      <c r="A995" s="197"/>
      <c r="B995" s="197"/>
      <c r="C995" s="197"/>
      <c r="D995" s="197"/>
      <c r="E995" s="197"/>
      <c r="F995" s="197"/>
      <c r="G995" s="197"/>
      <c r="H995" s="197"/>
      <c r="I995" s="197"/>
      <c r="J995" s="197"/>
      <c r="K995" s="197"/>
    </row>
  </sheetData>
  <customSheetViews>
    <customSheetView guid="{9318B355-911F-4D11-A924-4F85D8B28D43}" filter="1" showAutoFilter="1">
      <pageMargins left="0.7" right="0.7" top="0.75" bottom="0.75" header="0.3" footer="0.3"/>
      <autoFilter ref="A1:AA995" xr:uid="{87D63FE4-A625-478B-BF08-F9E499C1CF4C}"/>
    </customSheetView>
  </customSheetViews>
  <dataValidations count="1">
    <dataValidation type="list" allowBlank="1" showErrorMessage="1" sqref="E2:E130" xr:uid="{00000000-0002-0000-0400-000000000000}">
      <formula1>"Y,N"</formula1>
    </dataValidation>
  </dataValidations>
  <hyperlinks>
    <hyperlink ref="B2" r:id="rId1" xr:uid="{00000000-0004-0000-0400-000000000000}"/>
    <hyperlink ref="H2" r:id="rId2" xr:uid="{00000000-0004-0000-0400-000001000000}"/>
    <hyperlink ref="B3" r:id="rId3" xr:uid="{00000000-0004-0000-0400-000002000000}"/>
    <hyperlink ref="H3" r:id="rId4" xr:uid="{00000000-0004-0000-0400-000003000000}"/>
    <hyperlink ref="B4" r:id="rId5" xr:uid="{00000000-0004-0000-0400-000004000000}"/>
    <hyperlink ref="H4" r:id="rId6" xr:uid="{00000000-0004-0000-0400-000005000000}"/>
    <hyperlink ref="B5" r:id="rId7" xr:uid="{00000000-0004-0000-0400-000006000000}"/>
    <hyperlink ref="H5" r:id="rId8" xr:uid="{00000000-0004-0000-0400-000007000000}"/>
    <hyperlink ref="B6" r:id="rId9" xr:uid="{00000000-0004-0000-0400-000008000000}"/>
    <hyperlink ref="H6" r:id="rId10" xr:uid="{00000000-0004-0000-0400-000009000000}"/>
    <hyperlink ref="B7" r:id="rId11" xr:uid="{00000000-0004-0000-0400-00000A000000}"/>
    <hyperlink ref="B8" r:id="rId12" xr:uid="{00000000-0004-0000-0400-00000B000000}"/>
    <hyperlink ref="H8" r:id="rId13" xr:uid="{00000000-0004-0000-0400-00000C000000}"/>
    <hyperlink ref="B9" r:id="rId14" xr:uid="{00000000-0004-0000-0400-00000D000000}"/>
    <hyperlink ref="B10" r:id="rId15" xr:uid="{00000000-0004-0000-0400-00000E000000}"/>
    <hyperlink ref="G10" r:id="rId16" xr:uid="{00000000-0004-0000-0400-00000F000000}"/>
    <hyperlink ref="B11" r:id="rId17" xr:uid="{00000000-0004-0000-0400-000010000000}"/>
    <hyperlink ref="B12" r:id="rId18" xr:uid="{00000000-0004-0000-0400-000011000000}"/>
    <hyperlink ref="B13" r:id="rId19" xr:uid="{00000000-0004-0000-0400-000012000000}"/>
    <hyperlink ref="F13" r:id="rId20" xr:uid="{00000000-0004-0000-0400-000013000000}"/>
    <hyperlink ref="H13" r:id="rId21" xr:uid="{00000000-0004-0000-0400-000014000000}"/>
    <hyperlink ref="B14" r:id="rId22" xr:uid="{00000000-0004-0000-0400-000015000000}"/>
    <hyperlink ref="F14" r:id="rId23" xr:uid="{00000000-0004-0000-0400-000016000000}"/>
    <hyperlink ref="H14" r:id="rId24" xr:uid="{00000000-0004-0000-0400-000017000000}"/>
    <hyperlink ref="A15" r:id="rId25" xr:uid="{00000000-0004-0000-0400-000018000000}"/>
    <hyperlink ref="B15" r:id="rId26" xr:uid="{00000000-0004-0000-0400-000019000000}"/>
    <hyperlink ref="H15" r:id="rId27" xr:uid="{00000000-0004-0000-0400-00001A000000}"/>
    <hyperlink ref="I15" r:id="rId28" xr:uid="{00000000-0004-0000-0400-00001B000000}"/>
    <hyperlink ref="H16" r:id="rId29" xr:uid="{00000000-0004-0000-0400-00001C000000}"/>
    <hyperlink ref="C17" r:id="rId30" xr:uid="{00000000-0004-0000-0400-00001D000000}"/>
    <hyperlink ref="G17" r:id="rId31" xr:uid="{00000000-0004-0000-0400-00001E000000}"/>
    <hyperlink ref="H17" r:id="rId32" xr:uid="{00000000-0004-0000-0400-00001F000000}"/>
    <hyperlink ref="B18" r:id="rId33" xr:uid="{00000000-0004-0000-0400-000020000000}"/>
    <hyperlink ref="C18" r:id="rId34" xr:uid="{00000000-0004-0000-0400-000021000000}"/>
    <hyperlink ref="H18" r:id="rId35" xr:uid="{00000000-0004-0000-0400-000022000000}"/>
    <hyperlink ref="B19" r:id="rId36" xr:uid="{00000000-0004-0000-0400-000023000000}"/>
    <hyperlink ref="B20" r:id="rId37" xr:uid="{00000000-0004-0000-0400-000024000000}"/>
    <hyperlink ref="B21" r:id="rId38" xr:uid="{00000000-0004-0000-0400-000025000000}"/>
    <hyperlink ref="H21" r:id="rId39" xr:uid="{00000000-0004-0000-0400-000026000000}"/>
    <hyperlink ref="B22" r:id="rId40" xr:uid="{00000000-0004-0000-0400-000027000000}"/>
    <hyperlink ref="H22" r:id="rId41" xr:uid="{00000000-0004-0000-0400-000028000000}"/>
    <hyperlink ref="B23" r:id="rId42" xr:uid="{00000000-0004-0000-0400-000029000000}"/>
    <hyperlink ref="H23" r:id="rId43" xr:uid="{00000000-0004-0000-0400-00002A000000}"/>
    <hyperlink ref="B24" r:id="rId44" xr:uid="{00000000-0004-0000-0400-00002B000000}"/>
    <hyperlink ref="H24" r:id="rId45" xr:uid="{00000000-0004-0000-0400-00002C000000}"/>
    <hyperlink ref="I25" r:id="rId46" xr:uid="{00000000-0004-0000-0400-00002D000000}"/>
    <hyperlink ref="H27" r:id="rId47" xr:uid="{00000000-0004-0000-0400-00002E000000}"/>
    <hyperlink ref="H28" r:id="rId48" xr:uid="{00000000-0004-0000-0400-00002F000000}"/>
    <hyperlink ref="C29" r:id="rId49" xr:uid="{00000000-0004-0000-0400-000030000000}"/>
    <hyperlink ref="H29" r:id="rId50" xr:uid="{00000000-0004-0000-0400-000031000000}"/>
    <hyperlink ref="B31" r:id="rId51" xr:uid="{00000000-0004-0000-0400-000032000000}"/>
    <hyperlink ref="H31" r:id="rId52" xr:uid="{00000000-0004-0000-0400-000033000000}"/>
    <hyperlink ref="H33" r:id="rId53" xr:uid="{00000000-0004-0000-0400-000034000000}"/>
    <hyperlink ref="H35" r:id="rId54" xr:uid="{00000000-0004-0000-0400-000035000000}"/>
    <hyperlink ref="H36" r:id="rId55" xr:uid="{00000000-0004-0000-0400-000036000000}"/>
    <hyperlink ref="H37" r:id="rId56" xr:uid="{00000000-0004-0000-0400-000037000000}"/>
    <hyperlink ref="B38" r:id="rId57" xr:uid="{00000000-0004-0000-0400-000038000000}"/>
    <hyperlink ref="H40" r:id="rId58" xr:uid="{00000000-0004-0000-0400-000039000000}"/>
    <hyperlink ref="H41" r:id="rId59" xr:uid="{00000000-0004-0000-0400-00003A000000}"/>
    <hyperlink ref="B42" r:id="rId60" xr:uid="{00000000-0004-0000-0400-00003B000000}"/>
    <hyperlink ref="H42" r:id="rId61" xr:uid="{00000000-0004-0000-0400-00003C000000}"/>
    <hyperlink ref="B43" r:id="rId62" xr:uid="{00000000-0004-0000-0400-00003D000000}"/>
    <hyperlink ref="H44" r:id="rId63" xr:uid="{00000000-0004-0000-0400-00003E000000}"/>
    <hyperlink ref="H46" r:id="rId64" xr:uid="{00000000-0004-0000-0400-00003F000000}"/>
    <hyperlink ref="B47" r:id="rId65" xr:uid="{00000000-0004-0000-0400-000040000000}"/>
    <hyperlink ref="F47" r:id="rId66" xr:uid="{00000000-0004-0000-0400-000041000000}"/>
    <hyperlink ref="H47" r:id="rId67" xr:uid="{00000000-0004-0000-0400-000042000000}"/>
    <hyperlink ref="B48" r:id="rId68" xr:uid="{00000000-0004-0000-0400-000043000000}"/>
    <hyperlink ref="F48" r:id="rId69" xr:uid="{00000000-0004-0000-0400-000044000000}"/>
    <hyperlink ref="H48" r:id="rId70" xr:uid="{00000000-0004-0000-0400-000045000000}"/>
    <hyperlink ref="I48" r:id="rId71" xr:uid="{00000000-0004-0000-0400-000046000000}"/>
    <hyperlink ref="B49" r:id="rId72" xr:uid="{00000000-0004-0000-0400-000047000000}"/>
    <hyperlink ref="C49" r:id="rId73" xr:uid="{00000000-0004-0000-0400-000048000000}"/>
    <hyperlink ref="H49" r:id="rId74" xr:uid="{00000000-0004-0000-0400-000049000000}"/>
    <hyperlink ref="B50" r:id="rId75" xr:uid="{00000000-0004-0000-0400-00004A000000}"/>
    <hyperlink ref="F50" r:id="rId76" xr:uid="{00000000-0004-0000-0400-00004B000000}"/>
    <hyperlink ref="H50" r:id="rId77" xr:uid="{00000000-0004-0000-0400-00004C000000}"/>
    <hyperlink ref="B51" r:id="rId78" xr:uid="{00000000-0004-0000-0400-00004D000000}"/>
    <hyperlink ref="H51" r:id="rId79" xr:uid="{00000000-0004-0000-0400-00004E000000}"/>
    <hyperlink ref="H52" r:id="rId80" xr:uid="{00000000-0004-0000-0400-00004F000000}"/>
    <hyperlink ref="B54" r:id="rId81" xr:uid="{00000000-0004-0000-0400-000050000000}"/>
    <hyperlink ref="B55" r:id="rId82" xr:uid="{00000000-0004-0000-0400-000051000000}"/>
    <hyperlink ref="H55" r:id="rId83" xr:uid="{00000000-0004-0000-0400-000052000000}"/>
    <hyperlink ref="B56" r:id="rId84" xr:uid="{00000000-0004-0000-0400-000053000000}"/>
    <hyperlink ref="H57" r:id="rId85" xr:uid="{00000000-0004-0000-0400-000054000000}"/>
    <hyperlink ref="B58" r:id="rId86" xr:uid="{00000000-0004-0000-0400-000055000000}"/>
    <hyperlink ref="B59" r:id="rId87" xr:uid="{00000000-0004-0000-0400-000056000000}"/>
    <hyperlink ref="H59" r:id="rId88" xr:uid="{00000000-0004-0000-0400-000057000000}"/>
    <hyperlink ref="H60" r:id="rId89" xr:uid="{00000000-0004-0000-0400-000058000000}"/>
    <hyperlink ref="B61" r:id="rId90" xr:uid="{00000000-0004-0000-0400-000059000000}"/>
    <hyperlink ref="C61" r:id="rId91" xr:uid="{00000000-0004-0000-0400-00005A000000}"/>
    <hyperlink ref="H61" r:id="rId92" xr:uid="{00000000-0004-0000-0400-00005B000000}"/>
    <hyperlink ref="B62" r:id="rId93" xr:uid="{00000000-0004-0000-0400-00005C000000}"/>
    <hyperlink ref="B63" r:id="rId94" xr:uid="{00000000-0004-0000-0400-00005D000000}"/>
    <hyperlink ref="C63" r:id="rId95" xr:uid="{00000000-0004-0000-0400-00005E000000}"/>
    <hyperlink ref="H63" r:id="rId96" xr:uid="{00000000-0004-0000-0400-00005F000000}"/>
    <hyperlink ref="B64" r:id="rId97" xr:uid="{00000000-0004-0000-0400-000060000000}"/>
    <hyperlink ref="H64" r:id="rId98" xr:uid="{00000000-0004-0000-0400-000061000000}"/>
    <hyperlink ref="B65" r:id="rId99" xr:uid="{00000000-0004-0000-0400-000062000000}"/>
    <hyperlink ref="B66" r:id="rId100" xr:uid="{00000000-0004-0000-0400-000063000000}"/>
    <hyperlink ref="H66" r:id="rId101" xr:uid="{00000000-0004-0000-0400-000064000000}"/>
    <hyperlink ref="B67" r:id="rId102" xr:uid="{00000000-0004-0000-0400-000065000000}"/>
    <hyperlink ref="C67" r:id="rId103" xr:uid="{00000000-0004-0000-0400-000066000000}"/>
    <hyperlink ref="H67" r:id="rId104" xr:uid="{00000000-0004-0000-0400-000067000000}"/>
    <hyperlink ref="H68" r:id="rId105" xr:uid="{00000000-0004-0000-0400-000068000000}"/>
    <hyperlink ref="H71" r:id="rId106" xr:uid="{00000000-0004-0000-0400-000069000000}"/>
    <hyperlink ref="H73" r:id="rId107" xr:uid="{00000000-0004-0000-0400-00006A000000}"/>
    <hyperlink ref="H75" r:id="rId108" xr:uid="{00000000-0004-0000-0400-00006B000000}"/>
    <hyperlink ref="C76" r:id="rId109" xr:uid="{00000000-0004-0000-0400-00006C000000}"/>
    <hyperlink ref="H76" r:id="rId110" xr:uid="{00000000-0004-0000-0400-00006D000000}"/>
    <hyperlink ref="B77" r:id="rId111" xr:uid="{00000000-0004-0000-0400-00006E000000}"/>
    <hyperlink ref="H79" r:id="rId112" xr:uid="{00000000-0004-0000-0400-00006F000000}"/>
    <hyperlink ref="H80" r:id="rId113" xr:uid="{00000000-0004-0000-0400-000070000000}"/>
    <hyperlink ref="B81" r:id="rId114" xr:uid="{00000000-0004-0000-0400-000071000000}"/>
    <hyperlink ref="C81" r:id="rId115" xr:uid="{00000000-0004-0000-0400-000072000000}"/>
    <hyperlink ref="H81" r:id="rId116" xr:uid="{00000000-0004-0000-0400-000073000000}"/>
    <hyperlink ref="B83" r:id="rId117" xr:uid="{00000000-0004-0000-0400-000074000000}"/>
    <hyperlink ref="H83" r:id="rId118" xr:uid="{00000000-0004-0000-0400-000075000000}"/>
    <hyperlink ref="B84" r:id="rId119" xr:uid="{00000000-0004-0000-0400-000076000000}"/>
    <hyperlink ref="H84" r:id="rId120" xr:uid="{00000000-0004-0000-0400-000077000000}"/>
    <hyperlink ref="H89" r:id="rId121" xr:uid="{00000000-0004-0000-0400-000078000000}"/>
    <hyperlink ref="B90" r:id="rId122" xr:uid="{00000000-0004-0000-0400-000079000000}"/>
    <hyperlink ref="H91" r:id="rId123" xr:uid="{00000000-0004-0000-0400-00007A000000}"/>
    <hyperlink ref="B92" r:id="rId124" xr:uid="{00000000-0004-0000-0400-00007B000000}"/>
    <hyperlink ref="B93" r:id="rId125" xr:uid="{00000000-0004-0000-0400-00007C000000}"/>
    <hyperlink ref="B94" r:id="rId126" xr:uid="{00000000-0004-0000-0400-00007D000000}"/>
    <hyperlink ref="H94" r:id="rId127" xr:uid="{00000000-0004-0000-0400-00007E000000}"/>
    <hyperlink ref="H95" r:id="rId128" xr:uid="{00000000-0004-0000-0400-00007F000000}"/>
    <hyperlink ref="B96" r:id="rId129" xr:uid="{00000000-0004-0000-0400-000080000000}"/>
    <hyperlink ref="H96" r:id="rId130" xr:uid="{00000000-0004-0000-0400-000081000000}"/>
    <hyperlink ref="B97" r:id="rId131" xr:uid="{00000000-0004-0000-0400-000082000000}"/>
    <hyperlink ref="B99" r:id="rId132" xr:uid="{00000000-0004-0000-0400-000083000000}"/>
    <hyperlink ref="H99" r:id="rId133" xr:uid="{00000000-0004-0000-0400-000084000000}"/>
    <hyperlink ref="B100" r:id="rId134" xr:uid="{00000000-0004-0000-0400-000085000000}"/>
    <hyperlink ref="H101" r:id="rId135" xr:uid="{00000000-0004-0000-0400-000086000000}"/>
    <hyperlink ref="B102" r:id="rId136" xr:uid="{00000000-0004-0000-0400-000087000000}"/>
    <hyperlink ref="H102" r:id="rId137" xr:uid="{00000000-0004-0000-0400-000088000000}"/>
    <hyperlink ref="H103" r:id="rId138" xr:uid="{00000000-0004-0000-0400-000089000000}"/>
    <hyperlink ref="H104" r:id="rId139" xr:uid="{00000000-0004-0000-0400-00008A000000}"/>
    <hyperlink ref="H105" r:id="rId140" xr:uid="{00000000-0004-0000-0400-00008B000000}"/>
    <hyperlink ref="H109" r:id="rId141" xr:uid="{00000000-0004-0000-0400-00008C000000}"/>
    <hyperlink ref="H115" r:id="rId142" xr:uid="{00000000-0004-0000-0400-00008D000000}"/>
    <hyperlink ref="H116" r:id="rId143" xr:uid="{00000000-0004-0000-0400-00008E000000}"/>
    <hyperlink ref="H117" r:id="rId144" xr:uid="{00000000-0004-0000-0400-00008F000000}"/>
    <hyperlink ref="C118" r:id="rId145" xr:uid="{00000000-0004-0000-0400-000090000000}"/>
    <hyperlink ref="H118" r:id="rId146" xr:uid="{00000000-0004-0000-0400-000091000000}"/>
    <hyperlink ref="H119" r:id="rId147" xr:uid="{00000000-0004-0000-0400-000092000000}"/>
    <hyperlink ref="H120" r:id="rId148" xr:uid="{00000000-0004-0000-0400-000093000000}"/>
    <hyperlink ref="H121" r:id="rId149" xr:uid="{00000000-0004-0000-0400-000094000000}"/>
    <hyperlink ref="H123" r:id="rId150" xr:uid="{00000000-0004-0000-0400-000095000000}"/>
    <hyperlink ref="H125" r:id="rId151" xr:uid="{00000000-0004-0000-0400-000096000000}"/>
    <hyperlink ref="H126" r:id="rId152" xr:uid="{00000000-0004-0000-0400-000097000000}"/>
    <hyperlink ref="H127" r:id="rId153" xr:uid="{00000000-0004-0000-0400-000098000000}"/>
    <hyperlink ref="C128" r:id="rId154" xr:uid="{00000000-0004-0000-0400-000099000000}"/>
    <hyperlink ref="H128" r:id="rId155" xr:uid="{00000000-0004-0000-0400-00009A000000}"/>
    <hyperlink ref="H129" r:id="rId156" xr:uid="{00000000-0004-0000-0400-00009B000000}"/>
    <hyperlink ref="H130" r:id="rId157" xr:uid="{00000000-0004-0000-0400-00009C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L46"/>
  <sheetViews>
    <sheetView workbookViewId="0"/>
  </sheetViews>
  <sheetFormatPr defaultColWidth="12.6328125" defaultRowHeight="15.75" customHeight="1"/>
  <sheetData>
    <row r="1" spans="1:38" ht="70">
      <c r="A1" s="110"/>
      <c r="B1" s="111"/>
      <c r="C1" s="112" t="s">
        <v>1222</v>
      </c>
      <c r="D1" s="112" t="s">
        <v>92</v>
      </c>
      <c r="E1" s="113" t="s">
        <v>11</v>
      </c>
      <c r="F1" s="229" t="s">
        <v>93</v>
      </c>
      <c r="G1" s="114" t="s">
        <v>94</v>
      </c>
      <c r="H1" s="115" t="s">
        <v>13</v>
      </c>
      <c r="I1" s="116" t="s">
        <v>14</v>
      </c>
      <c r="J1" s="117" t="s">
        <v>15</v>
      </c>
      <c r="K1" s="117" t="s">
        <v>16</v>
      </c>
      <c r="L1" s="117" t="s">
        <v>22</v>
      </c>
      <c r="M1" s="118" t="s">
        <v>17</v>
      </c>
      <c r="N1" s="119" t="s">
        <v>18</v>
      </c>
      <c r="O1" s="119" t="s">
        <v>19</v>
      </c>
      <c r="P1" s="119" t="s">
        <v>20</v>
      </c>
      <c r="Q1" s="230" t="s">
        <v>21</v>
      </c>
      <c r="R1" s="121" t="s">
        <v>23</v>
      </c>
      <c r="S1" s="122" t="s">
        <v>24</v>
      </c>
      <c r="T1" s="231" t="s">
        <v>25</v>
      </c>
      <c r="U1" s="122" t="s">
        <v>26</v>
      </c>
      <c r="V1" s="122" t="s">
        <v>1223</v>
      </c>
      <c r="W1" s="124" t="s">
        <v>28</v>
      </c>
      <c r="X1" s="125" t="s">
        <v>29</v>
      </c>
      <c r="Y1" s="126" t="s">
        <v>30</v>
      </c>
      <c r="Z1" s="126" t="s">
        <v>31</v>
      </c>
      <c r="AA1" s="126" t="s">
        <v>32</v>
      </c>
      <c r="AB1" s="126" t="s">
        <v>33</v>
      </c>
      <c r="AC1" s="127" t="s">
        <v>34</v>
      </c>
      <c r="AD1" s="128" t="s">
        <v>35</v>
      </c>
      <c r="AE1" s="129" t="s">
        <v>36</v>
      </c>
      <c r="AF1" s="129" t="s">
        <v>37</v>
      </c>
      <c r="AG1" s="130" t="s">
        <v>38</v>
      </c>
      <c r="AH1" s="232"/>
      <c r="AI1" s="232"/>
      <c r="AJ1" s="232"/>
      <c r="AK1" s="232"/>
      <c r="AL1" s="232"/>
    </row>
    <row r="2" spans="1:38" ht="16.5" customHeight="1">
      <c r="A2" s="65" t="s">
        <v>133</v>
      </c>
      <c r="B2" s="65" t="s">
        <v>73</v>
      </c>
      <c r="C2" s="155"/>
      <c r="D2" s="155" t="s">
        <v>134</v>
      </c>
      <c r="E2" s="156" t="s">
        <v>135</v>
      </c>
      <c r="F2" s="157" t="str">
        <f ca="1">IFERROR(__xludf.DUMMYFUNCTION("INDEX(SPLIT(E2,""/""),,COUNTA(SPLIT(E2,""/"")))"),"1701278887978692899")</f>
        <v>1701278887978692899</v>
      </c>
      <c r="G2" s="158" t="s">
        <v>136</v>
      </c>
      <c r="H2" s="159" t="s">
        <v>137</v>
      </c>
      <c r="I2" s="159" t="s">
        <v>70</v>
      </c>
      <c r="J2" s="106" t="s">
        <v>138</v>
      </c>
      <c r="K2" s="106" t="s">
        <v>138</v>
      </c>
      <c r="L2" s="159">
        <v>1</v>
      </c>
      <c r="M2" s="159">
        <v>1</v>
      </c>
      <c r="N2" s="159">
        <v>1</v>
      </c>
      <c r="O2" s="159">
        <v>1</v>
      </c>
      <c r="P2" s="159">
        <v>2</v>
      </c>
      <c r="Q2" s="159">
        <v>1</v>
      </c>
      <c r="R2" s="159">
        <v>1</v>
      </c>
      <c r="S2" s="159">
        <v>1</v>
      </c>
      <c r="T2" s="159">
        <v>1</v>
      </c>
      <c r="U2" s="159">
        <v>3</v>
      </c>
      <c r="V2" s="159">
        <v>1</v>
      </c>
      <c r="W2" s="159">
        <v>1</v>
      </c>
      <c r="X2" s="159">
        <v>1</v>
      </c>
      <c r="Y2" s="159">
        <v>1</v>
      </c>
      <c r="Z2" s="159">
        <v>1</v>
      </c>
      <c r="AA2" s="159">
        <v>1</v>
      </c>
      <c r="AB2" s="159">
        <v>1</v>
      </c>
      <c r="AC2" s="159">
        <v>1</v>
      </c>
      <c r="AD2" s="159">
        <v>1</v>
      </c>
      <c r="AE2" s="159">
        <v>1</v>
      </c>
      <c r="AF2" s="159">
        <v>3</v>
      </c>
      <c r="AG2" s="159">
        <v>1</v>
      </c>
      <c r="AH2" s="11"/>
      <c r="AI2" s="11"/>
      <c r="AJ2" s="11"/>
      <c r="AK2" s="11"/>
      <c r="AL2" s="11"/>
    </row>
    <row r="3" spans="1:38" ht="16.5" customHeight="1">
      <c r="A3" s="65" t="s">
        <v>1224</v>
      </c>
      <c r="B3" s="65" t="s">
        <v>73</v>
      </c>
      <c r="C3" s="160"/>
      <c r="D3" s="155" t="s">
        <v>139</v>
      </c>
      <c r="E3" s="161" t="s">
        <v>140</v>
      </c>
      <c r="F3" s="157" t="str">
        <f ca="1">IFERROR(__xludf.DUMMYFUNCTION("INDEX(SPLIT(E3,""/""),,COUNTA(SPLIT(E3,""/"")))"),"1714179012723867752")</f>
        <v>1714179012723867752</v>
      </c>
      <c r="G3" s="158" t="s">
        <v>141</v>
      </c>
      <c r="H3" s="162" t="s">
        <v>142</v>
      </c>
      <c r="I3" s="163" t="s">
        <v>81</v>
      </c>
      <c r="J3" s="106" t="s">
        <v>138</v>
      </c>
      <c r="K3" s="106" t="s">
        <v>138</v>
      </c>
      <c r="L3" s="159">
        <v>1</v>
      </c>
      <c r="M3" s="162">
        <v>1</v>
      </c>
      <c r="N3" s="162">
        <v>1</v>
      </c>
      <c r="O3" s="162">
        <v>1</v>
      </c>
      <c r="P3" s="162">
        <v>1</v>
      </c>
      <c r="Q3" s="162">
        <v>1</v>
      </c>
      <c r="R3" s="162">
        <v>1</v>
      </c>
      <c r="S3" s="162">
        <v>2</v>
      </c>
      <c r="T3" s="162">
        <v>1</v>
      </c>
      <c r="U3" s="162">
        <v>2</v>
      </c>
      <c r="V3" s="162">
        <v>1</v>
      </c>
      <c r="W3" s="159">
        <v>1</v>
      </c>
      <c r="X3" s="162">
        <v>1</v>
      </c>
      <c r="Y3" s="162">
        <v>1</v>
      </c>
      <c r="Z3" s="162">
        <v>1</v>
      </c>
      <c r="AA3" s="162">
        <v>1</v>
      </c>
      <c r="AB3" s="162">
        <v>1</v>
      </c>
      <c r="AC3" s="162">
        <v>1</v>
      </c>
      <c r="AD3" s="162">
        <v>1</v>
      </c>
      <c r="AE3" s="162">
        <v>1</v>
      </c>
      <c r="AF3" s="162">
        <v>1</v>
      </c>
      <c r="AG3" s="162">
        <v>1</v>
      </c>
      <c r="AH3" s="11"/>
      <c r="AI3" s="11"/>
      <c r="AJ3" s="11"/>
      <c r="AK3" s="11"/>
      <c r="AL3" s="11"/>
    </row>
    <row r="4" spans="1:38" ht="16.5" customHeight="1">
      <c r="A4" s="65" t="s">
        <v>1224</v>
      </c>
      <c r="B4" s="65" t="s">
        <v>77</v>
      </c>
      <c r="C4" s="70"/>
      <c r="D4" s="155" t="s">
        <v>143</v>
      </c>
      <c r="E4" s="164" t="s">
        <v>144</v>
      </c>
      <c r="F4" s="157" t="str">
        <f ca="1">IFERROR(__xludf.DUMMYFUNCTION("INDEX(SPLIT(E4,""/""),,COUNTA(SPLIT(E4,""/"")))"),"1681325307863728129")</f>
        <v>1681325307863728129</v>
      </c>
      <c r="G4" s="165" t="s">
        <v>145</v>
      </c>
      <c r="H4" s="65" t="s">
        <v>80</v>
      </c>
      <c r="I4" s="65" t="s">
        <v>70</v>
      </c>
      <c r="J4" s="106" t="s">
        <v>138</v>
      </c>
      <c r="K4" s="106" t="s">
        <v>146</v>
      </c>
      <c r="L4" s="159">
        <v>3</v>
      </c>
      <c r="M4" s="65">
        <v>3</v>
      </c>
      <c r="N4" s="65">
        <v>3</v>
      </c>
      <c r="O4" s="65">
        <v>3</v>
      </c>
      <c r="P4" s="65">
        <v>3</v>
      </c>
      <c r="Q4" s="65">
        <v>3</v>
      </c>
      <c r="R4" s="65">
        <v>3</v>
      </c>
      <c r="S4" s="65">
        <v>3</v>
      </c>
      <c r="T4" s="65">
        <v>2</v>
      </c>
      <c r="U4" s="65">
        <v>3</v>
      </c>
      <c r="V4" s="65">
        <v>3</v>
      </c>
      <c r="W4" s="159">
        <v>1</v>
      </c>
      <c r="X4" s="65">
        <v>1</v>
      </c>
      <c r="Y4" s="65">
        <v>2</v>
      </c>
      <c r="Z4" s="65">
        <v>3</v>
      </c>
      <c r="AA4" s="65">
        <v>1</v>
      </c>
      <c r="AB4" s="65">
        <v>1</v>
      </c>
      <c r="AC4" s="65">
        <v>3</v>
      </c>
      <c r="AD4" s="65">
        <v>3</v>
      </c>
      <c r="AE4" s="65">
        <v>3</v>
      </c>
      <c r="AF4" s="65">
        <v>3</v>
      </c>
      <c r="AG4" s="65">
        <v>1</v>
      </c>
      <c r="AH4" s="11"/>
      <c r="AI4" s="11"/>
      <c r="AJ4" s="11"/>
      <c r="AK4" s="11"/>
      <c r="AL4" s="11"/>
    </row>
    <row r="5" spans="1:38" ht="16.5" customHeight="1">
      <c r="A5" s="65" t="s">
        <v>1224</v>
      </c>
      <c r="B5" s="65" t="s">
        <v>77</v>
      </c>
      <c r="C5" s="70"/>
      <c r="D5" s="155" t="s">
        <v>147</v>
      </c>
      <c r="E5" s="164" t="s">
        <v>67</v>
      </c>
      <c r="F5" s="157" t="str">
        <f ca="1">IFERROR(__xludf.DUMMYFUNCTION("INDEX(SPLIT(E5,""/""),,COUNTA(SPLIT(E5,""/"")))"),"1681096634854436865")</f>
        <v>1681096634854436865</v>
      </c>
      <c r="G5" s="164" t="s">
        <v>67</v>
      </c>
      <c r="H5" s="65" t="s">
        <v>80</v>
      </c>
      <c r="I5" s="76" t="s">
        <v>70</v>
      </c>
      <c r="J5" s="106" t="s">
        <v>138</v>
      </c>
      <c r="K5" s="106" t="s">
        <v>146</v>
      </c>
      <c r="L5" s="76">
        <v>3</v>
      </c>
      <c r="M5" s="76">
        <v>3</v>
      </c>
      <c r="N5" s="76">
        <v>3</v>
      </c>
      <c r="O5" s="76">
        <v>3</v>
      </c>
      <c r="P5" s="76">
        <v>2</v>
      </c>
      <c r="Q5" s="76">
        <v>3</v>
      </c>
      <c r="R5" s="76">
        <v>3</v>
      </c>
      <c r="S5" s="76">
        <v>3</v>
      </c>
      <c r="T5" s="76">
        <v>3</v>
      </c>
      <c r="U5" s="76">
        <v>3</v>
      </c>
      <c r="V5" s="76">
        <v>3</v>
      </c>
      <c r="W5" s="76">
        <v>1</v>
      </c>
      <c r="X5" s="76">
        <v>1</v>
      </c>
      <c r="Y5" s="76">
        <v>1</v>
      </c>
      <c r="Z5" s="76">
        <v>1</v>
      </c>
      <c r="AA5" s="76">
        <v>2</v>
      </c>
      <c r="AB5" s="76">
        <v>1</v>
      </c>
      <c r="AC5" s="76">
        <v>3</v>
      </c>
      <c r="AD5" s="76">
        <v>3</v>
      </c>
      <c r="AE5" s="76">
        <v>3</v>
      </c>
      <c r="AF5" s="76">
        <v>3</v>
      </c>
      <c r="AG5" s="76">
        <v>1</v>
      </c>
      <c r="AH5" s="11"/>
      <c r="AI5" s="11"/>
      <c r="AJ5" s="11"/>
      <c r="AK5" s="11"/>
      <c r="AL5" s="11"/>
    </row>
    <row r="6" spans="1:38" ht="16.5" customHeight="1">
      <c r="A6" s="65" t="s">
        <v>1224</v>
      </c>
      <c r="B6" s="65" t="s">
        <v>77</v>
      </c>
      <c r="C6" s="70"/>
      <c r="D6" s="155" t="s">
        <v>148</v>
      </c>
      <c r="E6" s="164" t="s">
        <v>149</v>
      </c>
      <c r="F6" s="157" t="str">
        <f ca="1">IFERROR(__xludf.DUMMYFUNCTION("INDEX(SPLIT(E6,""/""),,COUNTA(SPLIT(E6,""/"")))"),"1695781931240091721")</f>
        <v>1695781931240091721</v>
      </c>
      <c r="G6" s="164" t="s">
        <v>149</v>
      </c>
      <c r="H6" s="65" t="s">
        <v>80</v>
      </c>
      <c r="I6" s="65" t="s">
        <v>70</v>
      </c>
      <c r="J6" s="106" t="s">
        <v>138</v>
      </c>
      <c r="K6" s="106" t="s">
        <v>138</v>
      </c>
      <c r="L6" s="159">
        <v>1</v>
      </c>
      <c r="M6" s="65">
        <v>1</v>
      </c>
      <c r="N6" s="65">
        <v>1</v>
      </c>
      <c r="O6" s="65">
        <v>1</v>
      </c>
      <c r="P6" s="65">
        <v>1</v>
      </c>
      <c r="Q6" s="65">
        <v>3</v>
      </c>
      <c r="R6" s="65">
        <v>3</v>
      </c>
      <c r="S6" s="65">
        <v>3</v>
      </c>
      <c r="T6" s="65">
        <v>1</v>
      </c>
      <c r="U6" s="65">
        <v>3</v>
      </c>
      <c r="V6" s="65">
        <v>1</v>
      </c>
      <c r="W6" s="159">
        <v>3</v>
      </c>
      <c r="X6" s="65">
        <v>1</v>
      </c>
      <c r="Y6" s="65">
        <v>1</v>
      </c>
      <c r="Z6" s="65">
        <v>3</v>
      </c>
      <c r="AA6" s="65">
        <v>1</v>
      </c>
      <c r="AB6" s="65">
        <v>1</v>
      </c>
      <c r="AC6" s="65">
        <v>1</v>
      </c>
      <c r="AD6" s="65">
        <v>3</v>
      </c>
      <c r="AE6" s="65">
        <v>3</v>
      </c>
      <c r="AF6" s="65">
        <v>1</v>
      </c>
      <c r="AG6" s="65">
        <v>1</v>
      </c>
      <c r="AH6" s="11"/>
      <c r="AI6" s="11"/>
      <c r="AJ6" s="11"/>
      <c r="AK6" s="11"/>
      <c r="AL6" s="11"/>
    </row>
    <row r="7" spans="1:38" ht="16.5" customHeight="1">
      <c r="A7" s="65" t="s">
        <v>1224</v>
      </c>
      <c r="B7" s="65" t="s">
        <v>77</v>
      </c>
      <c r="C7" s="70"/>
      <c r="D7" s="155" t="s">
        <v>150</v>
      </c>
      <c r="E7" s="164" t="s">
        <v>151</v>
      </c>
      <c r="F7" s="157" t="str">
        <f ca="1">IFERROR(__xludf.DUMMYFUNCTION("INDEX(SPLIT(E7,""/""),,COUNTA(SPLIT(E7,""/"")))"),"1685451792258351104")</f>
        <v>1685451792258351104</v>
      </c>
      <c r="G7" s="164" t="s">
        <v>151</v>
      </c>
      <c r="H7" s="65" t="s">
        <v>80</v>
      </c>
      <c r="I7" s="65" t="s">
        <v>70</v>
      </c>
      <c r="J7" s="106" t="s">
        <v>146</v>
      </c>
      <c r="K7" s="106" t="s">
        <v>146</v>
      </c>
      <c r="L7" s="159">
        <v>3</v>
      </c>
      <c r="M7" s="65">
        <v>2</v>
      </c>
      <c r="N7" s="65">
        <v>2</v>
      </c>
      <c r="O7" s="65">
        <v>1</v>
      </c>
      <c r="P7" s="65">
        <v>2</v>
      </c>
      <c r="Q7" s="65">
        <v>2</v>
      </c>
      <c r="R7" s="65">
        <v>1</v>
      </c>
      <c r="S7" s="65">
        <v>3</v>
      </c>
      <c r="T7" s="65">
        <v>3</v>
      </c>
      <c r="U7" s="65">
        <v>2</v>
      </c>
      <c r="V7" s="65">
        <v>2</v>
      </c>
      <c r="W7" s="159">
        <v>1</v>
      </c>
      <c r="X7" s="65">
        <v>1</v>
      </c>
      <c r="Y7" s="65">
        <v>1</v>
      </c>
      <c r="Z7" s="65">
        <v>1</v>
      </c>
      <c r="AA7" s="65">
        <v>1</v>
      </c>
      <c r="AB7" s="65">
        <v>1</v>
      </c>
      <c r="AC7" s="65">
        <v>1</v>
      </c>
      <c r="AD7" s="65">
        <v>2</v>
      </c>
      <c r="AE7" s="65">
        <v>1</v>
      </c>
      <c r="AF7" s="65">
        <v>1</v>
      </c>
      <c r="AG7" s="65">
        <v>1</v>
      </c>
      <c r="AH7" s="11"/>
      <c r="AI7" s="11"/>
      <c r="AJ7" s="11"/>
      <c r="AK7" s="11"/>
      <c r="AL7" s="11"/>
    </row>
    <row r="8" spans="1:38" ht="16.5" customHeight="1">
      <c r="A8" s="65" t="s">
        <v>1224</v>
      </c>
      <c r="B8" s="65" t="s">
        <v>73</v>
      </c>
      <c r="C8" s="70"/>
      <c r="D8" s="155" t="s">
        <v>165</v>
      </c>
      <c r="E8" s="166" t="s">
        <v>166</v>
      </c>
      <c r="F8" s="157" t="str">
        <f ca="1">IFERROR(__xludf.DUMMYFUNCTION("INDEX(SPLIT(E8,""/""),,COUNTA(SPLIT(E8,""/"")))"),"1597216249670692864")</f>
        <v>1597216249670692864</v>
      </c>
      <c r="G8" s="165" t="s">
        <v>167</v>
      </c>
      <c r="H8" s="65" t="s">
        <v>137</v>
      </c>
      <c r="I8" s="65" t="s">
        <v>70</v>
      </c>
      <c r="J8" s="106" t="s">
        <v>138</v>
      </c>
      <c r="K8" s="106" t="s">
        <v>138</v>
      </c>
      <c r="L8" s="159">
        <v>1</v>
      </c>
      <c r="M8" s="65">
        <v>3</v>
      </c>
      <c r="N8" s="65">
        <v>2</v>
      </c>
      <c r="O8" s="65">
        <v>2</v>
      </c>
      <c r="P8" s="65">
        <v>1</v>
      </c>
      <c r="Q8" s="65">
        <v>1</v>
      </c>
      <c r="R8" s="65">
        <v>1</v>
      </c>
      <c r="S8" s="65">
        <v>2</v>
      </c>
      <c r="T8" s="65">
        <v>2</v>
      </c>
      <c r="U8" s="65">
        <v>3</v>
      </c>
      <c r="V8" s="65">
        <v>1</v>
      </c>
      <c r="W8" s="159">
        <v>1</v>
      </c>
      <c r="X8" s="65">
        <v>1</v>
      </c>
      <c r="Y8" s="65">
        <v>2</v>
      </c>
      <c r="Z8" s="65">
        <v>1</v>
      </c>
      <c r="AA8" s="65">
        <v>1</v>
      </c>
      <c r="AB8" s="65">
        <v>1</v>
      </c>
      <c r="AC8" s="65">
        <v>1</v>
      </c>
      <c r="AD8" s="65">
        <v>2</v>
      </c>
      <c r="AE8" s="65">
        <v>3</v>
      </c>
      <c r="AF8" s="65">
        <v>3</v>
      </c>
      <c r="AG8" s="65">
        <v>2</v>
      </c>
      <c r="AH8" s="11"/>
      <c r="AI8" s="11"/>
      <c r="AJ8" s="11"/>
      <c r="AK8" s="11"/>
      <c r="AL8" s="11"/>
    </row>
    <row r="9" spans="1:38" ht="14">
      <c r="A9" s="65" t="s">
        <v>1224</v>
      </c>
      <c r="B9" s="65" t="s">
        <v>73</v>
      </c>
      <c r="C9" s="70"/>
      <c r="D9" s="155" t="s">
        <v>168</v>
      </c>
      <c r="E9" s="166" t="s">
        <v>169</v>
      </c>
      <c r="F9" s="157" t="str">
        <f ca="1">IFERROR(__xludf.DUMMYFUNCTION("INDEX(SPLIT(E9,""/""),,COUNTA(SPLIT(E9,""/"")))"),"1739023982970438103")</f>
        <v>1739023982970438103</v>
      </c>
      <c r="G9" s="165" t="s">
        <v>170</v>
      </c>
      <c r="H9" s="168" t="s">
        <v>137</v>
      </c>
      <c r="I9" s="65" t="s">
        <v>81</v>
      </c>
      <c r="J9" s="106" t="s">
        <v>138</v>
      </c>
      <c r="K9" s="106" t="s">
        <v>138</v>
      </c>
      <c r="L9" s="159">
        <v>2</v>
      </c>
      <c r="M9" s="65">
        <v>3</v>
      </c>
      <c r="N9" s="65">
        <v>2</v>
      </c>
      <c r="O9" s="65">
        <v>3</v>
      </c>
      <c r="P9" s="65">
        <v>1</v>
      </c>
      <c r="Q9" s="65">
        <v>1</v>
      </c>
      <c r="R9" s="65">
        <v>2</v>
      </c>
      <c r="S9" s="65">
        <v>3</v>
      </c>
      <c r="T9" s="65">
        <v>2</v>
      </c>
      <c r="U9" s="65">
        <v>2</v>
      </c>
      <c r="V9" s="65">
        <v>1</v>
      </c>
      <c r="W9" s="159">
        <v>2</v>
      </c>
      <c r="X9" s="65">
        <v>1</v>
      </c>
      <c r="Y9" s="65">
        <v>1</v>
      </c>
      <c r="Z9" s="65">
        <v>1</v>
      </c>
      <c r="AA9" s="65">
        <v>1</v>
      </c>
      <c r="AB9" s="65">
        <v>1</v>
      </c>
      <c r="AC9" s="65">
        <v>1</v>
      </c>
      <c r="AD9" s="65">
        <v>3</v>
      </c>
      <c r="AE9" s="65">
        <v>3</v>
      </c>
      <c r="AF9" s="65">
        <v>3</v>
      </c>
      <c r="AG9" s="65">
        <v>1</v>
      </c>
      <c r="AH9" s="95"/>
      <c r="AI9" s="95"/>
      <c r="AJ9" s="95"/>
      <c r="AK9" s="95"/>
      <c r="AL9" s="95"/>
    </row>
    <row r="10" spans="1:38" ht="14">
      <c r="A10" s="65" t="s">
        <v>1224</v>
      </c>
      <c r="B10" s="65" t="s">
        <v>77</v>
      </c>
      <c r="C10" s="169"/>
      <c r="D10" s="155" t="s">
        <v>171</v>
      </c>
      <c r="E10" s="170" t="s">
        <v>172</v>
      </c>
      <c r="F10" s="157" t="str">
        <f ca="1">IFERROR(__xludf.DUMMYFUNCTION("INDEX(SPLIT(E10,""/""),,COUNTA(SPLIT(E10,""/"")))"),"1731358374183276761")</f>
        <v>1731358374183276761</v>
      </c>
      <c r="G10" s="171" t="s">
        <v>173</v>
      </c>
      <c r="H10" s="168" t="s">
        <v>174</v>
      </c>
      <c r="I10" s="65" t="s">
        <v>81</v>
      </c>
      <c r="J10" s="106" t="s">
        <v>138</v>
      </c>
      <c r="K10" s="106" t="s">
        <v>138</v>
      </c>
      <c r="L10" s="159">
        <v>1</v>
      </c>
      <c r="M10" s="65">
        <v>1</v>
      </c>
      <c r="N10" s="65">
        <v>1</v>
      </c>
      <c r="O10" s="65">
        <v>1</v>
      </c>
      <c r="P10" s="65">
        <v>2</v>
      </c>
      <c r="Q10" s="65">
        <v>1</v>
      </c>
      <c r="R10" s="65">
        <v>2</v>
      </c>
      <c r="S10" s="65">
        <v>1</v>
      </c>
      <c r="T10" s="65">
        <v>1</v>
      </c>
      <c r="U10" s="65">
        <v>1</v>
      </c>
      <c r="V10" s="65">
        <v>1</v>
      </c>
      <c r="W10" s="159">
        <v>1</v>
      </c>
      <c r="X10" s="65">
        <v>1</v>
      </c>
      <c r="Y10" s="65">
        <v>1</v>
      </c>
      <c r="Z10" s="65">
        <v>1</v>
      </c>
      <c r="AA10" s="65">
        <v>1</v>
      </c>
      <c r="AB10" s="65">
        <v>1</v>
      </c>
      <c r="AC10" s="65">
        <v>1</v>
      </c>
      <c r="AD10" s="65">
        <v>1</v>
      </c>
      <c r="AE10" s="65">
        <v>1</v>
      </c>
      <c r="AF10" s="65">
        <v>1</v>
      </c>
      <c r="AG10" s="65">
        <v>1</v>
      </c>
    </row>
    <row r="11" spans="1:38" ht="14">
      <c r="A11" s="65" t="s">
        <v>1224</v>
      </c>
      <c r="B11" s="105" t="s">
        <v>66</v>
      </c>
      <c r="C11" s="106"/>
      <c r="D11" s="106" t="s">
        <v>204</v>
      </c>
      <c r="E11" s="233" t="s">
        <v>205</v>
      </c>
      <c r="F11" s="191" t="str">
        <f ca="1">IFERROR(__xludf.DUMMYFUNCTION("INDEX(SPLIT(E11,""/""),,COUNTA(SPLIT(E11,""/"")))"),"1565807467765932033")</f>
        <v>1565807467765932033</v>
      </c>
      <c r="G11" s="234" t="s">
        <v>206</v>
      </c>
      <c r="H11" s="235" t="s">
        <v>80</v>
      </c>
      <c r="I11" s="193" t="s">
        <v>81</v>
      </c>
      <c r="J11" s="106" t="s">
        <v>138</v>
      </c>
      <c r="K11" s="235" t="s">
        <v>138</v>
      </c>
      <c r="L11" s="236">
        <v>1</v>
      </c>
      <c r="M11" s="105">
        <v>1</v>
      </c>
      <c r="N11" s="105">
        <v>1</v>
      </c>
      <c r="O11" s="105">
        <v>1</v>
      </c>
      <c r="P11" s="105">
        <v>1</v>
      </c>
      <c r="Q11" s="105">
        <v>1</v>
      </c>
      <c r="R11" s="105">
        <v>1</v>
      </c>
      <c r="S11" s="105">
        <v>1</v>
      </c>
      <c r="T11" s="105">
        <v>1</v>
      </c>
      <c r="U11" s="237">
        <v>1</v>
      </c>
      <c r="V11" s="237">
        <v>1</v>
      </c>
      <c r="W11" s="236">
        <v>1</v>
      </c>
      <c r="X11" s="105">
        <v>1</v>
      </c>
      <c r="Y11" s="105">
        <v>1</v>
      </c>
      <c r="Z11" s="105">
        <v>1</v>
      </c>
      <c r="AA11" s="105">
        <v>1</v>
      </c>
      <c r="AB11" s="105">
        <v>1</v>
      </c>
      <c r="AC11" s="105">
        <v>1</v>
      </c>
      <c r="AD11" s="105">
        <v>1</v>
      </c>
      <c r="AE11" s="105">
        <v>1</v>
      </c>
      <c r="AF11" s="105">
        <v>1</v>
      </c>
      <c r="AG11" s="105">
        <v>1</v>
      </c>
      <c r="AH11" s="4"/>
      <c r="AI11" s="4"/>
      <c r="AJ11" s="4"/>
      <c r="AK11" s="4"/>
      <c r="AL11" s="4"/>
    </row>
    <row r="12" spans="1:38" ht="14">
      <c r="A12" s="65" t="s">
        <v>1224</v>
      </c>
      <c r="B12" s="105" t="s">
        <v>66</v>
      </c>
      <c r="C12" s="106"/>
      <c r="D12" s="106" t="s">
        <v>207</v>
      </c>
      <c r="E12" s="233" t="s">
        <v>208</v>
      </c>
      <c r="F12" s="191" t="str">
        <f ca="1">IFERROR(__xludf.DUMMYFUNCTION("INDEX(SPLIT(E12,""/""),,COUNTA(SPLIT(E12,""/"")))"),"1605199916519018497")</f>
        <v>1605199916519018497</v>
      </c>
      <c r="G12" s="234" t="s">
        <v>206</v>
      </c>
      <c r="H12" s="235" t="s">
        <v>80</v>
      </c>
      <c r="I12" s="237" t="s">
        <v>81</v>
      </c>
      <c r="J12" s="106" t="s">
        <v>138</v>
      </c>
      <c r="K12" s="235" t="s">
        <v>138</v>
      </c>
      <c r="L12" s="193">
        <v>1</v>
      </c>
      <c r="M12" s="105">
        <v>2</v>
      </c>
      <c r="N12" s="105">
        <v>2</v>
      </c>
      <c r="O12" s="105">
        <v>1</v>
      </c>
      <c r="P12" s="105">
        <v>1</v>
      </c>
      <c r="Q12" s="105">
        <v>1</v>
      </c>
      <c r="R12" s="105">
        <v>1</v>
      </c>
      <c r="S12" s="105">
        <v>2</v>
      </c>
      <c r="T12" s="105">
        <v>2</v>
      </c>
      <c r="U12" s="237">
        <v>1</v>
      </c>
      <c r="V12" s="237">
        <v>2</v>
      </c>
      <c r="W12" s="193">
        <v>1</v>
      </c>
      <c r="X12" s="105">
        <v>1</v>
      </c>
      <c r="Y12" s="105">
        <v>1</v>
      </c>
      <c r="Z12" s="105">
        <v>1</v>
      </c>
      <c r="AA12" s="105">
        <v>1</v>
      </c>
      <c r="AB12" s="105">
        <v>1</v>
      </c>
      <c r="AC12" s="105">
        <v>1</v>
      </c>
      <c r="AD12" s="105">
        <v>2</v>
      </c>
      <c r="AE12" s="105">
        <v>1</v>
      </c>
      <c r="AF12" s="105">
        <v>2</v>
      </c>
      <c r="AG12" s="105">
        <v>1</v>
      </c>
      <c r="AH12" s="4"/>
      <c r="AI12" s="4"/>
      <c r="AJ12" s="4"/>
      <c r="AK12" s="4"/>
      <c r="AL12" s="4"/>
    </row>
    <row r="13" spans="1:38" ht="14">
      <c r="A13" s="65" t="s">
        <v>1224</v>
      </c>
      <c r="B13" s="105" t="s">
        <v>66</v>
      </c>
      <c r="C13" s="238"/>
      <c r="D13" s="106" t="s">
        <v>209</v>
      </c>
      <c r="E13" s="239" t="s">
        <v>210</v>
      </c>
      <c r="F13" s="191" t="str">
        <f ca="1">IFERROR(__xludf.DUMMYFUNCTION("INDEX(SPLIT(E13,""/""),,COUNTA(SPLIT(E13,""/"")))"),"1743715113859739833")</f>
        <v>1743715113859739833</v>
      </c>
      <c r="G13" s="234" t="s">
        <v>85</v>
      </c>
      <c r="H13" s="106" t="s">
        <v>80</v>
      </c>
      <c r="I13" s="105" t="s">
        <v>81</v>
      </c>
      <c r="J13" s="106" t="s">
        <v>138</v>
      </c>
      <c r="K13" s="235" t="s">
        <v>138</v>
      </c>
      <c r="L13" s="193">
        <v>1</v>
      </c>
      <c r="M13" s="105">
        <v>1</v>
      </c>
      <c r="N13" s="105">
        <v>3</v>
      </c>
      <c r="O13" s="105">
        <v>2</v>
      </c>
      <c r="P13" s="105">
        <v>2</v>
      </c>
      <c r="Q13" s="105">
        <v>3</v>
      </c>
      <c r="R13" s="105">
        <v>1</v>
      </c>
      <c r="S13" s="105">
        <v>3</v>
      </c>
      <c r="T13" s="105">
        <v>3</v>
      </c>
      <c r="U13" s="237">
        <v>3</v>
      </c>
      <c r="V13" s="237">
        <v>3</v>
      </c>
      <c r="W13" s="193">
        <v>2</v>
      </c>
      <c r="X13" s="105">
        <v>1</v>
      </c>
      <c r="Y13" s="105">
        <v>1</v>
      </c>
      <c r="Z13" s="105">
        <v>1</v>
      </c>
      <c r="AA13" s="105">
        <v>1</v>
      </c>
      <c r="AB13" s="105">
        <v>1</v>
      </c>
      <c r="AC13" s="105">
        <v>1</v>
      </c>
      <c r="AD13" s="105">
        <v>3</v>
      </c>
      <c r="AE13" s="105">
        <v>1</v>
      </c>
      <c r="AF13" s="105">
        <v>3</v>
      </c>
      <c r="AG13" s="105">
        <v>1</v>
      </c>
      <c r="AH13" s="4"/>
      <c r="AI13" s="4"/>
      <c r="AJ13" s="4"/>
      <c r="AK13" s="4"/>
      <c r="AL13" s="4"/>
    </row>
    <row r="14" spans="1:38" ht="14">
      <c r="A14" s="65" t="s">
        <v>1224</v>
      </c>
      <c r="B14" s="105" t="s">
        <v>66</v>
      </c>
      <c r="C14" s="238"/>
      <c r="D14" s="106" t="s">
        <v>211</v>
      </c>
      <c r="E14" s="239" t="s">
        <v>212</v>
      </c>
      <c r="F14" s="191" t="str">
        <f ca="1">IFERROR(__xludf.DUMMYFUNCTION("INDEX(SPLIT(E14,""/""),,COUNTA(SPLIT(E14,""/"")))"),"1743701090569208244")</f>
        <v>1743701090569208244</v>
      </c>
      <c r="G14" s="234" t="s">
        <v>85</v>
      </c>
      <c r="H14" s="106" t="s">
        <v>80</v>
      </c>
      <c r="I14" s="105" t="s">
        <v>70</v>
      </c>
      <c r="J14" s="106" t="s">
        <v>138</v>
      </c>
      <c r="K14" s="235" t="s">
        <v>138</v>
      </c>
      <c r="L14" s="193">
        <v>1</v>
      </c>
      <c r="M14" s="105">
        <v>3</v>
      </c>
      <c r="N14" s="105">
        <v>3</v>
      </c>
      <c r="O14" s="105">
        <v>2</v>
      </c>
      <c r="P14" s="105">
        <v>1</v>
      </c>
      <c r="Q14" s="105">
        <v>1</v>
      </c>
      <c r="R14" s="105">
        <v>1</v>
      </c>
      <c r="S14" s="105">
        <v>3</v>
      </c>
      <c r="T14" s="105">
        <v>3</v>
      </c>
      <c r="U14" s="237">
        <v>2</v>
      </c>
      <c r="V14" s="237">
        <v>3</v>
      </c>
      <c r="W14" s="193">
        <v>2</v>
      </c>
      <c r="X14" s="105">
        <v>1</v>
      </c>
      <c r="Y14" s="105">
        <v>1</v>
      </c>
      <c r="Z14" s="105">
        <v>1</v>
      </c>
      <c r="AA14" s="105">
        <v>1</v>
      </c>
      <c r="AB14" s="105">
        <v>1</v>
      </c>
      <c r="AC14" s="105">
        <v>1</v>
      </c>
      <c r="AD14" s="105">
        <v>3</v>
      </c>
      <c r="AE14" s="105">
        <v>3</v>
      </c>
      <c r="AF14" s="105">
        <v>3</v>
      </c>
      <c r="AG14" s="105">
        <v>1</v>
      </c>
      <c r="AH14" s="4"/>
      <c r="AI14" s="4"/>
      <c r="AJ14" s="4"/>
      <c r="AK14" s="4"/>
      <c r="AL14" s="4"/>
    </row>
    <row r="15" spans="1:38" ht="14">
      <c r="A15" s="65" t="s">
        <v>1224</v>
      </c>
      <c r="B15" s="105" t="s">
        <v>66</v>
      </c>
      <c r="C15" s="238"/>
      <c r="D15" s="106" t="s">
        <v>215</v>
      </c>
      <c r="E15" s="239" t="s">
        <v>216</v>
      </c>
      <c r="F15" s="191" t="str">
        <f ca="1">IFERROR(__xludf.DUMMYFUNCTION("INDEX(SPLIT(E15,""/""),,COUNTA(SPLIT(E15,""/"")))"),"1496254107660738568")</f>
        <v>1496254107660738568</v>
      </c>
      <c r="G15" s="234" t="s">
        <v>217</v>
      </c>
      <c r="H15" s="106" t="s">
        <v>80</v>
      </c>
      <c r="I15" s="105" t="s">
        <v>81</v>
      </c>
      <c r="J15" s="106" t="s">
        <v>138</v>
      </c>
      <c r="K15" s="235" t="s">
        <v>138</v>
      </c>
      <c r="L15" s="193">
        <v>1</v>
      </c>
      <c r="M15" s="105">
        <v>3</v>
      </c>
      <c r="N15" s="105">
        <v>3</v>
      </c>
      <c r="O15" s="105">
        <v>1</v>
      </c>
      <c r="P15" s="105">
        <v>1</v>
      </c>
      <c r="Q15" s="105">
        <v>1</v>
      </c>
      <c r="R15" s="105">
        <v>1</v>
      </c>
      <c r="S15" s="105">
        <v>2</v>
      </c>
      <c r="T15" s="105">
        <v>2</v>
      </c>
      <c r="U15" s="237">
        <v>2</v>
      </c>
      <c r="V15" s="237">
        <v>1</v>
      </c>
      <c r="W15" s="193">
        <v>1</v>
      </c>
      <c r="X15" s="105">
        <v>2</v>
      </c>
      <c r="Y15" s="105">
        <v>1</v>
      </c>
      <c r="Z15" s="105">
        <v>1</v>
      </c>
      <c r="AA15" s="105">
        <v>1</v>
      </c>
      <c r="AB15" s="105">
        <v>1</v>
      </c>
      <c r="AC15" s="105">
        <v>1</v>
      </c>
      <c r="AD15" s="105">
        <v>2</v>
      </c>
      <c r="AE15" s="105">
        <v>1</v>
      </c>
      <c r="AF15" s="105">
        <v>3</v>
      </c>
      <c r="AG15" s="105">
        <v>1</v>
      </c>
      <c r="AH15" s="4"/>
      <c r="AI15" s="4"/>
      <c r="AJ15" s="4"/>
      <c r="AK15" s="4"/>
      <c r="AL15" s="4"/>
    </row>
    <row r="16" spans="1:38" ht="14">
      <c r="A16" s="65" t="s">
        <v>1224</v>
      </c>
      <c r="B16" s="106" t="s">
        <v>75</v>
      </c>
      <c r="C16" s="4"/>
      <c r="D16" s="106" t="s">
        <v>218</v>
      </c>
      <c r="E16" s="239" t="s">
        <v>219</v>
      </c>
      <c r="F16" s="191" t="str">
        <f ca="1">IFERROR(__xludf.DUMMYFUNCTION("INDEX(SPLIT(E16,""/""),,COUNTA(SPLIT(E16,""/"")))"),"1496824540466401287")</f>
        <v>1496824540466401287</v>
      </c>
      <c r="G16" s="106" t="s">
        <v>220</v>
      </c>
      <c r="H16" s="106" t="s">
        <v>80</v>
      </c>
      <c r="I16" s="105" t="s">
        <v>70</v>
      </c>
      <c r="J16" s="106" t="s">
        <v>138</v>
      </c>
      <c r="K16" s="235" t="s">
        <v>138</v>
      </c>
      <c r="L16" s="193">
        <v>1</v>
      </c>
      <c r="M16" s="105">
        <v>3</v>
      </c>
      <c r="N16" s="105">
        <v>3</v>
      </c>
      <c r="O16" s="105">
        <v>1</v>
      </c>
      <c r="P16" s="105">
        <v>3</v>
      </c>
      <c r="Q16" s="105">
        <v>1</v>
      </c>
      <c r="R16" s="105">
        <v>1</v>
      </c>
      <c r="S16" s="105">
        <v>3</v>
      </c>
      <c r="T16" s="105">
        <v>3</v>
      </c>
      <c r="U16" s="237">
        <v>3</v>
      </c>
      <c r="V16" s="237">
        <v>2</v>
      </c>
      <c r="W16" s="193">
        <v>1</v>
      </c>
      <c r="X16" s="105">
        <v>1</v>
      </c>
      <c r="Y16" s="105">
        <v>2</v>
      </c>
      <c r="Z16" s="105">
        <v>1</v>
      </c>
      <c r="AA16" s="105">
        <v>1</v>
      </c>
      <c r="AB16" s="105">
        <v>1</v>
      </c>
      <c r="AC16" s="105">
        <v>1</v>
      </c>
      <c r="AD16" s="105">
        <v>3</v>
      </c>
      <c r="AE16" s="105">
        <v>3</v>
      </c>
      <c r="AF16" s="105">
        <v>3</v>
      </c>
      <c r="AG16" s="105">
        <v>1</v>
      </c>
      <c r="AH16" s="4"/>
      <c r="AI16" s="4"/>
      <c r="AJ16" s="4"/>
      <c r="AK16" s="4"/>
      <c r="AL16" s="4"/>
    </row>
    <row r="17" spans="1:38" ht="14">
      <c r="A17" s="65" t="s">
        <v>1224</v>
      </c>
      <c r="B17" s="106" t="s">
        <v>75</v>
      </c>
      <c r="C17" s="4"/>
      <c r="D17" s="106" t="s">
        <v>221</v>
      </c>
      <c r="E17" s="239" t="s">
        <v>222</v>
      </c>
      <c r="F17" s="191" t="str">
        <f ca="1">IFERROR(__xludf.DUMMYFUNCTION("INDEX(SPLIT(E17,""/""),,COUNTA(SPLIT(E17,""/"")))"),"1744478209054310874")</f>
        <v>1744478209054310874</v>
      </c>
      <c r="G17" s="234" t="s">
        <v>85</v>
      </c>
      <c r="H17" s="106" t="s">
        <v>80</v>
      </c>
      <c r="I17" s="106" t="s">
        <v>81</v>
      </c>
      <c r="J17" s="106" t="s">
        <v>138</v>
      </c>
      <c r="K17" s="235" t="s">
        <v>138</v>
      </c>
      <c r="L17" s="193">
        <v>1</v>
      </c>
      <c r="M17" s="105">
        <v>1</v>
      </c>
      <c r="N17" s="105">
        <v>3</v>
      </c>
      <c r="O17" s="105">
        <v>1</v>
      </c>
      <c r="P17" s="105">
        <v>2</v>
      </c>
      <c r="Q17" s="105">
        <v>3</v>
      </c>
      <c r="R17" s="105">
        <v>1</v>
      </c>
      <c r="S17" s="105">
        <v>3</v>
      </c>
      <c r="T17" s="105">
        <v>2</v>
      </c>
      <c r="U17" s="237">
        <v>3</v>
      </c>
      <c r="V17" s="237">
        <v>1</v>
      </c>
      <c r="W17" s="193">
        <v>1</v>
      </c>
      <c r="X17" s="105">
        <v>1</v>
      </c>
      <c r="Y17" s="105">
        <v>1</v>
      </c>
      <c r="Z17" s="105">
        <v>2</v>
      </c>
      <c r="AA17" s="105">
        <v>1</v>
      </c>
      <c r="AB17" s="105">
        <v>1</v>
      </c>
      <c r="AC17" s="105">
        <v>1</v>
      </c>
      <c r="AD17" s="105">
        <v>3</v>
      </c>
      <c r="AE17" s="105">
        <v>1</v>
      </c>
      <c r="AF17" s="105">
        <v>3</v>
      </c>
      <c r="AG17" s="105">
        <v>1</v>
      </c>
      <c r="AH17" s="4"/>
      <c r="AI17" s="4"/>
      <c r="AJ17" s="4"/>
      <c r="AK17" s="4"/>
      <c r="AL17" s="4"/>
    </row>
    <row r="18" spans="1:38" ht="14">
      <c r="A18" s="65" t="s">
        <v>1224</v>
      </c>
      <c r="B18" s="106" t="s">
        <v>75</v>
      </c>
      <c r="C18" s="4"/>
      <c r="D18" s="106" t="s">
        <v>223</v>
      </c>
      <c r="E18" s="239" t="s">
        <v>79</v>
      </c>
      <c r="F18" s="191" t="str">
        <f ca="1">IFERROR(__xludf.DUMMYFUNCTION("INDEX(SPLIT(E18,""/""),,COUNTA(SPLIT(E18,""/"")))"),"1743934358673649996")</f>
        <v>1743934358673649996</v>
      </c>
      <c r="G18" s="234" t="s">
        <v>85</v>
      </c>
      <c r="H18" s="106" t="s">
        <v>80</v>
      </c>
      <c r="I18" s="106" t="s">
        <v>81</v>
      </c>
      <c r="J18" s="106" t="s">
        <v>138</v>
      </c>
      <c r="K18" s="235" t="s">
        <v>138</v>
      </c>
      <c r="L18" s="193">
        <v>1</v>
      </c>
      <c r="M18" s="105">
        <v>1</v>
      </c>
      <c r="N18" s="105">
        <v>3</v>
      </c>
      <c r="O18" s="105">
        <v>1</v>
      </c>
      <c r="P18" s="105">
        <v>2</v>
      </c>
      <c r="Q18" s="105">
        <v>3</v>
      </c>
      <c r="R18" s="105">
        <v>1</v>
      </c>
      <c r="S18" s="105">
        <v>3</v>
      </c>
      <c r="T18" s="105">
        <v>2</v>
      </c>
      <c r="U18" s="237">
        <v>3</v>
      </c>
      <c r="V18" s="237">
        <v>1</v>
      </c>
      <c r="W18" s="193">
        <v>1</v>
      </c>
      <c r="X18" s="105">
        <v>1</v>
      </c>
      <c r="Y18" s="105">
        <v>1</v>
      </c>
      <c r="Z18" s="105">
        <v>2</v>
      </c>
      <c r="AA18" s="105">
        <v>1</v>
      </c>
      <c r="AB18" s="105">
        <v>1</v>
      </c>
      <c r="AC18" s="105">
        <v>1</v>
      </c>
      <c r="AD18" s="105">
        <v>3</v>
      </c>
      <c r="AE18" s="105">
        <v>1</v>
      </c>
      <c r="AF18" s="105">
        <v>3</v>
      </c>
      <c r="AG18" s="105">
        <v>1</v>
      </c>
      <c r="AH18" s="4"/>
      <c r="AI18" s="4"/>
      <c r="AJ18" s="4"/>
      <c r="AK18" s="4"/>
      <c r="AL18" s="4"/>
    </row>
    <row r="19" spans="1:38" ht="14">
      <c r="A19" s="65" t="s">
        <v>1224</v>
      </c>
      <c r="B19" s="106" t="s">
        <v>75</v>
      </c>
      <c r="C19" s="4"/>
      <c r="D19" s="106" t="s">
        <v>224</v>
      </c>
      <c r="E19" s="240" t="s">
        <v>225</v>
      </c>
      <c r="F19" s="191" t="str">
        <f ca="1">IFERROR(__xludf.DUMMYFUNCTION("INDEX(SPLIT(E19,""/""),,COUNTA(SPLIT(E19,""/"")))"),"1744000869182435383")</f>
        <v>1744000869182435383</v>
      </c>
      <c r="G19" s="193" t="s">
        <v>226</v>
      </c>
      <c r="H19" s="106" t="s">
        <v>80</v>
      </c>
      <c r="I19" s="105" t="s">
        <v>70</v>
      </c>
      <c r="J19" s="106" t="s">
        <v>138</v>
      </c>
      <c r="K19" s="235" t="s">
        <v>138</v>
      </c>
      <c r="L19" s="193" t="s">
        <v>72</v>
      </c>
      <c r="M19" s="105">
        <v>1</v>
      </c>
      <c r="N19" s="105">
        <v>2</v>
      </c>
      <c r="O19" s="105">
        <v>3</v>
      </c>
      <c r="P19" s="105">
        <v>1</v>
      </c>
      <c r="Q19" s="105">
        <v>1</v>
      </c>
      <c r="R19" s="105">
        <v>3</v>
      </c>
      <c r="S19" s="105">
        <v>1</v>
      </c>
      <c r="T19" s="105">
        <v>1</v>
      </c>
      <c r="U19" s="237">
        <v>1</v>
      </c>
      <c r="V19" s="237">
        <v>1</v>
      </c>
      <c r="W19" s="193">
        <v>2</v>
      </c>
      <c r="X19" s="105">
        <v>1</v>
      </c>
      <c r="Y19" s="105">
        <v>1</v>
      </c>
      <c r="Z19" s="105">
        <v>1</v>
      </c>
      <c r="AA19" s="105">
        <v>1</v>
      </c>
      <c r="AB19" s="105">
        <v>1</v>
      </c>
      <c r="AC19" s="105">
        <v>1</v>
      </c>
      <c r="AD19" s="105">
        <v>3</v>
      </c>
      <c r="AE19" s="105">
        <v>3</v>
      </c>
      <c r="AF19" s="105">
        <v>3</v>
      </c>
      <c r="AG19" s="105">
        <v>1</v>
      </c>
      <c r="AH19" s="4"/>
      <c r="AI19" s="4"/>
      <c r="AJ19" s="4"/>
      <c r="AK19" s="4"/>
      <c r="AL19" s="4"/>
    </row>
    <row r="20" spans="1:38" ht="28">
      <c r="A20" s="65" t="s">
        <v>1224</v>
      </c>
      <c r="B20" s="106" t="s">
        <v>75</v>
      </c>
      <c r="C20" s="4"/>
      <c r="D20" s="106" t="s">
        <v>227</v>
      </c>
      <c r="E20" s="240" t="s">
        <v>228</v>
      </c>
      <c r="F20" s="191" t="str">
        <f ca="1">IFERROR(__xludf.DUMMYFUNCTION("INDEX(SPLIT(E20,""/""),,COUNTA(SPLIT(E20,""/"")))"),"1744291196313182515")</f>
        <v>1744291196313182515</v>
      </c>
      <c r="G20" s="193" t="s">
        <v>229</v>
      </c>
      <c r="H20" s="106" t="s">
        <v>80</v>
      </c>
      <c r="I20" s="105" t="s">
        <v>81</v>
      </c>
      <c r="J20" s="106" t="s">
        <v>138</v>
      </c>
      <c r="K20" s="235" t="s">
        <v>138</v>
      </c>
      <c r="L20" s="193">
        <v>1</v>
      </c>
      <c r="M20" s="105">
        <v>1</v>
      </c>
      <c r="N20" s="105">
        <v>2</v>
      </c>
      <c r="O20" s="105">
        <v>1</v>
      </c>
      <c r="P20" s="105">
        <v>1</v>
      </c>
      <c r="Q20" s="105">
        <v>1</v>
      </c>
      <c r="R20" s="105">
        <v>2</v>
      </c>
      <c r="S20" s="105">
        <v>2</v>
      </c>
      <c r="T20" s="105">
        <v>1</v>
      </c>
      <c r="U20" s="237">
        <v>2</v>
      </c>
      <c r="V20" s="237">
        <v>2</v>
      </c>
      <c r="W20" s="193">
        <v>1</v>
      </c>
      <c r="X20" s="105">
        <v>1</v>
      </c>
      <c r="Y20" s="105">
        <v>1</v>
      </c>
      <c r="Z20" s="105">
        <v>1</v>
      </c>
      <c r="AA20" s="105">
        <v>1</v>
      </c>
      <c r="AB20" s="105">
        <v>1</v>
      </c>
      <c r="AC20" s="105">
        <v>1</v>
      </c>
      <c r="AD20" s="105">
        <v>3</v>
      </c>
      <c r="AE20" s="105">
        <v>1</v>
      </c>
      <c r="AF20" s="105">
        <v>3</v>
      </c>
      <c r="AG20" s="105">
        <v>1</v>
      </c>
      <c r="AH20" s="4"/>
      <c r="AI20" s="4"/>
      <c r="AJ20" s="4"/>
      <c r="AK20" s="4"/>
      <c r="AL20" s="4"/>
    </row>
    <row r="21" spans="1:38" ht="14">
      <c r="A21" s="65" t="s">
        <v>1224</v>
      </c>
      <c r="B21" s="106" t="s">
        <v>75</v>
      </c>
      <c r="C21" s="4"/>
      <c r="D21" s="106" t="s">
        <v>230</v>
      </c>
      <c r="E21" s="239" t="s">
        <v>231</v>
      </c>
      <c r="F21" s="191" t="str">
        <f ca="1">IFERROR(__xludf.DUMMYFUNCTION("INDEX(SPLIT(E21,""/""),,COUNTA(SPLIT(E21,""/"")))"),"1725397839650459719")</f>
        <v>1725397839650459719</v>
      </c>
      <c r="G21" s="106" t="s">
        <v>232</v>
      </c>
      <c r="H21" s="106" t="s">
        <v>80</v>
      </c>
      <c r="I21" s="105" t="s">
        <v>81</v>
      </c>
      <c r="J21" s="106" t="s">
        <v>138</v>
      </c>
      <c r="K21" s="235" t="s">
        <v>138</v>
      </c>
      <c r="L21" s="193">
        <v>1</v>
      </c>
      <c r="M21" s="105">
        <v>1</v>
      </c>
      <c r="N21" s="105">
        <v>1</v>
      </c>
      <c r="O21" s="105">
        <v>1</v>
      </c>
      <c r="P21" s="105">
        <v>1</v>
      </c>
      <c r="Q21" s="105">
        <v>1</v>
      </c>
      <c r="R21" s="105">
        <v>1</v>
      </c>
      <c r="S21" s="105">
        <v>1</v>
      </c>
      <c r="T21" s="105">
        <v>2</v>
      </c>
      <c r="U21" s="237">
        <v>3</v>
      </c>
      <c r="V21" s="237">
        <v>1</v>
      </c>
      <c r="W21" s="193">
        <v>1</v>
      </c>
      <c r="X21" s="105">
        <v>1</v>
      </c>
      <c r="Y21" s="105">
        <v>2</v>
      </c>
      <c r="Z21" s="105">
        <v>1</v>
      </c>
      <c r="AA21" s="105">
        <v>1</v>
      </c>
      <c r="AB21" s="105">
        <v>1</v>
      </c>
      <c r="AC21" s="105">
        <v>1</v>
      </c>
      <c r="AD21" s="105">
        <v>3</v>
      </c>
      <c r="AE21" s="105">
        <v>1</v>
      </c>
      <c r="AF21" s="105">
        <v>1</v>
      </c>
      <c r="AG21" s="105">
        <v>1</v>
      </c>
      <c r="AH21" s="4"/>
      <c r="AI21" s="4"/>
      <c r="AJ21" s="4"/>
      <c r="AK21" s="4"/>
      <c r="AL21" s="4"/>
    </row>
    <row r="22" spans="1:38" ht="14">
      <c r="A22" s="65" t="s">
        <v>1224</v>
      </c>
      <c r="B22" s="106" t="s">
        <v>75</v>
      </c>
      <c r="C22" s="4"/>
      <c r="D22" s="106" t="s">
        <v>233</v>
      </c>
      <c r="E22" s="239" t="s">
        <v>234</v>
      </c>
      <c r="F22" s="191" t="str">
        <f ca="1">IFERROR(__xludf.DUMMYFUNCTION("INDEX(SPLIT(E22,""/""),,COUNTA(SPLIT(E22,""/"")))"),"1742863600685908176")</f>
        <v>1742863600685908176</v>
      </c>
      <c r="G22" s="106" t="s">
        <v>160</v>
      </c>
      <c r="H22" s="106" t="s">
        <v>80</v>
      </c>
      <c r="I22" s="105" t="s">
        <v>70</v>
      </c>
      <c r="J22" s="106" t="s">
        <v>138</v>
      </c>
      <c r="K22" s="235" t="s">
        <v>138</v>
      </c>
      <c r="L22" s="193">
        <v>1</v>
      </c>
      <c r="M22" s="105">
        <v>3</v>
      </c>
      <c r="N22" s="105">
        <v>3</v>
      </c>
      <c r="O22" s="105">
        <v>2</v>
      </c>
      <c r="P22" s="105">
        <v>1</v>
      </c>
      <c r="Q22" s="105">
        <v>1</v>
      </c>
      <c r="R22" s="105">
        <v>3</v>
      </c>
      <c r="S22" s="105">
        <v>3</v>
      </c>
      <c r="T22" s="105">
        <v>2</v>
      </c>
      <c r="U22" s="237">
        <v>3</v>
      </c>
      <c r="V22" s="237">
        <v>3</v>
      </c>
      <c r="W22" s="193">
        <v>1</v>
      </c>
      <c r="X22" s="105">
        <v>2</v>
      </c>
      <c r="Y22" s="105">
        <v>1</v>
      </c>
      <c r="Z22" s="105">
        <v>2</v>
      </c>
      <c r="AA22" s="105">
        <v>2</v>
      </c>
      <c r="AB22" s="105">
        <v>1</v>
      </c>
      <c r="AC22" s="105">
        <v>3</v>
      </c>
      <c r="AD22" s="105">
        <v>3</v>
      </c>
      <c r="AE22" s="105">
        <v>1</v>
      </c>
      <c r="AF22" s="105">
        <v>3</v>
      </c>
      <c r="AG22" s="105">
        <v>1</v>
      </c>
      <c r="AH22" s="4"/>
      <c r="AI22" s="4"/>
      <c r="AJ22" s="4"/>
      <c r="AK22" s="4"/>
      <c r="AL22" s="4"/>
    </row>
    <row r="23" spans="1:38" ht="14">
      <c r="A23" s="65" t="s">
        <v>1224</v>
      </c>
      <c r="B23" s="106" t="s">
        <v>75</v>
      </c>
      <c r="C23" s="241"/>
      <c r="D23" s="106" t="s">
        <v>235</v>
      </c>
      <c r="E23" s="242" t="s">
        <v>236</v>
      </c>
      <c r="F23" s="191" t="str">
        <f ca="1">IFERROR(__xludf.DUMMYFUNCTION("INDEX(SPLIT(E23,""/""),,COUNTA(SPLIT(E23,""/"")))"),"1733026025150222482")</f>
        <v>1733026025150222482</v>
      </c>
      <c r="G23" s="106" t="s">
        <v>237</v>
      </c>
      <c r="H23" s="106" t="s">
        <v>80</v>
      </c>
      <c r="I23" s="105" t="s">
        <v>81</v>
      </c>
      <c r="J23" s="106" t="s">
        <v>138</v>
      </c>
      <c r="K23" s="235" t="s">
        <v>138</v>
      </c>
      <c r="L23" s="193">
        <v>1</v>
      </c>
      <c r="M23" s="105">
        <v>3</v>
      </c>
      <c r="N23" s="105">
        <v>2</v>
      </c>
      <c r="O23" s="105">
        <v>1</v>
      </c>
      <c r="P23" s="105">
        <v>2</v>
      </c>
      <c r="Q23" s="105">
        <v>1</v>
      </c>
      <c r="R23" s="105">
        <v>3</v>
      </c>
      <c r="S23" s="105">
        <v>3</v>
      </c>
      <c r="T23" s="105">
        <v>1</v>
      </c>
      <c r="U23" s="237">
        <v>3</v>
      </c>
      <c r="V23" s="237">
        <v>3</v>
      </c>
      <c r="W23" s="193">
        <v>2</v>
      </c>
      <c r="X23" s="105">
        <v>1</v>
      </c>
      <c r="Y23" s="105">
        <v>1</v>
      </c>
      <c r="Z23" s="105">
        <v>2</v>
      </c>
      <c r="AA23" s="105">
        <v>3</v>
      </c>
      <c r="AB23" s="105">
        <v>2</v>
      </c>
      <c r="AC23" s="105">
        <v>1</v>
      </c>
      <c r="AD23" s="105">
        <v>3</v>
      </c>
      <c r="AE23" s="105">
        <v>2</v>
      </c>
      <c r="AF23" s="105">
        <v>3</v>
      </c>
      <c r="AG23" s="105">
        <v>1</v>
      </c>
      <c r="AH23" s="4"/>
      <c r="AI23" s="4"/>
      <c r="AJ23" s="4"/>
      <c r="AK23" s="4"/>
      <c r="AL23" s="4"/>
    </row>
    <row r="24" spans="1:38" ht="14">
      <c r="A24" s="65" t="s">
        <v>1224</v>
      </c>
      <c r="B24" s="106" t="s">
        <v>75</v>
      </c>
      <c r="C24" s="4"/>
      <c r="D24" s="106" t="s">
        <v>238</v>
      </c>
      <c r="E24" s="239" t="s">
        <v>239</v>
      </c>
      <c r="F24" s="191" t="str">
        <f ca="1">IFERROR(__xludf.DUMMYFUNCTION("INDEX(SPLIT(E24,""/""),,COUNTA(SPLIT(E24,""/"")))"),"1744478270328860865")</f>
        <v>1744478270328860865</v>
      </c>
      <c r="G24" s="106" t="s">
        <v>226</v>
      </c>
      <c r="H24" s="106" t="s">
        <v>80</v>
      </c>
      <c r="I24" s="105" t="s">
        <v>70</v>
      </c>
      <c r="J24" s="106" t="s">
        <v>138</v>
      </c>
      <c r="K24" s="235" t="s">
        <v>138</v>
      </c>
      <c r="L24" s="193">
        <v>1</v>
      </c>
      <c r="M24" s="105">
        <v>3</v>
      </c>
      <c r="N24" s="105">
        <v>3</v>
      </c>
      <c r="O24" s="105">
        <v>1</v>
      </c>
      <c r="P24" s="105">
        <v>1</v>
      </c>
      <c r="Q24" s="105">
        <v>2</v>
      </c>
      <c r="R24" s="105">
        <v>3</v>
      </c>
      <c r="S24" s="105">
        <v>3</v>
      </c>
      <c r="T24" s="105">
        <v>1</v>
      </c>
      <c r="U24" s="237">
        <v>3</v>
      </c>
      <c r="V24" s="237">
        <v>1</v>
      </c>
      <c r="W24" s="193">
        <v>1</v>
      </c>
      <c r="X24" s="105">
        <v>2</v>
      </c>
      <c r="Y24" s="105">
        <v>2</v>
      </c>
      <c r="Z24" s="105">
        <v>1</v>
      </c>
      <c r="AA24" s="105">
        <v>1</v>
      </c>
      <c r="AB24" s="105">
        <v>1</v>
      </c>
      <c r="AC24" s="105">
        <v>1</v>
      </c>
      <c r="AD24" s="105">
        <v>3</v>
      </c>
      <c r="AE24" s="105">
        <v>3</v>
      </c>
      <c r="AF24" s="105">
        <v>3</v>
      </c>
      <c r="AG24" s="105">
        <v>1</v>
      </c>
      <c r="AH24" s="4"/>
      <c r="AI24" s="4"/>
      <c r="AJ24" s="4"/>
      <c r="AK24" s="4"/>
      <c r="AL24" s="4"/>
    </row>
    <row r="25" spans="1:38" ht="14">
      <c r="A25" s="65" t="s">
        <v>1224</v>
      </c>
      <c r="B25" s="106" t="s">
        <v>76</v>
      </c>
      <c r="C25" s="106"/>
      <c r="D25" s="106" t="s">
        <v>243</v>
      </c>
      <c r="E25" s="239" t="s">
        <v>244</v>
      </c>
      <c r="F25" s="191" t="str">
        <f ca="1">IFERROR(__xludf.DUMMYFUNCTION("INDEX(SPLIT(E25,""/""),,COUNTA(SPLIT(E25,""/"")))"),"1743590019116265868")</f>
        <v>1743590019116265868</v>
      </c>
      <c r="G25" s="106" t="s">
        <v>160</v>
      </c>
      <c r="H25" s="106" t="s">
        <v>80</v>
      </c>
      <c r="I25" s="105" t="s">
        <v>70</v>
      </c>
      <c r="J25" s="106" t="s">
        <v>138</v>
      </c>
      <c r="K25" s="235" t="s">
        <v>138</v>
      </c>
      <c r="L25" s="193">
        <v>1</v>
      </c>
      <c r="M25" s="105">
        <v>3</v>
      </c>
      <c r="N25" s="105">
        <v>3</v>
      </c>
      <c r="O25" s="105">
        <v>2</v>
      </c>
      <c r="P25" s="105">
        <v>2</v>
      </c>
      <c r="Q25" s="105">
        <v>2</v>
      </c>
      <c r="R25" s="105">
        <v>1</v>
      </c>
      <c r="S25" s="105">
        <v>3</v>
      </c>
      <c r="T25" s="105">
        <v>3</v>
      </c>
      <c r="U25" s="237">
        <v>3</v>
      </c>
      <c r="V25" s="237">
        <v>3</v>
      </c>
      <c r="W25" s="193">
        <v>2</v>
      </c>
      <c r="X25" s="105">
        <v>3</v>
      </c>
      <c r="Y25" s="105">
        <v>1</v>
      </c>
      <c r="Z25" s="105">
        <v>1</v>
      </c>
      <c r="AA25" s="105">
        <v>1</v>
      </c>
      <c r="AB25" s="105">
        <v>1</v>
      </c>
      <c r="AC25" s="105">
        <v>1</v>
      </c>
      <c r="AD25" s="105">
        <v>3</v>
      </c>
      <c r="AE25" s="105">
        <v>3</v>
      </c>
      <c r="AF25" s="105">
        <v>3</v>
      </c>
      <c r="AG25" s="105">
        <v>1</v>
      </c>
      <c r="AH25" s="4"/>
      <c r="AI25" s="4"/>
      <c r="AJ25" s="4"/>
      <c r="AK25" s="4"/>
      <c r="AL25" s="4"/>
    </row>
    <row r="26" spans="1:38" ht="14">
      <c r="A26" s="65" t="s">
        <v>1224</v>
      </c>
      <c r="B26" s="106" t="s">
        <v>76</v>
      </c>
      <c r="C26" s="106"/>
      <c r="D26" s="106" t="s">
        <v>245</v>
      </c>
      <c r="E26" s="239" t="s">
        <v>246</v>
      </c>
      <c r="F26" s="191" t="str">
        <f ca="1">IFERROR(__xludf.DUMMYFUNCTION("INDEX(SPLIT(E26,""/""),,COUNTA(SPLIT(E26,""/"")))"),"1744015340294586654")</f>
        <v>1744015340294586654</v>
      </c>
      <c r="G26" s="106" t="s">
        <v>160</v>
      </c>
      <c r="H26" s="106" t="s">
        <v>80</v>
      </c>
      <c r="I26" s="105" t="s">
        <v>70</v>
      </c>
      <c r="J26" s="106" t="s">
        <v>138</v>
      </c>
      <c r="K26" s="235" t="s">
        <v>138</v>
      </c>
      <c r="L26" s="193">
        <v>1</v>
      </c>
      <c r="M26" s="105">
        <v>3</v>
      </c>
      <c r="N26" s="105">
        <v>3</v>
      </c>
      <c r="O26" s="105">
        <v>2</v>
      </c>
      <c r="P26" s="105">
        <v>1</v>
      </c>
      <c r="Q26" s="105">
        <v>1</v>
      </c>
      <c r="R26" s="105">
        <v>1</v>
      </c>
      <c r="S26" s="105">
        <v>3</v>
      </c>
      <c r="T26" s="105">
        <v>3</v>
      </c>
      <c r="U26" s="237">
        <v>3</v>
      </c>
      <c r="V26" s="237">
        <v>3</v>
      </c>
      <c r="W26" s="193">
        <v>1</v>
      </c>
      <c r="X26" s="105">
        <v>3</v>
      </c>
      <c r="Y26" s="105">
        <v>1</v>
      </c>
      <c r="Z26" s="105">
        <v>1</v>
      </c>
      <c r="AA26" s="105">
        <v>1</v>
      </c>
      <c r="AB26" s="105">
        <v>1</v>
      </c>
      <c r="AC26" s="105">
        <v>1</v>
      </c>
      <c r="AD26" s="105">
        <v>3</v>
      </c>
      <c r="AE26" s="105">
        <v>3</v>
      </c>
      <c r="AF26" s="105">
        <v>3</v>
      </c>
      <c r="AG26" s="105">
        <v>1</v>
      </c>
      <c r="AH26" s="4"/>
      <c r="AI26" s="4"/>
      <c r="AJ26" s="4"/>
      <c r="AK26" s="4"/>
      <c r="AL26" s="4"/>
    </row>
    <row r="27" spans="1:38" ht="14">
      <c r="A27" s="65" t="s">
        <v>1224</v>
      </c>
      <c r="B27" s="106" t="s">
        <v>76</v>
      </c>
      <c r="C27" s="106"/>
      <c r="D27" s="106" t="s">
        <v>247</v>
      </c>
      <c r="E27" s="239" t="s">
        <v>248</v>
      </c>
      <c r="F27" s="191" t="str">
        <f ca="1">IFERROR(__xludf.DUMMYFUNCTION("INDEX(SPLIT(E27,""/""),,COUNTA(SPLIT(E27,""/"")))"),"1744373861074759753")</f>
        <v>1744373861074759753</v>
      </c>
      <c r="G27" s="243" t="s">
        <v>249</v>
      </c>
      <c r="H27" s="106" t="s">
        <v>80</v>
      </c>
      <c r="I27" s="105" t="s">
        <v>70</v>
      </c>
      <c r="J27" s="106" t="s">
        <v>138</v>
      </c>
      <c r="K27" s="235" t="s">
        <v>138</v>
      </c>
      <c r="L27" s="193">
        <v>1</v>
      </c>
      <c r="M27" s="105">
        <v>1</v>
      </c>
      <c r="N27" s="105">
        <v>1</v>
      </c>
      <c r="O27" s="105">
        <v>1</v>
      </c>
      <c r="P27" s="105">
        <v>2</v>
      </c>
      <c r="Q27" s="105">
        <v>2</v>
      </c>
      <c r="R27" s="105">
        <v>3</v>
      </c>
      <c r="S27" s="105">
        <v>2</v>
      </c>
      <c r="T27" s="105">
        <v>3</v>
      </c>
      <c r="U27" s="237">
        <v>3</v>
      </c>
      <c r="V27" s="237">
        <v>2</v>
      </c>
      <c r="W27" s="193">
        <v>3</v>
      </c>
      <c r="X27" s="105">
        <v>1</v>
      </c>
      <c r="Y27" s="105">
        <v>1</v>
      </c>
      <c r="Z27" s="105">
        <v>1</v>
      </c>
      <c r="AA27" s="105">
        <v>1</v>
      </c>
      <c r="AB27" s="105">
        <v>1</v>
      </c>
      <c r="AC27" s="105">
        <v>1</v>
      </c>
      <c r="AD27" s="105">
        <v>3</v>
      </c>
      <c r="AE27" s="105">
        <v>3</v>
      </c>
      <c r="AF27" s="105">
        <v>1</v>
      </c>
      <c r="AG27" s="105">
        <v>1</v>
      </c>
      <c r="AH27" s="4"/>
      <c r="AI27" s="4"/>
      <c r="AJ27" s="4"/>
      <c r="AK27" s="4"/>
      <c r="AL27" s="4"/>
    </row>
    <row r="28" spans="1:38" ht="14">
      <c r="A28" s="65" t="s">
        <v>1224</v>
      </c>
      <c r="B28" s="106" t="s">
        <v>76</v>
      </c>
      <c r="C28" s="4"/>
      <c r="D28" s="106" t="s">
        <v>250</v>
      </c>
      <c r="E28" s="239" t="s">
        <v>251</v>
      </c>
      <c r="F28" s="191" t="str">
        <f ca="1">IFERROR(__xludf.DUMMYFUNCTION("INDEX(SPLIT(E28,""/""),,COUNTA(SPLIT(E28,""/"")))"),"1735052613970702480")</f>
        <v>1735052613970702480</v>
      </c>
      <c r="G28" s="243" t="s">
        <v>249</v>
      </c>
      <c r="H28" s="106" t="s">
        <v>80</v>
      </c>
      <c r="I28" s="105" t="s">
        <v>81</v>
      </c>
      <c r="J28" s="106" t="s">
        <v>138</v>
      </c>
      <c r="K28" s="235" t="s">
        <v>138</v>
      </c>
      <c r="L28" s="193">
        <v>1</v>
      </c>
      <c r="M28" s="105">
        <v>1</v>
      </c>
      <c r="N28" s="105">
        <v>1</v>
      </c>
      <c r="O28" s="105">
        <v>1</v>
      </c>
      <c r="P28" s="105">
        <v>1</v>
      </c>
      <c r="Q28" s="105">
        <v>1</v>
      </c>
      <c r="R28" s="105">
        <v>1</v>
      </c>
      <c r="S28" s="105">
        <v>2</v>
      </c>
      <c r="T28" s="105">
        <v>2</v>
      </c>
      <c r="U28" s="237">
        <v>3</v>
      </c>
      <c r="V28" s="237">
        <v>1</v>
      </c>
      <c r="W28" s="193">
        <v>2</v>
      </c>
      <c r="X28" s="105">
        <v>1</v>
      </c>
      <c r="Y28" s="105">
        <v>1</v>
      </c>
      <c r="Z28" s="105">
        <v>2</v>
      </c>
      <c r="AA28" s="105">
        <v>2</v>
      </c>
      <c r="AB28" s="105">
        <v>1</v>
      </c>
      <c r="AC28" s="105">
        <v>1</v>
      </c>
      <c r="AD28" s="105">
        <v>3</v>
      </c>
      <c r="AE28" s="105">
        <v>3</v>
      </c>
      <c r="AF28" s="105">
        <v>3</v>
      </c>
      <c r="AG28" s="105">
        <v>1</v>
      </c>
      <c r="AH28" s="4"/>
      <c r="AI28" s="4"/>
      <c r="AJ28" s="4"/>
      <c r="AK28" s="4"/>
      <c r="AL28" s="4"/>
    </row>
    <row r="29" spans="1:38" ht="14">
      <c r="A29" s="65" t="s">
        <v>1224</v>
      </c>
      <c r="B29" s="106" t="s">
        <v>76</v>
      </c>
      <c r="C29" s="4"/>
      <c r="D29" s="106" t="s">
        <v>252</v>
      </c>
      <c r="E29" s="239" t="s">
        <v>253</v>
      </c>
      <c r="F29" s="191" t="str">
        <f ca="1">IFERROR(__xludf.DUMMYFUNCTION("INDEX(SPLIT(E29,""/""),,COUNTA(SPLIT(E29,""/"")))"),"1745449465195159853")</f>
        <v>1745449465195159853</v>
      </c>
      <c r="G29" s="106" t="s">
        <v>254</v>
      </c>
      <c r="H29" s="235" t="s">
        <v>80</v>
      </c>
      <c r="I29" s="193" t="s">
        <v>70</v>
      </c>
      <c r="J29" s="106" t="s">
        <v>138</v>
      </c>
      <c r="K29" s="235" t="s">
        <v>138</v>
      </c>
      <c r="L29" s="193">
        <v>1</v>
      </c>
      <c r="M29" s="105">
        <v>3</v>
      </c>
      <c r="N29" s="105">
        <v>3</v>
      </c>
      <c r="O29" s="105">
        <v>1</v>
      </c>
      <c r="P29" s="105">
        <v>2</v>
      </c>
      <c r="Q29" s="105">
        <v>1</v>
      </c>
      <c r="R29" s="105">
        <v>2</v>
      </c>
      <c r="S29" s="105">
        <v>3</v>
      </c>
      <c r="T29" s="105">
        <v>3</v>
      </c>
      <c r="U29" s="237">
        <v>3</v>
      </c>
      <c r="V29" s="237">
        <v>3</v>
      </c>
      <c r="W29" s="193">
        <v>2</v>
      </c>
      <c r="X29" s="105">
        <v>1</v>
      </c>
      <c r="Y29" s="105">
        <v>2</v>
      </c>
      <c r="Z29" s="105">
        <v>1</v>
      </c>
      <c r="AA29" s="105">
        <v>1</v>
      </c>
      <c r="AB29" s="105">
        <v>1</v>
      </c>
      <c r="AC29" s="105">
        <v>1</v>
      </c>
      <c r="AD29" s="105">
        <v>3</v>
      </c>
      <c r="AE29" s="105">
        <v>3</v>
      </c>
      <c r="AF29" s="105">
        <v>3</v>
      </c>
      <c r="AG29" s="105">
        <v>1</v>
      </c>
      <c r="AH29" s="4"/>
      <c r="AI29" s="4"/>
      <c r="AJ29" s="4"/>
      <c r="AK29" s="4"/>
      <c r="AL29" s="4"/>
    </row>
    <row r="30" spans="1:38" ht="14">
      <c r="A30" s="65" t="s">
        <v>1224</v>
      </c>
      <c r="B30" s="106" t="s">
        <v>76</v>
      </c>
      <c r="C30" s="4"/>
      <c r="D30" s="106" t="s">
        <v>255</v>
      </c>
      <c r="E30" s="239" t="s">
        <v>256</v>
      </c>
      <c r="F30" s="191" t="str">
        <f ca="1">IFERROR(__xludf.DUMMYFUNCTION("INDEX(SPLIT(E30,""/""),,COUNTA(SPLIT(E30,""/"")))"),"1744741761107579198")</f>
        <v>1744741761107579198</v>
      </c>
      <c r="G30" s="106" t="s">
        <v>254</v>
      </c>
      <c r="H30" s="235" t="s">
        <v>80</v>
      </c>
      <c r="I30" s="237" t="s">
        <v>70</v>
      </c>
      <c r="J30" s="106" t="s">
        <v>138</v>
      </c>
      <c r="K30" s="235" t="s">
        <v>138</v>
      </c>
      <c r="L30" s="193">
        <v>1</v>
      </c>
      <c r="M30" s="105">
        <v>3</v>
      </c>
      <c r="N30" s="105">
        <v>3</v>
      </c>
      <c r="O30" s="105">
        <v>1</v>
      </c>
      <c r="P30" s="105">
        <v>1</v>
      </c>
      <c r="Q30" s="105">
        <v>1</v>
      </c>
      <c r="R30" s="105">
        <v>3</v>
      </c>
      <c r="S30" s="105">
        <v>3</v>
      </c>
      <c r="T30" s="105">
        <v>1</v>
      </c>
      <c r="U30" s="237">
        <v>3</v>
      </c>
      <c r="V30" s="237">
        <v>2</v>
      </c>
      <c r="W30" s="193">
        <v>2</v>
      </c>
      <c r="X30" s="105">
        <v>1</v>
      </c>
      <c r="Y30" s="105">
        <v>1</v>
      </c>
      <c r="Z30" s="105">
        <v>1</v>
      </c>
      <c r="AA30" s="105">
        <v>1</v>
      </c>
      <c r="AB30" s="105">
        <v>1</v>
      </c>
      <c r="AC30" s="105">
        <v>1</v>
      </c>
      <c r="AD30" s="105">
        <v>3</v>
      </c>
      <c r="AE30" s="105">
        <v>3</v>
      </c>
      <c r="AF30" s="105">
        <v>3</v>
      </c>
      <c r="AG30" s="105">
        <v>1</v>
      </c>
      <c r="AH30" s="4"/>
      <c r="AI30" s="4"/>
      <c r="AJ30" s="4"/>
      <c r="AK30" s="4"/>
      <c r="AL30" s="4"/>
    </row>
    <row r="31" spans="1:38" ht="14">
      <c r="A31" s="65" t="s">
        <v>1224</v>
      </c>
      <c r="B31" s="106" t="s">
        <v>76</v>
      </c>
      <c r="C31" s="4"/>
      <c r="D31" s="106" t="s">
        <v>257</v>
      </c>
      <c r="E31" s="240" t="s">
        <v>179</v>
      </c>
      <c r="F31" s="191" t="str">
        <f ca="1">IFERROR(__xludf.DUMMYFUNCTION("INDEX(SPLIT(E31,""/""),,COUNTA(SPLIT(E31,""/"")))"),"1719287930286375233")</f>
        <v>1719287930286375233</v>
      </c>
      <c r="G31" s="106" t="s">
        <v>258</v>
      </c>
      <c r="H31" s="106" t="s">
        <v>174</v>
      </c>
      <c r="I31" s="105" t="s">
        <v>81</v>
      </c>
      <c r="J31" s="106" t="s">
        <v>138</v>
      </c>
      <c r="K31" s="235" t="s">
        <v>138</v>
      </c>
      <c r="L31" s="193">
        <v>1</v>
      </c>
      <c r="M31" s="105">
        <v>1</v>
      </c>
      <c r="N31" s="105">
        <v>3</v>
      </c>
      <c r="O31" s="105">
        <v>1</v>
      </c>
      <c r="P31" s="105">
        <v>1</v>
      </c>
      <c r="Q31" s="105">
        <v>1</v>
      </c>
      <c r="R31" s="105">
        <v>1</v>
      </c>
      <c r="S31" s="105">
        <v>1</v>
      </c>
      <c r="T31" s="105">
        <v>1</v>
      </c>
      <c r="U31" s="237">
        <v>3</v>
      </c>
      <c r="V31" s="237">
        <v>2</v>
      </c>
      <c r="W31" s="193">
        <v>1</v>
      </c>
      <c r="X31" s="105">
        <v>1</v>
      </c>
      <c r="Y31" s="105">
        <v>1</v>
      </c>
      <c r="Z31" s="105">
        <v>1</v>
      </c>
      <c r="AA31" s="105">
        <v>1</v>
      </c>
      <c r="AB31" s="105">
        <v>1</v>
      </c>
      <c r="AC31" s="105">
        <v>1</v>
      </c>
      <c r="AD31" s="105">
        <v>3</v>
      </c>
      <c r="AE31" s="105">
        <v>1</v>
      </c>
      <c r="AF31" s="105">
        <v>1</v>
      </c>
      <c r="AG31" s="105">
        <v>1</v>
      </c>
      <c r="AH31" s="4"/>
      <c r="AI31" s="4"/>
      <c r="AJ31" s="4"/>
      <c r="AK31" s="4"/>
      <c r="AL31" s="4"/>
    </row>
    <row r="32" spans="1:38" ht="14">
      <c r="A32" s="65" t="s">
        <v>1224</v>
      </c>
      <c r="B32" s="106" t="s">
        <v>76</v>
      </c>
      <c r="C32" s="4"/>
      <c r="D32" s="106" t="s">
        <v>259</v>
      </c>
      <c r="E32" s="239" t="s">
        <v>260</v>
      </c>
      <c r="F32" s="191" t="str">
        <f ca="1">IFERROR(__xludf.DUMMYFUNCTION("INDEX(SPLIT(E32,""/""),,COUNTA(SPLIT(E32,""/"")))"),"1744848220457439335")</f>
        <v>1744848220457439335</v>
      </c>
      <c r="G32" s="106" t="s">
        <v>261</v>
      </c>
      <c r="H32" s="106" t="s">
        <v>262</v>
      </c>
      <c r="I32" s="105" t="s">
        <v>70</v>
      </c>
      <c r="J32" s="106" t="s">
        <v>138</v>
      </c>
      <c r="K32" s="235" t="s">
        <v>138</v>
      </c>
      <c r="L32" s="193">
        <v>1</v>
      </c>
      <c r="M32" s="105">
        <v>3</v>
      </c>
      <c r="N32" s="105">
        <v>3</v>
      </c>
      <c r="O32" s="105">
        <v>1</v>
      </c>
      <c r="P32" s="105">
        <v>1</v>
      </c>
      <c r="Q32" s="105">
        <v>1</v>
      </c>
      <c r="R32" s="105">
        <v>3</v>
      </c>
      <c r="S32" s="105">
        <v>3</v>
      </c>
      <c r="T32" s="105">
        <v>3</v>
      </c>
      <c r="U32" s="237">
        <v>3</v>
      </c>
      <c r="V32" s="237">
        <v>2</v>
      </c>
      <c r="W32" s="193">
        <v>3</v>
      </c>
      <c r="X32" s="105">
        <v>1</v>
      </c>
      <c r="Y32" s="105">
        <v>1</v>
      </c>
      <c r="Z32" s="105">
        <v>1</v>
      </c>
      <c r="AA32" s="105">
        <v>1</v>
      </c>
      <c r="AB32" s="105">
        <v>2</v>
      </c>
      <c r="AC32" s="105">
        <v>1</v>
      </c>
      <c r="AD32" s="105">
        <v>3</v>
      </c>
      <c r="AE32" s="105">
        <v>3</v>
      </c>
      <c r="AF32" s="105">
        <v>3</v>
      </c>
      <c r="AG32" s="105">
        <v>1</v>
      </c>
      <c r="AH32" s="4"/>
      <c r="AI32" s="4"/>
      <c r="AJ32" s="4"/>
      <c r="AK32" s="4"/>
      <c r="AL32" s="4"/>
    </row>
    <row r="33" spans="1:38" ht="14">
      <c r="A33" s="65" t="s">
        <v>1224</v>
      </c>
      <c r="B33" s="106" t="s">
        <v>76</v>
      </c>
      <c r="C33" s="4"/>
      <c r="D33" s="106" t="s">
        <v>263</v>
      </c>
      <c r="E33" s="239" t="s">
        <v>264</v>
      </c>
      <c r="F33" s="191" t="str">
        <f ca="1">IFERROR(__xludf.DUMMYFUNCTION("INDEX(SPLIT(E33,""/""),,COUNTA(SPLIT(E33,""/"")))"),"1587039251484614656")</f>
        <v>1587039251484614656</v>
      </c>
      <c r="G33" s="106" t="s">
        <v>197</v>
      </c>
      <c r="H33" s="106" t="s">
        <v>80</v>
      </c>
      <c r="I33" s="105" t="s">
        <v>70</v>
      </c>
      <c r="J33" s="106" t="s">
        <v>146</v>
      </c>
      <c r="K33" s="235" t="s">
        <v>138</v>
      </c>
      <c r="L33" s="193">
        <v>3</v>
      </c>
      <c r="M33" s="105">
        <v>1</v>
      </c>
      <c r="N33" s="105">
        <v>3</v>
      </c>
      <c r="O33" s="105">
        <v>3</v>
      </c>
      <c r="P33" s="105">
        <v>1</v>
      </c>
      <c r="Q33" s="105">
        <v>1</v>
      </c>
      <c r="R33" s="105">
        <v>3</v>
      </c>
      <c r="S33" s="105">
        <v>3</v>
      </c>
      <c r="T33" s="105">
        <v>3</v>
      </c>
      <c r="U33" s="237">
        <v>3</v>
      </c>
      <c r="V33" s="237">
        <v>1</v>
      </c>
      <c r="W33" s="193">
        <v>1</v>
      </c>
      <c r="X33" s="105">
        <v>3</v>
      </c>
      <c r="Y33" s="105">
        <v>1</v>
      </c>
      <c r="Z33" s="105">
        <v>1</v>
      </c>
      <c r="AA33" s="105">
        <v>1</v>
      </c>
      <c r="AB33" s="105">
        <v>1</v>
      </c>
      <c r="AC33" s="105">
        <v>1</v>
      </c>
      <c r="AD33" s="105">
        <v>3</v>
      </c>
      <c r="AE33" s="105">
        <v>3</v>
      </c>
      <c r="AF33" s="105">
        <v>1</v>
      </c>
      <c r="AG33" s="105">
        <v>1</v>
      </c>
      <c r="AH33" s="4"/>
      <c r="AI33" s="4"/>
      <c r="AJ33" s="4"/>
      <c r="AK33" s="4"/>
      <c r="AL33" s="4"/>
    </row>
    <row r="34" spans="1:38" ht="14">
      <c r="A34" s="65" t="s">
        <v>1224</v>
      </c>
      <c r="B34" s="106" t="s">
        <v>76</v>
      </c>
      <c r="C34" s="4"/>
      <c r="D34" s="106" t="s">
        <v>265</v>
      </c>
      <c r="E34" s="239" t="s">
        <v>266</v>
      </c>
      <c r="F34" s="191" t="str">
        <f ca="1">IFERROR(__xludf.DUMMYFUNCTION("INDEX(SPLIT(E34,""/""),,COUNTA(SPLIT(E34,""/"")))"),"1584909435348074508")</f>
        <v>1584909435348074508</v>
      </c>
      <c r="G34" s="106" t="s">
        <v>141</v>
      </c>
      <c r="H34" s="106" t="s">
        <v>80</v>
      </c>
      <c r="I34" s="105" t="s">
        <v>81</v>
      </c>
      <c r="J34" s="106" t="s">
        <v>138</v>
      </c>
      <c r="K34" s="235" t="s">
        <v>138</v>
      </c>
      <c r="L34" s="193">
        <v>1</v>
      </c>
      <c r="M34" s="105">
        <v>3</v>
      </c>
      <c r="N34" s="105">
        <v>3</v>
      </c>
      <c r="O34" s="105">
        <v>1</v>
      </c>
      <c r="P34" s="105">
        <v>2</v>
      </c>
      <c r="Q34" s="105">
        <v>1</v>
      </c>
      <c r="R34" s="105">
        <v>2</v>
      </c>
      <c r="S34" s="105">
        <v>3</v>
      </c>
      <c r="T34" s="105">
        <v>1</v>
      </c>
      <c r="U34" s="237">
        <v>2</v>
      </c>
      <c r="V34" s="237">
        <v>3</v>
      </c>
      <c r="W34" s="193">
        <v>1</v>
      </c>
      <c r="X34" s="105">
        <v>1</v>
      </c>
      <c r="Y34" s="105">
        <v>1</v>
      </c>
      <c r="Z34" s="105">
        <v>1</v>
      </c>
      <c r="AA34" s="105">
        <v>1</v>
      </c>
      <c r="AB34" s="105">
        <v>1</v>
      </c>
      <c r="AC34" s="105">
        <v>1</v>
      </c>
      <c r="AD34" s="105">
        <v>3</v>
      </c>
      <c r="AE34" s="105">
        <v>3</v>
      </c>
      <c r="AF34" s="105">
        <v>3</v>
      </c>
      <c r="AG34" s="105">
        <v>1</v>
      </c>
      <c r="AH34" s="4"/>
      <c r="AI34" s="4"/>
      <c r="AJ34" s="4"/>
      <c r="AK34" s="4"/>
      <c r="AL34" s="4"/>
    </row>
    <row r="35" spans="1:38" ht="14">
      <c r="A35" s="65" t="s">
        <v>1224</v>
      </c>
      <c r="B35" s="106" t="s">
        <v>73</v>
      </c>
      <c r="C35" s="244"/>
      <c r="D35" s="106" t="s">
        <v>285</v>
      </c>
      <c r="E35" s="233" t="s">
        <v>286</v>
      </c>
      <c r="F35" s="191" t="str">
        <f ca="1">IFERROR(__xludf.DUMMYFUNCTION("INDEX(SPLIT(E35,""/""),,COUNTA(SPLIT(E35,""/"")))"),"1744514052670345639")</f>
        <v>1744514052670345639</v>
      </c>
      <c r="G35" s="106" t="s">
        <v>85</v>
      </c>
      <c r="H35" s="106" t="s">
        <v>80</v>
      </c>
      <c r="I35" s="105" t="s">
        <v>81</v>
      </c>
      <c r="J35" s="106" t="s">
        <v>138</v>
      </c>
      <c r="K35" s="235" t="s">
        <v>138</v>
      </c>
      <c r="L35" s="193">
        <v>1</v>
      </c>
      <c r="M35" s="105">
        <v>1</v>
      </c>
      <c r="N35" s="105">
        <v>1</v>
      </c>
      <c r="O35" s="105">
        <v>1</v>
      </c>
      <c r="P35" s="105">
        <v>1</v>
      </c>
      <c r="Q35" s="105">
        <v>1</v>
      </c>
      <c r="R35" s="105">
        <v>1</v>
      </c>
      <c r="S35" s="105">
        <v>1</v>
      </c>
      <c r="T35" s="105">
        <v>1</v>
      </c>
      <c r="U35" s="237">
        <v>3</v>
      </c>
      <c r="V35" s="237">
        <v>1</v>
      </c>
      <c r="W35" s="193">
        <v>3</v>
      </c>
      <c r="X35" s="105">
        <v>1</v>
      </c>
      <c r="Y35" s="105">
        <v>1</v>
      </c>
      <c r="Z35" s="105">
        <v>1</v>
      </c>
      <c r="AA35" s="105">
        <v>1</v>
      </c>
      <c r="AB35" s="105">
        <v>1</v>
      </c>
      <c r="AC35" s="105">
        <v>1</v>
      </c>
      <c r="AD35" s="105">
        <v>1</v>
      </c>
      <c r="AE35" s="105">
        <v>1</v>
      </c>
      <c r="AF35" s="105">
        <v>1</v>
      </c>
      <c r="AG35" s="105">
        <v>1</v>
      </c>
      <c r="AH35" s="4"/>
      <c r="AI35" s="4"/>
      <c r="AJ35" s="4"/>
      <c r="AK35" s="4"/>
      <c r="AL35" s="4"/>
    </row>
    <row r="36" spans="1:38" ht="14">
      <c r="A36" s="65" t="s">
        <v>1224</v>
      </c>
      <c r="B36" s="106" t="s">
        <v>73</v>
      </c>
      <c r="C36" s="4"/>
      <c r="D36" s="106" t="s">
        <v>287</v>
      </c>
      <c r="E36" s="239" t="s">
        <v>288</v>
      </c>
      <c r="F36" s="191" t="str">
        <f ca="1">IFERROR(__xludf.DUMMYFUNCTION("INDEX(SPLIT(E36,""/""),,COUNTA(SPLIT(E36,""/"")))"),"1592594788444172288")</f>
        <v>1592594788444172288</v>
      </c>
      <c r="G36" s="245" t="s">
        <v>289</v>
      </c>
      <c r="H36" s="106" t="s">
        <v>80</v>
      </c>
      <c r="I36" s="105" t="s">
        <v>70</v>
      </c>
      <c r="J36" s="106" t="s">
        <v>138</v>
      </c>
      <c r="K36" s="235" t="s">
        <v>138</v>
      </c>
      <c r="L36" s="193">
        <v>1</v>
      </c>
      <c r="M36" s="105">
        <v>3</v>
      </c>
      <c r="N36" s="105">
        <v>3</v>
      </c>
      <c r="O36" s="105">
        <v>2</v>
      </c>
      <c r="P36" s="105">
        <v>2</v>
      </c>
      <c r="Q36" s="105">
        <v>2</v>
      </c>
      <c r="R36" s="105">
        <v>3</v>
      </c>
      <c r="S36" s="105">
        <v>3</v>
      </c>
      <c r="T36" s="105">
        <v>3</v>
      </c>
      <c r="U36" s="237">
        <v>3</v>
      </c>
      <c r="V36" s="237">
        <v>2</v>
      </c>
      <c r="W36" s="193">
        <v>3</v>
      </c>
      <c r="X36" s="105">
        <v>1</v>
      </c>
      <c r="Y36" s="105">
        <v>1</v>
      </c>
      <c r="Z36" s="105">
        <v>1</v>
      </c>
      <c r="AA36" s="105">
        <v>1</v>
      </c>
      <c r="AB36" s="105">
        <v>1</v>
      </c>
      <c r="AC36" s="105">
        <v>1</v>
      </c>
      <c r="AD36" s="105">
        <v>3</v>
      </c>
      <c r="AE36" s="105">
        <v>3</v>
      </c>
      <c r="AF36" s="105">
        <v>3</v>
      </c>
      <c r="AG36" s="105">
        <v>2</v>
      </c>
      <c r="AH36" s="4"/>
      <c r="AI36" s="4"/>
      <c r="AJ36" s="4"/>
      <c r="AK36" s="4"/>
      <c r="AL36" s="4"/>
    </row>
    <row r="37" spans="1:38" ht="14">
      <c r="A37" s="65" t="s">
        <v>1224</v>
      </c>
      <c r="B37" s="106" t="s">
        <v>78</v>
      </c>
      <c r="C37" s="4"/>
      <c r="D37" s="106" t="s">
        <v>318</v>
      </c>
      <c r="E37" s="239" t="s">
        <v>319</v>
      </c>
      <c r="F37" s="191" t="str">
        <f ca="1">IFERROR(__xludf.DUMMYFUNCTION("INDEX(SPLIT(E37,""/""),,COUNTA(SPLIT(E37,""/"")))"),"1739802241312211184")</f>
        <v>1739802241312211184</v>
      </c>
      <c r="G37" s="106" t="s">
        <v>320</v>
      </c>
      <c r="H37" s="106" t="s">
        <v>80</v>
      </c>
      <c r="I37" s="106" t="s">
        <v>70</v>
      </c>
      <c r="J37" s="106" t="s">
        <v>138</v>
      </c>
      <c r="K37" s="235" t="s">
        <v>138</v>
      </c>
      <c r="L37" s="193">
        <v>1</v>
      </c>
      <c r="M37" s="105">
        <v>3</v>
      </c>
      <c r="N37" s="105">
        <v>1</v>
      </c>
      <c r="O37" s="105">
        <v>1</v>
      </c>
      <c r="P37" s="105">
        <v>1</v>
      </c>
      <c r="Q37" s="105">
        <v>1</v>
      </c>
      <c r="R37" s="105">
        <v>2</v>
      </c>
      <c r="S37" s="105">
        <v>3</v>
      </c>
      <c r="T37" s="105">
        <v>2</v>
      </c>
      <c r="U37" s="237">
        <v>2</v>
      </c>
      <c r="V37" s="237">
        <v>2</v>
      </c>
      <c r="W37" s="193">
        <v>2</v>
      </c>
      <c r="X37" s="105">
        <v>1</v>
      </c>
      <c r="Y37" s="105">
        <v>3</v>
      </c>
      <c r="Z37" s="105">
        <v>1</v>
      </c>
      <c r="AA37" s="105">
        <v>1</v>
      </c>
      <c r="AB37" s="105">
        <v>1</v>
      </c>
      <c r="AC37" s="105">
        <v>1</v>
      </c>
      <c r="AD37" s="105">
        <v>3</v>
      </c>
      <c r="AE37" s="105">
        <v>3</v>
      </c>
      <c r="AF37" s="105">
        <v>3</v>
      </c>
      <c r="AG37" s="105">
        <v>1</v>
      </c>
      <c r="AH37" s="4"/>
      <c r="AI37" s="4"/>
      <c r="AJ37" s="4"/>
      <c r="AK37" s="4"/>
      <c r="AL37" s="4"/>
    </row>
    <row r="38" spans="1:38" ht="14">
      <c r="A38" s="65" t="s">
        <v>1224</v>
      </c>
      <c r="B38" s="106" t="s">
        <v>78</v>
      </c>
      <c r="C38" s="4"/>
      <c r="D38" s="106" t="s">
        <v>321</v>
      </c>
      <c r="E38" s="239" t="s">
        <v>322</v>
      </c>
      <c r="F38" s="191" t="str">
        <f ca="1">IFERROR(__xludf.DUMMYFUNCTION("INDEX(SPLIT(E38,""/""),,COUNTA(SPLIT(E38,""/"")))"),"1743771126214320533")</f>
        <v>1743771126214320533</v>
      </c>
      <c r="G38" s="106" t="s">
        <v>160</v>
      </c>
      <c r="H38" s="106" t="s">
        <v>80</v>
      </c>
      <c r="I38" s="105" t="s">
        <v>70</v>
      </c>
      <c r="J38" s="106" t="s">
        <v>138</v>
      </c>
      <c r="K38" s="235" t="s">
        <v>138</v>
      </c>
      <c r="L38" s="193">
        <v>1</v>
      </c>
      <c r="M38" s="105">
        <v>3</v>
      </c>
      <c r="N38" s="105">
        <v>3</v>
      </c>
      <c r="O38" s="105">
        <v>3</v>
      </c>
      <c r="P38" s="105">
        <v>1</v>
      </c>
      <c r="Q38" s="105">
        <v>1</v>
      </c>
      <c r="R38" s="105">
        <v>3</v>
      </c>
      <c r="S38" s="105">
        <v>3</v>
      </c>
      <c r="T38" s="105">
        <v>2</v>
      </c>
      <c r="U38" s="237">
        <v>1</v>
      </c>
      <c r="V38" s="237">
        <v>3</v>
      </c>
      <c r="W38" s="193">
        <v>1</v>
      </c>
      <c r="X38" s="105">
        <v>3</v>
      </c>
      <c r="Y38" s="105">
        <v>1</v>
      </c>
      <c r="Z38" s="105">
        <v>1</v>
      </c>
      <c r="AA38" s="105">
        <v>1</v>
      </c>
      <c r="AB38" s="105">
        <v>1</v>
      </c>
      <c r="AC38" s="105">
        <v>1</v>
      </c>
      <c r="AD38" s="105">
        <v>3</v>
      </c>
      <c r="AE38" s="105">
        <v>3</v>
      </c>
      <c r="AF38" s="105">
        <v>3</v>
      </c>
      <c r="AG38" s="105">
        <v>1</v>
      </c>
      <c r="AH38" s="4"/>
      <c r="AI38" s="4"/>
      <c r="AJ38" s="4"/>
      <c r="AK38" s="4"/>
      <c r="AL38" s="4"/>
    </row>
    <row r="39" spans="1:38" ht="14">
      <c r="A39" s="65" t="s">
        <v>1224</v>
      </c>
      <c r="B39" s="106" t="s">
        <v>78</v>
      </c>
      <c r="C39" s="4"/>
      <c r="D39" s="106" t="s">
        <v>323</v>
      </c>
      <c r="E39" s="239" t="s">
        <v>324</v>
      </c>
      <c r="F39" s="191" t="str">
        <f ca="1">IFERROR(__xludf.DUMMYFUNCTION("INDEX(SPLIT(E39,""/""),,COUNTA(SPLIT(E39,""/"")))"),"1744148861533278685")</f>
        <v>1744148861533278685</v>
      </c>
      <c r="G39" s="243" t="s">
        <v>325</v>
      </c>
      <c r="H39" s="106" t="s">
        <v>80</v>
      </c>
      <c r="I39" s="105" t="s">
        <v>70</v>
      </c>
      <c r="J39" s="106" t="s">
        <v>138</v>
      </c>
      <c r="K39" s="235" t="s">
        <v>138</v>
      </c>
      <c r="L39" s="193">
        <v>1</v>
      </c>
      <c r="M39" s="105">
        <v>3</v>
      </c>
      <c r="N39" s="105">
        <v>3</v>
      </c>
      <c r="O39" s="105">
        <v>1</v>
      </c>
      <c r="P39" s="105">
        <v>1</v>
      </c>
      <c r="Q39" s="105">
        <v>1</v>
      </c>
      <c r="R39" s="105">
        <v>1</v>
      </c>
      <c r="S39" s="105">
        <v>3</v>
      </c>
      <c r="T39" s="105">
        <v>1</v>
      </c>
      <c r="U39" s="237">
        <v>1</v>
      </c>
      <c r="V39" s="237">
        <v>2</v>
      </c>
      <c r="W39" s="193">
        <v>1</v>
      </c>
      <c r="X39" s="105">
        <v>2</v>
      </c>
      <c r="Y39" s="105">
        <v>3</v>
      </c>
      <c r="Z39" s="105">
        <v>1</v>
      </c>
      <c r="AA39" s="105">
        <v>1</v>
      </c>
      <c r="AB39" s="105">
        <v>1</v>
      </c>
      <c r="AC39" s="105">
        <v>1</v>
      </c>
      <c r="AD39" s="105">
        <v>3</v>
      </c>
      <c r="AE39" s="105">
        <v>3</v>
      </c>
      <c r="AF39" s="105">
        <v>3</v>
      </c>
      <c r="AG39" s="105">
        <v>1</v>
      </c>
      <c r="AH39" s="4"/>
      <c r="AI39" s="4"/>
      <c r="AJ39" s="4"/>
      <c r="AK39" s="4"/>
      <c r="AL39" s="4"/>
    </row>
    <row r="40" spans="1:38" ht="14">
      <c r="A40" s="65" t="s">
        <v>1224</v>
      </c>
      <c r="B40" s="106" t="s">
        <v>78</v>
      </c>
      <c r="C40" s="4"/>
      <c r="D40" s="106" t="s">
        <v>326</v>
      </c>
      <c r="E40" s="239" t="s">
        <v>327</v>
      </c>
      <c r="F40" s="191" t="str">
        <f ca="1">IFERROR(__xludf.DUMMYFUNCTION("INDEX(SPLIT(E40,""/""),,COUNTA(SPLIT(E40,""/"")))"),"1743401785560084825")</f>
        <v>1743401785560084825</v>
      </c>
      <c r="G40" s="243" t="s">
        <v>328</v>
      </c>
      <c r="H40" s="106" t="s">
        <v>80</v>
      </c>
      <c r="I40" s="105" t="s">
        <v>81</v>
      </c>
      <c r="J40" s="106" t="s">
        <v>138</v>
      </c>
      <c r="K40" s="235" t="s">
        <v>138</v>
      </c>
      <c r="L40" s="193">
        <v>1</v>
      </c>
      <c r="M40" s="105">
        <v>3</v>
      </c>
      <c r="N40" s="105">
        <v>1</v>
      </c>
      <c r="O40" s="105">
        <v>1</v>
      </c>
      <c r="P40" s="105">
        <v>1</v>
      </c>
      <c r="Q40" s="105">
        <v>1</v>
      </c>
      <c r="R40" s="105">
        <v>1</v>
      </c>
      <c r="S40" s="105">
        <v>1</v>
      </c>
      <c r="T40" s="105">
        <v>1</v>
      </c>
      <c r="U40" s="237">
        <v>1</v>
      </c>
      <c r="V40" s="237">
        <v>1</v>
      </c>
      <c r="W40" s="193">
        <v>1</v>
      </c>
      <c r="X40" s="105">
        <v>1</v>
      </c>
      <c r="Y40" s="105">
        <v>1</v>
      </c>
      <c r="Z40" s="105">
        <v>1</v>
      </c>
      <c r="AA40" s="105">
        <v>1</v>
      </c>
      <c r="AB40" s="105">
        <v>1</v>
      </c>
      <c r="AC40" s="105">
        <v>1</v>
      </c>
      <c r="AD40" s="105">
        <v>3</v>
      </c>
      <c r="AE40" s="105">
        <v>3</v>
      </c>
      <c r="AF40" s="105">
        <v>1</v>
      </c>
      <c r="AG40" s="105">
        <v>1</v>
      </c>
      <c r="AH40" s="4"/>
      <c r="AI40" s="4"/>
      <c r="AJ40" s="4"/>
      <c r="AK40" s="4"/>
      <c r="AL40" s="4"/>
    </row>
    <row r="41" spans="1:38" ht="14">
      <c r="A41" s="65" t="s">
        <v>1224</v>
      </c>
      <c r="B41" s="106" t="s">
        <v>78</v>
      </c>
      <c r="C41" s="4"/>
      <c r="D41" s="106" t="s">
        <v>329</v>
      </c>
      <c r="E41" s="239" t="s">
        <v>330</v>
      </c>
      <c r="F41" s="191" t="str">
        <f ca="1">IFERROR(__xludf.DUMMYFUNCTION("INDEX(SPLIT(E41,""/""),,COUNTA(SPLIT(E41,""/"")))"),"1742993745732124991")</f>
        <v>1742993745732124991</v>
      </c>
      <c r="G41" s="243" t="s">
        <v>331</v>
      </c>
      <c r="H41" s="106" t="s">
        <v>80</v>
      </c>
      <c r="I41" s="105" t="s">
        <v>70</v>
      </c>
      <c r="J41" s="106" t="s">
        <v>138</v>
      </c>
      <c r="K41" s="235" t="s">
        <v>146</v>
      </c>
      <c r="L41" s="193">
        <v>3</v>
      </c>
      <c r="M41" s="105">
        <v>3</v>
      </c>
      <c r="N41" s="105">
        <v>3</v>
      </c>
      <c r="O41" s="105">
        <v>3</v>
      </c>
      <c r="P41" s="105">
        <v>1</v>
      </c>
      <c r="Q41" s="105">
        <v>1</v>
      </c>
      <c r="R41" s="105">
        <v>2</v>
      </c>
      <c r="S41" s="105">
        <v>3</v>
      </c>
      <c r="T41" s="105">
        <v>1</v>
      </c>
      <c r="U41" s="237">
        <v>3</v>
      </c>
      <c r="V41" s="237">
        <v>3</v>
      </c>
      <c r="W41" s="193">
        <v>2</v>
      </c>
      <c r="X41" s="105">
        <v>1</v>
      </c>
      <c r="Y41" s="105">
        <v>1</v>
      </c>
      <c r="Z41" s="105">
        <v>1</v>
      </c>
      <c r="AA41" s="105">
        <v>2</v>
      </c>
      <c r="AB41" s="105">
        <v>1</v>
      </c>
      <c r="AC41" s="105">
        <v>2</v>
      </c>
      <c r="AD41" s="105">
        <v>3</v>
      </c>
      <c r="AE41" s="105">
        <v>3</v>
      </c>
      <c r="AF41" s="105">
        <v>3</v>
      </c>
      <c r="AG41" s="105">
        <v>1</v>
      </c>
      <c r="AH41" s="4"/>
      <c r="AI41" s="4"/>
      <c r="AJ41" s="4"/>
      <c r="AK41" s="4"/>
      <c r="AL41" s="4"/>
    </row>
    <row r="42" spans="1:38" ht="14">
      <c r="A42" s="65" t="s">
        <v>1224</v>
      </c>
      <c r="B42" s="106" t="s">
        <v>78</v>
      </c>
      <c r="C42" s="4"/>
      <c r="D42" s="106" t="s">
        <v>332</v>
      </c>
      <c r="E42" s="239" t="s">
        <v>333</v>
      </c>
      <c r="F42" s="191" t="str">
        <f ca="1">IFERROR(__xludf.DUMMYFUNCTION("INDEX(SPLIT(E42,""/""),,COUNTA(SPLIT(E42,""/"")))"),"1710518671855042718")</f>
        <v>1710518671855042718</v>
      </c>
      <c r="G42" s="243" t="s">
        <v>334</v>
      </c>
      <c r="H42" s="106" t="s">
        <v>80</v>
      </c>
      <c r="I42" s="105" t="s">
        <v>70</v>
      </c>
      <c r="J42" s="106" t="s">
        <v>138</v>
      </c>
      <c r="K42" s="235" t="s">
        <v>138</v>
      </c>
      <c r="L42" s="193">
        <v>1</v>
      </c>
      <c r="M42" s="105">
        <v>1</v>
      </c>
      <c r="N42" s="105">
        <v>2</v>
      </c>
      <c r="O42" s="105">
        <v>1</v>
      </c>
      <c r="P42" s="105">
        <v>1</v>
      </c>
      <c r="Q42" s="105">
        <v>1</v>
      </c>
      <c r="R42" s="105">
        <v>1</v>
      </c>
      <c r="S42" s="105">
        <v>3</v>
      </c>
      <c r="T42" s="105">
        <v>2</v>
      </c>
      <c r="U42" s="237">
        <v>1</v>
      </c>
      <c r="V42" s="237">
        <v>3</v>
      </c>
      <c r="W42" s="193">
        <v>1</v>
      </c>
      <c r="X42" s="105">
        <v>1</v>
      </c>
      <c r="Y42" s="105">
        <v>1</v>
      </c>
      <c r="Z42" s="105">
        <v>1</v>
      </c>
      <c r="AA42" s="105">
        <v>1</v>
      </c>
      <c r="AB42" s="105">
        <v>1</v>
      </c>
      <c r="AC42" s="105">
        <v>3</v>
      </c>
      <c r="AD42" s="105">
        <v>3</v>
      </c>
      <c r="AE42" s="105">
        <v>3</v>
      </c>
      <c r="AF42" s="105">
        <v>3</v>
      </c>
      <c r="AG42" s="105">
        <v>1</v>
      </c>
      <c r="AH42" s="4"/>
      <c r="AI42" s="4"/>
      <c r="AJ42" s="4"/>
      <c r="AK42" s="4"/>
      <c r="AL42" s="4"/>
    </row>
    <row r="43" spans="1:38" ht="14">
      <c r="A43" s="65" t="s">
        <v>1224</v>
      </c>
      <c r="B43" s="106" t="s">
        <v>78</v>
      </c>
      <c r="C43" s="4"/>
      <c r="D43" s="106" t="s">
        <v>335</v>
      </c>
      <c r="E43" s="239" t="s">
        <v>336</v>
      </c>
      <c r="F43" s="191" t="str">
        <f ca="1">IFERROR(__xludf.DUMMYFUNCTION("INDEX(SPLIT(E43,""/""),,COUNTA(SPLIT(E43,""/"")))"),"1740021446997368846")</f>
        <v>1740021446997368846</v>
      </c>
      <c r="G43" s="243" t="s">
        <v>337</v>
      </c>
      <c r="H43" s="106" t="s">
        <v>80</v>
      </c>
      <c r="I43" s="105" t="s">
        <v>70</v>
      </c>
      <c r="J43" s="106" t="s">
        <v>138</v>
      </c>
      <c r="K43" s="235" t="s">
        <v>138</v>
      </c>
      <c r="L43" s="193">
        <v>1</v>
      </c>
      <c r="M43" s="105">
        <v>3</v>
      </c>
      <c r="N43" s="105">
        <v>1</v>
      </c>
      <c r="O43" s="105">
        <v>1</v>
      </c>
      <c r="P43" s="105">
        <v>1</v>
      </c>
      <c r="Q43" s="105">
        <v>1</v>
      </c>
      <c r="R43" s="105">
        <v>1</v>
      </c>
      <c r="S43" s="105">
        <v>3</v>
      </c>
      <c r="T43" s="105">
        <v>1</v>
      </c>
      <c r="U43" s="237">
        <v>2</v>
      </c>
      <c r="V43" s="237">
        <v>1</v>
      </c>
      <c r="W43" s="193">
        <v>1</v>
      </c>
      <c r="X43" s="105">
        <v>1</v>
      </c>
      <c r="Y43" s="105">
        <v>1</v>
      </c>
      <c r="Z43" s="105">
        <v>1</v>
      </c>
      <c r="AA43" s="105">
        <v>1</v>
      </c>
      <c r="AB43" s="105">
        <v>1</v>
      </c>
      <c r="AC43" s="105">
        <v>1</v>
      </c>
      <c r="AD43" s="105">
        <v>3</v>
      </c>
      <c r="AE43" s="105">
        <v>3</v>
      </c>
      <c r="AF43" s="105">
        <v>3</v>
      </c>
      <c r="AG43" s="105">
        <v>1</v>
      </c>
      <c r="AH43" s="4"/>
      <c r="AI43" s="4"/>
      <c r="AJ43" s="4"/>
      <c r="AK43" s="4"/>
      <c r="AL43" s="4"/>
    </row>
    <row r="44" spans="1:38" ht="14">
      <c r="A44" s="65" t="s">
        <v>1224</v>
      </c>
      <c r="B44" s="106" t="s">
        <v>78</v>
      </c>
      <c r="C44" s="4"/>
      <c r="D44" s="106" t="s">
        <v>338</v>
      </c>
      <c r="E44" s="239" t="s">
        <v>339</v>
      </c>
      <c r="F44" s="191" t="str">
        <f ca="1">IFERROR(__xludf.DUMMYFUNCTION("INDEX(SPLIT(E44,""/""),,COUNTA(SPLIT(E44,""/"")))"),"1738190439235170378")</f>
        <v>1738190439235170378</v>
      </c>
      <c r="G44" s="243" t="s">
        <v>337</v>
      </c>
      <c r="H44" s="106" t="s">
        <v>80</v>
      </c>
      <c r="I44" s="105" t="s">
        <v>81</v>
      </c>
      <c r="J44" s="106" t="s">
        <v>138</v>
      </c>
      <c r="K44" s="235" t="s">
        <v>138</v>
      </c>
      <c r="L44" s="193">
        <v>1</v>
      </c>
      <c r="M44" s="105">
        <v>1</v>
      </c>
      <c r="N44" s="105">
        <v>1</v>
      </c>
      <c r="O44" s="105">
        <v>1</v>
      </c>
      <c r="P44" s="105">
        <v>1</v>
      </c>
      <c r="Q44" s="105">
        <v>1</v>
      </c>
      <c r="R44" s="105">
        <v>1</v>
      </c>
      <c r="S44" s="105">
        <v>1</v>
      </c>
      <c r="T44" s="105">
        <v>1</v>
      </c>
      <c r="U44" s="237">
        <v>1</v>
      </c>
      <c r="V44" s="237">
        <v>1</v>
      </c>
      <c r="W44" s="193">
        <v>1</v>
      </c>
      <c r="X44" s="105">
        <v>1</v>
      </c>
      <c r="Y44" s="105">
        <v>1</v>
      </c>
      <c r="Z44" s="105">
        <v>1</v>
      </c>
      <c r="AA44" s="105">
        <v>1</v>
      </c>
      <c r="AB44" s="105">
        <v>1</v>
      </c>
      <c r="AC44" s="105">
        <v>1</v>
      </c>
      <c r="AD44" s="105">
        <v>3</v>
      </c>
      <c r="AE44" s="105">
        <v>3</v>
      </c>
      <c r="AF44" s="105">
        <v>1</v>
      </c>
      <c r="AG44" s="105">
        <v>1</v>
      </c>
      <c r="AH44" s="4"/>
      <c r="AI44" s="4"/>
      <c r="AJ44" s="4"/>
      <c r="AK44" s="4"/>
      <c r="AL44" s="4"/>
    </row>
    <row r="45" spans="1:38" ht="14">
      <c r="A45" s="65" t="s">
        <v>1224</v>
      </c>
      <c r="B45" s="106" t="s">
        <v>78</v>
      </c>
      <c r="C45" s="4"/>
      <c r="D45" s="106" t="s">
        <v>340</v>
      </c>
      <c r="E45" s="239" t="s">
        <v>341</v>
      </c>
      <c r="F45" s="191" t="str">
        <f ca="1">IFERROR(__xludf.DUMMYFUNCTION("INDEX(SPLIT(E45,""/""),,COUNTA(SPLIT(E45,""/"")))"),"1718196319347442029")</f>
        <v>1718196319347442029</v>
      </c>
      <c r="G45" s="4"/>
      <c r="H45" s="106" t="s">
        <v>80</v>
      </c>
      <c r="I45" s="105" t="s">
        <v>70</v>
      </c>
      <c r="J45" s="106" t="s">
        <v>138</v>
      </c>
      <c r="K45" s="235" t="s">
        <v>138</v>
      </c>
      <c r="L45" s="193">
        <v>1</v>
      </c>
      <c r="M45" s="105">
        <v>3</v>
      </c>
      <c r="N45" s="105">
        <v>1</v>
      </c>
      <c r="O45" s="105">
        <v>1</v>
      </c>
      <c r="P45" s="105">
        <v>1</v>
      </c>
      <c r="Q45" s="105">
        <v>1</v>
      </c>
      <c r="R45" s="105">
        <v>1</v>
      </c>
      <c r="S45" s="105">
        <v>3</v>
      </c>
      <c r="T45" s="105">
        <v>2</v>
      </c>
      <c r="U45" s="237">
        <v>1</v>
      </c>
      <c r="V45" s="237">
        <v>1</v>
      </c>
      <c r="W45" s="193">
        <v>1</v>
      </c>
      <c r="X45" s="105">
        <v>1</v>
      </c>
      <c r="Y45" s="105">
        <v>3</v>
      </c>
      <c r="Z45" s="105">
        <v>1</v>
      </c>
      <c r="AA45" s="105">
        <v>1</v>
      </c>
      <c r="AB45" s="105">
        <v>1</v>
      </c>
      <c r="AC45" s="105">
        <v>1</v>
      </c>
      <c r="AD45" s="105">
        <v>3</v>
      </c>
      <c r="AE45" s="105">
        <v>3</v>
      </c>
      <c r="AF45" s="105">
        <v>3</v>
      </c>
      <c r="AG45" s="105">
        <v>1</v>
      </c>
      <c r="AH45" s="4"/>
      <c r="AI45" s="4"/>
      <c r="AJ45" s="4"/>
      <c r="AK45" s="4"/>
      <c r="AL45" s="4"/>
    </row>
    <row r="46" spans="1:38" ht="14">
      <c r="A46" s="65" t="s">
        <v>1224</v>
      </c>
      <c r="B46" s="106" t="s">
        <v>78</v>
      </c>
      <c r="C46" s="4"/>
      <c r="D46" s="106" t="s">
        <v>343</v>
      </c>
      <c r="E46" s="239" t="s">
        <v>344</v>
      </c>
      <c r="F46" s="191" t="str">
        <f ca="1">IFERROR(__xludf.DUMMYFUNCTION("INDEX(SPLIT(E46,""/""),,COUNTA(SPLIT(E46,""/"")))"),"1734975208367194235")</f>
        <v>1734975208367194235</v>
      </c>
      <c r="G46" s="243" t="s">
        <v>337</v>
      </c>
      <c r="H46" s="106" t="s">
        <v>80</v>
      </c>
      <c r="I46" s="105" t="s">
        <v>70</v>
      </c>
      <c r="J46" s="106" t="s">
        <v>138</v>
      </c>
      <c r="K46" s="235" t="s">
        <v>138</v>
      </c>
      <c r="L46" s="193">
        <v>1</v>
      </c>
      <c r="M46" s="105">
        <v>1</v>
      </c>
      <c r="N46" s="105">
        <v>1</v>
      </c>
      <c r="O46" s="105">
        <v>1</v>
      </c>
      <c r="P46" s="105">
        <v>1</v>
      </c>
      <c r="Q46" s="105">
        <v>1</v>
      </c>
      <c r="R46" s="105">
        <v>1</v>
      </c>
      <c r="S46" s="105">
        <v>2</v>
      </c>
      <c r="T46" s="105">
        <v>1</v>
      </c>
      <c r="U46" s="237">
        <v>1</v>
      </c>
      <c r="V46" s="237">
        <v>1</v>
      </c>
      <c r="W46" s="193">
        <v>1</v>
      </c>
      <c r="X46" s="105">
        <v>1</v>
      </c>
      <c r="Y46" s="105">
        <v>1</v>
      </c>
      <c r="Z46" s="105">
        <v>1</v>
      </c>
      <c r="AA46" s="105">
        <v>1</v>
      </c>
      <c r="AB46" s="105">
        <v>1</v>
      </c>
      <c r="AC46" s="105">
        <v>1</v>
      </c>
      <c r="AD46" s="105">
        <v>3</v>
      </c>
      <c r="AE46" s="105">
        <v>3</v>
      </c>
      <c r="AF46" s="105">
        <v>3</v>
      </c>
      <c r="AG46" s="105">
        <v>1</v>
      </c>
      <c r="AH46" s="4"/>
      <c r="AI46" s="4"/>
      <c r="AJ46" s="4"/>
      <c r="AK46" s="4"/>
      <c r="AL46" s="4"/>
    </row>
  </sheetData>
  <dataValidations count="6">
    <dataValidation type="list" allowBlank="1" showErrorMessage="1" sqref="I5 I16 I26 I45" xr:uid="{00000000-0002-0000-0500-000000000000}">
      <formula1>"Tweet,Thread,Reply"</formula1>
    </dataValidation>
    <dataValidation type="list" allowBlank="1" showErrorMessage="1" sqref="L5:AG5 M11:U46 X11:AG46" xr:uid="{00000000-0002-0000-0500-000001000000}">
      <formula1>"1,2,3"</formula1>
    </dataValidation>
    <dataValidation type="list" allowBlank="1" showErrorMessage="1" sqref="J2:K46" xr:uid="{00000000-0002-0000-0500-000002000000}">
      <formula1>"Yes,No"</formula1>
    </dataValidation>
    <dataValidation type="list" allowBlank="1" showErrorMessage="1" sqref="I2:I4 I6:I15 I17:I25 I27:I44 I46" xr:uid="{00000000-0002-0000-0500-000003000000}">
      <formula1>"Tweet,Thread "</formula1>
    </dataValidation>
    <dataValidation type="list" allowBlank="1" showErrorMessage="1" sqref="M2:AG2 L3:AG4 L6:AG10 L11:L46 V11:W46" xr:uid="{00000000-0002-0000-0500-000004000000}">
      <formula1>"1,2,3,Unsure"</formula1>
    </dataValidation>
    <dataValidation type="list" allowBlank="1" showErrorMessage="1" sqref="L2" xr:uid="{00000000-0002-0000-0500-000005000000}">
      <formula1>"22,2,3,Unsure"</formula1>
    </dataValidation>
  </dataValidations>
  <hyperlinks>
    <hyperlink ref="E2" r:id="rId1" xr:uid="{00000000-0004-0000-0500-000000000000}"/>
    <hyperlink ref="G2" r:id="rId2" xr:uid="{00000000-0004-0000-0500-000001000000}"/>
    <hyperlink ref="E3" r:id="rId3" xr:uid="{00000000-0004-0000-0500-000002000000}"/>
    <hyperlink ref="G3" r:id="rId4" xr:uid="{00000000-0004-0000-0500-000003000000}"/>
    <hyperlink ref="E4" r:id="rId5" xr:uid="{00000000-0004-0000-0500-000004000000}"/>
    <hyperlink ref="G4" r:id="rId6" xr:uid="{00000000-0004-0000-0500-000005000000}"/>
    <hyperlink ref="E5" r:id="rId7" xr:uid="{00000000-0004-0000-0500-000006000000}"/>
    <hyperlink ref="G5" r:id="rId8" xr:uid="{00000000-0004-0000-0500-000007000000}"/>
    <hyperlink ref="E6" r:id="rId9" xr:uid="{00000000-0004-0000-0500-000008000000}"/>
    <hyperlink ref="G6" r:id="rId10" xr:uid="{00000000-0004-0000-0500-000009000000}"/>
    <hyperlink ref="E7" r:id="rId11" xr:uid="{00000000-0004-0000-0500-00000A000000}"/>
    <hyperlink ref="G7" r:id="rId12" xr:uid="{00000000-0004-0000-0500-00000B000000}"/>
    <hyperlink ref="E8" r:id="rId13" xr:uid="{00000000-0004-0000-0500-00000C000000}"/>
    <hyperlink ref="G8" r:id="rId14" xr:uid="{00000000-0004-0000-0500-00000D000000}"/>
    <hyperlink ref="E9" r:id="rId15" xr:uid="{00000000-0004-0000-0500-00000E000000}"/>
    <hyperlink ref="G9" r:id="rId16" xr:uid="{00000000-0004-0000-0500-00000F000000}"/>
    <hyperlink ref="E10" r:id="rId17" xr:uid="{00000000-0004-0000-0500-000010000000}"/>
    <hyperlink ref="G10" r:id="rId18" xr:uid="{00000000-0004-0000-0500-000011000000}"/>
    <hyperlink ref="E11" r:id="rId19" xr:uid="{00000000-0004-0000-0500-000012000000}"/>
    <hyperlink ref="G11" r:id="rId20" xr:uid="{00000000-0004-0000-0500-000013000000}"/>
    <hyperlink ref="E12" r:id="rId21" xr:uid="{00000000-0004-0000-0500-000014000000}"/>
    <hyperlink ref="G12" r:id="rId22" xr:uid="{00000000-0004-0000-0500-000015000000}"/>
    <hyperlink ref="E13" r:id="rId23" xr:uid="{00000000-0004-0000-0500-000016000000}"/>
    <hyperlink ref="G13" r:id="rId24" xr:uid="{00000000-0004-0000-0500-000017000000}"/>
    <hyperlink ref="E14" r:id="rId25" xr:uid="{00000000-0004-0000-0500-000018000000}"/>
    <hyperlink ref="G14" r:id="rId26" xr:uid="{00000000-0004-0000-0500-000019000000}"/>
    <hyperlink ref="E15" r:id="rId27" xr:uid="{00000000-0004-0000-0500-00001A000000}"/>
    <hyperlink ref="G15" r:id="rId28" xr:uid="{00000000-0004-0000-0500-00001B000000}"/>
    <hyperlink ref="E16" r:id="rId29" xr:uid="{00000000-0004-0000-0500-00001C000000}"/>
    <hyperlink ref="E17" r:id="rId30" xr:uid="{00000000-0004-0000-0500-00001D000000}"/>
    <hyperlink ref="G17" r:id="rId31" xr:uid="{00000000-0004-0000-0500-00001E000000}"/>
    <hyperlink ref="E18" r:id="rId32" xr:uid="{00000000-0004-0000-0500-00001F000000}"/>
    <hyperlink ref="G18" r:id="rId33" xr:uid="{00000000-0004-0000-0500-000020000000}"/>
    <hyperlink ref="E19" r:id="rId34" xr:uid="{00000000-0004-0000-0500-000021000000}"/>
    <hyperlink ref="E20" r:id="rId35" xr:uid="{00000000-0004-0000-0500-000022000000}"/>
    <hyperlink ref="E21" r:id="rId36" xr:uid="{00000000-0004-0000-0500-000023000000}"/>
    <hyperlink ref="E22" r:id="rId37" xr:uid="{00000000-0004-0000-0500-000024000000}"/>
    <hyperlink ref="E23" r:id="rId38" xr:uid="{00000000-0004-0000-0500-000025000000}"/>
    <hyperlink ref="E24" r:id="rId39" xr:uid="{00000000-0004-0000-0500-000026000000}"/>
    <hyperlink ref="E25" r:id="rId40" xr:uid="{00000000-0004-0000-0500-000027000000}"/>
    <hyperlink ref="E26" r:id="rId41" xr:uid="{00000000-0004-0000-0500-000028000000}"/>
    <hyperlink ref="E27" r:id="rId42" xr:uid="{00000000-0004-0000-0500-000029000000}"/>
    <hyperlink ref="G27" r:id="rId43" xr:uid="{00000000-0004-0000-0500-00002A000000}"/>
    <hyperlink ref="E28" r:id="rId44" xr:uid="{00000000-0004-0000-0500-00002B000000}"/>
    <hyperlink ref="G28" r:id="rId45" xr:uid="{00000000-0004-0000-0500-00002C000000}"/>
    <hyperlink ref="E29" r:id="rId46" xr:uid="{00000000-0004-0000-0500-00002D000000}"/>
    <hyperlink ref="E30" r:id="rId47" xr:uid="{00000000-0004-0000-0500-00002E000000}"/>
    <hyperlink ref="E31" r:id="rId48" xr:uid="{00000000-0004-0000-0500-00002F000000}"/>
    <hyperlink ref="E32" r:id="rId49" xr:uid="{00000000-0004-0000-0500-000030000000}"/>
    <hyperlink ref="E33" r:id="rId50" xr:uid="{00000000-0004-0000-0500-000031000000}"/>
    <hyperlink ref="E34" r:id="rId51" xr:uid="{00000000-0004-0000-0500-000032000000}"/>
    <hyperlink ref="E35" r:id="rId52" xr:uid="{00000000-0004-0000-0500-000033000000}"/>
    <hyperlink ref="E36" r:id="rId53" xr:uid="{00000000-0004-0000-0500-000034000000}"/>
    <hyperlink ref="G36" r:id="rId54" xr:uid="{00000000-0004-0000-0500-000035000000}"/>
    <hyperlink ref="E37" r:id="rId55" xr:uid="{00000000-0004-0000-0500-000036000000}"/>
    <hyperlink ref="E38" r:id="rId56" xr:uid="{00000000-0004-0000-0500-000037000000}"/>
    <hyperlink ref="E39" r:id="rId57" xr:uid="{00000000-0004-0000-0500-000038000000}"/>
    <hyperlink ref="G39" r:id="rId58" xr:uid="{00000000-0004-0000-0500-000039000000}"/>
    <hyperlink ref="E40" r:id="rId59" xr:uid="{00000000-0004-0000-0500-00003A000000}"/>
    <hyperlink ref="G40" r:id="rId60" xr:uid="{00000000-0004-0000-0500-00003B000000}"/>
    <hyperlink ref="E41" r:id="rId61" xr:uid="{00000000-0004-0000-0500-00003C000000}"/>
    <hyperlink ref="G41" r:id="rId62" xr:uid="{00000000-0004-0000-0500-00003D000000}"/>
    <hyperlink ref="E42" r:id="rId63" xr:uid="{00000000-0004-0000-0500-00003E000000}"/>
    <hyperlink ref="G42" r:id="rId64" xr:uid="{00000000-0004-0000-0500-00003F000000}"/>
    <hyperlink ref="E43" r:id="rId65" xr:uid="{00000000-0004-0000-0500-000040000000}"/>
    <hyperlink ref="G43" r:id="rId66" xr:uid="{00000000-0004-0000-0500-000041000000}"/>
    <hyperlink ref="E44" r:id="rId67" xr:uid="{00000000-0004-0000-0500-000042000000}"/>
    <hyperlink ref="G44" r:id="rId68" xr:uid="{00000000-0004-0000-0500-000043000000}"/>
    <hyperlink ref="E45" r:id="rId69" xr:uid="{00000000-0004-0000-0500-000044000000}"/>
    <hyperlink ref="E46" r:id="rId70" xr:uid="{00000000-0004-0000-0500-000045000000}"/>
    <hyperlink ref="G46" r:id="rId71" xr:uid="{00000000-0004-0000-0500-000046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Y30"/>
  <sheetViews>
    <sheetView workbookViewId="0">
      <pane ySplit="1" topLeftCell="A2" activePane="bottomLeft" state="frozen"/>
      <selection pane="bottomLeft" activeCell="B3" sqref="B3"/>
    </sheetView>
  </sheetViews>
  <sheetFormatPr defaultColWidth="12.6328125" defaultRowHeight="15.75" customHeight="1"/>
  <cols>
    <col min="2" max="2" width="28.6328125" customWidth="1"/>
    <col min="3" max="3" width="39.36328125" customWidth="1"/>
    <col min="4" max="4" width="34.90625" customWidth="1"/>
  </cols>
  <sheetData>
    <row r="1" spans="1:25" ht="15.5">
      <c r="A1" s="246" t="s">
        <v>1225</v>
      </c>
      <c r="B1" s="246" t="s">
        <v>1226</v>
      </c>
      <c r="C1" s="247" t="s">
        <v>1227</v>
      </c>
      <c r="D1" s="247" t="s">
        <v>1228</v>
      </c>
      <c r="E1" s="248"/>
      <c r="F1" s="248"/>
      <c r="G1" s="248"/>
      <c r="H1" s="248"/>
      <c r="I1" s="248"/>
      <c r="J1" s="248"/>
      <c r="K1" s="248"/>
      <c r="L1" s="248"/>
      <c r="M1" s="248"/>
      <c r="N1" s="248"/>
      <c r="O1" s="248"/>
      <c r="P1" s="248"/>
      <c r="Q1" s="248"/>
      <c r="R1" s="248"/>
      <c r="S1" s="248"/>
      <c r="T1" s="248"/>
      <c r="U1" s="248"/>
      <c r="V1" s="248"/>
      <c r="W1" s="248"/>
      <c r="X1" s="248"/>
      <c r="Y1" s="248"/>
    </row>
    <row r="2" spans="1:25" ht="15.75" customHeight="1">
      <c r="A2" s="249" t="s">
        <v>1229</v>
      </c>
      <c r="B2" s="250" t="s">
        <v>1230</v>
      </c>
      <c r="C2" s="105"/>
      <c r="D2" s="105"/>
    </row>
    <row r="3" spans="1:25" ht="15.75" customHeight="1">
      <c r="A3" s="249" t="s">
        <v>1231</v>
      </c>
      <c r="B3" s="250" t="s">
        <v>1232</v>
      </c>
      <c r="C3" s="105"/>
      <c r="D3" s="105"/>
    </row>
    <row r="4" spans="1:25" ht="15.75" customHeight="1">
      <c r="A4" s="249"/>
      <c r="B4" s="250" t="s">
        <v>1233</v>
      </c>
      <c r="C4" s="105"/>
      <c r="D4" s="105"/>
    </row>
    <row r="5" spans="1:25" ht="15.75" customHeight="1">
      <c r="A5" s="249"/>
      <c r="B5" s="250" t="s">
        <v>1234</v>
      </c>
      <c r="C5" s="105"/>
      <c r="D5" s="105"/>
    </row>
    <row r="6" spans="1:25" ht="15.75" customHeight="1">
      <c r="A6" s="249"/>
      <c r="B6" s="250" t="s">
        <v>1235</v>
      </c>
      <c r="C6" s="251" t="s">
        <v>1236</v>
      </c>
      <c r="D6" s="105"/>
    </row>
    <row r="7" spans="1:25" ht="15.75" customHeight="1">
      <c r="A7" s="249"/>
      <c r="B7" s="250" t="s">
        <v>1237</v>
      </c>
      <c r="C7" s="105"/>
      <c r="D7" s="105"/>
    </row>
    <row r="8" spans="1:25" ht="15.75" customHeight="1">
      <c r="A8" s="249"/>
      <c r="B8" s="250" t="s">
        <v>1238</v>
      </c>
      <c r="C8" s="105"/>
      <c r="D8" s="105"/>
    </row>
    <row r="9" spans="1:25" ht="15.75" customHeight="1">
      <c r="A9" s="249"/>
      <c r="B9" s="250" t="s">
        <v>1239</v>
      </c>
      <c r="C9" s="105"/>
      <c r="D9" s="105"/>
    </row>
    <row r="10" spans="1:25" ht="15.75" customHeight="1">
      <c r="A10" s="249"/>
      <c r="B10" s="250" t="s">
        <v>1240</v>
      </c>
      <c r="C10" s="105"/>
      <c r="D10" s="105"/>
    </row>
    <row r="11" spans="1:25" ht="15.75" customHeight="1">
      <c r="A11" s="249"/>
      <c r="B11" s="250" t="s">
        <v>1241</v>
      </c>
      <c r="C11" s="105"/>
      <c r="D11" s="105"/>
    </row>
    <row r="12" spans="1:25" ht="15.75" customHeight="1">
      <c r="A12" s="249"/>
      <c r="B12" s="250" t="s">
        <v>1242</v>
      </c>
      <c r="C12" s="105"/>
      <c r="D12" s="105"/>
    </row>
    <row r="13" spans="1:25" ht="15.75" customHeight="1">
      <c r="A13" s="249"/>
      <c r="B13" s="250" t="s">
        <v>1243</v>
      </c>
      <c r="C13" s="105"/>
      <c r="D13" s="105"/>
    </row>
    <row r="14" spans="1:25" ht="15.75" customHeight="1">
      <c r="A14" s="249"/>
      <c r="B14" s="250" t="s">
        <v>1244</v>
      </c>
      <c r="C14" s="105"/>
      <c r="D14" s="105"/>
    </row>
    <row r="15" spans="1:25" ht="15.75" customHeight="1">
      <c r="A15" s="249"/>
      <c r="B15" s="252" t="s">
        <v>1245</v>
      </c>
      <c r="C15" s="105"/>
      <c r="D15" s="105"/>
    </row>
    <row r="16" spans="1:25" ht="15.75" customHeight="1">
      <c r="A16" s="249"/>
      <c r="B16" s="250" t="s">
        <v>1246</v>
      </c>
      <c r="C16" s="105"/>
      <c r="D16" s="105"/>
    </row>
    <row r="17" spans="1:4" ht="15.75" customHeight="1">
      <c r="A17" s="249"/>
      <c r="B17" s="250" t="s">
        <v>1247</v>
      </c>
      <c r="C17" s="105"/>
      <c r="D17" s="105"/>
    </row>
    <row r="18" spans="1:4" ht="15.75" customHeight="1">
      <c r="A18" s="249"/>
      <c r="B18" s="250" t="s">
        <v>1248</v>
      </c>
      <c r="C18" s="105"/>
      <c r="D18" s="105"/>
    </row>
    <row r="19" spans="1:4" ht="15.75" customHeight="1">
      <c r="A19" s="249"/>
      <c r="B19" s="250" t="s">
        <v>1249</v>
      </c>
      <c r="C19" s="105"/>
      <c r="D19" s="253" t="s">
        <v>144</v>
      </c>
    </row>
    <row r="20" spans="1:4" ht="15.75" customHeight="1">
      <c r="A20" s="249"/>
      <c r="B20" s="250" t="s">
        <v>1250</v>
      </c>
      <c r="C20" s="105"/>
      <c r="D20" s="253" t="s">
        <v>67</v>
      </c>
    </row>
    <row r="21" spans="1:4" ht="15.75" customHeight="1">
      <c r="A21" s="249"/>
      <c r="B21" s="250" t="s">
        <v>1251</v>
      </c>
      <c r="C21" s="105"/>
      <c r="D21" s="253" t="s">
        <v>149</v>
      </c>
    </row>
    <row r="22" spans="1:4" ht="15.75" customHeight="1">
      <c r="A22" s="249"/>
      <c r="B22" s="250" t="s">
        <v>1252</v>
      </c>
      <c r="C22" s="105"/>
      <c r="D22" s="253" t="s">
        <v>151</v>
      </c>
    </row>
    <row r="23" spans="1:4" ht="15.75" customHeight="1">
      <c r="A23" s="249"/>
      <c r="B23" s="250" t="s">
        <v>1253</v>
      </c>
      <c r="C23" s="105"/>
      <c r="D23" s="253" t="s">
        <v>153</v>
      </c>
    </row>
    <row r="24" spans="1:4" ht="15.75" customHeight="1">
      <c r="A24" s="249"/>
      <c r="B24" s="250" t="s">
        <v>1254</v>
      </c>
      <c r="C24" s="105"/>
      <c r="D24" s="253" t="s">
        <v>156</v>
      </c>
    </row>
    <row r="25" spans="1:4" ht="15.75" customHeight="1">
      <c r="A25" s="249"/>
      <c r="B25" s="250" t="s">
        <v>156</v>
      </c>
      <c r="C25" s="105"/>
      <c r="D25" s="106"/>
    </row>
    <row r="26" spans="1:4" ht="15.75" customHeight="1">
      <c r="A26" s="254" t="s">
        <v>160</v>
      </c>
      <c r="B26" s="254" t="s">
        <v>1255</v>
      </c>
      <c r="C26" s="2"/>
      <c r="D26" s="255" t="s">
        <v>159</v>
      </c>
    </row>
    <row r="27" spans="1:4" ht="15.75" customHeight="1">
      <c r="A27" s="254" t="s">
        <v>164</v>
      </c>
      <c r="B27" s="254" t="s">
        <v>1256</v>
      </c>
      <c r="C27" s="2"/>
      <c r="D27" s="255" t="s">
        <v>163</v>
      </c>
    </row>
    <row r="28" spans="1:4" ht="15.75" customHeight="1">
      <c r="A28" s="256" t="s">
        <v>167</v>
      </c>
      <c r="B28" s="254" t="s">
        <v>1257</v>
      </c>
      <c r="C28" s="2"/>
      <c r="D28" s="255" t="s">
        <v>166</v>
      </c>
    </row>
    <row r="29" spans="1:4" ht="15.75" customHeight="1">
      <c r="A29" s="257" t="s">
        <v>170</v>
      </c>
      <c r="B29" s="257" t="s">
        <v>1258</v>
      </c>
      <c r="D29" s="255" t="s">
        <v>169</v>
      </c>
    </row>
    <row r="30" spans="1:4" ht="15.75" customHeight="1">
      <c r="D30" s="197"/>
    </row>
  </sheetData>
  <hyperlinks>
    <hyperlink ref="B2" r:id="rId1" xr:uid="{00000000-0004-0000-0600-000000000000}"/>
    <hyperlink ref="B3" r:id="rId2" xr:uid="{00000000-0004-0000-0600-000001000000}"/>
    <hyperlink ref="B4" r:id="rId3" xr:uid="{00000000-0004-0000-0600-000002000000}"/>
    <hyperlink ref="B5" r:id="rId4" xr:uid="{00000000-0004-0000-0600-000003000000}"/>
    <hyperlink ref="B6" r:id="rId5" xr:uid="{00000000-0004-0000-0600-000004000000}"/>
    <hyperlink ref="B7" r:id="rId6" xr:uid="{00000000-0004-0000-0600-000005000000}"/>
    <hyperlink ref="B8" r:id="rId7" xr:uid="{00000000-0004-0000-0600-000006000000}"/>
    <hyperlink ref="B9" r:id="rId8" xr:uid="{00000000-0004-0000-0600-000007000000}"/>
    <hyperlink ref="B10" r:id="rId9" xr:uid="{00000000-0004-0000-0600-000008000000}"/>
    <hyperlink ref="B11" r:id="rId10" xr:uid="{00000000-0004-0000-0600-000009000000}"/>
    <hyperlink ref="B12" r:id="rId11" xr:uid="{00000000-0004-0000-0600-00000A000000}"/>
    <hyperlink ref="B13" r:id="rId12" xr:uid="{00000000-0004-0000-0600-00000B000000}"/>
    <hyperlink ref="B14" r:id="rId13" xr:uid="{00000000-0004-0000-0600-00000C000000}"/>
    <hyperlink ref="B15" r:id="rId14" xr:uid="{00000000-0004-0000-0600-00000D000000}"/>
    <hyperlink ref="B16" r:id="rId15" xr:uid="{00000000-0004-0000-0600-00000E000000}"/>
    <hyperlink ref="B17" r:id="rId16" xr:uid="{00000000-0004-0000-0600-00000F000000}"/>
    <hyperlink ref="B18" r:id="rId17" xr:uid="{00000000-0004-0000-0600-000010000000}"/>
    <hyperlink ref="B19" r:id="rId18" xr:uid="{00000000-0004-0000-0600-000011000000}"/>
    <hyperlink ref="D19" r:id="rId19" xr:uid="{00000000-0004-0000-0600-000012000000}"/>
    <hyperlink ref="B20" r:id="rId20" xr:uid="{00000000-0004-0000-0600-000013000000}"/>
    <hyperlink ref="D20" r:id="rId21" xr:uid="{00000000-0004-0000-0600-000014000000}"/>
    <hyperlink ref="B21" r:id="rId22" xr:uid="{00000000-0004-0000-0600-000015000000}"/>
    <hyperlink ref="D21" r:id="rId23" xr:uid="{00000000-0004-0000-0600-000016000000}"/>
    <hyperlink ref="B22" r:id="rId24" xr:uid="{00000000-0004-0000-0600-000017000000}"/>
    <hyperlink ref="D22" r:id="rId25" xr:uid="{00000000-0004-0000-0600-000018000000}"/>
    <hyperlink ref="B23" r:id="rId26" xr:uid="{00000000-0004-0000-0600-000019000000}"/>
    <hyperlink ref="D23" r:id="rId27" xr:uid="{00000000-0004-0000-0600-00001A000000}"/>
    <hyperlink ref="B24" r:id="rId28" xr:uid="{00000000-0004-0000-0600-00001B000000}"/>
    <hyperlink ref="D24" r:id="rId29" xr:uid="{00000000-0004-0000-0600-00001C000000}"/>
    <hyperlink ref="B25" r:id="rId30" xr:uid="{00000000-0004-0000-0600-00001D000000}"/>
    <hyperlink ref="A26" r:id="rId31" xr:uid="{00000000-0004-0000-0600-00001E000000}"/>
    <hyperlink ref="B26" r:id="rId32" xr:uid="{00000000-0004-0000-0600-00001F000000}"/>
    <hyperlink ref="D26" r:id="rId33" xr:uid="{00000000-0004-0000-0600-000020000000}"/>
    <hyperlink ref="A27" r:id="rId34" xr:uid="{00000000-0004-0000-0600-000021000000}"/>
    <hyperlink ref="B27" r:id="rId35" xr:uid="{00000000-0004-0000-0600-000022000000}"/>
    <hyperlink ref="D27" r:id="rId36" xr:uid="{00000000-0004-0000-0600-000023000000}"/>
    <hyperlink ref="B28" r:id="rId37" xr:uid="{00000000-0004-0000-0600-000024000000}"/>
    <hyperlink ref="D28" r:id="rId38" xr:uid="{00000000-0004-0000-0600-000025000000}"/>
    <hyperlink ref="A29" r:id="rId39" xr:uid="{00000000-0004-0000-0600-000026000000}"/>
    <hyperlink ref="B29" r:id="rId40" xr:uid="{00000000-0004-0000-0600-000027000000}"/>
    <hyperlink ref="D29" r:id="rId41" xr:uid="{00000000-0004-0000-0600-000028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21"/>
  <sheetViews>
    <sheetView workbookViewId="0">
      <pane ySplit="1" topLeftCell="A2" activePane="bottomLeft" state="frozen"/>
      <selection pane="bottomLeft" activeCell="B3" sqref="B3"/>
    </sheetView>
  </sheetViews>
  <sheetFormatPr defaultColWidth="12.6328125" defaultRowHeight="15.75" customHeight="1"/>
  <cols>
    <col min="2" max="2" width="33.453125" customWidth="1"/>
    <col min="5" max="5" width="40.08984375" customWidth="1"/>
  </cols>
  <sheetData>
    <row r="1" spans="1:26" ht="31">
      <c r="A1" s="247" t="s">
        <v>1225</v>
      </c>
      <c r="B1" s="247" t="s">
        <v>1226</v>
      </c>
      <c r="C1" s="247"/>
      <c r="D1" s="247" t="s">
        <v>1259</v>
      </c>
      <c r="E1" s="258" t="s">
        <v>1228</v>
      </c>
      <c r="F1" s="248"/>
      <c r="G1" s="248"/>
      <c r="H1" s="248"/>
      <c r="I1" s="248"/>
      <c r="J1" s="248"/>
      <c r="K1" s="248"/>
      <c r="L1" s="248"/>
      <c r="M1" s="248"/>
      <c r="N1" s="248"/>
      <c r="O1" s="248"/>
      <c r="P1" s="248"/>
      <c r="Q1" s="248"/>
      <c r="R1" s="248"/>
      <c r="S1" s="248"/>
      <c r="T1" s="248"/>
      <c r="U1" s="248"/>
      <c r="V1" s="248"/>
      <c r="W1" s="248"/>
      <c r="X1" s="248"/>
      <c r="Y1" s="248"/>
      <c r="Z1" s="248"/>
    </row>
    <row r="2" spans="1:26" ht="15.75" customHeight="1">
      <c r="A2" s="106"/>
      <c r="B2" s="253" t="s">
        <v>1260</v>
      </c>
      <c r="C2" s="106"/>
      <c r="D2" s="106"/>
      <c r="E2" s="197"/>
    </row>
    <row r="3" spans="1:26" ht="15.75" customHeight="1">
      <c r="A3" s="106"/>
      <c r="B3" s="253" t="s">
        <v>1261</v>
      </c>
      <c r="C3" s="106"/>
      <c r="D3" s="106"/>
      <c r="E3" s="197"/>
    </row>
    <row r="4" spans="1:26" ht="15.75" customHeight="1">
      <c r="A4" s="106"/>
      <c r="B4" s="253" t="s">
        <v>1262</v>
      </c>
      <c r="C4" s="106"/>
      <c r="D4" s="106"/>
      <c r="E4" s="197"/>
    </row>
    <row r="5" spans="1:26" ht="15.75" customHeight="1">
      <c r="A5" s="106"/>
      <c r="B5" s="253" t="s">
        <v>1263</v>
      </c>
      <c r="C5" s="106"/>
      <c r="D5" s="106"/>
      <c r="E5" s="197"/>
    </row>
    <row r="6" spans="1:26" ht="15.75" customHeight="1">
      <c r="A6" s="106"/>
      <c r="B6" s="253" t="s">
        <v>1264</v>
      </c>
      <c r="C6" s="106"/>
      <c r="D6" s="106"/>
      <c r="E6" s="197"/>
    </row>
    <row r="7" spans="1:26" ht="15.75" customHeight="1">
      <c r="A7" s="106"/>
      <c r="B7" s="253" t="s">
        <v>1265</v>
      </c>
      <c r="C7" s="106"/>
      <c r="D7" s="106"/>
      <c r="E7" s="197"/>
    </row>
    <row r="8" spans="1:26" ht="15.75" customHeight="1">
      <c r="A8" s="106"/>
      <c r="B8" s="253" t="s">
        <v>1266</v>
      </c>
      <c r="C8" s="106"/>
      <c r="D8" s="106"/>
      <c r="E8" s="197"/>
    </row>
    <row r="9" spans="1:26" ht="15.75" customHeight="1">
      <c r="A9" s="106"/>
      <c r="B9" s="253" t="s">
        <v>1267</v>
      </c>
      <c r="C9" s="106"/>
      <c r="D9" s="106"/>
      <c r="E9" s="197"/>
    </row>
    <row r="10" spans="1:26" ht="15.75" customHeight="1">
      <c r="A10" s="106"/>
      <c r="B10" s="253" t="s">
        <v>1268</v>
      </c>
      <c r="C10" s="106"/>
      <c r="D10" s="106"/>
      <c r="E10" s="197"/>
    </row>
    <row r="11" spans="1:26" ht="15.75" customHeight="1">
      <c r="A11" s="106"/>
      <c r="B11" s="253" t="s">
        <v>1269</v>
      </c>
      <c r="C11" s="106"/>
      <c r="D11" s="106"/>
      <c r="E11" s="197"/>
    </row>
    <row r="12" spans="1:26" ht="15.75" customHeight="1">
      <c r="A12" s="106"/>
      <c r="B12" s="253" t="s">
        <v>1270</v>
      </c>
      <c r="C12" s="106"/>
      <c r="D12" s="106"/>
      <c r="E12" s="197"/>
    </row>
    <row r="13" spans="1:26" ht="15.75" customHeight="1">
      <c r="A13" s="106"/>
      <c r="B13" s="253" t="s">
        <v>1271</v>
      </c>
      <c r="C13" s="106"/>
      <c r="D13" s="106"/>
      <c r="E13" s="197"/>
    </row>
    <row r="14" spans="1:26" ht="15.75" customHeight="1">
      <c r="A14" s="106"/>
      <c r="B14" s="253" t="s">
        <v>1272</v>
      </c>
      <c r="C14" s="106"/>
      <c r="D14" s="106"/>
      <c r="E14" s="197"/>
    </row>
    <row r="15" spans="1:26" ht="15.75" customHeight="1">
      <c r="A15" s="106"/>
      <c r="B15" s="253" t="s">
        <v>1273</v>
      </c>
      <c r="C15" s="106"/>
      <c r="D15" s="106"/>
      <c r="E15" s="197"/>
    </row>
    <row r="16" spans="1:26" ht="15.75" customHeight="1">
      <c r="A16" s="106"/>
      <c r="B16" s="253" t="s">
        <v>1274</v>
      </c>
      <c r="C16" s="106"/>
      <c r="D16" s="106"/>
      <c r="E16" s="197"/>
    </row>
    <row r="17" spans="1:5" ht="15.75" customHeight="1">
      <c r="A17" s="253" t="s">
        <v>136</v>
      </c>
      <c r="B17" s="259" t="s">
        <v>1275</v>
      </c>
      <c r="C17" s="106"/>
      <c r="D17" s="197"/>
      <c r="E17" s="253" t="s">
        <v>135</v>
      </c>
    </row>
    <row r="18" spans="1:5" ht="15.75" customHeight="1">
      <c r="A18" s="253" t="s">
        <v>141</v>
      </c>
      <c r="B18" s="259" t="s">
        <v>1276</v>
      </c>
      <c r="C18" s="106"/>
      <c r="D18" s="197"/>
      <c r="E18" s="253" t="s">
        <v>140</v>
      </c>
    </row>
    <row r="19" spans="1:5" ht="15.75" customHeight="1">
      <c r="A19" s="106"/>
      <c r="B19" s="197"/>
      <c r="C19" s="106"/>
      <c r="D19" s="197"/>
      <c r="E19" s="197"/>
    </row>
    <row r="20" spans="1:5" ht="15.75" customHeight="1">
      <c r="A20" s="197"/>
      <c r="B20" s="197"/>
      <c r="C20" s="197"/>
      <c r="D20" s="197"/>
      <c r="E20" s="4"/>
    </row>
    <row r="21" spans="1:5" ht="15.75" customHeight="1">
      <c r="A21" s="197"/>
      <c r="B21" s="197"/>
      <c r="C21" s="197"/>
      <c r="D21" s="197"/>
      <c r="E21" s="4"/>
    </row>
  </sheetData>
  <hyperlinks>
    <hyperlink ref="B2" r:id="rId1" xr:uid="{00000000-0004-0000-0700-000000000000}"/>
    <hyperlink ref="B3" r:id="rId2" xr:uid="{00000000-0004-0000-0700-000001000000}"/>
    <hyperlink ref="B4" r:id="rId3" xr:uid="{00000000-0004-0000-0700-000002000000}"/>
    <hyperlink ref="B5" r:id="rId4" xr:uid="{00000000-0004-0000-0700-000003000000}"/>
    <hyperlink ref="B6" r:id="rId5" xr:uid="{00000000-0004-0000-0700-000004000000}"/>
    <hyperlink ref="B7" r:id="rId6" xr:uid="{00000000-0004-0000-0700-000005000000}"/>
    <hyperlink ref="B8" r:id="rId7" xr:uid="{00000000-0004-0000-0700-000006000000}"/>
    <hyperlink ref="B9" r:id="rId8" xr:uid="{00000000-0004-0000-0700-000007000000}"/>
    <hyperlink ref="B10" r:id="rId9" xr:uid="{00000000-0004-0000-0700-000008000000}"/>
    <hyperlink ref="B11" r:id="rId10" xr:uid="{00000000-0004-0000-0700-000009000000}"/>
    <hyperlink ref="B12" r:id="rId11" xr:uid="{00000000-0004-0000-0700-00000A000000}"/>
    <hyperlink ref="B13" r:id="rId12" xr:uid="{00000000-0004-0000-0700-00000B000000}"/>
    <hyperlink ref="B14" r:id="rId13" xr:uid="{00000000-0004-0000-0700-00000C000000}"/>
    <hyperlink ref="B15" r:id="rId14" xr:uid="{00000000-0004-0000-0700-00000D000000}"/>
    <hyperlink ref="B16" r:id="rId15" xr:uid="{00000000-0004-0000-0700-00000E000000}"/>
    <hyperlink ref="A17" r:id="rId16" xr:uid="{00000000-0004-0000-0700-00000F000000}"/>
    <hyperlink ref="B17" r:id="rId17" xr:uid="{00000000-0004-0000-0700-000010000000}"/>
    <hyperlink ref="E17" r:id="rId18" xr:uid="{00000000-0004-0000-0700-000011000000}"/>
    <hyperlink ref="A18" r:id="rId19" xr:uid="{00000000-0004-0000-0700-000012000000}"/>
    <hyperlink ref="B18" r:id="rId20" xr:uid="{00000000-0004-0000-0700-000013000000}"/>
    <hyperlink ref="E18" r:id="rId21" xr:uid="{00000000-0004-0000-0700-00001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7</vt:i4>
      </vt:variant>
    </vt:vector>
  </HeadingPairs>
  <TitlesOfParts>
    <vt:vector size="7" baseType="lpstr">
      <vt:lpstr>Intercoder reliability check</vt:lpstr>
      <vt:lpstr>Coding using Matrix</vt:lpstr>
      <vt:lpstr>Coding Matrix Copy Original</vt:lpstr>
      <vt:lpstr>Profile matrix </vt:lpstr>
      <vt:lpstr>DESIGNTHINGS</vt:lpstr>
      <vt:lpstr>Bad Accounts</vt:lpstr>
      <vt:lpstr>Good Accounts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Helge Moes</cp:lastModifiedBy>
  <dcterms:modified xsi:type="dcterms:W3CDTF">2024-01-19T12:35:57Z</dcterms:modified>
</cp:coreProperties>
</file>