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hool\fall2016\stoch_hydro\hw3\"/>
    </mc:Choice>
  </mc:AlternateContent>
  <bookViews>
    <workbookView xWindow="0" yWindow="0" windowWidth="23028" windowHeight="10236" activeTab="3"/>
  </bookViews>
  <sheets>
    <sheet name="p1_chisq" sheetId="3" r:id="rId1"/>
    <sheet name="p1_ks" sheetId="4" r:id="rId2"/>
    <sheet name="p2_ev1" sheetId="5" r:id="rId3"/>
    <sheet name="p2_lp3" sheetId="7" r:id="rId4"/>
  </sheets>
  <definedNames>
    <definedName name="_xlnm._FilterDatabase" localSheetId="2" hidden="1">p2_ev1!$A$9:$F$9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N37" i="7" l="1"/>
  <c r="M39" i="5"/>
  <c r="P38" i="5"/>
  <c r="M37" i="5" s="1"/>
  <c r="O29" i="7"/>
  <c r="M11" i="3"/>
  <c r="N11" i="3" s="1"/>
  <c r="I11" i="3"/>
  <c r="J11" i="3" s="1"/>
  <c r="N45" i="7"/>
  <c r="N27" i="5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F3" i="7" l="1"/>
  <c r="F2" i="7"/>
  <c r="D91" i="7"/>
  <c r="D92" i="7"/>
  <c r="D93" i="7"/>
  <c r="D94" i="7"/>
  <c r="D95" i="7"/>
  <c r="D96" i="7"/>
  <c r="N26" i="7"/>
  <c r="N28" i="7" s="1"/>
  <c r="M24" i="5"/>
  <c r="M26" i="5" s="1"/>
  <c r="B5" i="5"/>
  <c r="B2" i="5"/>
  <c r="B3" i="5" s="1"/>
  <c r="B1" i="5"/>
  <c r="H21" i="3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12" i="4"/>
  <c r="B7" i="4"/>
  <c r="H19" i="3"/>
  <c r="M12" i="3"/>
  <c r="M13" i="3"/>
  <c r="M14" i="3"/>
  <c r="M15" i="3"/>
  <c r="M16" i="3"/>
  <c r="G16" i="3"/>
  <c r="K11" i="3" s="1"/>
  <c r="G15" i="3"/>
  <c r="G14" i="3"/>
  <c r="G13" i="3"/>
  <c r="G12" i="3"/>
  <c r="H12" i="3" s="1"/>
  <c r="G11" i="3"/>
  <c r="H11" i="3" s="1"/>
  <c r="I13" i="3"/>
  <c r="I16" i="3"/>
  <c r="I14" i="3"/>
  <c r="I15" i="3"/>
  <c r="J15" i="3" s="1"/>
  <c r="I12" i="3"/>
  <c r="J12" i="3" s="1"/>
  <c r="M16" i="4" l="1"/>
  <c r="K16" i="4"/>
  <c r="D14" i="4"/>
  <c r="H14" i="4" s="1"/>
  <c r="D12" i="4"/>
  <c r="H12" i="4" s="1"/>
  <c r="D54" i="4"/>
  <c r="H54" i="4" s="1"/>
  <c r="D46" i="4"/>
  <c r="H46" i="4" s="1"/>
  <c r="D38" i="4"/>
  <c r="H38" i="4" s="1"/>
  <c r="D30" i="4"/>
  <c r="H30" i="4" s="1"/>
  <c r="D22" i="4"/>
  <c r="H22" i="4" s="1"/>
  <c r="D16" i="5"/>
  <c r="M38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D72" i="5"/>
  <c r="D40" i="5"/>
  <c r="D96" i="5"/>
  <c r="D32" i="5"/>
  <c r="D64" i="5"/>
  <c r="D56" i="5"/>
  <c r="D48" i="5"/>
  <c r="D88" i="5"/>
  <c r="D23" i="5"/>
  <c r="D80" i="5"/>
  <c r="D15" i="5"/>
  <c r="D95" i="5"/>
  <c r="D87" i="5"/>
  <c r="D79" i="5"/>
  <c r="D71" i="5"/>
  <c r="D63" i="5"/>
  <c r="D55" i="5"/>
  <c r="D47" i="5"/>
  <c r="D39" i="5"/>
  <c r="D31" i="5"/>
  <c r="D22" i="5"/>
  <c r="D14" i="5"/>
  <c r="D94" i="5"/>
  <c r="D86" i="5"/>
  <c r="D78" i="5"/>
  <c r="D70" i="5"/>
  <c r="D62" i="5"/>
  <c r="D54" i="5"/>
  <c r="D46" i="5"/>
  <c r="D38" i="5"/>
  <c r="D30" i="5"/>
  <c r="D21" i="5"/>
  <c r="D13" i="5"/>
  <c r="D93" i="5"/>
  <c r="D85" i="5"/>
  <c r="D77" i="5"/>
  <c r="D69" i="5"/>
  <c r="D61" i="5"/>
  <c r="D53" i="5"/>
  <c r="D45" i="5"/>
  <c r="D37" i="5"/>
  <c r="D29" i="5"/>
  <c r="D20" i="5"/>
  <c r="D12" i="5"/>
  <c r="D92" i="5"/>
  <c r="D84" i="5"/>
  <c r="D76" i="5"/>
  <c r="D68" i="5"/>
  <c r="D60" i="5"/>
  <c r="D52" i="5"/>
  <c r="D44" i="5"/>
  <c r="D36" i="5"/>
  <c r="D28" i="5"/>
  <c r="D19" i="5"/>
  <c r="D11" i="5"/>
  <c r="D91" i="5"/>
  <c r="D83" i="5"/>
  <c r="D75" i="5"/>
  <c r="D67" i="5"/>
  <c r="D59" i="5"/>
  <c r="D51" i="5"/>
  <c r="D43" i="5"/>
  <c r="D35" i="5"/>
  <c r="D27" i="5"/>
  <c r="D18" i="5"/>
  <c r="D26" i="5"/>
  <c r="D10" i="5"/>
  <c r="D90" i="5"/>
  <c r="D82" i="5"/>
  <c r="D74" i="5"/>
  <c r="D66" i="5"/>
  <c r="D58" i="5"/>
  <c r="D50" i="5"/>
  <c r="D42" i="5"/>
  <c r="D34" i="5"/>
  <c r="D25" i="5"/>
  <c r="D17" i="5"/>
  <c r="D97" i="5"/>
  <c r="D89" i="5"/>
  <c r="D81" i="5"/>
  <c r="D73" i="5"/>
  <c r="D65" i="5"/>
  <c r="D57" i="5"/>
  <c r="D49" i="5"/>
  <c r="D41" i="5"/>
  <c r="D33" i="5"/>
  <c r="D24" i="5"/>
  <c r="B4" i="5"/>
  <c r="D61" i="4"/>
  <c r="D53" i="4"/>
  <c r="D45" i="4"/>
  <c r="D37" i="4"/>
  <c r="D29" i="4"/>
  <c r="D21" i="4"/>
  <c r="D13" i="4"/>
  <c r="D60" i="4"/>
  <c r="D52" i="4"/>
  <c r="D44" i="4"/>
  <c r="D36" i="4"/>
  <c r="D28" i="4"/>
  <c r="D20" i="4"/>
  <c r="D59" i="4"/>
  <c r="D51" i="4"/>
  <c r="D43" i="4"/>
  <c r="D35" i="4"/>
  <c r="D27" i="4"/>
  <c r="D19" i="4"/>
  <c r="F12" i="4"/>
  <c r="F54" i="4"/>
  <c r="F22" i="4"/>
  <c r="D58" i="4"/>
  <c r="D50" i="4"/>
  <c r="D42" i="4"/>
  <c r="D34" i="4"/>
  <c r="D26" i="4"/>
  <c r="D18" i="4"/>
  <c r="D57" i="4"/>
  <c r="D49" i="4"/>
  <c r="D41" i="4"/>
  <c r="D33" i="4"/>
  <c r="D25" i="4"/>
  <c r="D17" i="4"/>
  <c r="D56" i="4"/>
  <c r="D48" i="4"/>
  <c r="D40" i="4"/>
  <c r="D32" i="4"/>
  <c r="D24" i="4"/>
  <c r="D16" i="4"/>
  <c r="D55" i="4"/>
  <c r="D47" i="4"/>
  <c r="D39" i="4"/>
  <c r="D31" i="4"/>
  <c r="D23" i="4"/>
  <c r="D15" i="4"/>
  <c r="H13" i="3"/>
  <c r="H14" i="3"/>
  <c r="J13" i="3"/>
  <c r="H15" i="3"/>
  <c r="H16" i="3"/>
  <c r="O11" i="3"/>
  <c r="P11" i="3" s="1"/>
  <c r="J14" i="3"/>
  <c r="N15" i="3"/>
  <c r="O15" i="3" s="1"/>
  <c r="J16" i="3"/>
  <c r="N14" i="3"/>
  <c r="O14" i="3" s="1"/>
  <c r="P14" i="3" s="1"/>
  <c r="N16" i="3"/>
  <c r="O16" i="3" s="1"/>
  <c r="N13" i="3"/>
  <c r="O13" i="3" s="1"/>
  <c r="N12" i="3"/>
  <c r="O12" i="3" s="1"/>
  <c r="P12" i="3" s="1"/>
  <c r="F30" i="4" l="1"/>
  <c r="F38" i="4"/>
  <c r="P16" i="3"/>
  <c r="F46" i="4"/>
  <c r="F14" i="4"/>
  <c r="E40" i="5"/>
  <c r="M36" i="5"/>
  <c r="F92" i="5"/>
  <c r="F14" i="5"/>
  <c r="F88" i="5"/>
  <c r="F51" i="5"/>
  <c r="F31" i="5"/>
  <c r="F28" i="5"/>
  <c r="F16" i="5"/>
  <c r="F64" i="5"/>
  <c r="F86" i="5"/>
  <c r="F72" i="5"/>
  <c r="F62" i="5"/>
  <c r="F39" i="5"/>
  <c r="F91" i="5"/>
  <c r="G92" i="5" s="1"/>
  <c r="F94" i="5"/>
  <c r="F26" i="5"/>
  <c r="F34" i="5"/>
  <c r="E41" i="5"/>
  <c r="E56" i="5"/>
  <c r="F97" i="5"/>
  <c r="F84" i="5"/>
  <c r="F22" i="5"/>
  <c r="F49" i="5"/>
  <c r="G50" i="5" s="1"/>
  <c r="F68" i="5"/>
  <c r="F85" i="5"/>
  <c r="F66" i="5"/>
  <c r="F35" i="5"/>
  <c r="F60" i="5"/>
  <c r="F36" i="5"/>
  <c r="F47" i="5"/>
  <c r="F46" i="5"/>
  <c r="F27" i="5"/>
  <c r="G27" i="5" s="1"/>
  <c r="F38" i="5"/>
  <c r="F89" i="5"/>
  <c r="F95" i="5"/>
  <c r="F24" i="5"/>
  <c r="E63" i="5"/>
  <c r="F56" i="5"/>
  <c r="E30" i="5"/>
  <c r="E74" i="5"/>
  <c r="E43" i="5"/>
  <c r="E19" i="5"/>
  <c r="F37" i="5"/>
  <c r="E49" i="5"/>
  <c r="E17" i="5"/>
  <c r="E46" i="5"/>
  <c r="F78" i="5"/>
  <c r="E61" i="5"/>
  <c r="E14" i="5"/>
  <c r="E59" i="5"/>
  <c r="E36" i="5"/>
  <c r="E12" i="5"/>
  <c r="E65" i="5"/>
  <c r="E34" i="5"/>
  <c r="F19" i="5"/>
  <c r="E57" i="5"/>
  <c r="E25" i="5"/>
  <c r="E51" i="5"/>
  <c r="E28" i="5"/>
  <c r="E69" i="5"/>
  <c r="E38" i="5"/>
  <c r="E71" i="5"/>
  <c r="F61" i="5"/>
  <c r="G62" i="5" s="1"/>
  <c r="E23" i="5"/>
  <c r="E81" i="5"/>
  <c r="E89" i="5"/>
  <c r="E97" i="5"/>
  <c r="E26" i="5"/>
  <c r="E82" i="5"/>
  <c r="E90" i="5"/>
  <c r="E10" i="5"/>
  <c r="E75" i="5"/>
  <c r="E83" i="5"/>
  <c r="E91" i="5"/>
  <c r="E76" i="5"/>
  <c r="E84" i="5"/>
  <c r="E92" i="5"/>
  <c r="E77" i="5"/>
  <c r="E85" i="5"/>
  <c r="E93" i="5"/>
  <c r="E96" i="5"/>
  <c r="E78" i="5"/>
  <c r="E86" i="5"/>
  <c r="E94" i="5"/>
  <c r="E80" i="5"/>
  <c r="E88" i="5"/>
  <c r="E79" i="5"/>
  <c r="E87" i="5"/>
  <c r="E95" i="5"/>
  <c r="E15" i="5"/>
  <c r="E73" i="5"/>
  <c r="E42" i="5"/>
  <c r="E64" i="5"/>
  <c r="E67" i="5"/>
  <c r="E44" i="5"/>
  <c r="E20" i="5"/>
  <c r="E54" i="5"/>
  <c r="E22" i="5"/>
  <c r="E50" i="5"/>
  <c r="E52" i="5"/>
  <c r="E29" i="5"/>
  <c r="E62" i="5"/>
  <c r="E31" i="5"/>
  <c r="F76" i="5"/>
  <c r="E24" i="5"/>
  <c r="E58" i="5"/>
  <c r="E18" i="5"/>
  <c r="E60" i="5"/>
  <c r="E37" i="5"/>
  <c r="E32" i="5"/>
  <c r="E70" i="5"/>
  <c r="E39" i="5"/>
  <c r="E48" i="5"/>
  <c r="F50" i="5"/>
  <c r="G51" i="5" s="1"/>
  <c r="E33" i="5"/>
  <c r="E66" i="5"/>
  <c r="E27" i="5"/>
  <c r="E68" i="5"/>
  <c r="E45" i="5"/>
  <c r="E13" i="5"/>
  <c r="E47" i="5"/>
  <c r="E72" i="5"/>
  <c r="E35" i="5"/>
  <c r="E11" i="5"/>
  <c r="E53" i="5"/>
  <c r="E21" i="5"/>
  <c r="E55" i="5"/>
  <c r="E16" i="5"/>
  <c r="F21" i="5"/>
  <c r="F65" i="5"/>
  <c r="G66" i="5" s="1"/>
  <c r="F80" i="5"/>
  <c r="F29" i="5"/>
  <c r="F17" i="5"/>
  <c r="F63" i="5"/>
  <c r="G64" i="5" s="1"/>
  <c r="F69" i="5"/>
  <c r="F73" i="5"/>
  <c r="G73" i="5" s="1"/>
  <c r="F71" i="5"/>
  <c r="G72" i="5" s="1"/>
  <c r="F12" i="5"/>
  <c r="F48" i="5"/>
  <c r="F55" i="5"/>
  <c r="G56" i="5" s="1"/>
  <c r="F59" i="5"/>
  <c r="F77" i="5"/>
  <c r="G77" i="5" s="1"/>
  <c r="F13" i="5"/>
  <c r="G14" i="5" s="1"/>
  <c r="F42" i="5"/>
  <c r="F70" i="5"/>
  <c r="F44" i="5"/>
  <c r="F11" i="5"/>
  <c r="F10" i="5"/>
  <c r="G10" i="5" s="1"/>
  <c r="F67" i="5"/>
  <c r="F25" i="5"/>
  <c r="F41" i="5"/>
  <c r="F53" i="5"/>
  <c r="F74" i="5"/>
  <c r="F81" i="5"/>
  <c r="F82" i="5"/>
  <c r="G37" i="5"/>
  <c r="F20" i="5"/>
  <c r="G20" i="5" s="1"/>
  <c r="F96" i="5"/>
  <c r="G96" i="5" s="1"/>
  <c r="F58" i="5"/>
  <c r="F15" i="5"/>
  <c r="G15" i="5" s="1"/>
  <c r="F32" i="5"/>
  <c r="F23" i="5"/>
  <c r="F75" i="5"/>
  <c r="F52" i="5"/>
  <c r="G52" i="5" s="1"/>
  <c r="F79" i="5"/>
  <c r="F30" i="5"/>
  <c r="F93" i="5"/>
  <c r="F33" i="5"/>
  <c r="F45" i="5"/>
  <c r="F57" i="5"/>
  <c r="F40" i="5"/>
  <c r="G40" i="5" s="1"/>
  <c r="F87" i="5"/>
  <c r="G88" i="5" s="1"/>
  <c r="F54" i="5"/>
  <c r="G36" i="5"/>
  <c r="G33" i="5"/>
  <c r="F83" i="5"/>
  <c r="G89" i="5"/>
  <c r="F18" i="5"/>
  <c r="F90" i="5"/>
  <c r="G90" i="5" s="1"/>
  <c r="F43" i="5"/>
  <c r="H48" i="4"/>
  <c r="F48" i="4"/>
  <c r="H52" i="4"/>
  <c r="F52" i="4"/>
  <c r="H39" i="4"/>
  <c r="F39" i="4"/>
  <c r="H47" i="4"/>
  <c r="F47" i="4"/>
  <c r="H51" i="4"/>
  <c r="F51" i="4"/>
  <c r="H55" i="4"/>
  <c r="F55" i="4"/>
  <c r="H17" i="4"/>
  <c r="F17" i="4"/>
  <c r="F34" i="4"/>
  <c r="H34" i="4"/>
  <c r="H59" i="4"/>
  <c r="F59" i="4"/>
  <c r="H21" i="4"/>
  <c r="F21" i="4"/>
  <c r="F57" i="4"/>
  <c r="H57" i="4"/>
  <c r="H35" i="4"/>
  <c r="F35" i="4"/>
  <c r="H61" i="4"/>
  <c r="F61" i="4"/>
  <c r="H56" i="4"/>
  <c r="F56" i="4"/>
  <c r="F18" i="4"/>
  <c r="H18" i="4"/>
  <c r="H43" i="4"/>
  <c r="F43" i="4"/>
  <c r="H60" i="4"/>
  <c r="F60" i="4"/>
  <c r="F26" i="4"/>
  <c r="H26" i="4"/>
  <c r="H13" i="4"/>
  <c r="F13" i="4"/>
  <c r="H16" i="4"/>
  <c r="F16" i="4"/>
  <c r="F25" i="4"/>
  <c r="H25" i="4"/>
  <c r="F42" i="4"/>
  <c r="H42" i="4"/>
  <c r="H20" i="4"/>
  <c r="F20" i="4"/>
  <c r="H29" i="4"/>
  <c r="F29" i="4"/>
  <c r="H31" i="4"/>
  <c r="F31" i="4"/>
  <c r="H24" i="4"/>
  <c r="F24" i="4"/>
  <c r="F33" i="4"/>
  <c r="H33" i="4"/>
  <c r="F50" i="4"/>
  <c r="H50" i="4"/>
  <c r="H28" i="4"/>
  <c r="F28" i="4"/>
  <c r="H37" i="4"/>
  <c r="F37" i="4"/>
  <c r="H15" i="4"/>
  <c r="F15" i="4"/>
  <c r="H32" i="4"/>
  <c r="F32" i="4"/>
  <c r="F41" i="4"/>
  <c r="H41" i="4"/>
  <c r="F58" i="4"/>
  <c r="H58" i="4"/>
  <c r="H19" i="4"/>
  <c r="F19" i="4"/>
  <c r="H36" i="4"/>
  <c r="F36" i="4"/>
  <c r="H45" i="4"/>
  <c r="F45" i="4"/>
  <c r="H23" i="4"/>
  <c r="F23" i="4"/>
  <c r="H40" i="4"/>
  <c r="F40" i="4"/>
  <c r="F49" i="4"/>
  <c r="H49" i="4"/>
  <c r="H27" i="4"/>
  <c r="F27" i="4"/>
  <c r="H44" i="4"/>
  <c r="F44" i="4"/>
  <c r="H53" i="4"/>
  <c r="F53" i="4"/>
  <c r="P13" i="3"/>
  <c r="P17" i="3" s="1"/>
  <c r="P15" i="3"/>
  <c r="K13" i="3"/>
  <c r="L13" i="3" s="1"/>
  <c r="K13" i="4" l="1"/>
  <c r="J18" i="4" s="1"/>
  <c r="M40" i="5"/>
  <c r="M41" i="5"/>
  <c r="O20" i="3"/>
  <c r="P21" i="3"/>
  <c r="G57" i="5"/>
  <c r="G23" i="5"/>
  <c r="G32" i="5"/>
  <c r="G22" i="5"/>
  <c r="G39" i="5"/>
  <c r="G85" i="5"/>
  <c r="G35" i="5"/>
  <c r="G68" i="5"/>
  <c r="G17" i="5"/>
  <c r="G47" i="5"/>
  <c r="G95" i="5"/>
  <c r="G24" i="5"/>
  <c r="G69" i="5"/>
  <c r="G25" i="5"/>
  <c r="G28" i="5"/>
  <c r="G60" i="5"/>
  <c r="G81" i="5"/>
  <c r="G79" i="5"/>
  <c r="G26" i="5"/>
  <c r="G49" i="5"/>
  <c r="G29" i="5"/>
  <c r="G34" i="5"/>
  <c r="G74" i="5"/>
  <c r="G13" i="5"/>
  <c r="G94" i="5"/>
  <c r="G86" i="5"/>
  <c r="G61" i="5"/>
  <c r="G38" i="5"/>
  <c r="G67" i="5"/>
  <c r="G43" i="5"/>
  <c r="G63" i="5"/>
  <c r="G78" i="5"/>
  <c r="G71" i="5"/>
  <c r="G30" i="5"/>
  <c r="G42" i="5"/>
  <c r="G16" i="5"/>
  <c r="G80" i="5"/>
  <c r="B6" i="5"/>
  <c r="I72" i="5" s="1"/>
  <c r="G54" i="5"/>
  <c r="G75" i="5"/>
  <c r="G65" i="5"/>
  <c r="G45" i="5"/>
  <c r="G87" i="5"/>
  <c r="G31" i="5"/>
  <c r="G44" i="5"/>
  <c r="G48" i="5"/>
  <c r="G93" i="5"/>
  <c r="G83" i="5"/>
  <c r="G11" i="5"/>
  <c r="G18" i="5"/>
  <c r="G53" i="5"/>
  <c r="G76" i="5"/>
  <c r="G55" i="5"/>
  <c r="G59" i="5"/>
  <c r="G97" i="5"/>
  <c r="G46" i="5"/>
  <c r="G41" i="5"/>
  <c r="G82" i="5"/>
  <c r="G70" i="5"/>
  <c r="G58" i="5"/>
  <c r="G12" i="5"/>
  <c r="G21" i="5"/>
  <c r="G84" i="5"/>
  <c r="G19" i="5"/>
  <c r="G91" i="5"/>
  <c r="M13" i="4"/>
  <c r="L18" i="4" s="1"/>
  <c r="K12" i="3"/>
  <c r="L12" i="3" s="1"/>
  <c r="L11" i="3"/>
  <c r="K16" i="3"/>
  <c r="L16" i="3" s="1"/>
  <c r="K15" i="3"/>
  <c r="L15" i="3" s="1"/>
  <c r="K14" i="3"/>
  <c r="L14" i="3" s="1"/>
  <c r="L17" i="3" l="1"/>
  <c r="I65" i="5"/>
  <c r="I66" i="5"/>
  <c r="I41" i="5"/>
  <c r="I88" i="5"/>
  <c r="I95" i="5"/>
  <c r="I22" i="5"/>
  <c r="I84" i="5"/>
  <c r="I36" i="5"/>
  <c r="J78" i="5"/>
  <c r="I40" i="5"/>
  <c r="I54" i="5"/>
  <c r="I19" i="5"/>
  <c r="I24" i="5"/>
  <c r="I28" i="5"/>
  <c r="I57" i="5"/>
  <c r="I94" i="5"/>
  <c r="I38" i="5"/>
  <c r="I35" i="5"/>
  <c r="I67" i="5"/>
  <c r="I30" i="5"/>
  <c r="I68" i="5"/>
  <c r="I43" i="5"/>
  <c r="I39" i="5"/>
  <c r="I59" i="5"/>
  <c r="I48" i="5"/>
  <c r="I97" i="5"/>
  <c r="I93" i="5"/>
  <c r="I42" i="5"/>
  <c r="I82" i="5"/>
  <c r="I87" i="5"/>
  <c r="I62" i="5"/>
  <c r="J10" i="5"/>
  <c r="I53" i="5"/>
  <c r="I32" i="5"/>
  <c r="I14" i="5"/>
  <c r="I51" i="5"/>
  <c r="I47" i="5"/>
  <c r="I52" i="5"/>
  <c r="I92" i="5"/>
  <c r="I46" i="5"/>
  <c r="I37" i="5"/>
  <c r="I10" i="5"/>
  <c r="I13" i="5"/>
  <c r="I76" i="5"/>
  <c r="I25" i="5"/>
  <c r="I55" i="5"/>
  <c r="I89" i="5"/>
  <c r="I16" i="5"/>
  <c r="I86" i="5"/>
  <c r="I49" i="5"/>
  <c r="I18" i="5"/>
  <c r="I80" i="5"/>
  <c r="I34" i="5"/>
  <c r="I27" i="5"/>
  <c r="I85" i="5"/>
  <c r="I81" i="5"/>
  <c r="I91" i="5"/>
  <c r="I23" i="5"/>
  <c r="I73" i="5"/>
  <c r="I12" i="5"/>
  <c r="I33" i="5"/>
  <c r="I64" i="5"/>
  <c r="I71" i="5"/>
  <c r="I11" i="5"/>
  <c r="I79" i="5"/>
  <c r="I61" i="5"/>
  <c r="I83" i="5"/>
  <c r="I74" i="5"/>
  <c r="I78" i="5"/>
  <c r="I45" i="5"/>
  <c r="I50" i="5"/>
  <c r="I69" i="5"/>
  <c r="I63" i="5"/>
  <c r="I29" i="5"/>
  <c r="I90" i="5"/>
  <c r="I21" i="5"/>
  <c r="I44" i="5"/>
  <c r="I75" i="5"/>
  <c r="I96" i="5"/>
  <c r="I20" i="5"/>
  <c r="I15" i="5"/>
  <c r="I56" i="5"/>
  <c r="I58" i="5"/>
  <c r="I26" i="5"/>
  <c r="I17" i="5"/>
  <c r="I60" i="5"/>
  <c r="I77" i="5"/>
  <c r="I31" i="5"/>
  <c r="I70" i="5"/>
  <c r="J29" i="5"/>
  <c r="J88" i="5"/>
  <c r="J71" i="5"/>
  <c r="J82" i="5"/>
  <c r="J36" i="5"/>
  <c r="J64" i="5"/>
  <c r="J40" i="5"/>
  <c r="J56" i="5"/>
  <c r="J41" i="5"/>
  <c r="J74" i="5"/>
  <c r="J67" i="5"/>
  <c r="J11" i="5"/>
  <c r="J31" i="5"/>
  <c r="J42" i="5"/>
  <c r="J25" i="5"/>
  <c r="J87" i="5"/>
  <c r="J21" i="5"/>
  <c r="J81" i="5"/>
  <c r="J54" i="5"/>
  <c r="J48" i="5"/>
  <c r="J72" i="5"/>
  <c r="J12" i="5"/>
  <c r="J86" i="5"/>
  <c r="J38" i="5"/>
  <c r="J46" i="5"/>
  <c r="J92" i="5"/>
  <c r="J60" i="5"/>
  <c r="J16" i="5"/>
  <c r="J28" i="5"/>
  <c r="J15" i="5"/>
  <c r="J47" i="5"/>
  <c r="J69" i="5"/>
  <c r="J73" i="5"/>
  <c r="J84" i="5"/>
  <c r="J90" i="5"/>
  <c r="J43" i="5"/>
  <c r="J85" i="5"/>
  <c r="J63" i="5"/>
  <c r="J23" i="5"/>
  <c r="J20" i="5"/>
  <c r="J33" i="5"/>
  <c r="J83" i="5"/>
  <c r="J39" i="5"/>
  <c r="J34" i="5"/>
  <c r="J89" i="5"/>
  <c r="J22" i="5"/>
  <c r="J52" i="5"/>
  <c r="J50" i="5"/>
  <c r="J17" i="5"/>
  <c r="J94" i="5"/>
  <c r="J62" i="5"/>
  <c r="J66" i="5"/>
  <c r="J32" i="5"/>
  <c r="J26" i="5"/>
  <c r="J97" i="5"/>
  <c r="J80" i="5"/>
  <c r="J77" i="5"/>
  <c r="J37" i="5"/>
  <c r="J61" i="5"/>
  <c r="J79" i="5"/>
  <c r="J68" i="5"/>
  <c r="J19" i="5"/>
  <c r="J75" i="5"/>
  <c r="J70" i="5"/>
  <c r="J59" i="5"/>
  <c r="J96" i="5"/>
  <c r="J13" i="5"/>
  <c r="J35" i="5"/>
  <c r="J30" i="5"/>
  <c r="J91" i="5"/>
  <c r="J49" i="5"/>
  <c r="J76" i="5"/>
  <c r="J58" i="5"/>
  <c r="J65" i="5"/>
  <c r="J18" i="5"/>
  <c r="J27" i="5"/>
  <c r="J57" i="5"/>
  <c r="J44" i="5"/>
  <c r="J53" i="5"/>
  <c r="J14" i="5"/>
  <c r="J93" i="5"/>
  <c r="J45" i="5"/>
  <c r="J51" i="5"/>
  <c r="J95" i="5"/>
  <c r="J55" i="5"/>
  <c r="J24" i="5"/>
  <c r="K20" i="3" l="1"/>
  <c r="L21" i="3"/>
  <c r="M27" i="5"/>
  <c r="L29" i="5" s="1"/>
  <c r="D82" i="7"/>
  <c r="D78" i="7"/>
  <c r="D40" i="7"/>
  <c r="D48" i="7"/>
  <c r="D26" i="7"/>
  <c r="D10" i="7"/>
  <c r="D21" i="7"/>
  <c r="D76" i="7"/>
  <c r="D36" i="7"/>
  <c r="D43" i="7"/>
  <c r="D65" i="7"/>
  <c r="D79" i="7"/>
  <c r="D47" i="7"/>
  <c r="D15" i="7"/>
  <c r="D70" i="7"/>
  <c r="D38" i="7"/>
  <c r="D13" i="7"/>
  <c r="D68" i="7"/>
  <c r="D58" i="7"/>
  <c r="D89" i="7"/>
  <c r="D83" i="7"/>
  <c r="D23" i="7"/>
  <c r="D55" i="7"/>
  <c r="D88" i="7"/>
  <c r="D24" i="7"/>
  <c r="D72" i="7"/>
  <c r="D14" i="7"/>
  <c r="D46" i="7"/>
  <c r="D16" i="7"/>
  <c r="D32" i="7"/>
  <c r="D56" i="7"/>
  <c r="D80" i="7"/>
  <c r="D87" i="7"/>
  <c r="D37" i="7"/>
  <c r="D52" i="7"/>
  <c r="D53" i="7"/>
  <c r="D28" i="7"/>
  <c r="D12" i="7"/>
  <c r="D59" i="7"/>
  <c r="D27" i="7"/>
  <c r="D63" i="7"/>
  <c r="D86" i="7"/>
  <c r="D22" i="7"/>
  <c r="D25" i="7"/>
  <c r="D69" i="7"/>
  <c r="D74" i="7"/>
  <c r="D19" i="7"/>
  <c r="D61" i="7"/>
  <c r="D84" i="7"/>
  <c r="D90" i="7"/>
  <c r="D42" i="7"/>
  <c r="D81" i="7"/>
  <c r="D66" i="7"/>
  <c r="D45" i="7"/>
  <c r="D60" i="7"/>
  <c r="D11" i="7"/>
  <c r="D41" i="7"/>
  <c r="D18" i="7"/>
  <c r="D39" i="7"/>
  <c r="D49" i="7"/>
  <c r="D62" i="7"/>
  <c r="D57" i="7"/>
  <c r="D75" i="7"/>
  <c r="D64" i="7"/>
  <c r="D31" i="7"/>
  <c r="D54" i="7"/>
  <c r="D50" i="7"/>
  <c r="D17" i="7"/>
  <c r="D35" i="7"/>
  <c r="D29" i="7"/>
  <c r="D73" i="7"/>
  <c r="D67" i="7"/>
  <c r="D44" i="7"/>
  <c r="D20" i="7"/>
  <c r="D85" i="7"/>
  <c r="D30" i="7"/>
  <c r="D33" i="7"/>
  <c r="D34" i="7"/>
  <c r="D77" i="7"/>
  <c r="D71" i="7"/>
  <c r="D51" i="7"/>
  <c r="B1" i="7"/>
  <c r="F9" i="7" s="1"/>
  <c r="G9" i="7" s="1"/>
  <c r="D9" i="7"/>
  <c r="F27" i="7" l="1"/>
  <c r="G27" i="7" s="1"/>
  <c r="F65" i="7"/>
  <c r="G65" i="7" s="1"/>
  <c r="F75" i="7"/>
  <c r="G75" i="7" s="1"/>
  <c r="F47" i="7"/>
  <c r="G47" i="7" s="1"/>
  <c r="F61" i="7"/>
  <c r="G61" i="7" s="1"/>
  <c r="F50" i="7"/>
  <c r="G50" i="7" s="1"/>
  <c r="F25" i="7"/>
  <c r="G25" i="7" s="1"/>
  <c r="F78" i="7"/>
  <c r="G78" i="7" s="1"/>
  <c r="F37" i="7"/>
  <c r="G37" i="7" s="1"/>
  <c r="F80" i="7"/>
  <c r="G80" i="7" s="1"/>
  <c r="F23" i="7"/>
  <c r="G23" i="7" s="1"/>
  <c r="F82" i="7"/>
  <c r="G82" i="7" s="1"/>
  <c r="F94" i="7"/>
  <c r="G94" i="7" s="1"/>
  <c r="F11" i="7"/>
  <c r="G11" i="7" s="1"/>
  <c r="F84" i="7"/>
  <c r="G84" i="7" s="1"/>
  <c r="F48" i="7"/>
  <c r="G48" i="7" s="1"/>
  <c r="F93" i="7"/>
  <c r="G93" i="7" s="1"/>
  <c r="F88" i="7"/>
  <c r="G88" i="7" s="1"/>
  <c r="F68" i="7"/>
  <c r="G68" i="7" s="1"/>
  <c r="F95" i="7"/>
  <c r="G95" i="7" s="1"/>
  <c r="F71" i="7"/>
  <c r="G71" i="7" s="1"/>
  <c r="F33" i="7"/>
  <c r="G33" i="7" s="1"/>
  <c r="F18" i="7"/>
  <c r="G18" i="7" s="1"/>
  <c r="F64" i="7"/>
  <c r="G64" i="7" s="1"/>
  <c r="F66" i="7"/>
  <c r="G66" i="7" s="1"/>
  <c r="F20" i="7"/>
  <c r="G20" i="7" s="1"/>
  <c r="F13" i="7"/>
  <c r="G13" i="7" s="1"/>
  <c r="F60" i="7"/>
  <c r="G60" i="7" s="1"/>
  <c r="F24" i="7"/>
  <c r="G24" i="7" s="1"/>
  <c r="F42" i="7"/>
  <c r="G42" i="7" s="1"/>
  <c r="F54" i="7"/>
  <c r="G54" i="7" s="1"/>
  <c r="F51" i="7"/>
  <c r="G51" i="7" s="1"/>
  <c r="F35" i="7"/>
  <c r="G35" i="7" s="1"/>
  <c r="F36" i="7"/>
  <c r="G36" i="7" s="1"/>
  <c r="F46" i="7"/>
  <c r="G46" i="7" s="1"/>
  <c r="F70" i="7"/>
  <c r="G70" i="7" s="1"/>
  <c r="F67" i="7"/>
  <c r="G67" i="7" s="1"/>
  <c r="F39" i="7"/>
  <c r="G39" i="7" s="1"/>
  <c r="F85" i="7"/>
  <c r="G85" i="7" s="1"/>
  <c r="F79" i="7"/>
  <c r="G79" i="7" s="1"/>
  <c r="F29" i="7"/>
  <c r="G29" i="7" s="1"/>
  <c r="F73" i="7"/>
  <c r="G73" i="7" s="1"/>
  <c r="F77" i="7"/>
  <c r="G77" i="7" s="1"/>
  <c r="F83" i="7"/>
  <c r="G83" i="7" s="1"/>
  <c r="F55" i="7"/>
  <c r="G55" i="7" s="1"/>
  <c r="F57" i="7"/>
  <c r="G57" i="7" s="1"/>
  <c r="F62" i="7"/>
  <c r="G62" i="7" s="1"/>
  <c r="F76" i="7"/>
  <c r="G76" i="7" s="1"/>
  <c r="F43" i="7"/>
  <c r="G43" i="7" s="1"/>
  <c r="F15" i="7"/>
  <c r="G15" i="7" s="1"/>
  <c r="F86" i="7"/>
  <c r="G86" i="7" s="1"/>
  <c r="F96" i="7"/>
  <c r="G96" i="7" s="1"/>
  <c r="F72" i="7"/>
  <c r="G72" i="7" s="1"/>
  <c r="F41" i="7"/>
  <c r="G41" i="7" s="1"/>
  <c r="F19" i="7"/>
  <c r="G19" i="7" s="1"/>
  <c r="F53" i="7"/>
  <c r="G53" i="7" s="1"/>
  <c r="F38" i="7"/>
  <c r="G38" i="7" s="1"/>
  <c r="F58" i="7"/>
  <c r="G58" i="7" s="1"/>
  <c r="F12" i="7"/>
  <c r="G12" i="7" s="1"/>
  <c r="F45" i="7"/>
  <c r="G45" i="7" s="1"/>
  <c r="F90" i="7"/>
  <c r="G90" i="7" s="1"/>
  <c r="F30" i="7"/>
  <c r="G30" i="7" s="1"/>
  <c r="F87" i="7"/>
  <c r="G87" i="7" s="1"/>
  <c r="F63" i="7"/>
  <c r="G63" i="7" s="1"/>
  <c r="F40" i="7"/>
  <c r="G40" i="7" s="1"/>
  <c r="F91" i="7"/>
  <c r="G91" i="7" s="1"/>
  <c r="F49" i="7"/>
  <c r="G49" i="7" s="1"/>
  <c r="F26" i="7"/>
  <c r="G26" i="7" s="1"/>
  <c r="F32" i="7"/>
  <c r="G32" i="7" s="1"/>
  <c r="F17" i="7"/>
  <c r="G17" i="7" s="1"/>
  <c r="F69" i="7"/>
  <c r="G69" i="7" s="1"/>
  <c r="F74" i="7"/>
  <c r="G74" i="7" s="1"/>
  <c r="F59" i="7"/>
  <c r="G59" i="7" s="1"/>
  <c r="F21" i="7"/>
  <c r="G21" i="7" s="1"/>
  <c r="F89" i="7"/>
  <c r="G89" i="7" s="1"/>
  <c r="F16" i="7"/>
  <c r="G16" i="7" s="1"/>
  <c r="F10" i="7"/>
  <c r="G10" i="7" s="1"/>
  <c r="F14" i="7"/>
  <c r="G14" i="7" s="1"/>
  <c r="F81" i="7"/>
  <c r="G81" i="7" s="1"/>
  <c r="F28" i="7"/>
  <c r="G28" i="7" s="1"/>
  <c r="F56" i="7"/>
  <c r="G56" i="7" s="1"/>
  <c r="F92" i="7"/>
  <c r="G92" i="7" s="1"/>
  <c r="F34" i="7"/>
  <c r="G34" i="7" s="1"/>
  <c r="F31" i="7"/>
  <c r="G31" i="7" s="1"/>
  <c r="F52" i="7"/>
  <c r="G52" i="7" s="1"/>
  <c r="B3" i="7"/>
  <c r="F22" i="7"/>
  <c r="G22" i="7" s="1"/>
  <c r="F44" i="7"/>
  <c r="G44" i="7" s="1"/>
  <c r="B2" i="7"/>
  <c r="I55" i="7" l="1"/>
  <c r="I71" i="7"/>
  <c r="I9" i="7"/>
  <c r="I48" i="7"/>
  <c r="I85" i="7"/>
  <c r="I29" i="7"/>
  <c r="I88" i="7"/>
  <c r="I41" i="7"/>
  <c r="I36" i="7"/>
  <c r="I89" i="7"/>
  <c r="I72" i="7"/>
  <c r="I53" i="7"/>
  <c r="I58" i="7"/>
  <c r="I79" i="7"/>
  <c r="I15" i="7"/>
  <c r="I34" i="7"/>
  <c r="I38" i="7"/>
  <c r="I82" i="7"/>
  <c r="I68" i="7"/>
  <c r="I65" i="7"/>
  <c r="I10" i="7"/>
  <c r="I75" i="7"/>
  <c r="I80" i="7"/>
  <c r="I44" i="7"/>
  <c r="I13" i="7"/>
  <c r="I25" i="7"/>
  <c r="I37" i="7"/>
  <c r="I49" i="7"/>
  <c r="I14" i="7"/>
  <c r="I46" i="7"/>
  <c r="I23" i="7"/>
  <c r="I21" i="7"/>
  <c r="I51" i="7"/>
  <c r="I24" i="7"/>
  <c r="I47" i="7"/>
  <c r="I86" i="7"/>
  <c r="I26" i="7"/>
  <c r="I52" i="7"/>
  <c r="I81" i="7"/>
  <c r="I32" i="7"/>
  <c r="I70" i="7"/>
  <c r="I61" i="7"/>
  <c r="I17" i="7"/>
  <c r="I87" i="7"/>
  <c r="I28" i="7"/>
  <c r="I90" i="7"/>
  <c r="I69" i="7"/>
  <c r="I22" i="7"/>
  <c r="I30" i="7"/>
  <c r="I12" i="7"/>
  <c r="E77" i="7"/>
  <c r="I96" i="7"/>
  <c r="I95" i="7"/>
  <c r="I93" i="7"/>
  <c r="I92" i="7"/>
  <c r="I91" i="7"/>
  <c r="I94" i="7"/>
  <c r="I83" i="7"/>
  <c r="I35" i="7"/>
  <c r="I33" i="7"/>
  <c r="I74" i="7"/>
  <c r="I64" i="7"/>
  <c r="I66" i="7"/>
  <c r="I84" i="7"/>
  <c r="I78" i="7"/>
  <c r="I54" i="7"/>
  <c r="I77" i="7"/>
  <c r="I39" i="7"/>
  <c r="I62" i="7"/>
  <c r="I45" i="7"/>
  <c r="I59" i="7"/>
  <c r="I27" i="7"/>
  <c r="I11" i="7"/>
  <c r="I63" i="7"/>
  <c r="I18" i="7"/>
  <c r="I42" i="7"/>
  <c r="I16" i="7"/>
  <c r="I56" i="7"/>
  <c r="I76" i="7"/>
  <c r="I67" i="7"/>
  <c r="I60" i="7"/>
  <c r="I31" i="7"/>
  <c r="I43" i="7"/>
  <c r="I20" i="7"/>
  <c r="I40" i="7"/>
  <c r="I50" i="7"/>
  <c r="I73" i="7"/>
  <c r="I57" i="7"/>
  <c r="I19" i="7"/>
  <c r="E27" i="7"/>
  <c r="E78" i="7"/>
  <c r="E54" i="7"/>
  <c r="E42" i="7"/>
  <c r="E22" i="7"/>
  <c r="E53" i="7"/>
  <c r="E83" i="7"/>
  <c r="E31" i="7"/>
  <c r="E57" i="7"/>
  <c r="E19" i="7"/>
  <c r="E11" i="7"/>
  <c r="E43" i="7"/>
  <c r="E20" i="7"/>
  <c r="E39" i="7"/>
  <c r="E50" i="7"/>
  <c r="E25" i="7"/>
  <c r="E16" i="7"/>
  <c r="E10" i="7"/>
  <c r="E29" i="7"/>
  <c r="E60" i="7"/>
  <c r="E71" i="7"/>
  <c r="E68" i="7"/>
  <c r="E85" i="7"/>
  <c r="E81" i="7"/>
  <c r="E34" i="7"/>
  <c r="E41" i="7"/>
  <c r="E72" i="7"/>
  <c r="E9" i="7"/>
  <c r="E84" i="7"/>
  <c r="E49" i="7"/>
  <c r="E66" i="7"/>
  <c r="E23" i="7"/>
  <c r="E21" i="7"/>
  <c r="E73" i="7"/>
  <c r="E33" i="7"/>
  <c r="E28" i="7"/>
  <c r="E15" i="7"/>
  <c r="E75" i="7"/>
  <c r="E76" i="7"/>
  <c r="E82" i="7"/>
  <c r="E37" i="7"/>
  <c r="E65" i="7"/>
  <c r="E67" i="7"/>
  <c r="E48" i="7"/>
  <c r="E17" i="7"/>
  <c r="E62" i="7"/>
  <c r="E32" i="7"/>
  <c r="E70" i="7"/>
  <c r="E94" i="7"/>
  <c r="E95" i="7"/>
  <c r="E92" i="7"/>
  <c r="E91" i="7"/>
  <c r="E93" i="7"/>
  <c r="E96" i="7"/>
  <c r="E38" i="7"/>
  <c r="E36" i="7"/>
  <c r="E86" i="7"/>
  <c r="E58" i="7"/>
  <c r="E63" i="7"/>
  <c r="E79" i="7"/>
  <c r="E30" i="7"/>
  <c r="E35" i="7"/>
  <c r="E12" i="7"/>
  <c r="E55" i="7"/>
  <c r="E61" i="7"/>
  <c r="E88" i="7"/>
  <c r="E87" i="7"/>
  <c r="E90" i="7"/>
  <c r="E14" i="7"/>
  <c r="E51" i="7"/>
  <c r="E89" i="7"/>
  <c r="E26" i="7"/>
  <c r="E13" i="7"/>
  <c r="E74" i="7"/>
  <c r="E56" i="7"/>
  <c r="E64" i="7"/>
  <c r="E80" i="7"/>
  <c r="E44" i="7"/>
  <c r="E18" i="7"/>
  <c r="E52" i="7"/>
  <c r="E40" i="7"/>
  <c r="E46" i="7"/>
  <c r="E47" i="7"/>
  <c r="E69" i="7"/>
  <c r="E45" i="7"/>
  <c r="E59" i="7"/>
  <c r="E24" i="7"/>
  <c r="B5" i="7"/>
  <c r="B4" i="7"/>
  <c r="F4" i="7" l="1"/>
  <c r="N38" i="7" s="1"/>
  <c r="N41" i="7" l="1"/>
  <c r="N42" i="7" s="1"/>
  <c r="N43" i="7" s="1"/>
  <c r="N39" i="7"/>
  <c r="N40" i="7" s="1"/>
  <c r="H10" i="7"/>
  <c r="H34" i="7"/>
  <c r="H9" i="7"/>
  <c r="H30" i="7"/>
  <c r="H65" i="7"/>
  <c r="H22" i="7"/>
  <c r="H43" i="7"/>
  <c r="H44" i="7"/>
  <c r="H84" i="7"/>
  <c r="H81" i="7"/>
  <c r="H28" i="7"/>
  <c r="H73" i="7"/>
  <c r="H54" i="7"/>
  <c r="H93" i="7"/>
  <c r="H32" i="7"/>
  <c r="H37" i="7"/>
  <c r="H66" i="7"/>
  <c r="H71" i="7"/>
  <c r="H51" i="7"/>
  <c r="H96" i="7"/>
  <c r="H88" i="7"/>
  <c r="H68" i="7"/>
  <c r="H24" i="7"/>
  <c r="H29" i="7"/>
  <c r="H58" i="7"/>
  <c r="H85" i="7"/>
  <c r="H35" i="7"/>
  <c r="H52" i="7"/>
  <c r="H50" i="7"/>
  <c r="H49" i="7"/>
  <c r="H72" i="7"/>
  <c r="H86" i="7"/>
  <c r="H87" i="7"/>
  <c r="H77" i="7"/>
  <c r="H13" i="7"/>
  <c r="H91" i="7"/>
  <c r="H27" i="7"/>
  <c r="H36" i="7"/>
  <c r="H42" i="7"/>
  <c r="H16" i="7"/>
  <c r="H41" i="7"/>
  <c r="H47" i="7"/>
  <c r="H83" i="7"/>
  <c r="H20" i="7"/>
  <c r="H57" i="7"/>
  <c r="H14" i="7"/>
  <c r="H64" i="7"/>
  <c r="H69" i="7"/>
  <c r="H33" i="7"/>
  <c r="H56" i="7"/>
  <c r="H55" i="7"/>
  <c r="H62" i="7"/>
  <c r="H23" i="7"/>
  <c r="H61" i="7"/>
  <c r="H92" i="7"/>
  <c r="H75" i="7"/>
  <c r="H11" i="7"/>
  <c r="H90" i="7"/>
  <c r="H26" i="7"/>
  <c r="H31" i="7"/>
  <c r="H12" i="7"/>
  <c r="H70" i="7"/>
  <c r="H19" i="7"/>
  <c r="H25" i="7"/>
  <c r="H48" i="7"/>
  <c r="H39" i="7"/>
  <c r="H46" i="7"/>
  <c r="H94" i="7"/>
  <c r="H53" i="7"/>
  <c r="H76" i="7"/>
  <c r="H67" i="7"/>
  <c r="H89" i="7"/>
  <c r="H82" i="7"/>
  <c r="H18" i="7"/>
  <c r="H80" i="7"/>
  <c r="H21" i="7"/>
  <c r="H95" i="7"/>
  <c r="H79" i="7"/>
  <c r="H17" i="7"/>
  <c r="H40" i="7"/>
  <c r="H15" i="7"/>
  <c r="H38" i="7"/>
  <c r="H78" i="7"/>
  <c r="H45" i="7"/>
  <c r="H60" i="7"/>
  <c r="H59" i="7"/>
  <c r="H63" i="7"/>
  <c r="H74" i="7"/>
  <c r="N44" i="7" l="1"/>
  <c r="N47" i="7" s="1"/>
  <c r="F5" i="7"/>
  <c r="J30" i="7" s="1"/>
  <c r="N46" i="7" l="1"/>
  <c r="J90" i="7"/>
  <c r="K48" i="7"/>
  <c r="J65" i="7"/>
  <c r="K83" i="7"/>
  <c r="K88" i="7"/>
  <c r="K41" i="7"/>
  <c r="K58" i="7"/>
  <c r="K93" i="7"/>
  <c r="J80" i="7"/>
  <c r="K44" i="7"/>
  <c r="J91" i="7"/>
  <c r="K24" i="7"/>
  <c r="J74" i="7"/>
  <c r="J88" i="7"/>
  <c r="J96" i="7"/>
  <c r="J64" i="7"/>
  <c r="K9" i="7"/>
  <c r="J39" i="7"/>
  <c r="J16" i="7"/>
  <c r="K13" i="7"/>
  <c r="J76" i="7"/>
  <c r="J81" i="7"/>
  <c r="J62" i="7"/>
  <c r="J21" i="7"/>
  <c r="K33" i="7"/>
  <c r="J9" i="7"/>
  <c r="J93" i="7"/>
  <c r="J42" i="7"/>
  <c r="K53" i="7"/>
  <c r="K68" i="7"/>
  <c r="J70" i="7"/>
  <c r="K18" i="7"/>
  <c r="J85" i="7"/>
  <c r="K92" i="7"/>
  <c r="J58" i="7"/>
  <c r="J46" i="7"/>
  <c r="J72" i="7"/>
  <c r="K78" i="7"/>
  <c r="J23" i="7"/>
  <c r="K20" i="7"/>
  <c r="K31" i="7"/>
  <c r="K29" i="7"/>
  <c r="K17" i="7"/>
  <c r="J68" i="7"/>
  <c r="K95" i="7"/>
  <c r="J82" i="7"/>
  <c r="J57" i="7"/>
  <c r="J83" i="7"/>
  <c r="J38" i="7"/>
  <c r="K49" i="7"/>
  <c r="J26" i="7"/>
  <c r="K85" i="7"/>
  <c r="J67" i="7"/>
  <c r="K87" i="7"/>
  <c r="K63" i="7"/>
  <c r="J11" i="7"/>
  <c r="J25" i="7"/>
  <c r="K30" i="7"/>
  <c r="K57" i="7"/>
  <c r="J44" i="7"/>
  <c r="J59" i="7"/>
  <c r="K52" i="7"/>
  <c r="J17" i="7"/>
  <c r="K47" i="7"/>
  <c r="K28" i="7"/>
  <c r="K74" i="7"/>
  <c r="K45" i="7"/>
  <c r="J95" i="7"/>
  <c r="K15" i="7"/>
  <c r="K86" i="7"/>
  <c r="J14" i="7"/>
  <c r="J34" i="7"/>
  <c r="K60" i="7"/>
  <c r="K35" i="7"/>
  <c r="J55" i="7"/>
  <c r="J37" i="7"/>
  <c r="K91" i="7"/>
  <c r="J18" i="7"/>
  <c r="J27" i="7"/>
  <c r="J63" i="7"/>
  <c r="K19" i="7"/>
  <c r="K21" i="7"/>
  <c r="J48" i="7"/>
  <c r="J61" i="7"/>
  <c r="K14" i="7"/>
  <c r="K39" i="7"/>
  <c r="J35" i="7"/>
  <c r="K56" i="7"/>
  <c r="J10" i="7"/>
  <c r="K84" i="7"/>
  <c r="J92" i="7"/>
  <c r="J24" i="7"/>
  <c r="K96" i="7"/>
  <c r="K38" i="7"/>
  <c r="J54" i="7"/>
  <c r="K66" i="7"/>
  <c r="K64" i="7"/>
  <c r="J50" i="7"/>
  <c r="K65" i="7"/>
  <c r="J60" i="7"/>
  <c r="K79" i="7"/>
  <c r="J84" i="7"/>
  <c r="K61" i="7"/>
  <c r="K32" i="7"/>
  <c r="J86" i="7"/>
  <c r="K26" i="7"/>
  <c r="J29" i="7"/>
  <c r="K70" i="7"/>
  <c r="K59" i="7"/>
  <c r="J47" i="7"/>
  <c r="K73" i="7"/>
  <c r="K75" i="7"/>
  <c r="K72" i="7"/>
  <c r="J32" i="7"/>
  <c r="K76" i="7"/>
  <c r="K80" i="7"/>
  <c r="J19" i="7"/>
  <c r="J78" i="7"/>
  <c r="K50" i="7"/>
  <c r="K62" i="7"/>
  <c r="J66" i="7"/>
  <c r="J77" i="7"/>
  <c r="K25" i="7"/>
  <c r="J22" i="7"/>
  <c r="J79" i="7"/>
  <c r="J41" i="7"/>
  <c r="K23" i="7"/>
  <c r="K42" i="7"/>
  <c r="K82" i="7"/>
  <c r="K71" i="7"/>
  <c r="J36" i="7"/>
  <c r="J94" i="7"/>
  <c r="J43" i="7"/>
  <c r="K90" i="7"/>
  <c r="K89" i="7"/>
  <c r="K51" i="7"/>
  <c r="J56" i="7"/>
  <c r="K69" i="7"/>
  <c r="J89" i="7"/>
  <c r="J51" i="7"/>
  <c r="J15" i="7"/>
  <c r="K43" i="7"/>
  <c r="K36" i="7"/>
  <c r="J53" i="7"/>
  <c r="K11" i="7"/>
  <c r="J49" i="7"/>
  <c r="J75" i="7"/>
  <c r="J71" i="7"/>
  <c r="K27" i="7"/>
  <c r="K46" i="7"/>
  <c r="J73" i="7"/>
  <c r="J69" i="7"/>
  <c r="J40" i="7"/>
  <c r="J31" i="7"/>
  <c r="K22" i="7"/>
  <c r="J13" i="7"/>
  <c r="J33" i="7"/>
  <c r="K10" i="7"/>
  <c r="J52" i="7"/>
  <c r="K55" i="7"/>
  <c r="K37" i="7"/>
  <c r="J87" i="7"/>
  <c r="K81" i="7"/>
  <c r="J28" i="7"/>
  <c r="K54" i="7"/>
  <c r="K67" i="7"/>
  <c r="K16" i="7"/>
  <c r="J20" i="7"/>
  <c r="J45" i="7"/>
  <c r="J12" i="7"/>
  <c r="K77" i="7"/>
  <c r="K34" i="7"/>
  <c r="K94" i="7"/>
  <c r="K12" i="7"/>
  <c r="K40" i="7"/>
  <c r="N29" i="7" l="1"/>
</calcChain>
</file>

<file path=xl/sharedStrings.xml><?xml version="1.0" encoding="utf-8"?>
<sst xmlns="http://schemas.openxmlformats.org/spreadsheetml/2006/main" count="174" uniqueCount="108">
  <si>
    <t>Year</t>
  </si>
  <si>
    <t>Precipitation [in]</t>
  </si>
  <si>
    <t>Peak Streamflow (cfs)</t>
  </si>
  <si>
    <t>January precipitation at Ithaca, New York, 1933-1982, inches</t>
  </si>
  <si>
    <t>Group</t>
  </si>
  <si>
    <t xml:space="preserve">k = </t>
  </si>
  <si>
    <t>in^-1</t>
  </si>
  <si>
    <t xml:space="preserve">mu = </t>
  </si>
  <si>
    <t xml:space="preserve">stdev = </t>
  </si>
  <si>
    <t>in</t>
  </si>
  <si>
    <t>Obs Freq</t>
  </si>
  <si>
    <t>Exp Freq</t>
  </si>
  <si>
    <t>P(x&lt;=b)</t>
  </si>
  <si>
    <t>P(a&lt;x&lt;=b)</t>
  </si>
  <si>
    <t>Criteria</t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</si>
  <si>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</si>
  <si>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Obs Cumul</t>
  </si>
  <si>
    <t>NORMAL DIST</t>
  </si>
  <si>
    <t>GAMMA DIST</t>
  </si>
  <si>
    <t>CHI-SQUARE TEST</t>
  </si>
  <si>
    <t>KOLMOGOROV-SMIRNOV TEST</t>
  </si>
  <si>
    <t xml:space="preserve">df = </t>
  </si>
  <si>
    <t>kappa =</t>
  </si>
  <si>
    <t xml:space="preserve">lambda = </t>
  </si>
  <si>
    <t xml:space="preserve">p = </t>
  </si>
  <si>
    <t xml:space="preserve">alpha = </t>
  </si>
  <si>
    <t xml:space="preserve">a = </t>
  </si>
  <si>
    <t>Result:</t>
  </si>
  <si>
    <t>Rank</t>
  </si>
  <si>
    <t>Ref: http://www.real-statistics.com/tests-normality-and-symmetry/statistical-tests-normality-symmetry/chi-square-test-for-normality/</t>
  </si>
  <si>
    <t xml:space="preserve">n =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</si>
  <si>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(x)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</si>
  <si>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</si>
  <si>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n,x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</si>
  <si>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</si>
  <si>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</si>
  <si>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</si>
  <si>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Result: 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</si>
  <si>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crit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</si>
  <si>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1-a = </t>
  </si>
  <si>
    <t>xbar =</t>
  </si>
  <si>
    <t>α =</t>
  </si>
  <si>
    <t xml:space="preserve">β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</si>
  <si>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</si>
  <si>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</si>
  <si>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t xml:space="preserve">N =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</si>
  <si>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</si>
  <si>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</si>
  <si>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cdf</t>
    </r>
  </si>
  <si>
    <t xml:space="preserve">Fit looks pretty good. </t>
  </si>
  <si>
    <t xml:space="preserve">wbar = 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</si>
  <si>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</si>
  <si>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t xml:space="preserve">PPCC = </t>
  </si>
  <si>
    <t>(xi-xbar)*(wi-wbar)</t>
  </si>
  <si>
    <t>(xi-xbar)^2</t>
  </si>
  <si>
    <t>(wi-wbar)^2</t>
  </si>
  <si>
    <t xml:space="preserve">PPCCreq = </t>
  </si>
  <si>
    <t>n</t>
  </si>
  <si>
    <t>a = 0.05</t>
  </si>
  <si>
    <r>
      <t>y = log(x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(Exp)</t>
    </r>
  </si>
  <si>
    <t>ybar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</si>
  <si>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</si>
  <si>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C</t>
    </r>
    <r>
      <rPr>
        <vertAlign val="subscript"/>
        <sz val="11"/>
        <color theme="1"/>
        <rFont val="Calibri"/>
        <family val="2"/>
        <scheme val="minor"/>
      </rPr>
      <t>sy</t>
    </r>
    <r>
      <rPr>
        <sz val="11"/>
        <color theme="1"/>
        <rFont val="Calibri"/>
        <family val="2"/>
        <scheme val="minor"/>
      </rPr>
      <t xml:space="preserve"> = </t>
    </r>
  </si>
  <si>
    <t>(yi-ybar)^3</t>
  </si>
  <si>
    <t>n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</si>
  <si>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</si>
  <si>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</si>
  <si>
    <t xml:space="preserve">xbar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</si>
  <si>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</si>
  <si>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0.95,5</t>
    </r>
    <r>
      <rPr>
        <b/>
        <sz val="11"/>
        <color theme="1"/>
        <rFont val="Calibri"/>
        <family val="2"/>
        <scheme val="minor"/>
      </rPr>
      <t xml:space="preserve"> = </t>
    </r>
  </si>
  <si>
    <r>
      <t>&lt;-- check using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</si>
  <si>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</si>
  <si>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</si>
  <si>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&lt;-- interpolate over table</t>
  </si>
  <si>
    <t>yr</t>
  </si>
  <si>
    <t xml:space="preserve">T = </t>
  </si>
  <si>
    <t>T = 100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</si>
  <si>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</si>
  <si>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cfs</t>
  </si>
  <si>
    <t>cfs^2</t>
  </si>
  <si>
    <t>obs</t>
  </si>
  <si>
    <t>cfs^3</t>
  </si>
  <si>
    <r>
      <t>S(X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</si>
  <si>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MS Reference Sans Serif"/>
        <family val="2"/>
      </rPr>
      <t>δ</t>
    </r>
    <r>
      <rPr>
        <sz val="11"/>
        <color theme="1"/>
        <rFont val="Calibri"/>
        <family val="2"/>
        <scheme val="minor"/>
      </rPr>
      <t xml:space="preserve"> = 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</si>
  <si>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</si>
  <si>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</si>
  <si>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</si>
  <si>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</si>
  <si>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=</t>
    </r>
  </si>
  <si>
    <t xml:space="preserve">prob = </t>
  </si>
  <si>
    <r>
      <rPr>
        <sz val="11"/>
        <color theme="1"/>
        <rFont val="MS Reference Sans Serif"/>
        <family val="2"/>
      </rPr>
      <t>δK</t>
    </r>
    <r>
      <rPr>
        <vertAlign val="subscript"/>
        <sz val="11"/>
        <color theme="1"/>
        <rFont val="MS Reference Sans Serif"/>
        <family val="2"/>
      </rPr>
      <t>T</t>
    </r>
    <r>
      <rPr>
        <sz val="11"/>
        <color theme="1"/>
        <rFont val="MS Reference Sans Serif"/>
        <family val="2"/>
      </rPr>
      <t>/δC</t>
    </r>
    <r>
      <rPr>
        <vertAlign val="subscript"/>
        <sz val="11"/>
        <color theme="1"/>
        <rFont val="MS Reference Sans Serif"/>
        <family val="2"/>
      </rPr>
      <t>sy</t>
    </r>
    <r>
      <rPr>
        <sz val="11"/>
        <color theme="1"/>
        <rFont val="Calibri"/>
        <family val="2"/>
        <scheme val="minor"/>
      </rPr>
      <t xml:space="preserve"> = </t>
    </r>
  </si>
  <si>
    <r>
      <t>S(Y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=</t>
    </r>
  </si>
  <si>
    <r>
      <t>Z</t>
    </r>
    <r>
      <rPr>
        <vertAlign val="subscript"/>
        <sz val="11"/>
        <color theme="1"/>
        <rFont val="Calibri"/>
        <family val="2"/>
        <scheme val="minor"/>
      </rPr>
      <t>1-</t>
    </r>
    <r>
      <rPr>
        <vertAlign val="subscript"/>
        <sz val="11"/>
        <color theme="1"/>
        <rFont val="MS Reference Sans Serif"/>
        <family val="2"/>
      </rPr>
      <t>α</t>
    </r>
    <r>
      <rPr>
        <vertAlign val="subscript"/>
        <sz val="11"/>
        <color theme="1"/>
        <rFont val="Calibri"/>
        <family val="2"/>
      </rPr>
      <t>/2</t>
    </r>
    <r>
      <rPr>
        <sz val="11"/>
        <color theme="1"/>
        <rFont val="Calibri"/>
        <family val="2"/>
      </rPr>
      <t xml:space="preserve"> = </t>
    </r>
  </si>
  <si>
    <t>&lt;-- Z(0.95) for N(0,1)</t>
  </si>
  <si>
    <t xml:space="preserve">P-value: </t>
  </si>
  <si>
    <t>P-value:</t>
  </si>
  <si>
    <t xml:space="preserve">P-Value: </t>
  </si>
  <si>
    <t>from table 8.4 Kite</t>
  </si>
  <si>
    <r>
      <t>K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bar =</t>
    </r>
  </si>
  <si>
    <t>&gt; 0.1</t>
  </si>
  <si>
    <t>&lt;-- from table 18.3.4</t>
  </si>
  <si>
    <t xml:space="preserve">is &lt;0.1, it is certain that the null hypothesis will not be rejected. </t>
  </si>
  <si>
    <t>Based on table, p-value will be larger than 0.1. Because alpha</t>
  </si>
  <si>
    <t>Part 2 - EV1</t>
  </si>
  <si>
    <t>Part 3 - EV1</t>
  </si>
  <si>
    <t>No p-value</t>
  </si>
  <si>
    <t>Part 2 - LP3</t>
  </si>
  <si>
    <t>Part 3 - LP3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</si>
</sst>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vertAlign val="subscript"/>
      <sz val="11"/>
      <color theme="1"/>
      <name val="MS Reference Sans Serif"/>
      <family val="2"/>
    </font>
    <font>
      <vertAlign val="subscript"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164" fontId="0" fillId="0" borderId="0" xfId="0" applyNumberFormat="1" applyFont="1" applyFill="1"/>
    <xf numFmtId="164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/>
    <xf numFmtId="0" fontId="0" fillId="0" borderId="0" xfId="0" applyFont="1" applyFill="1" applyBorder="1"/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/>
    <xf numFmtId="0" fontId="0" fillId="0" borderId="9" xfId="0" applyBorder="1" applyAlignment="1">
      <alignment horizontal="left"/>
    </xf>
    <xf numFmtId="1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1" fillId="2" borderId="9" xfId="0" applyFont="1" applyFill="1" applyBorder="1" applyAlignment="1"/>
    <xf numFmtId="0" fontId="1" fillId="2" borderId="9" xfId="0" applyFont="1" applyFill="1" applyBorder="1" applyAlignment="1">
      <alignment horizontal="left"/>
    </xf>
    <xf numFmtId="1" fontId="0" fillId="0" borderId="10" xfId="0" applyNumberFormat="1" applyBorder="1" applyAlignment="1">
      <alignment horizontal="center"/>
    </xf>
    <xf numFmtId="0" fontId="1" fillId="0" borderId="9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/>
    <xf numFmtId="0" fontId="0" fillId="0" borderId="13" xfId="0" applyBorder="1" applyAlignment="1">
      <alignment horizontal="left"/>
    </xf>
    <xf numFmtId="164" fontId="0" fillId="0" borderId="14" xfId="0" applyNumberFormat="1" applyBorder="1"/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1" fontId="14" fillId="0" borderId="0" xfId="0" applyNumberFormat="1" applyFont="1" applyFill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164" fontId="1" fillId="0" borderId="9" xfId="0" applyNumberFormat="1" applyFont="1" applyFill="1" applyBorder="1" applyAlignment="1"/>
    <xf numFmtId="2" fontId="1" fillId="0" borderId="9" xfId="0" applyNumberFormat="1" applyFont="1" applyBorder="1" applyAlignment="1"/>
    <xf numFmtId="166" fontId="1" fillId="0" borderId="9" xfId="0" applyNumberFormat="1" applyFont="1" applyFill="1" applyBorder="1" applyAlignment="1"/>
    <xf numFmtId="1" fontId="1" fillId="0" borderId="9" xfId="0" applyNumberFormat="1" applyFont="1" applyFill="1" applyBorder="1" applyAlignment="1"/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4" fillId="0" borderId="13" xfId="0" applyFont="1" applyFill="1" applyBorder="1"/>
    <xf numFmtId="0" fontId="0" fillId="0" borderId="14" xfId="0" applyFill="1" applyBorder="1" applyAlignment="1">
      <alignment horizontal="left"/>
    </xf>
    <xf numFmtId="0" fontId="1" fillId="0" borderId="13" xfId="0" applyFont="1" applyBorder="1"/>
    <xf numFmtId="164" fontId="1" fillId="0" borderId="14" xfId="0" applyNumberFormat="1" applyFont="1" applyFill="1" applyBorder="1" applyAlignment="1"/>
    <xf numFmtId="2" fontId="1" fillId="0" borderId="14" xfId="0" applyNumberFormat="1" applyFont="1" applyBorder="1" applyAlignment="1"/>
    <xf numFmtId="166" fontId="1" fillId="0" borderId="14" xfId="0" applyNumberFormat="1" applyFont="1" applyFill="1" applyBorder="1" applyAlignment="1"/>
    <xf numFmtId="1" fontId="1" fillId="0" borderId="13" xfId="0" applyNumberFormat="1" applyFont="1" applyFill="1" applyBorder="1" applyAlignment="1"/>
    <xf numFmtId="0" fontId="0" fillId="0" borderId="14" xfId="0" applyBorder="1"/>
    <xf numFmtId="1" fontId="1" fillId="2" borderId="21" xfId="0" applyNumberFormat="1" applyFont="1" applyFill="1" applyBorder="1" applyAlignment="1">
      <alignment horizontal="left"/>
    </xf>
    <xf numFmtId="1" fontId="1" fillId="2" borderId="16" xfId="0" applyNumberFormat="1" applyFont="1" applyFill="1" applyBorder="1" applyAlignment="1">
      <alignment horizontal="left"/>
    </xf>
    <xf numFmtId="1" fontId="1" fillId="2" borderId="16" xfId="0" applyNumberFormat="1" applyFont="1" applyFill="1" applyBorder="1" applyAlignment="1"/>
    <xf numFmtId="1" fontId="1" fillId="2" borderId="17" xfId="0" applyNumberFormat="1" applyFont="1" applyFill="1" applyBorder="1" applyAlignment="1"/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Font="1" applyFill="1" applyBorder="1"/>
    <xf numFmtId="164" fontId="0" fillId="0" borderId="9" xfId="0" applyNumberFormat="1" applyFont="1" applyFill="1" applyBorder="1"/>
    <xf numFmtId="0" fontId="0" fillId="2" borderId="9" xfId="0" applyFont="1" applyFill="1" applyBorder="1" applyAlignment="1">
      <alignment horizontal="left"/>
    </xf>
    <xf numFmtId="0" fontId="4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13" xfId="0" applyFont="1" applyFill="1" applyBorder="1"/>
    <xf numFmtId="164" fontId="0" fillId="0" borderId="0" xfId="0" applyNumberFormat="1" applyFont="1" applyFill="1" applyBorder="1"/>
    <xf numFmtId="0" fontId="0" fillId="2" borderId="13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14" xfId="0" applyFont="1" applyFill="1" applyBorder="1"/>
    <xf numFmtId="164" fontId="0" fillId="0" borderId="14" xfId="0" applyNumberFormat="1" applyFont="1" applyFill="1" applyBorder="1"/>
    <xf numFmtId="0" fontId="0" fillId="0" borderId="21" xfId="0" applyFont="1" applyFill="1" applyBorder="1"/>
    <xf numFmtId="0" fontId="0" fillId="2" borderId="9" xfId="0" applyFont="1" applyFill="1" applyBorder="1"/>
    <xf numFmtId="0" fontId="0" fillId="2" borderId="16" xfId="0" applyFont="1" applyFill="1" applyBorder="1"/>
    <xf numFmtId="0" fontId="0" fillId="2" borderId="12" xfId="0" applyFont="1" applyFill="1" applyBorder="1" applyAlignment="1">
      <alignment horizontal="left"/>
    </xf>
    <xf numFmtId="0" fontId="0" fillId="2" borderId="22" xfId="0" applyFont="1" applyFill="1" applyBorder="1" applyAlignment="1">
      <alignment horizontal="left"/>
    </xf>
    <xf numFmtId="0" fontId="5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p2_ev1!$B$9</c:f>
              <c:strCache>
                <c:ptCount val="1"/>
                <c:pt idx="0">
                  <c:v>xi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p2_ev1!$B$10:$B$97</c:f>
              <c:numCache>
                <c:formatCode>0</c:formatCode>
                <c:ptCount val="88"/>
                <c:pt idx="0">
                  <c:v>706000</c:v>
                </c:pt>
                <c:pt idx="1">
                  <c:v>711000</c:v>
                </c:pt>
                <c:pt idx="2">
                  <c:v>787000</c:v>
                </c:pt>
                <c:pt idx="3">
                  <c:v>814000</c:v>
                </c:pt>
                <c:pt idx="4">
                  <c:v>877000</c:v>
                </c:pt>
                <c:pt idx="5">
                  <c:v>956000</c:v>
                </c:pt>
                <c:pt idx="6">
                  <c:v>956000</c:v>
                </c:pt>
                <c:pt idx="7">
                  <c:v>977000</c:v>
                </c:pt>
                <c:pt idx="8">
                  <c:v>980000</c:v>
                </c:pt>
                <c:pt idx="9">
                  <c:v>983000</c:v>
                </c:pt>
                <c:pt idx="10">
                  <c:v>1020000</c:v>
                </c:pt>
                <c:pt idx="11">
                  <c:v>1040000</c:v>
                </c:pt>
                <c:pt idx="12">
                  <c:v>1040000</c:v>
                </c:pt>
                <c:pt idx="13">
                  <c:v>1075000</c:v>
                </c:pt>
                <c:pt idx="14">
                  <c:v>1100000</c:v>
                </c:pt>
                <c:pt idx="15">
                  <c:v>1100000</c:v>
                </c:pt>
                <c:pt idx="16">
                  <c:v>1110000</c:v>
                </c:pt>
                <c:pt idx="17">
                  <c:v>1110000</c:v>
                </c:pt>
                <c:pt idx="18">
                  <c:v>1140000</c:v>
                </c:pt>
                <c:pt idx="19">
                  <c:v>1147000</c:v>
                </c:pt>
                <c:pt idx="20">
                  <c:v>1148000</c:v>
                </c:pt>
                <c:pt idx="21">
                  <c:v>1150000</c:v>
                </c:pt>
                <c:pt idx="22">
                  <c:v>1153000</c:v>
                </c:pt>
                <c:pt idx="23">
                  <c:v>1160000</c:v>
                </c:pt>
                <c:pt idx="24">
                  <c:v>1178000</c:v>
                </c:pt>
                <c:pt idx="25">
                  <c:v>1182000</c:v>
                </c:pt>
                <c:pt idx="26">
                  <c:v>1187000</c:v>
                </c:pt>
                <c:pt idx="27">
                  <c:v>1190000</c:v>
                </c:pt>
                <c:pt idx="28">
                  <c:v>1190000</c:v>
                </c:pt>
                <c:pt idx="29">
                  <c:v>1191000</c:v>
                </c:pt>
                <c:pt idx="30">
                  <c:v>1221000</c:v>
                </c:pt>
                <c:pt idx="31">
                  <c:v>1230000</c:v>
                </c:pt>
                <c:pt idx="32">
                  <c:v>1270000</c:v>
                </c:pt>
                <c:pt idx="33">
                  <c:v>1280000</c:v>
                </c:pt>
                <c:pt idx="34">
                  <c:v>1280000</c:v>
                </c:pt>
                <c:pt idx="35">
                  <c:v>1282000</c:v>
                </c:pt>
                <c:pt idx="36">
                  <c:v>1284000</c:v>
                </c:pt>
                <c:pt idx="37">
                  <c:v>1301000</c:v>
                </c:pt>
                <c:pt idx="38">
                  <c:v>1304000</c:v>
                </c:pt>
                <c:pt idx="39">
                  <c:v>1312000</c:v>
                </c:pt>
                <c:pt idx="40">
                  <c:v>1312000</c:v>
                </c:pt>
                <c:pt idx="41">
                  <c:v>1315000</c:v>
                </c:pt>
                <c:pt idx="42">
                  <c:v>1320000</c:v>
                </c:pt>
                <c:pt idx="43">
                  <c:v>1320000</c:v>
                </c:pt>
                <c:pt idx="44">
                  <c:v>1325000</c:v>
                </c:pt>
                <c:pt idx="45">
                  <c:v>1333000</c:v>
                </c:pt>
                <c:pt idx="46">
                  <c:v>1334000</c:v>
                </c:pt>
                <c:pt idx="47">
                  <c:v>1350000</c:v>
                </c:pt>
                <c:pt idx="48">
                  <c:v>1350000</c:v>
                </c:pt>
                <c:pt idx="49">
                  <c:v>1356000</c:v>
                </c:pt>
                <c:pt idx="50">
                  <c:v>1360000</c:v>
                </c:pt>
                <c:pt idx="51">
                  <c:v>1368000</c:v>
                </c:pt>
                <c:pt idx="52">
                  <c:v>1370000</c:v>
                </c:pt>
                <c:pt idx="53">
                  <c:v>1370000</c:v>
                </c:pt>
                <c:pt idx="54">
                  <c:v>1380000</c:v>
                </c:pt>
                <c:pt idx="55">
                  <c:v>1380000</c:v>
                </c:pt>
                <c:pt idx="56">
                  <c:v>1401000</c:v>
                </c:pt>
                <c:pt idx="57">
                  <c:v>1404000</c:v>
                </c:pt>
                <c:pt idx="58">
                  <c:v>1410000</c:v>
                </c:pt>
                <c:pt idx="59">
                  <c:v>1410000</c:v>
                </c:pt>
                <c:pt idx="60">
                  <c:v>1420000</c:v>
                </c:pt>
                <c:pt idx="61">
                  <c:v>1430000</c:v>
                </c:pt>
                <c:pt idx="62">
                  <c:v>1430000</c:v>
                </c:pt>
                <c:pt idx="63">
                  <c:v>1440000</c:v>
                </c:pt>
                <c:pt idx="64">
                  <c:v>1481000</c:v>
                </c:pt>
                <c:pt idx="65">
                  <c:v>1530000</c:v>
                </c:pt>
                <c:pt idx="66">
                  <c:v>1537000</c:v>
                </c:pt>
                <c:pt idx="67">
                  <c:v>1542000</c:v>
                </c:pt>
                <c:pt idx="68">
                  <c:v>1550000</c:v>
                </c:pt>
                <c:pt idx="69">
                  <c:v>1560000</c:v>
                </c:pt>
                <c:pt idx="70">
                  <c:v>1574000</c:v>
                </c:pt>
                <c:pt idx="71">
                  <c:v>1580000</c:v>
                </c:pt>
                <c:pt idx="72">
                  <c:v>1600000</c:v>
                </c:pt>
                <c:pt idx="73">
                  <c:v>1610000</c:v>
                </c:pt>
                <c:pt idx="74">
                  <c:v>1648000</c:v>
                </c:pt>
                <c:pt idx="75">
                  <c:v>1690000</c:v>
                </c:pt>
                <c:pt idx="76">
                  <c:v>1690000</c:v>
                </c:pt>
                <c:pt idx="77">
                  <c:v>1730000</c:v>
                </c:pt>
                <c:pt idx="78">
                  <c:v>1780000</c:v>
                </c:pt>
                <c:pt idx="79">
                  <c:v>1790000</c:v>
                </c:pt>
                <c:pt idx="80">
                  <c:v>1820000</c:v>
                </c:pt>
                <c:pt idx="81">
                  <c:v>1840000</c:v>
                </c:pt>
                <c:pt idx="82">
                  <c:v>1880000</c:v>
                </c:pt>
                <c:pt idx="83">
                  <c:v>1922000</c:v>
                </c:pt>
                <c:pt idx="84">
                  <c:v>1962000</c:v>
                </c:pt>
                <c:pt idx="85">
                  <c:v>2080000</c:v>
                </c:pt>
                <c:pt idx="86">
                  <c:v>2278000</c:v>
                </c:pt>
                <c:pt idx="87">
                  <c:v>2310000</c:v>
                </c:pt>
              </c:numCache>
            </c:numRef>
          </c:xVal>
          <c:yVal>
            <c:numRef>
              <c:f>p2_ev1!$E$10:$E$97</c:f>
              <c:numCache>
                <c:formatCode>0.0000</c:formatCode>
                <c:ptCount val="88"/>
                <c:pt idx="0">
                  <c:v>815173.07092373958</c:v>
                </c:pt>
                <c:pt idx="1">
                  <c:v>870460.32924692892</c:v>
                </c:pt>
                <c:pt idx="2">
                  <c:v>902464.34896369372</c:v>
                </c:pt>
                <c:pt idx="3">
                  <c:v>926360.71604877489</c:v>
                </c:pt>
                <c:pt idx="4">
                  <c:v>945974.34331478109</c:v>
                </c:pt>
                <c:pt idx="5">
                  <c:v>970638.90390192089</c:v>
                </c:pt>
                <c:pt idx="6">
                  <c:v>970638.90390192089</c:v>
                </c:pt>
                <c:pt idx="7">
                  <c:v>991704.33834724443</c:v>
                </c:pt>
                <c:pt idx="8">
                  <c:v>1004385.7111361661</c:v>
                </c:pt>
                <c:pt idx="9">
                  <c:v>1016245.4869343013</c:v>
                </c:pt>
                <c:pt idx="10">
                  <c:v>1027440.3907555939</c:v>
                </c:pt>
                <c:pt idx="11">
                  <c:v>1043233.8862399335</c:v>
                </c:pt>
                <c:pt idx="12">
                  <c:v>1043233.8862399335</c:v>
                </c:pt>
                <c:pt idx="13">
                  <c:v>1058075.8215526312</c:v>
                </c:pt>
                <c:pt idx="14">
                  <c:v>1072169.6094347334</c:v>
                </c:pt>
                <c:pt idx="15">
                  <c:v>1072169.6094347334</c:v>
                </c:pt>
                <c:pt idx="16">
                  <c:v>1090051.3541056546</c:v>
                </c:pt>
                <c:pt idx="17">
                  <c:v>1090051.3541056546</c:v>
                </c:pt>
                <c:pt idx="18">
                  <c:v>1102922.8706602217</c:v>
                </c:pt>
                <c:pt idx="19">
                  <c:v>1111294.9612915989</c:v>
                </c:pt>
                <c:pt idx="20">
                  <c:v>1119524.4623820544</c:v>
                </c:pt>
                <c:pt idx="21">
                  <c:v>1127629.5479055026</c:v>
                </c:pt>
                <c:pt idx="22">
                  <c:v>1135626.346787804</c:v>
                </c:pt>
                <c:pt idx="23">
                  <c:v>1143529.2973597753</c:v>
                </c:pt>
                <c:pt idx="24">
                  <c:v>1151351.4319276647</c:v>
                </c:pt>
                <c:pt idx="25">
                  <c:v>1159104.6078395164</c:v>
                </c:pt>
                <c:pt idx="26">
                  <c:v>1166799.6971383768</c:v>
                </c:pt>
                <c:pt idx="27">
                  <c:v>1178255.1964499156</c:v>
                </c:pt>
                <c:pt idx="28">
                  <c:v>1178255.1964499156</c:v>
                </c:pt>
                <c:pt idx="29">
                  <c:v>1189633.5159882938</c:v>
                </c:pt>
                <c:pt idx="30">
                  <c:v>1197190.2782806866</c:v>
                </c:pt>
                <c:pt idx="31">
                  <c:v>1204733.2495121546</c:v>
                </c:pt>
                <c:pt idx="32">
                  <c:v>1212269.9616426053</c:v>
                </c:pt>
                <c:pt idx="33">
                  <c:v>1223579.1167035932</c:v>
                </c:pt>
                <c:pt idx="34">
                  <c:v>1223579.1167035932</c:v>
                </c:pt>
                <c:pt idx="35">
                  <c:v>1234914.129937863</c:v>
                </c:pt>
                <c:pt idx="36">
                  <c:v>1242496.5223486896</c:v>
                </c:pt>
                <c:pt idx="37">
                  <c:v>1250107.3108572355</c:v>
                </c:pt>
                <c:pt idx="38">
                  <c:v>1257753.1624691291</c:v>
                </c:pt>
                <c:pt idx="39">
                  <c:v>1269302.3023685096</c:v>
                </c:pt>
                <c:pt idx="40">
                  <c:v>1269302.3023685096</c:v>
                </c:pt>
                <c:pt idx="41">
                  <c:v>1280968.1549572004</c:v>
                </c:pt>
                <c:pt idx="42">
                  <c:v>1292774.0492254484</c:v>
                </c:pt>
                <c:pt idx="43">
                  <c:v>1292774.0492254484</c:v>
                </c:pt>
                <c:pt idx="44">
                  <c:v>1304744.1580012022</c:v>
                </c:pt>
                <c:pt idx="45">
                  <c:v>1312827.9126817072</c:v>
                </c:pt>
                <c:pt idx="46">
                  <c:v>1321003.740759263</c:v>
                </c:pt>
                <c:pt idx="47">
                  <c:v>1333458.1777479104</c:v>
                </c:pt>
                <c:pt idx="48">
                  <c:v>1333458.1777479104</c:v>
                </c:pt>
                <c:pt idx="49">
                  <c:v>1346167.7677273278</c:v>
                </c:pt>
                <c:pt idx="50">
                  <c:v>1354798.215532264</c:v>
                </c:pt>
                <c:pt idx="51">
                  <c:v>1363566.3476569129</c:v>
                </c:pt>
                <c:pt idx="52">
                  <c:v>1377000.611047314</c:v>
                </c:pt>
                <c:pt idx="53">
                  <c:v>1377000.611047314</c:v>
                </c:pt>
                <c:pt idx="54">
                  <c:v>1395502.6273958399</c:v>
                </c:pt>
                <c:pt idx="55">
                  <c:v>1395502.6273958399</c:v>
                </c:pt>
                <c:pt idx="56">
                  <c:v>1409880.2695923431</c:v>
                </c:pt>
                <c:pt idx="57">
                  <c:v>1419732.4406100234</c:v>
                </c:pt>
                <c:pt idx="58">
                  <c:v>1434954.4333968866</c:v>
                </c:pt>
                <c:pt idx="59">
                  <c:v>1434954.4333968866</c:v>
                </c:pt>
                <c:pt idx="60">
                  <c:v>1450767.6471842767</c:v>
                </c:pt>
                <c:pt idx="61">
                  <c:v>1467247.7309395855</c:v>
                </c:pt>
                <c:pt idx="62">
                  <c:v>1467247.7309395855</c:v>
                </c:pt>
                <c:pt idx="63">
                  <c:v>1484483.1463771563</c:v>
                </c:pt>
                <c:pt idx="64">
                  <c:v>1496443.9045888605</c:v>
                </c:pt>
                <c:pt idx="65">
                  <c:v>1508822.2453575199</c:v>
                </c:pt>
                <c:pt idx="66">
                  <c:v>1521658.7500583786</c:v>
                </c:pt>
                <c:pt idx="67">
                  <c:v>1534999.670038142</c:v>
                </c:pt>
                <c:pt idx="68">
                  <c:v>1548898.0649169786</c:v>
                </c:pt>
                <c:pt idx="69">
                  <c:v>1563415.2393861851</c:v>
                </c:pt>
                <c:pt idx="70">
                  <c:v>1578622.5778647645</c:v>
                </c:pt>
                <c:pt idx="71">
                  <c:v>1594603.917222816</c:v>
                </c:pt>
                <c:pt idx="72">
                  <c:v>1611458.6590189675</c:v>
                </c:pt>
                <c:pt idx="73">
                  <c:v>1629305.9165563297</c:v>
                </c:pt>
                <c:pt idx="74">
                  <c:v>1648290.1394840106</c:v>
                </c:pt>
                <c:pt idx="75">
                  <c:v>1679298.3919094119</c:v>
                </c:pt>
                <c:pt idx="76">
                  <c:v>1679298.3919094119</c:v>
                </c:pt>
                <c:pt idx="77">
                  <c:v>1714076.9950899123</c:v>
                </c:pt>
                <c:pt idx="78">
                  <c:v>1739914.2204604433</c:v>
                </c:pt>
                <c:pt idx="79">
                  <c:v>1768423.0794235053</c:v>
                </c:pt>
                <c:pt idx="80">
                  <c:v>1800273.180310504</c:v>
                </c:pt>
                <c:pt idx="81">
                  <c:v>1836420.1044018653</c:v>
                </c:pt>
                <c:pt idx="82">
                  <c:v>1878295.8479531724</c:v>
                </c:pt>
                <c:pt idx="83">
                  <c:v>1928190.0643226313</c:v>
                </c:pt>
                <c:pt idx="84">
                  <c:v>1990110.4193591967</c:v>
                </c:pt>
                <c:pt idx="85">
                  <c:v>2072095.7145525501</c:v>
                </c:pt>
                <c:pt idx="86">
                  <c:v>2194514.9764328627</c:v>
                </c:pt>
                <c:pt idx="87">
                  <c:v>2446198.4517612187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9032"/>
        <c:axId val="436724128"/>
      </c:scatterChart>
      <c:valAx>
        <c:axId val="4367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-25000"/>
                  <a:t>i</a:t>
                </a:r>
                <a:r>
                  <a:rPr lang="en-US"/>
                  <a:t> (expected</a:t>
                </a:r>
                <a:r>
                  <a:rPr lang="en-US" baseline="0"/>
                  <a:t> streamflow from distribution) ~ cfs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4128"/>
        <c:crosses val="autoZero"/>
        <c:crossBetween val="midCat"/>
      </c:valAx>
      <c:valAx>
        <c:axId val="436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  <a:r>
                  <a:rPr lang="en-US"/>
                  <a:t> (peak streamflow) ~ cfs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1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p2_lp3!$B$8</c:f>
              <c:strCache>
                <c:ptCount val="1"/>
                <c:pt idx="0">
                  <c:v>xi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p2_lp3!$H$9:$H$96</c:f>
              <c:numCache>
                <c:formatCode>0.0000</c:formatCode>
                <c:ptCount val="88"/>
                <c:pt idx="0">
                  <c:v>-2.6029302637355194</c:v>
                </c:pt>
                <c:pt idx="1">
                  <c:v>-2.186951837296057</c:v>
                </c:pt>
                <c:pt idx="2">
                  <c:v>-1.9593815841480549</c:v>
                </c:pt>
                <c:pt idx="3">
                  <c:v>-1.7971673065323444</c:v>
                </c:pt>
                <c:pt idx="4">
                  <c:v>-1.6690150218509281</c:v>
                </c:pt>
                <c:pt idx="5">
                  <c:v>-1.5141298011223085</c:v>
                </c:pt>
                <c:pt idx="6">
                  <c:v>-1.5141298011223085</c:v>
                </c:pt>
                <c:pt idx="7">
                  <c:v>-1.3872039547501718</c:v>
                </c:pt>
                <c:pt idx="8">
                  <c:v>-1.3130932476987116</c:v>
                </c:pt>
                <c:pt idx="9">
                  <c:v>-1.2453004038872297</c:v>
                </c:pt>
                <c:pt idx="10">
                  <c:v>-1.1826193568806378</c:v>
                </c:pt>
                <c:pt idx="11">
                  <c:v>-1.0962955119161393</c:v>
                </c:pt>
                <c:pt idx="12">
                  <c:v>-1.0962955119161393</c:v>
                </c:pt>
                <c:pt idx="13">
                  <c:v>-1.0173489366446535</c:v>
                </c:pt>
                <c:pt idx="14">
                  <c:v>-0.94426806229033211</c:v>
                </c:pt>
                <c:pt idx="15">
                  <c:v>-0.94426806229033211</c:v>
                </c:pt>
                <c:pt idx="16">
                  <c:v>-0.85409542535590077</c:v>
                </c:pt>
                <c:pt idx="17">
                  <c:v>-0.85409542535590077</c:v>
                </c:pt>
                <c:pt idx="18">
                  <c:v>-0.79089216945654606</c:v>
                </c:pt>
                <c:pt idx="19">
                  <c:v>-0.75052484650129792</c:v>
                </c:pt>
                <c:pt idx="20">
                  <c:v>-0.71140205651678556</c:v>
                </c:pt>
                <c:pt idx="21">
                  <c:v>-0.67339998702698622</c:v>
                </c:pt>
                <c:pt idx="22">
                  <c:v>-0.63641048820661972</c:v>
                </c:pt>
                <c:pt idx="23">
                  <c:v>-0.60033840114766157</c:v>
                </c:pt>
                <c:pt idx="24">
                  <c:v>-0.56509942760193965</c:v>
                </c:pt>
                <c:pt idx="25">
                  <c:v>-0.53061841354287331</c:v>
                </c:pt>
                <c:pt idx="26">
                  <c:v>-0.49682795268472191</c:v>
                </c:pt>
                <c:pt idx="27">
                  <c:v>-0.44730560576160627</c:v>
                </c:pt>
                <c:pt idx="28">
                  <c:v>-0.44730560576160627</c:v>
                </c:pt>
                <c:pt idx="29">
                  <c:v>-0.39901930727133461</c:v>
                </c:pt>
                <c:pt idx="30">
                  <c:v>-0.36743569448424829</c:v>
                </c:pt>
                <c:pt idx="31">
                  <c:v>-0.33628781363250582</c:v>
                </c:pt>
                <c:pt idx="32">
                  <c:v>-0.30553634130926</c:v>
                </c:pt>
                <c:pt idx="33">
                  <c:v>-0.26007301544123251</c:v>
                </c:pt>
                <c:pt idx="34">
                  <c:v>-0.26007301544123251</c:v>
                </c:pt>
                <c:pt idx="35">
                  <c:v>-0.2153060310888204</c:v>
                </c:pt>
                <c:pt idx="36">
                  <c:v>-0.1857965074514123</c:v>
                </c:pt>
                <c:pt idx="37">
                  <c:v>-0.15652124003042722</c:v>
                </c:pt>
                <c:pt idx="38">
                  <c:v>-0.12745273035526239</c:v>
                </c:pt>
                <c:pt idx="39">
                  <c:v>-8.4180219444341731E-2</c:v>
                </c:pt>
                <c:pt idx="40">
                  <c:v>-8.4180219444341731E-2</c:v>
                </c:pt>
                <c:pt idx="41">
                  <c:v>-4.1228651021636864E-2</c:v>
                </c:pt>
                <c:pt idx="42">
                  <c:v>1.483528348341423E-3</c:v>
                </c:pt>
                <c:pt idx="43">
                  <c:v>1.483528348341423E-3</c:v>
                </c:pt>
                <c:pt idx="44">
                  <c:v>4.4035381775874072E-2</c:v>
                </c:pt>
                <c:pt idx="45">
                  <c:v>7.2352568658187622E-2</c:v>
                </c:pt>
                <c:pt idx="46">
                  <c:v>0.10065584185279697</c:v>
                </c:pt>
                <c:pt idx="47">
                  <c:v>0.14313475309514168</c:v>
                </c:pt>
                <c:pt idx="48">
                  <c:v>0.14313475309514168</c:v>
                </c:pt>
                <c:pt idx="49">
                  <c:v>0.1857119428993812</c:v>
                </c:pt>
                <c:pt idx="50">
                  <c:v>0.2141907076327243</c:v>
                </c:pt>
                <c:pt idx="51">
                  <c:v>0.24277300253367784</c:v>
                </c:pt>
                <c:pt idx="52">
                  <c:v>0.28589576074698364</c:v>
                </c:pt>
                <c:pt idx="53">
                  <c:v>0.28589576074698364</c:v>
                </c:pt>
                <c:pt idx="54">
                  <c:v>0.34399775272242827</c:v>
                </c:pt>
                <c:pt idx="55">
                  <c:v>0.34399775272242827</c:v>
                </c:pt>
                <c:pt idx="56">
                  <c:v>0.38815259810948533</c:v>
                </c:pt>
                <c:pt idx="57">
                  <c:v>0.41792242769311017</c:v>
                </c:pt>
                <c:pt idx="58">
                  <c:v>0.46316168758440313</c:v>
                </c:pt>
                <c:pt idx="59">
                  <c:v>0.46316168758440313</c:v>
                </c:pt>
                <c:pt idx="60">
                  <c:v>0.5092141811066746</c:v>
                </c:pt>
                <c:pt idx="61">
                  <c:v>0.55621995331062024</c:v>
                </c:pt>
                <c:pt idx="62">
                  <c:v>0.55621995331062024</c:v>
                </c:pt>
                <c:pt idx="63">
                  <c:v>0.60433828119678523</c:v>
                </c:pt>
                <c:pt idx="64">
                  <c:v>0.63712470468995619</c:v>
                </c:pt>
                <c:pt idx="65">
                  <c:v>0.67054821316111024</c:v>
                </c:pt>
                <c:pt idx="66">
                  <c:v>0.70467763386239035</c:v>
                </c:pt>
                <c:pt idx="67">
                  <c:v>0.73959029210638505</c:v>
                </c:pt>
                <c:pt idx="68">
                  <c:v>0.77537367462329065</c:v>
                </c:pt>
                <c:pt idx="69">
                  <c:v>0.81212751058198229</c:v>
                </c:pt>
                <c:pt idx="70">
                  <c:v>0.84996640520162003</c:v>
                </c:pt>
                <c:pt idx="71">
                  <c:v>0.88902321479254276</c:v>
                </c:pt>
                <c:pt idx="72">
                  <c:v>0.92945343222742416</c:v>
                </c:pt>
                <c:pt idx="73">
                  <c:v>0.9714409736227374</c:v>
                </c:pt>
                <c:pt idx="74">
                  <c:v>1.0152059465035901</c:v>
                </c:pt>
                <c:pt idx="75">
                  <c:v>1.0847863491256913</c:v>
                </c:pt>
                <c:pt idx="76">
                  <c:v>1.0847863491256913</c:v>
                </c:pt>
                <c:pt idx="77">
                  <c:v>1.1601646542339523</c:v>
                </c:pt>
                <c:pt idx="78">
                  <c:v>1.214442750514241</c:v>
                </c:pt>
                <c:pt idx="79">
                  <c:v>1.272721314142256</c:v>
                </c:pt>
                <c:pt idx="80">
                  <c:v>1.3359301148396359</c:v>
                </c:pt>
                <c:pt idx="81">
                  <c:v>1.4053693560245577</c:v>
                </c:pt>
                <c:pt idx="82">
                  <c:v>1.4829431646914397</c:v>
                </c:pt>
                <c:pt idx="83">
                  <c:v>1.5716155302367891</c:v>
                </c:pt>
                <c:pt idx="84">
                  <c:v>1.6764083947100197</c:v>
                </c:pt>
                <c:pt idx="85">
                  <c:v>1.8069808255863116</c:v>
                </c:pt>
                <c:pt idx="86">
                  <c:v>1.9863593450863934</c:v>
                </c:pt>
                <c:pt idx="87">
                  <c:v>2.30323783585097</c:v>
                </c:pt>
              </c:numCache>
            </c:numRef>
          </c:xVal>
          <c:yVal>
            <c:numRef>
              <c:f>p2_lp3!$D$9:$D$96</c:f>
              <c:numCache>
                <c:formatCode>0.0000</c:formatCode>
                <c:ptCount val="88"/>
                <c:pt idx="0">
                  <c:v>5.8488047010518036</c:v>
                </c:pt>
                <c:pt idx="1">
                  <c:v>5.8518696007297661</c:v>
                </c:pt>
                <c:pt idx="2">
                  <c:v>5.8959747323590648</c:v>
                </c:pt>
                <c:pt idx="3">
                  <c:v>5.9106244048892016</c:v>
                </c:pt>
                <c:pt idx="4">
                  <c:v>5.9429995933660402</c:v>
                </c:pt>
                <c:pt idx="5">
                  <c:v>5.9804578922761005</c:v>
                </c:pt>
                <c:pt idx="6">
                  <c:v>5.9804578922761005</c:v>
                </c:pt>
                <c:pt idx="7">
                  <c:v>5.9898945637187735</c:v>
                </c:pt>
                <c:pt idx="8">
                  <c:v>5.9912260756924951</c:v>
                </c:pt>
                <c:pt idx="9">
                  <c:v>5.9925535178321354</c:v>
                </c:pt>
                <c:pt idx="10">
                  <c:v>6.008600171761918</c:v>
                </c:pt>
                <c:pt idx="11">
                  <c:v>6.0170333392987807</c:v>
                </c:pt>
                <c:pt idx="12">
                  <c:v>6.0170333392987807</c:v>
                </c:pt>
                <c:pt idx="13">
                  <c:v>6.0314084642516246</c:v>
                </c:pt>
                <c:pt idx="14">
                  <c:v>6.0413926851582254</c:v>
                </c:pt>
                <c:pt idx="15">
                  <c:v>6.0413926851582254</c:v>
                </c:pt>
                <c:pt idx="16">
                  <c:v>6.0453229787866576</c:v>
                </c:pt>
                <c:pt idx="17">
                  <c:v>6.0453229787866576</c:v>
                </c:pt>
                <c:pt idx="18">
                  <c:v>6.0569048513364727</c:v>
                </c:pt>
                <c:pt idx="19">
                  <c:v>6.0595634179012681</c:v>
                </c:pt>
                <c:pt idx="20">
                  <c:v>6.0599418880619549</c:v>
                </c:pt>
                <c:pt idx="21">
                  <c:v>6.0606978403536118</c:v>
                </c:pt>
                <c:pt idx="22">
                  <c:v>6.0618293072946994</c:v>
                </c:pt>
                <c:pt idx="23">
                  <c:v>6.0644579892269181</c:v>
                </c:pt>
                <c:pt idx="24">
                  <c:v>6.0711452904510832</c:v>
                </c:pt>
                <c:pt idx="25">
                  <c:v>6.0726174765452363</c:v>
                </c:pt>
                <c:pt idx="26">
                  <c:v>6.0744507189545915</c:v>
                </c:pt>
                <c:pt idx="27">
                  <c:v>6.075546961392531</c:v>
                </c:pt>
                <c:pt idx="28">
                  <c:v>6.075546961392531</c:v>
                </c:pt>
                <c:pt idx="29">
                  <c:v>6.0759117614827778</c:v>
                </c:pt>
                <c:pt idx="30">
                  <c:v>6.0867156639448821</c:v>
                </c:pt>
                <c:pt idx="31">
                  <c:v>6.0899051114393981</c:v>
                </c:pt>
                <c:pt idx="32">
                  <c:v>6.1038037209559572</c:v>
                </c:pt>
                <c:pt idx="33">
                  <c:v>6.1072099696478688</c:v>
                </c:pt>
                <c:pt idx="34">
                  <c:v>6.1072099696478688</c:v>
                </c:pt>
                <c:pt idx="35">
                  <c:v>6.1078880251827989</c:v>
                </c:pt>
                <c:pt idx="36">
                  <c:v>6.1085650237328348</c:v>
                </c:pt>
                <c:pt idx="37">
                  <c:v>6.1142772965615864</c:v>
                </c:pt>
                <c:pt idx="38">
                  <c:v>6.115277591395901</c:v>
                </c:pt>
                <c:pt idx="39">
                  <c:v>6.1179338350396417</c:v>
                </c:pt>
                <c:pt idx="40">
                  <c:v>6.1179338350396417</c:v>
                </c:pt>
                <c:pt idx="41">
                  <c:v>6.1189257528257768</c:v>
                </c:pt>
                <c:pt idx="42">
                  <c:v>6.1205739312058496</c:v>
                </c:pt>
                <c:pt idx="43">
                  <c:v>6.1205739312058496</c:v>
                </c:pt>
                <c:pt idx="44">
                  <c:v>6.1222158782728267</c:v>
                </c:pt>
                <c:pt idx="45">
                  <c:v>6.1248301494138593</c:v>
                </c:pt>
                <c:pt idx="46">
                  <c:v>6.12515582958053</c:v>
                </c:pt>
                <c:pt idx="47">
                  <c:v>6.1303337684950066</c:v>
                </c:pt>
                <c:pt idx="48">
                  <c:v>6.1303337684950066</c:v>
                </c:pt>
                <c:pt idx="49">
                  <c:v>6.1322596895310442</c:v>
                </c:pt>
                <c:pt idx="50">
                  <c:v>6.1335389083702179</c:v>
                </c:pt>
                <c:pt idx="51">
                  <c:v>6.1360860973840978</c:v>
                </c:pt>
                <c:pt idx="52">
                  <c:v>6.1367205671564067</c:v>
                </c:pt>
                <c:pt idx="53">
                  <c:v>6.1367205671564067</c:v>
                </c:pt>
                <c:pt idx="54">
                  <c:v>6.1398790864012369</c:v>
                </c:pt>
                <c:pt idx="55">
                  <c:v>6.1398790864012369</c:v>
                </c:pt>
                <c:pt idx="56">
                  <c:v>6.1464381352857744</c:v>
                </c:pt>
                <c:pt idx="57">
                  <c:v>6.1473671077937864</c:v>
                </c:pt>
                <c:pt idx="58">
                  <c:v>6.1492191126553797</c:v>
                </c:pt>
                <c:pt idx="59">
                  <c:v>6.1492191126553797</c:v>
                </c:pt>
                <c:pt idx="60">
                  <c:v>6.1522883443830567</c:v>
                </c:pt>
                <c:pt idx="61">
                  <c:v>6.1553360374650614</c:v>
                </c:pt>
                <c:pt idx="62">
                  <c:v>6.1553360374650614</c:v>
                </c:pt>
                <c:pt idx="63">
                  <c:v>6.1583624920952493</c:v>
                </c:pt>
                <c:pt idx="64">
                  <c:v>6.1705550585212086</c:v>
                </c:pt>
                <c:pt idx="65">
                  <c:v>6.1846914308175984</c:v>
                </c:pt>
                <c:pt idx="66">
                  <c:v>6.1866738674997448</c:v>
                </c:pt>
                <c:pt idx="67">
                  <c:v>6.188084373714938</c:v>
                </c:pt>
                <c:pt idx="68">
                  <c:v>6.1903316981702918</c:v>
                </c:pt>
                <c:pt idx="69">
                  <c:v>6.1931245983544612</c:v>
                </c:pt>
                <c:pt idx="70">
                  <c:v>6.197004728023046</c:v>
                </c:pt>
                <c:pt idx="71">
                  <c:v>6.1986570869544222</c:v>
                </c:pt>
                <c:pt idx="72">
                  <c:v>6.204119982655925</c:v>
                </c:pt>
                <c:pt idx="73">
                  <c:v>6.20682587603185</c:v>
                </c:pt>
                <c:pt idx="74">
                  <c:v>6.216957207361097</c:v>
                </c:pt>
                <c:pt idx="75">
                  <c:v>6.2278867046136739</c:v>
                </c:pt>
                <c:pt idx="76">
                  <c:v>6.2278867046136739</c:v>
                </c:pt>
                <c:pt idx="77">
                  <c:v>6.238046103128795</c:v>
                </c:pt>
                <c:pt idx="78">
                  <c:v>6.2504200023088936</c:v>
                </c:pt>
                <c:pt idx="79">
                  <c:v>6.2528530309798933</c:v>
                </c:pt>
                <c:pt idx="80">
                  <c:v>6.2600713879850751</c:v>
                </c:pt>
                <c:pt idx="81">
                  <c:v>6.2648178230095368</c:v>
                </c:pt>
                <c:pt idx="82">
                  <c:v>6.2741578492636796</c:v>
                </c:pt>
                <c:pt idx="83">
                  <c:v>6.2837533833325265</c:v>
                </c:pt>
                <c:pt idx="84">
                  <c:v>6.2926990030439294</c:v>
                </c:pt>
                <c:pt idx="85">
                  <c:v>6.318063334962762</c:v>
                </c:pt>
                <c:pt idx="86">
                  <c:v>6.3575537197430814</c:v>
                </c:pt>
                <c:pt idx="87">
                  <c:v>6.363611979892144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20600"/>
        <c:axId val="437929320"/>
      </c:scatterChart>
      <c:valAx>
        <c:axId val="4367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9320"/>
        <c:crosses val="autoZero"/>
        <c:crossBetween val="midCat"/>
      </c:valAx>
      <c:valAx>
        <c:axId val="4379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log(max</a:t>
                </a:r>
                <a:r>
                  <a:rPr lang="en-US" baseline="0"/>
                  <a:t> annual flow) ~ log(cfs)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91440</xdr:colOff>
      <xdr:row>15</xdr:row>
      <xdr:rowOff>110490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91440</xdr:colOff>
      <xdr:row>18</xdr:row>
      <xdr:rowOff>3810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6"/>
  <sheetViews>
    <sheetView showGridLines="0" topLeftCell="B1" workbookViewId="0">
      <selection activeCell="B27" sqref="B27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12.26171875" style="2" bestFit="1" customWidth="1"/>
    <col min="4" max="4" width="12.26171875" style="2" customWidth="1"/>
    <col min="5" max="5" width="8.1015625" style="2" customWidth="1"/>
    <col min="6" max="6" width="6.68359375" style="2" bestFit="1" customWidth="1"/>
    <col min="7" max="7" width="9.47265625" bestFit="1" customWidth="1"/>
    <col min="8" max="8" width="7.89453125" bestFit="1" customWidth="1"/>
    <col min="9" max="9" width="6.83984375" bestFit="1" customWidth="1"/>
    <col min="10" max="10" width="8.734375" bestFit="1" customWidth="1"/>
    <col min="11" max="11" width="7.62890625" bestFit="1" customWidth="1"/>
    <col min="12" max="12" width="7.26171875" bestFit="1" customWidth="1"/>
    <col min="13" max="13" width="6.83984375" bestFit="1" customWidth="1"/>
    <col min="14" max="14" width="8.734375" bestFit="1" customWidth="1"/>
    <col min="15" max="15" width="7.62890625" bestFit="1" customWidth="1"/>
    <col min="16" max="16" width="7.26171875" bestFit="1" customWidth="1"/>
  </cols>
  <sheetData>
    <row r="1" spans="1:16" x14ac:dyDescent="0.55000000000000004">
      <c r="A1" s="2" t="s">
        <v>3</v>
      </c>
      <c r="G1" s="16"/>
      <c r="O1" s="10"/>
    </row>
    <row r="2" spans="1:16" x14ac:dyDescent="0.55000000000000004">
      <c r="G2" s="16"/>
      <c r="O2" s="10"/>
    </row>
    <row r="3" spans="1:16" x14ac:dyDescent="0.55000000000000004">
      <c r="A3" t="s">
        <v>22</v>
      </c>
      <c r="B3">
        <v>3.76</v>
      </c>
      <c r="C3"/>
      <c r="D3"/>
      <c r="E3" s="15" t="s">
        <v>29</v>
      </c>
    </row>
    <row r="4" spans="1:16" x14ac:dyDescent="0.55000000000000004">
      <c r="A4" t="s">
        <v>23</v>
      </c>
      <c r="B4">
        <v>1.923</v>
      </c>
      <c r="C4" t="s">
        <v>6</v>
      </c>
      <c r="D4"/>
    </row>
    <row r="5" spans="1:16" x14ac:dyDescent="0.55000000000000004">
      <c r="A5" t="s">
        <v>7</v>
      </c>
      <c r="B5">
        <v>1.96</v>
      </c>
      <c r="C5" t="s">
        <v>9</v>
      </c>
      <c r="D5"/>
    </row>
    <row r="6" spans="1:16" x14ac:dyDescent="0.55000000000000004">
      <c r="A6" t="s">
        <v>8</v>
      </c>
      <c r="B6">
        <v>1.1200000000000001</v>
      </c>
      <c r="C6" t="s">
        <v>9</v>
      </c>
      <c r="D6"/>
    </row>
    <row r="7" spans="1:16" ht="14.7" thickBot="1" x14ac:dyDescent="0.6">
      <c r="A7"/>
      <c r="B7"/>
      <c r="C7"/>
      <c r="D7"/>
    </row>
    <row r="8" spans="1:16" x14ac:dyDescent="0.55000000000000004">
      <c r="A8"/>
      <c r="B8"/>
      <c r="C8"/>
      <c r="D8"/>
      <c r="E8" s="29" t="s">
        <v>19</v>
      </c>
      <c r="F8" s="30"/>
      <c r="G8" s="30"/>
      <c r="H8" s="32"/>
      <c r="I8" s="32"/>
      <c r="J8" s="31"/>
      <c r="K8" s="32"/>
      <c r="L8" s="32"/>
      <c r="M8" s="32"/>
      <c r="N8" s="32"/>
      <c r="O8" s="32"/>
      <c r="P8" s="33"/>
    </row>
    <row r="9" spans="1:16" x14ac:dyDescent="0.55000000000000004">
      <c r="E9" s="34"/>
      <c r="F9" s="35"/>
      <c r="G9" s="36"/>
      <c r="H9" s="36"/>
      <c r="I9" s="37" t="s">
        <v>17</v>
      </c>
      <c r="J9" s="37"/>
      <c r="K9" s="37"/>
      <c r="L9" s="37"/>
      <c r="M9" s="37" t="s">
        <v>18</v>
      </c>
      <c r="N9" s="37"/>
      <c r="O9" s="37"/>
      <c r="P9" s="38"/>
    </row>
    <row r="10" spans="1:16" ht="16.5" x14ac:dyDescent="0.55000000000000004">
      <c r="A10" s="3" t="s">
        <v>0</v>
      </c>
      <c r="B10" s="3" t="s">
        <v>1</v>
      </c>
      <c r="C10" s="8" t="s">
        <v>28</v>
      </c>
      <c r="D10" s="8"/>
      <c r="E10" s="61" t="s">
        <v>4</v>
      </c>
      <c r="F10" s="48" t="s">
        <v>14</v>
      </c>
      <c r="G10" s="49" t="s">
        <v>16</v>
      </c>
      <c r="H10" s="49" t="s">
        <v>10</v>
      </c>
      <c r="I10" s="49" t="s">
        <v>12</v>
      </c>
      <c r="J10" s="49" t="s">
        <v>13</v>
      </c>
      <c r="K10" s="49" t="s">
        <v>11</v>
      </c>
      <c r="L10" s="49" t="s">
        <v>15</v>
      </c>
      <c r="M10" s="49" t="s">
        <v>12</v>
      </c>
      <c r="N10" s="49" t="s">
        <v>13</v>
      </c>
      <c r="O10" s="49" t="s">
        <v>11</v>
      </c>
      <c r="P10" s="62" t="s">
        <v>15</v>
      </c>
    </row>
    <row r="11" spans="1:16" x14ac:dyDescent="0.55000000000000004">
      <c r="A11" s="1">
        <v>1933</v>
      </c>
      <c r="B11" s="4">
        <v>0.44</v>
      </c>
      <c r="C11" s="2">
        <v>1</v>
      </c>
      <c r="E11" s="63">
        <v>1</v>
      </c>
      <c r="F11" s="50">
        <v>1</v>
      </c>
      <c r="G11" s="51">
        <f>COUNTIF($B$11:$B$60,"&lt;1")</f>
        <v>5</v>
      </c>
      <c r="H11" s="51">
        <f>G11</f>
        <v>5</v>
      </c>
      <c r="I11" s="52">
        <f>NORMDIST(F11,$B$5,$B$6,TRUE)</f>
        <v>0.195682969153776</v>
      </c>
      <c r="J11" s="52">
        <f>I11-NORMDIST(0,B5,B6,TRUE)</f>
        <v>0.15562381228995892</v>
      </c>
      <c r="K11" s="52">
        <f>J11*$G$16</f>
        <v>7.7811906144979464</v>
      </c>
      <c r="L11" s="52">
        <f>(H11-K11)^2/K11</f>
        <v>0.99406654037745079</v>
      </c>
      <c r="M11" s="52">
        <f>GAMMADIST(F11,$B$3,1/$B$4,TRUE)</f>
        <v>0.16135451265888309</v>
      </c>
      <c r="N11" s="52">
        <f>M11-GAMMADIST(0,$B$3,1/$B$4,TRUE)</f>
        <v>0.16135451265888309</v>
      </c>
      <c r="O11" s="52">
        <f>N11*$G$16</f>
        <v>8.0677256329441551</v>
      </c>
      <c r="P11" s="64">
        <f>(H11-O11)^2/O11</f>
        <v>1.1664923904444036</v>
      </c>
    </row>
    <row r="12" spans="1:16" x14ac:dyDescent="0.55000000000000004">
      <c r="A12" s="1">
        <v>1980</v>
      </c>
      <c r="B12" s="4">
        <v>0.52</v>
      </c>
      <c r="C12" s="2">
        <v>2</v>
      </c>
      <c r="E12" s="63">
        <v>2</v>
      </c>
      <c r="F12" s="50">
        <v>1.5</v>
      </c>
      <c r="G12" s="51">
        <f>COUNTIF($B$11:$B$60,"&lt;1.5")</f>
        <v>21</v>
      </c>
      <c r="H12" s="51">
        <f>G12-G11</f>
        <v>16</v>
      </c>
      <c r="I12" s="52">
        <f>NORMDIST(F12,$B$5,$B$6,TRUE)</f>
        <v>0.34064102525147771</v>
      </c>
      <c r="J12" s="52">
        <f>I12-I11</f>
        <v>0.14495805609770171</v>
      </c>
      <c r="K12" s="52">
        <f t="shared" ref="K12:K16" si="0">J12*$G$16</f>
        <v>7.2479028048850855</v>
      </c>
      <c r="L12" s="52">
        <f t="shared" ref="L12:L16" si="1">(H12-K12)^2/K12</f>
        <v>10.568464751087788</v>
      </c>
      <c r="M12" s="52">
        <f t="shared" ref="M12:M16" si="2">GAMMADIST(F12,$B$3,1/$B$4,TRUE)</f>
        <v>0.37603428748082518</v>
      </c>
      <c r="N12" s="52">
        <f>M12-M11</f>
        <v>0.21467977482194209</v>
      </c>
      <c r="O12" s="52">
        <f t="shared" ref="O12:O16" si="3">N12*$G$16</f>
        <v>10.733988741097104</v>
      </c>
      <c r="P12" s="64">
        <f t="shared" ref="P12:P16" si="4">(H12-O12)^2/O12</f>
        <v>2.5834641015337731</v>
      </c>
    </row>
    <row r="13" spans="1:16" x14ac:dyDescent="0.55000000000000004">
      <c r="A13" s="1">
        <v>1944</v>
      </c>
      <c r="B13" s="4">
        <v>0.54</v>
      </c>
      <c r="C13" s="2">
        <v>3</v>
      </c>
      <c r="E13" s="63">
        <v>3</v>
      </c>
      <c r="F13" s="50">
        <v>2</v>
      </c>
      <c r="G13" s="51">
        <f>COUNTIF($B$11:$B$60,"&lt;2")</f>
        <v>31</v>
      </c>
      <c r="H13" s="51">
        <f t="shared" ref="H13:H16" si="5">G13-G12</f>
        <v>10</v>
      </c>
      <c r="I13" s="52">
        <f>NORMDIST(F13,$B$5,$B$6,TRUE)</f>
        <v>0.51424491026667729</v>
      </c>
      <c r="J13" s="52">
        <f t="shared" ref="J13:J16" si="6">I13-I12</f>
        <v>0.17360388501519958</v>
      </c>
      <c r="K13" s="52">
        <f t="shared" si="0"/>
        <v>8.6801942507599783</v>
      </c>
      <c r="L13" s="52">
        <f t="shared" si="1"/>
        <v>0.2006737597576814</v>
      </c>
      <c r="M13" s="52">
        <f t="shared" si="2"/>
        <v>0.58572531275795092</v>
      </c>
      <c r="N13" s="52">
        <f t="shared" ref="N13:N16" si="7">M13-M12</f>
        <v>0.20969102527712574</v>
      </c>
      <c r="O13" s="52">
        <f t="shared" si="3"/>
        <v>10.484551263856288</v>
      </c>
      <c r="P13" s="64">
        <f t="shared" si="4"/>
        <v>2.2393893777230521E-2</v>
      </c>
    </row>
    <row r="14" spans="1:16" x14ac:dyDescent="0.55000000000000004">
      <c r="A14" s="1">
        <v>1940</v>
      </c>
      <c r="B14" s="4">
        <v>0.72</v>
      </c>
      <c r="C14" s="2">
        <v>4</v>
      </c>
      <c r="E14" s="63">
        <v>4</v>
      </c>
      <c r="F14" s="50">
        <v>2.5</v>
      </c>
      <c r="G14" s="51">
        <f>COUNTIF($B$11:$B$60,"&lt;2.5")</f>
        <v>38</v>
      </c>
      <c r="H14" s="51">
        <f t="shared" si="5"/>
        <v>7</v>
      </c>
      <c r="I14" s="52">
        <f t="shared" ref="I14:I15" si="8">NORMDIST(F14,$B$5,$B$6,TRUE)</f>
        <v>0.68514776664234478</v>
      </c>
      <c r="J14" s="52">
        <f t="shared" si="6"/>
        <v>0.17090285637566749</v>
      </c>
      <c r="K14" s="52">
        <f t="shared" si="0"/>
        <v>8.5451428187833738</v>
      </c>
      <c r="L14" s="52">
        <f t="shared" si="1"/>
        <v>0.27939454975402606</v>
      </c>
      <c r="M14" s="52">
        <f t="shared" si="2"/>
        <v>0.74734958388951989</v>
      </c>
      <c r="N14" s="52">
        <f t="shared" si="7"/>
        <v>0.16162427113156896</v>
      </c>
      <c r="O14" s="52">
        <f t="shared" si="3"/>
        <v>8.0812135565784473</v>
      </c>
      <c r="P14" s="64">
        <f t="shared" si="4"/>
        <v>0.14465930726176413</v>
      </c>
    </row>
    <row r="15" spans="1:16" x14ac:dyDescent="0.55000000000000004">
      <c r="A15" s="1">
        <v>1981</v>
      </c>
      <c r="B15" s="4">
        <v>0.87</v>
      </c>
      <c r="C15" s="2">
        <v>5</v>
      </c>
      <c r="E15" s="63">
        <v>5</v>
      </c>
      <c r="F15" s="50">
        <v>3</v>
      </c>
      <c r="G15" s="51">
        <f>COUNTIF($B$11:$B$60,"&lt;3")</f>
        <v>45</v>
      </c>
      <c r="H15" s="51">
        <f t="shared" si="5"/>
        <v>7</v>
      </c>
      <c r="I15" s="52">
        <f t="shared" si="8"/>
        <v>0.82344438274699727</v>
      </c>
      <c r="J15" s="52">
        <f t="shared" si="6"/>
        <v>0.13829661610465249</v>
      </c>
      <c r="K15" s="52">
        <f t="shared" si="0"/>
        <v>6.9148308052326248</v>
      </c>
      <c r="L15" s="52">
        <f t="shared" si="1"/>
        <v>1.0490194108341683E-3</v>
      </c>
      <c r="M15" s="52">
        <f t="shared" si="2"/>
        <v>0.85547144181681123</v>
      </c>
      <c r="N15" s="52">
        <f t="shared" si="7"/>
        <v>0.10812185792729134</v>
      </c>
      <c r="O15" s="52">
        <f t="shared" si="3"/>
        <v>5.4060928963645676</v>
      </c>
      <c r="P15" s="64">
        <f t="shared" si="4"/>
        <v>0.46994010345769843</v>
      </c>
    </row>
    <row r="16" spans="1:16" x14ac:dyDescent="0.55000000000000004">
      <c r="A16" s="1">
        <v>1970</v>
      </c>
      <c r="B16" s="4">
        <v>1.03</v>
      </c>
      <c r="C16" s="2">
        <v>6</v>
      </c>
      <c r="E16" s="63">
        <v>6</v>
      </c>
      <c r="F16" s="50">
        <v>7</v>
      </c>
      <c r="G16" s="57">
        <f>COUNTIF($B$11:$B$60,"&lt;7")</f>
        <v>50</v>
      </c>
      <c r="H16" s="57">
        <f t="shared" si="5"/>
        <v>5</v>
      </c>
      <c r="I16" s="52">
        <f>NORMDIST(F16,$B$5,$B$6,TRUE)</f>
        <v>0.99999660232687526</v>
      </c>
      <c r="J16" s="52">
        <f t="shared" si="6"/>
        <v>0.17655221957987799</v>
      </c>
      <c r="K16" s="52">
        <f t="shared" si="0"/>
        <v>8.8276109789938992</v>
      </c>
      <c r="L16" s="52">
        <f t="shared" si="1"/>
        <v>1.6596342817300265</v>
      </c>
      <c r="M16" s="52">
        <f t="shared" si="2"/>
        <v>0.999486621278733</v>
      </c>
      <c r="N16" s="52">
        <f t="shared" si="7"/>
        <v>0.14401517946192177</v>
      </c>
      <c r="O16" s="52">
        <f t="shared" si="3"/>
        <v>7.2007589730960886</v>
      </c>
      <c r="P16" s="64">
        <f t="shared" si="4"/>
        <v>0.67261521677908265</v>
      </c>
    </row>
    <row r="17" spans="1:16" ht="17.7" x14ac:dyDescent="0.75">
      <c r="A17" s="1">
        <v>1971</v>
      </c>
      <c r="B17" s="4">
        <v>1.1100000000000001</v>
      </c>
      <c r="C17" s="2">
        <v>7</v>
      </c>
      <c r="E17" s="41"/>
      <c r="F17" s="42"/>
      <c r="G17" s="49" t="s">
        <v>5</v>
      </c>
      <c r="H17" s="49">
        <v>6</v>
      </c>
      <c r="I17" s="36"/>
      <c r="J17" s="36"/>
      <c r="K17" s="48" t="s">
        <v>38</v>
      </c>
      <c r="L17" s="52">
        <f>SUM(L11:L16)</f>
        <v>13.703282902117806</v>
      </c>
      <c r="M17" s="43"/>
      <c r="N17" s="36"/>
      <c r="O17" s="48" t="s">
        <v>38</v>
      </c>
      <c r="P17" s="64">
        <f>SUM(P11:P16)</f>
        <v>5.0595650132539518</v>
      </c>
    </row>
    <row r="18" spans="1:16" ht="17.7" x14ac:dyDescent="0.75">
      <c r="A18" s="1">
        <v>1955</v>
      </c>
      <c r="B18" s="4">
        <v>1.1200000000000001</v>
      </c>
      <c r="C18" s="2">
        <v>8</v>
      </c>
      <c r="E18" s="40"/>
      <c r="F18" s="35"/>
      <c r="G18" s="49" t="s">
        <v>24</v>
      </c>
      <c r="H18" s="49">
        <v>2</v>
      </c>
      <c r="I18" s="36"/>
      <c r="J18" s="36"/>
      <c r="K18" s="48" t="s">
        <v>69</v>
      </c>
      <c r="L18" s="53">
        <v>7.81</v>
      </c>
      <c r="M18" s="43"/>
      <c r="N18" s="36"/>
      <c r="O18" s="48" t="s">
        <v>69</v>
      </c>
      <c r="P18" s="65">
        <v>7.81</v>
      </c>
    </row>
    <row r="19" spans="1:16" x14ac:dyDescent="0.55000000000000004">
      <c r="A19" s="1">
        <v>1946</v>
      </c>
      <c r="B19" s="4">
        <v>1.1299999999999999</v>
      </c>
      <c r="C19" s="2">
        <v>9</v>
      </c>
      <c r="E19" s="40"/>
      <c r="F19" s="35"/>
      <c r="G19" s="48" t="s">
        <v>21</v>
      </c>
      <c r="H19" s="49">
        <f>H17-1-H18</f>
        <v>3</v>
      </c>
      <c r="I19" s="36"/>
      <c r="J19" s="36"/>
      <c r="K19" s="59" t="s">
        <v>27</v>
      </c>
      <c r="L19" s="60"/>
      <c r="M19" s="43"/>
      <c r="N19" s="36"/>
      <c r="O19" s="59" t="s">
        <v>27</v>
      </c>
      <c r="P19" s="66"/>
    </row>
    <row r="20" spans="1:16" x14ac:dyDescent="0.55000000000000004">
      <c r="A20" s="1">
        <v>1967</v>
      </c>
      <c r="B20" s="4">
        <v>1.1599999999999999</v>
      </c>
      <c r="C20" s="2">
        <v>10</v>
      </c>
      <c r="E20" s="40"/>
      <c r="F20" s="35"/>
      <c r="G20" s="49" t="s">
        <v>25</v>
      </c>
      <c r="H20" s="58">
        <v>0.05</v>
      </c>
      <c r="I20" s="39"/>
      <c r="J20" s="36"/>
      <c r="K20" s="55" t="str">
        <f>IF(L17&gt;L18,"Reject","Do not reject")</f>
        <v>Reject</v>
      </c>
      <c r="L20" s="55"/>
      <c r="M20" s="43"/>
      <c r="N20" s="36"/>
      <c r="O20" s="56" t="str">
        <f>IF(P17&gt;P18,"Reject","Do not reject")</f>
        <v>Do not reject</v>
      </c>
      <c r="P20" s="67"/>
    </row>
    <row r="21" spans="1:16" ht="14.7" thickBot="1" x14ac:dyDescent="0.6">
      <c r="A21" s="1">
        <v>1934</v>
      </c>
      <c r="B21" s="4">
        <v>1.18</v>
      </c>
      <c r="C21" s="2">
        <v>11</v>
      </c>
      <c r="E21" s="44"/>
      <c r="F21" s="45"/>
      <c r="G21" s="68" t="s">
        <v>39</v>
      </c>
      <c r="H21" s="69">
        <f>1-H20</f>
        <v>0.95</v>
      </c>
      <c r="I21" s="46"/>
      <c r="J21" s="46"/>
      <c r="K21" s="70" t="s">
        <v>94</v>
      </c>
      <c r="L21" s="71">
        <f>_xlfn.CHISQ.DIST.RT(L17,H19)</f>
        <v>3.3381610357974896E-3</v>
      </c>
      <c r="M21" s="47"/>
      <c r="N21" s="46"/>
      <c r="O21" s="70" t="s">
        <v>95</v>
      </c>
      <c r="P21" s="72">
        <f>_xlfn.CHISQ.DIST.RT(P17,H19)</f>
        <v>0.16748710180671458</v>
      </c>
    </row>
    <row r="22" spans="1:16" x14ac:dyDescent="0.55000000000000004">
      <c r="A22" s="1">
        <v>1942</v>
      </c>
      <c r="B22" s="4">
        <v>1.3</v>
      </c>
      <c r="C22" s="2">
        <v>12</v>
      </c>
      <c r="E22" s="13"/>
      <c r="F22" s="1"/>
      <c r="M22" s="4"/>
    </row>
    <row r="23" spans="1:16" x14ac:dyDescent="0.55000000000000004">
      <c r="A23" s="1">
        <v>1963</v>
      </c>
      <c r="B23" s="4">
        <v>1.31</v>
      </c>
      <c r="C23" s="2">
        <v>13</v>
      </c>
      <c r="E23" s="13"/>
      <c r="I23" s="14"/>
      <c r="J23" s="14"/>
      <c r="K23" s="14"/>
      <c r="L23" s="14"/>
      <c r="O23" s="14"/>
      <c r="P23" s="14"/>
    </row>
    <row r="24" spans="1:16" x14ac:dyDescent="0.55000000000000004">
      <c r="A24" s="1">
        <v>1943</v>
      </c>
      <c r="B24" s="4">
        <v>1.35</v>
      </c>
      <c r="C24" s="2">
        <v>14.5</v>
      </c>
      <c r="E24" s="8"/>
      <c r="F24" s="8"/>
      <c r="G24" s="9"/>
      <c r="H24" s="9"/>
      <c r="I24" s="9"/>
      <c r="J24" s="9"/>
      <c r="K24" s="9"/>
      <c r="L24" s="9"/>
      <c r="O24" s="9"/>
      <c r="P24" s="9"/>
    </row>
    <row r="25" spans="1:16" x14ac:dyDescent="0.55000000000000004">
      <c r="A25" s="1">
        <v>1972</v>
      </c>
      <c r="B25" s="4">
        <v>1.35</v>
      </c>
      <c r="C25" s="2">
        <v>14.5</v>
      </c>
      <c r="G25" s="12"/>
      <c r="H25" s="12"/>
      <c r="I25" s="11"/>
      <c r="J25" s="11"/>
      <c r="K25" s="11"/>
      <c r="L25" s="11"/>
      <c r="O25" s="11"/>
      <c r="P25" s="11"/>
    </row>
    <row r="26" spans="1:16" x14ac:dyDescent="0.55000000000000004">
      <c r="A26" s="1">
        <v>1957</v>
      </c>
      <c r="B26" s="4">
        <v>1.36</v>
      </c>
      <c r="C26" s="2">
        <v>17</v>
      </c>
      <c r="G26" s="12"/>
      <c r="H26" s="12"/>
      <c r="I26" s="11"/>
      <c r="J26" s="11"/>
      <c r="K26" s="11"/>
      <c r="L26" s="11"/>
      <c r="O26" s="11"/>
      <c r="P26" s="11"/>
    </row>
    <row r="27" spans="1:16" x14ac:dyDescent="0.55000000000000004">
      <c r="A27" s="1">
        <v>1969</v>
      </c>
      <c r="B27" s="4">
        <v>1.36</v>
      </c>
      <c r="C27" s="2">
        <v>17</v>
      </c>
      <c r="G27" s="12"/>
      <c r="H27" s="12"/>
      <c r="I27" s="11"/>
      <c r="J27" s="11"/>
      <c r="K27" s="11"/>
      <c r="L27" s="11"/>
      <c r="O27" s="11"/>
      <c r="P27" s="11"/>
    </row>
    <row r="28" spans="1:16" x14ac:dyDescent="0.55000000000000004">
      <c r="A28" s="1">
        <v>1977</v>
      </c>
      <c r="B28" s="4">
        <v>1.36</v>
      </c>
      <c r="C28" s="2">
        <v>17</v>
      </c>
      <c r="G28" s="12"/>
      <c r="H28" s="12"/>
      <c r="I28" s="11"/>
      <c r="J28" s="11"/>
      <c r="K28" s="11"/>
      <c r="L28" s="11"/>
      <c r="O28" s="11"/>
      <c r="P28" s="11"/>
    </row>
    <row r="29" spans="1:16" x14ac:dyDescent="0.55000000000000004">
      <c r="A29" s="1">
        <v>1968</v>
      </c>
      <c r="B29" s="4">
        <v>1.39</v>
      </c>
      <c r="C29" s="2">
        <v>19</v>
      </c>
      <c r="G29" s="12"/>
      <c r="H29" s="12"/>
      <c r="I29" s="11"/>
      <c r="J29" s="11"/>
      <c r="K29" s="11"/>
      <c r="L29" s="11"/>
      <c r="O29" s="11"/>
      <c r="P29" s="11"/>
    </row>
    <row r="30" spans="1:16" x14ac:dyDescent="0.55000000000000004">
      <c r="A30" s="1">
        <v>1973</v>
      </c>
      <c r="B30" s="4">
        <v>1.44</v>
      </c>
      <c r="C30" s="2">
        <v>20</v>
      </c>
      <c r="G30" s="12"/>
      <c r="H30" s="12"/>
      <c r="I30" s="11"/>
      <c r="J30" s="11"/>
      <c r="K30" s="11"/>
      <c r="L30" s="11"/>
      <c r="O30" s="11"/>
      <c r="P30" s="11"/>
    </row>
    <row r="31" spans="1:16" x14ac:dyDescent="0.55000000000000004">
      <c r="A31" s="1">
        <v>1941</v>
      </c>
      <c r="B31" s="4">
        <v>1.46</v>
      </c>
      <c r="C31" s="2">
        <v>21</v>
      </c>
      <c r="E31" s="1"/>
      <c r="F31" s="1"/>
      <c r="M31" s="4"/>
    </row>
    <row r="32" spans="1:16" x14ac:dyDescent="0.55000000000000004">
      <c r="A32" s="1">
        <v>1982</v>
      </c>
      <c r="B32" s="4">
        <v>1.51</v>
      </c>
      <c r="C32" s="2">
        <v>22</v>
      </c>
      <c r="E32" s="1"/>
      <c r="F32" s="1"/>
      <c r="M32" s="4"/>
    </row>
    <row r="33" spans="1:14" x14ac:dyDescent="0.55000000000000004">
      <c r="A33" s="1">
        <v>1961</v>
      </c>
      <c r="B33" s="4">
        <v>1.69</v>
      </c>
      <c r="C33" s="2">
        <v>23.5</v>
      </c>
      <c r="E33" s="1"/>
      <c r="F33" s="1"/>
      <c r="M33" s="5"/>
    </row>
    <row r="34" spans="1:14" x14ac:dyDescent="0.55000000000000004">
      <c r="A34" s="1">
        <v>1975</v>
      </c>
      <c r="B34" s="4">
        <v>1.69</v>
      </c>
      <c r="C34" s="2">
        <v>23.5</v>
      </c>
      <c r="E34" s="1"/>
      <c r="F34" s="1"/>
      <c r="M34" s="4"/>
    </row>
    <row r="35" spans="1:14" x14ac:dyDescent="0.55000000000000004">
      <c r="A35" s="1">
        <v>1938</v>
      </c>
      <c r="B35" s="4">
        <v>1.72</v>
      </c>
      <c r="C35" s="2">
        <v>25.5</v>
      </c>
      <c r="E35" s="1"/>
      <c r="F35" s="1"/>
      <c r="M35" s="4"/>
      <c r="N35" s="6"/>
    </row>
    <row r="36" spans="1:14" x14ac:dyDescent="0.55000000000000004">
      <c r="A36" s="1">
        <v>1948</v>
      </c>
      <c r="B36" s="4">
        <v>1.72</v>
      </c>
      <c r="C36" s="2">
        <v>25.5</v>
      </c>
      <c r="E36" s="1"/>
      <c r="F36" s="1"/>
      <c r="M36" s="4"/>
    </row>
    <row r="37" spans="1:14" x14ac:dyDescent="0.55000000000000004">
      <c r="A37" s="1">
        <v>1960</v>
      </c>
      <c r="B37" s="4">
        <v>1.75</v>
      </c>
      <c r="C37" s="2">
        <v>27</v>
      </c>
      <c r="E37" s="1"/>
      <c r="F37" s="1"/>
      <c r="M37" s="4"/>
    </row>
    <row r="38" spans="1:14" x14ac:dyDescent="0.55000000000000004">
      <c r="A38" s="1">
        <v>1964</v>
      </c>
      <c r="B38" s="4">
        <v>1.76</v>
      </c>
      <c r="C38" s="2">
        <v>28</v>
      </c>
      <c r="E38" s="1"/>
      <c r="F38" s="1"/>
      <c r="M38" s="4"/>
    </row>
    <row r="39" spans="1:14" x14ac:dyDescent="0.55000000000000004">
      <c r="A39" s="1">
        <v>1974</v>
      </c>
      <c r="B39" s="4">
        <v>1.84</v>
      </c>
      <c r="C39" s="2">
        <v>29</v>
      </c>
      <c r="E39" s="1"/>
      <c r="F39" s="1"/>
      <c r="M39" s="4"/>
    </row>
    <row r="40" spans="1:14" x14ac:dyDescent="0.55000000000000004">
      <c r="A40" s="1">
        <v>1962</v>
      </c>
      <c r="B40" s="4">
        <v>1.88</v>
      </c>
      <c r="C40" s="2">
        <v>30</v>
      </c>
      <c r="E40" s="1"/>
      <c r="F40" s="1"/>
      <c r="M40" s="4"/>
    </row>
    <row r="41" spans="1:14" x14ac:dyDescent="0.55000000000000004">
      <c r="A41" s="1">
        <v>1951</v>
      </c>
      <c r="B41" s="4">
        <v>1.98</v>
      </c>
      <c r="C41" s="2">
        <v>31</v>
      </c>
      <c r="E41" s="1"/>
      <c r="F41" s="1"/>
      <c r="M41" s="4"/>
    </row>
    <row r="42" spans="1:14" x14ac:dyDescent="0.55000000000000004">
      <c r="A42" s="1">
        <v>1954</v>
      </c>
      <c r="B42" s="4">
        <v>2</v>
      </c>
      <c r="C42" s="2">
        <v>32</v>
      </c>
      <c r="E42" s="1"/>
      <c r="F42" s="1"/>
      <c r="M42" s="4"/>
    </row>
    <row r="43" spans="1:14" x14ac:dyDescent="0.55000000000000004">
      <c r="A43" s="1">
        <v>1936</v>
      </c>
      <c r="B43" s="4">
        <v>2.08</v>
      </c>
      <c r="C43" s="2">
        <v>33</v>
      </c>
      <c r="E43" s="1"/>
      <c r="F43" s="1"/>
      <c r="M43" s="4"/>
    </row>
    <row r="44" spans="1:14" x14ac:dyDescent="0.55000000000000004">
      <c r="A44" s="1">
        <v>1956</v>
      </c>
      <c r="B44" s="4">
        <v>2.13</v>
      </c>
      <c r="C44" s="2">
        <v>34</v>
      </c>
      <c r="E44" s="1"/>
      <c r="F44" s="1"/>
      <c r="M44" s="4"/>
    </row>
    <row r="45" spans="1:14" x14ac:dyDescent="0.55000000000000004">
      <c r="A45" s="1">
        <v>1965</v>
      </c>
      <c r="B45" s="4">
        <v>2.17</v>
      </c>
      <c r="C45" s="2">
        <v>35</v>
      </c>
      <c r="E45" s="1"/>
      <c r="F45" s="1"/>
      <c r="M45" s="4"/>
    </row>
    <row r="46" spans="1:14" x14ac:dyDescent="0.55000000000000004">
      <c r="A46" s="1">
        <v>1949</v>
      </c>
      <c r="B46" s="4">
        <v>2.27</v>
      </c>
      <c r="C46" s="2">
        <v>36</v>
      </c>
      <c r="E46" s="1"/>
      <c r="F46" s="1"/>
      <c r="M46" s="4"/>
    </row>
    <row r="47" spans="1:14" x14ac:dyDescent="0.55000000000000004">
      <c r="A47" s="1">
        <v>1966</v>
      </c>
      <c r="B47" s="4">
        <v>2.38</v>
      </c>
      <c r="C47" s="2">
        <v>37</v>
      </c>
      <c r="E47" s="1"/>
      <c r="F47" s="1"/>
      <c r="M47" s="4"/>
    </row>
    <row r="48" spans="1:14" x14ac:dyDescent="0.55000000000000004">
      <c r="A48" s="1">
        <v>1952</v>
      </c>
      <c r="B48" s="4">
        <v>2.44</v>
      </c>
      <c r="C48" s="2">
        <v>38</v>
      </c>
      <c r="E48" s="1"/>
      <c r="F48" s="1"/>
      <c r="M48" s="4"/>
    </row>
    <row r="49" spans="1:13" x14ac:dyDescent="0.55000000000000004">
      <c r="A49" s="1">
        <v>1947</v>
      </c>
      <c r="B49" s="4">
        <v>2.5</v>
      </c>
      <c r="C49" s="2">
        <v>39</v>
      </c>
      <c r="E49" s="1"/>
      <c r="F49" s="1"/>
      <c r="M49" s="4"/>
    </row>
    <row r="50" spans="1:13" x14ac:dyDescent="0.55000000000000004">
      <c r="A50" s="1">
        <v>1953</v>
      </c>
      <c r="B50" s="4">
        <v>2.5299999999999998</v>
      </c>
      <c r="C50" s="2">
        <v>40</v>
      </c>
      <c r="E50" s="1"/>
      <c r="F50" s="1"/>
      <c r="M50" s="4"/>
    </row>
    <row r="51" spans="1:13" x14ac:dyDescent="0.55000000000000004">
      <c r="A51" s="1">
        <v>1935</v>
      </c>
      <c r="B51" s="4">
        <v>2.69</v>
      </c>
      <c r="C51" s="2">
        <v>41</v>
      </c>
      <c r="E51" s="1"/>
      <c r="F51" s="1"/>
      <c r="M51" s="4"/>
    </row>
    <row r="52" spans="1:13" x14ac:dyDescent="0.55000000000000004">
      <c r="A52" s="1">
        <v>1945</v>
      </c>
      <c r="B52" s="4">
        <v>2.74</v>
      </c>
      <c r="C52" s="2">
        <v>42</v>
      </c>
      <c r="E52" s="1"/>
      <c r="F52" s="1"/>
      <c r="M52" s="4"/>
    </row>
    <row r="53" spans="1:13" x14ac:dyDescent="0.55000000000000004">
      <c r="A53" s="1">
        <v>1939</v>
      </c>
      <c r="B53" s="4">
        <v>2.82</v>
      </c>
      <c r="C53" s="2">
        <v>43.5</v>
      </c>
      <c r="E53" s="1"/>
      <c r="F53" s="1"/>
      <c r="M53" s="4"/>
    </row>
    <row r="54" spans="1:13" x14ac:dyDescent="0.55000000000000004">
      <c r="A54" s="1">
        <v>1950</v>
      </c>
      <c r="B54" s="4">
        <v>2.82</v>
      </c>
      <c r="C54" s="2">
        <v>43.5</v>
      </c>
      <c r="E54" s="1"/>
      <c r="F54" s="1"/>
      <c r="M54" s="4"/>
    </row>
    <row r="55" spans="1:13" x14ac:dyDescent="0.55000000000000004">
      <c r="A55" s="1">
        <v>1959</v>
      </c>
      <c r="B55" s="4">
        <v>2.94</v>
      </c>
      <c r="C55" s="2">
        <v>45</v>
      </c>
      <c r="E55" s="1"/>
      <c r="F55" s="1"/>
      <c r="M55" s="4"/>
    </row>
    <row r="56" spans="1:13" x14ac:dyDescent="0.55000000000000004">
      <c r="A56" s="1">
        <v>1976</v>
      </c>
      <c r="B56" s="4">
        <v>3</v>
      </c>
      <c r="C56" s="2">
        <v>46</v>
      </c>
      <c r="E56" s="1"/>
      <c r="F56" s="1"/>
      <c r="M56" s="4"/>
    </row>
    <row r="57" spans="1:13" x14ac:dyDescent="0.55000000000000004">
      <c r="A57" s="1">
        <v>1937</v>
      </c>
      <c r="B57" s="4">
        <v>3.66</v>
      </c>
      <c r="C57" s="2">
        <v>47</v>
      </c>
      <c r="E57" s="1"/>
      <c r="F57" s="1"/>
      <c r="M57" s="4"/>
    </row>
    <row r="58" spans="1:13" x14ac:dyDescent="0.55000000000000004">
      <c r="A58" s="1">
        <v>1979</v>
      </c>
      <c r="B58" s="4">
        <v>4.55</v>
      </c>
      <c r="C58" s="2">
        <v>48</v>
      </c>
      <c r="E58" s="1"/>
      <c r="F58" s="1"/>
      <c r="M58" s="4"/>
    </row>
    <row r="59" spans="1:13" x14ac:dyDescent="0.55000000000000004">
      <c r="A59" s="1">
        <v>1958</v>
      </c>
      <c r="B59" s="4">
        <v>4.9000000000000004</v>
      </c>
      <c r="C59" s="2">
        <v>49</v>
      </c>
      <c r="E59" s="1"/>
      <c r="F59" s="1"/>
      <c r="M59" s="4"/>
    </row>
    <row r="60" spans="1:13" x14ac:dyDescent="0.55000000000000004">
      <c r="A60" s="1">
        <v>1978</v>
      </c>
      <c r="B60" s="4">
        <v>6.37</v>
      </c>
      <c r="C60" s="2">
        <v>50</v>
      </c>
      <c r="E60" s="1"/>
      <c r="F60" s="1"/>
      <c r="M60" s="4"/>
    </row>
    <row r="61" spans="1:13" x14ac:dyDescent="0.55000000000000004">
      <c r="E61" s="1"/>
      <c r="F61" s="1"/>
      <c r="M61" s="4"/>
    </row>
    <row r="62" spans="1:13" x14ac:dyDescent="0.55000000000000004">
      <c r="B62" s="1"/>
      <c r="C62" s="1"/>
      <c r="D62" s="1"/>
      <c r="E62" s="1"/>
      <c r="F62" s="1"/>
    </row>
    <row r="63" spans="1:13" x14ac:dyDescent="0.55000000000000004">
      <c r="B63" s="1"/>
      <c r="C63" s="1"/>
      <c r="D63" s="1"/>
      <c r="E63" s="1"/>
      <c r="F63" s="1"/>
    </row>
    <row r="64" spans="1:13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</sheetData>
  <mergeCells count="7">
    <mergeCell ref="O20:P20"/>
    <mergeCell ref="E8:G8"/>
    <mergeCell ref="I9:L9"/>
    <mergeCell ref="M9:P9"/>
    <mergeCell ref="K20:L20"/>
    <mergeCell ref="K19:L19"/>
    <mergeCell ref="O19: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7"/>
  <sheetViews>
    <sheetView showGridLines="0" workbookViewId="0">
      <selection activeCell="K7" sqref="K7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4.734375" style="2" bestFit="1" customWidth="1"/>
    <col min="4" max="4" width="4.68359375" style="2" bestFit="1" customWidth="1"/>
    <col min="5" max="6" width="6.15625" style="2" bestFit="1" customWidth="1"/>
    <col min="7" max="8" width="6.15625" bestFit="1" customWidth="1"/>
    <col min="9" max="9" width="6.734375" customWidth="1"/>
    <col min="10" max="10" width="7.26171875" bestFit="1" customWidth="1"/>
    <col min="11" max="11" width="6.83984375" bestFit="1" customWidth="1"/>
    <col min="12" max="12" width="8.734375" bestFit="1" customWidth="1"/>
    <col min="13" max="13" width="7.62890625" bestFit="1" customWidth="1"/>
    <col min="14" max="14" width="7.26171875" bestFit="1" customWidth="1"/>
  </cols>
  <sheetData>
    <row r="1" spans="1:16" x14ac:dyDescent="0.55000000000000004">
      <c r="A1" s="2" t="s">
        <v>3</v>
      </c>
      <c r="M1" s="10"/>
    </row>
    <row r="3" spans="1:16" x14ac:dyDescent="0.55000000000000004">
      <c r="A3" t="s">
        <v>22</v>
      </c>
      <c r="B3">
        <v>3.76</v>
      </c>
      <c r="C3"/>
      <c r="D3"/>
    </row>
    <row r="4" spans="1:16" x14ac:dyDescent="0.55000000000000004">
      <c r="A4" t="s">
        <v>23</v>
      </c>
      <c r="B4">
        <v>1.923</v>
      </c>
      <c r="C4" t="s">
        <v>6</v>
      </c>
      <c r="D4"/>
    </row>
    <row r="5" spans="1:16" x14ac:dyDescent="0.55000000000000004">
      <c r="A5" t="s">
        <v>7</v>
      </c>
      <c r="B5">
        <v>1.96</v>
      </c>
      <c r="C5" t="s">
        <v>9</v>
      </c>
      <c r="D5"/>
    </row>
    <row r="6" spans="1:16" x14ac:dyDescent="0.55000000000000004">
      <c r="A6" t="s">
        <v>8</v>
      </c>
      <c r="B6">
        <v>1.1200000000000001</v>
      </c>
      <c r="C6" t="s">
        <v>9</v>
      </c>
      <c r="D6"/>
    </row>
    <row r="7" spans="1:16" x14ac:dyDescent="0.55000000000000004">
      <c r="A7" t="s">
        <v>30</v>
      </c>
      <c r="B7">
        <f>COUNT(B12:B61)</f>
        <v>50</v>
      </c>
      <c r="C7"/>
      <c r="D7"/>
    </row>
    <row r="8" spans="1:16" x14ac:dyDescent="0.55000000000000004">
      <c r="A8"/>
      <c r="B8"/>
      <c r="C8"/>
      <c r="D8"/>
      <c r="O8" s="18"/>
      <c r="P8" s="18"/>
    </row>
    <row r="9" spans="1:16" x14ac:dyDescent="0.55000000000000004">
      <c r="O9" s="18"/>
      <c r="P9" s="18"/>
    </row>
    <row r="10" spans="1:16" ht="14.7" thickBot="1" x14ac:dyDescent="0.6">
      <c r="G10" s="73"/>
      <c r="H10" s="73"/>
      <c r="O10" s="18"/>
      <c r="P10" s="18"/>
    </row>
    <row r="11" spans="1:16" ht="16.8" x14ac:dyDescent="0.75">
      <c r="A11" s="3" t="s">
        <v>0</v>
      </c>
      <c r="B11" s="3" t="s">
        <v>1</v>
      </c>
      <c r="C11" s="8" t="s">
        <v>28</v>
      </c>
      <c r="D11" s="8" t="s">
        <v>31</v>
      </c>
      <c r="E11" s="19" t="s">
        <v>32</v>
      </c>
      <c r="F11" s="19" t="s">
        <v>33</v>
      </c>
      <c r="G11" s="19" t="s">
        <v>32</v>
      </c>
      <c r="H11" s="19" t="s">
        <v>33</v>
      </c>
      <c r="J11" s="80" t="s">
        <v>20</v>
      </c>
      <c r="K11" s="81"/>
      <c r="L11" s="81"/>
      <c r="M11" s="82"/>
      <c r="O11" s="18"/>
      <c r="P11" s="18"/>
    </row>
    <row r="12" spans="1:16" x14ac:dyDescent="0.55000000000000004">
      <c r="A12" s="1">
        <v>1933</v>
      </c>
      <c r="B12" s="4">
        <v>0.44</v>
      </c>
      <c r="C12" s="2">
        <v>1</v>
      </c>
      <c r="D12" s="2">
        <f>C12/$B$7</f>
        <v>0.02</v>
      </c>
      <c r="E12" s="27">
        <f t="shared" ref="E12:E43" si="0">GAMMADIST(B12,$B$3,1/$B$4,TRUE)</f>
        <v>1.6425968476925665E-2</v>
      </c>
      <c r="F12" s="95">
        <f t="shared" ref="F12:F43" si="1">ABS(D12-E12)</f>
        <v>3.5740315230743357E-3</v>
      </c>
      <c r="G12" s="95">
        <f>NORMDIST(B12,$B$5,$B$6,TRUE)</f>
        <v>8.7367911607623583E-2</v>
      </c>
      <c r="H12" s="95">
        <f>ABS(D12-G12)</f>
        <v>6.7367911607623579E-2</v>
      </c>
      <c r="J12" s="83" t="s">
        <v>18</v>
      </c>
      <c r="K12" s="74"/>
      <c r="L12" s="75" t="s">
        <v>17</v>
      </c>
      <c r="M12" s="84"/>
      <c r="O12" s="18"/>
      <c r="P12" s="18"/>
    </row>
    <row r="13" spans="1:16" ht="16.8" x14ac:dyDescent="0.75">
      <c r="A13" s="1">
        <v>1980</v>
      </c>
      <c r="B13" s="4">
        <v>0.52</v>
      </c>
      <c r="C13" s="2">
        <v>2</v>
      </c>
      <c r="D13" s="2">
        <f t="shared" ref="D13:D61" si="2">C13/$B$7</f>
        <v>0.04</v>
      </c>
      <c r="E13" s="27">
        <f t="shared" si="0"/>
        <v>2.7382113090173393E-2</v>
      </c>
      <c r="F13" s="95">
        <f t="shared" si="1"/>
        <v>1.2617886909826608E-2</v>
      </c>
      <c r="G13" s="95">
        <f>NORMDIST(B13,$B$5,$B$6,TRUE)</f>
        <v>9.9271396843331E-2</v>
      </c>
      <c r="H13" s="95">
        <f>ABS(D13-G13)</f>
        <v>5.9271396843330999E-2</v>
      </c>
      <c r="J13" s="85" t="s">
        <v>34</v>
      </c>
      <c r="K13" s="76">
        <f>MAX(F12:F61)</f>
        <v>7.0460721549083116E-2</v>
      </c>
      <c r="L13" s="49" t="s">
        <v>34</v>
      </c>
      <c r="M13" s="86">
        <f>MAX(H12:H61)</f>
        <v>0.13086288472627178</v>
      </c>
      <c r="O13" s="18"/>
      <c r="P13" s="18"/>
    </row>
    <row r="14" spans="1:16" x14ac:dyDescent="0.55000000000000004">
      <c r="A14" s="1">
        <v>1944</v>
      </c>
      <c r="B14" s="4">
        <v>0.54</v>
      </c>
      <c r="C14" s="2">
        <v>3</v>
      </c>
      <c r="D14" s="2">
        <f t="shared" si="2"/>
        <v>0.06</v>
      </c>
      <c r="E14" s="27">
        <f t="shared" si="0"/>
        <v>3.0650351740130279E-2</v>
      </c>
      <c r="F14" s="95">
        <f t="shared" si="1"/>
        <v>2.9349648259869719E-2</v>
      </c>
      <c r="G14" s="95">
        <f>NORMDIST(B14,$B$5,$B$6,TRUE)</f>
        <v>0.10242448565536802</v>
      </c>
      <c r="H14" s="95">
        <f>ABS(D14-G14)</f>
        <v>4.2424485655368022E-2</v>
      </c>
      <c r="J14" s="85" t="s">
        <v>26</v>
      </c>
      <c r="K14" s="77">
        <v>0.05</v>
      </c>
      <c r="L14" s="49" t="s">
        <v>26</v>
      </c>
      <c r="M14" s="87">
        <v>0.05</v>
      </c>
      <c r="O14" s="18"/>
      <c r="P14" s="18"/>
    </row>
    <row r="15" spans="1:16" ht="16.8" x14ac:dyDescent="0.75">
      <c r="A15" s="1">
        <v>1940</v>
      </c>
      <c r="B15" s="4">
        <v>0.72</v>
      </c>
      <c r="C15" s="2">
        <v>4</v>
      </c>
      <c r="D15" s="2">
        <f t="shared" si="2"/>
        <v>0.08</v>
      </c>
      <c r="E15" s="27">
        <f t="shared" si="0"/>
        <v>6.970633333911562E-2</v>
      </c>
      <c r="F15" s="95">
        <f t="shared" si="1"/>
        <v>1.0293666660884382E-2</v>
      </c>
      <c r="G15" s="95">
        <f>NORMDIST(B15,$B$5,$B$6,TRUE)</f>
        <v>0.13411608434126712</v>
      </c>
      <c r="H15" s="95">
        <f>ABS(D15-G15)</f>
        <v>5.4116084341267121E-2</v>
      </c>
      <c r="J15" s="85" t="s">
        <v>36</v>
      </c>
      <c r="K15" s="78">
        <v>1.3580000000000001</v>
      </c>
      <c r="L15" s="49" t="s">
        <v>36</v>
      </c>
      <c r="M15" s="88">
        <v>1.3580000000000001</v>
      </c>
      <c r="O15" s="18"/>
      <c r="P15" s="18"/>
    </row>
    <row r="16" spans="1:16" ht="16.8" x14ac:dyDescent="0.75">
      <c r="A16" s="1">
        <v>1981</v>
      </c>
      <c r="B16" s="4">
        <v>0.87</v>
      </c>
      <c r="C16" s="2">
        <v>5</v>
      </c>
      <c r="D16" s="2">
        <f t="shared" si="2"/>
        <v>0.1</v>
      </c>
      <c r="E16" s="27">
        <f t="shared" si="0"/>
        <v>0.11471192751700739</v>
      </c>
      <c r="F16" s="95">
        <f t="shared" si="1"/>
        <v>1.4711927517007381E-2</v>
      </c>
      <c r="G16" s="95">
        <f>NORMDIST(B16,$B$5,$B$6,TRUE)</f>
        <v>0.16522340610020764</v>
      </c>
      <c r="H16" s="95">
        <f>ABS(D16-G16)</f>
        <v>6.5223406100207632E-2</v>
      </c>
      <c r="J16" s="89" t="s">
        <v>35</v>
      </c>
      <c r="K16" s="76">
        <f>K15/(SQRT(B7)+0.12+0.11/SQRT(B7))</f>
        <v>0.18843774417144613</v>
      </c>
      <c r="L16" s="79" t="s">
        <v>35</v>
      </c>
      <c r="M16" s="86">
        <f>M15/(SQRT(B7)+0.12+0.11/SQRT(B7))</f>
        <v>0.18843774417144613</v>
      </c>
      <c r="O16" s="18"/>
      <c r="P16" s="18"/>
    </row>
    <row r="17" spans="1:16" x14ac:dyDescent="0.55000000000000004">
      <c r="A17" s="1">
        <v>1970</v>
      </c>
      <c r="B17" s="4">
        <v>1.03</v>
      </c>
      <c r="C17" s="2">
        <v>6</v>
      </c>
      <c r="D17" s="2">
        <f t="shared" si="2"/>
        <v>0.12</v>
      </c>
      <c r="E17" s="27">
        <f t="shared" si="0"/>
        <v>0.17294662822911713</v>
      </c>
      <c r="F17" s="95">
        <f t="shared" si="1"/>
        <v>5.2946628229117138E-2</v>
      </c>
      <c r="G17" s="95">
        <f>NORMDIST(B17,$B$5,$B$6,TRUE)</f>
        <v>0.20316844447777366</v>
      </c>
      <c r="H17" s="95">
        <f>ABS(D17-G17)</f>
        <v>8.3168444477773662E-2</v>
      </c>
      <c r="I17" s="20"/>
      <c r="J17" s="89" t="s">
        <v>37</v>
      </c>
      <c r="K17" s="54"/>
      <c r="L17" s="79" t="s">
        <v>37</v>
      </c>
      <c r="M17" s="90"/>
      <c r="O17" s="18"/>
      <c r="P17" s="18"/>
    </row>
    <row r="18" spans="1:16" ht="14.7" thickBot="1" x14ac:dyDescent="0.6">
      <c r="A18" s="1">
        <v>1971</v>
      </c>
      <c r="B18" s="4">
        <v>1.1100000000000001</v>
      </c>
      <c r="C18" s="2">
        <v>7</v>
      </c>
      <c r="D18" s="2">
        <f t="shared" si="2"/>
        <v>0.14000000000000001</v>
      </c>
      <c r="E18" s="27">
        <f t="shared" si="0"/>
        <v>0.20510212987984766</v>
      </c>
      <c r="F18" s="95">
        <f t="shared" si="1"/>
        <v>6.5102129879847648E-2</v>
      </c>
      <c r="G18" s="95">
        <f>NORMDIST(B18,$B$5,$B$6,TRUE)</f>
        <v>0.22394764322191285</v>
      </c>
      <c r="H18" s="95">
        <f>ABS(D18-G18)</f>
        <v>8.3947643221912838E-2</v>
      </c>
      <c r="I18" s="18"/>
      <c r="J18" s="91" t="str">
        <f>IF(K13&gt;=K16,"Reject","Do not reject")</f>
        <v>Do not reject</v>
      </c>
      <c r="K18" s="92"/>
      <c r="L18" s="93" t="str">
        <f>IF(M13&gt;=M16,"Reject","Do not reject")</f>
        <v>Do not reject</v>
      </c>
      <c r="M18" s="94"/>
      <c r="O18" s="18"/>
      <c r="P18" s="18"/>
    </row>
    <row r="19" spans="1:16" x14ac:dyDescent="0.55000000000000004">
      <c r="A19" s="1">
        <v>1955</v>
      </c>
      <c r="B19" s="4">
        <v>1.1200000000000001</v>
      </c>
      <c r="C19" s="2">
        <v>8</v>
      </c>
      <c r="D19" s="2">
        <f t="shared" si="2"/>
        <v>0.16</v>
      </c>
      <c r="E19" s="27">
        <f t="shared" si="0"/>
        <v>0.20923440107475946</v>
      </c>
      <c r="F19" s="95">
        <f t="shared" si="1"/>
        <v>4.923440107475946E-2</v>
      </c>
      <c r="G19" s="95">
        <f>NORMDIST(B19,$B$5,$B$6,TRUE)</f>
        <v>0.22662735237686826</v>
      </c>
      <c r="H19" s="95">
        <f>ABS(D19-G19)</f>
        <v>6.662735237686826E-2</v>
      </c>
      <c r="I19" s="18"/>
      <c r="J19" s="18"/>
      <c r="O19" s="18"/>
      <c r="P19" s="18"/>
    </row>
    <row r="20" spans="1:16" x14ac:dyDescent="0.55000000000000004">
      <c r="A20" s="1">
        <v>1946</v>
      </c>
      <c r="B20" s="4">
        <v>1.1299999999999999</v>
      </c>
      <c r="C20" s="2">
        <v>9</v>
      </c>
      <c r="D20" s="2">
        <f t="shared" si="2"/>
        <v>0.18</v>
      </c>
      <c r="E20" s="27">
        <f t="shared" si="0"/>
        <v>0.21338910125641908</v>
      </c>
      <c r="F20" s="95">
        <f t="shared" si="1"/>
        <v>3.3389101256419085E-2</v>
      </c>
      <c r="G20" s="95">
        <f>NORMDIST(B20,$B$5,$B$6,TRUE)</f>
        <v>0.22932506610906489</v>
      </c>
      <c r="H20" s="95">
        <f>ABS(D20-G20)</f>
        <v>4.9325066109064897E-2</v>
      </c>
      <c r="I20" s="18"/>
      <c r="J20" s="18"/>
      <c r="O20" s="18"/>
      <c r="P20" s="18"/>
    </row>
    <row r="21" spans="1:16" x14ac:dyDescent="0.55000000000000004">
      <c r="A21" s="1">
        <v>1967</v>
      </c>
      <c r="B21" s="4">
        <v>1.1599999999999999</v>
      </c>
      <c r="C21" s="2">
        <v>10</v>
      </c>
      <c r="D21" s="2">
        <f t="shared" si="2"/>
        <v>0.2</v>
      </c>
      <c r="E21" s="27">
        <f t="shared" si="0"/>
        <v>0.22597989707678454</v>
      </c>
      <c r="F21" s="95">
        <f t="shared" si="1"/>
        <v>2.5979897076784525E-2</v>
      </c>
      <c r="G21" s="95">
        <f>NORMDIST(B21,$B$5,$B$6,TRUE)</f>
        <v>0.23752526202697649</v>
      </c>
      <c r="H21" s="95">
        <f>ABS(D21-G21)</f>
        <v>3.752526202697648E-2</v>
      </c>
    </row>
    <row r="22" spans="1:16" x14ac:dyDescent="0.55000000000000004">
      <c r="A22" s="1">
        <v>1934</v>
      </c>
      <c r="B22" s="4">
        <v>1.18</v>
      </c>
      <c r="C22" s="2">
        <v>11</v>
      </c>
      <c r="D22" s="2">
        <f t="shared" si="2"/>
        <v>0.22</v>
      </c>
      <c r="E22" s="27">
        <f t="shared" si="0"/>
        <v>0.23447151113432255</v>
      </c>
      <c r="F22" s="95">
        <f t="shared" si="1"/>
        <v>1.4471511134322546E-2</v>
      </c>
      <c r="G22" s="95">
        <f>NORMDIST(B22,$B$5,$B$6,TRUE)</f>
        <v>0.24308023762022168</v>
      </c>
      <c r="H22" s="95">
        <f>ABS(D22-G22)</f>
        <v>2.3080237620221683E-2</v>
      </c>
    </row>
    <row r="23" spans="1:16" x14ac:dyDescent="0.55000000000000004">
      <c r="A23" s="1">
        <v>1942</v>
      </c>
      <c r="B23" s="4">
        <v>1.3</v>
      </c>
      <c r="C23" s="2">
        <v>12</v>
      </c>
      <c r="D23" s="2">
        <f t="shared" si="2"/>
        <v>0.24</v>
      </c>
      <c r="E23" s="27">
        <f t="shared" si="0"/>
        <v>0.28669926890836289</v>
      </c>
      <c r="F23" s="95">
        <f t="shared" si="1"/>
        <v>4.6699268908362901E-2</v>
      </c>
      <c r="G23" s="95">
        <f>NORMDIST(B23,$B$5,$B$6,TRUE)</f>
        <v>0.27783481319282699</v>
      </c>
      <c r="H23" s="95">
        <f>ABS(D23-G23)</f>
        <v>3.7834813192826999E-2</v>
      </c>
    </row>
    <row r="24" spans="1:16" x14ac:dyDescent="0.55000000000000004">
      <c r="A24" s="1">
        <v>1963</v>
      </c>
      <c r="B24" s="4">
        <v>1.31</v>
      </c>
      <c r="C24" s="2">
        <v>13</v>
      </c>
      <c r="D24" s="2">
        <f t="shared" si="2"/>
        <v>0.26</v>
      </c>
      <c r="E24" s="27">
        <f t="shared" si="0"/>
        <v>0.29112635144155025</v>
      </c>
      <c r="F24" s="95">
        <f t="shared" si="1"/>
        <v>3.1126351441550237E-2</v>
      </c>
      <c r="G24" s="95">
        <f>NORMDIST(B24,$B$5,$B$6,TRUE)</f>
        <v>0.2808368999639721</v>
      </c>
      <c r="H24" s="95">
        <f>ABS(D24-G24)</f>
        <v>2.0836899963972089E-2</v>
      </c>
    </row>
    <row r="25" spans="1:16" x14ac:dyDescent="0.55000000000000004">
      <c r="A25" s="1">
        <v>1943</v>
      </c>
      <c r="B25" s="4">
        <v>1.35</v>
      </c>
      <c r="C25" s="2">
        <v>14.5</v>
      </c>
      <c r="D25" s="2">
        <f t="shared" si="2"/>
        <v>0.28999999999999998</v>
      </c>
      <c r="E25" s="27">
        <f t="shared" si="0"/>
        <v>0.30890925939638192</v>
      </c>
      <c r="F25" s="95">
        <f t="shared" si="1"/>
        <v>1.8909259396381939E-2</v>
      </c>
      <c r="G25" s="95">
        <f>NORMDIST(B25,$B$5,$B$6,TRUE)</f>
        <v>0.29299958645299362</v>
      </c>
      <c r="H25" s="95">
        <f>ABS(D25-G25)</f>
        <v>2.9995864529936411E-3</v>
      </c>
      <c r="I25" s="9"/>
      <c r="J25" s="9"/>
    </row>
    <row r="26" spans="1:16" x14ac:dyDescent="0.55000000000000004">
      <c r="A26" s="1">
        <v>1972</v>
      </c>
      <c r="B26" s="4">
        <v>1.35</v>
      </c>
      <c r="C26" s="2">
        <v>14.5</v>
      </c>
      <c r="D26" s="2">
        <f t="shared" si="2"/>
        <v>0.28999999999999998</v>
      </c>
      <c r="E26" s="27">
        <f t="shared" si="0"/>
        <v>0.30890925939638192</v>
      </c>
      <c r="F26" s="95">
        <f t="shared" si="1"/>
        <v>1.8909259396381939E-2</v>
      </c>
      <c r="G26" s="95">
        <f>NORMDIST(B26,$B$5,$B$6,TRUE)</f>
        <v>0.29299958645299362</v>
      </c>
      <c r="H26" s="95">
        <f>ABS(D26-G26)</f>
        <v>2.9995864529936411E-3</v>
      </c>
      <c r="I26" s="12"/>
      <c r="J26" s="12"/>
    </row>
    <row r="27" spans="1:16" x14ac:dyDescent="0.55000000000000004">
      <c r="A27" s="1">
        <v>1957</v>
      </c>
      <c r="B27" s="4">
        <v>1.36</v>
      </c>
      <c r="C27" s="2">
        <v>17</v>
      </c>
      <c r="D27" s="2">
        <f t="shared" si="2"/>
        <v>0.34</v>
      </c>
      <c r="E27" s="27">
        <f t="shared" si="0"/>
        <v>0.31337021412501204</v>
      </c>
      <c r="F27" s="95">
        <f t="shared" si="1"/>
        <v>2.6629785874987988E-2</v>
      </c>
      <c r="G27" s="95">
        <f>NORMDIST(B27,$B$5,$B$6,TRUE)</f>
        <v>0.29607801445446147</v>
      </c>
      <c r="H27" s="95">
        <f>ABS(D27-G27)</f>
        <v>4.3921985545538555E-2</v>
      </c>
      <c r="I27" s="12"/>
      <c r="J27" s="12"/>
    </row>
    <row r="28" spans="1:16" x14ac:dyDescent="0.55000000000000004">
      <c r="A28" s="1">
        <v>1969</v>
      </c>
      <c r="B28" s="4">
        <v>1.36</v>
      </c>
      <c r="C28" s="2">
        <v>17</v>
      </c>
      <c r="D28" s="2">
        <f t="shared" si="2"/>
        <v>0.34</v>
      </c>
      <c r="E28" s="27">
        <f t="shared" si="0"/>
        <v>0.31337021412501204</v>
      </c>
      <c r="F28" s="95">
        <f t="shared" si="1"/>
        <v>2.6629785874987988E-2</v>
      </c>
      <c r="G28" s="95">
        <f>NORMDIST(B28,$B$5,$B$6,TRUE)</f>
        <v>0.29607801445446147</v>
      </c>
      <c r="H28" s="95">
        <f>ABS(D28-G28)</f>
        <v>4.3921985545538555E-2</v>
      </c>
      <c r="I28" s="12"/>
      <c r="J28" s="12"/>
    </row>
    <row r="29" spans="1:16" x14ac:dyDescent="0.55000000000000004">
      <c r="A29" s="1">
        <v>1977</v>
      </c>
      <c r="B29" s="4">
        <v>1.36</v>
      </c>
      <c r="C29" s="2">
        <v>17</v>
      </c>
      <c r="D29" s="2">
        <f t="shared" si="2"/>
        <v>0.34</v>
      </c>
      <c r="E29" s="27">
        <f t="shared" si="0"/>
        <v>0.31337021412501204</v>
      </c>
      <c r="F29" s="95">
        <f t="shared" si="1"/>
        <v>2.6629785874987988E-2</v>
      </c>
      <c r="G29" s="95">
        <f>NORMDIST(B29,$B$5,$B$6,TRUE)</f>
        <v>0.29607801445446147</v>
      </c>
      <c r="H29" s="95">
        <f>ABS(D29-G29)</f>
        <v>4.3921985545538555E-2</v>
      </c>
      <c r="I29" s="12"/>
      <c r="J29" s="12"/>
    </row>
    <row r="30" spans="1:16" x14ac:dyDescent="0.55000000000000004">
      <c r="A30" s="1">
        <v>1968</v>
      </c>
      <c r="B30" s="4">
        <v>1.39</v>
      </c>
      <c r="C30" s="2">
        <v>19</v>
      </c>
      <c r="D30" s="2">
        <f t="shared" si="2"/>
        <v>0.38</v>
      </c>
      <c r="E30" s="27">
        <f t="shared" si="0"/>
        <v>0.32677895920458916</v>
      </c>
      <c r="F30" s="95">
        <f t="shared" si="1"/>
        <v>5.3221040795410846E-2</v>
      </c>
      <c r="G30" s="95">
        <f>NORMDIST(B30,$B$5,$B$6,TRUE)</f>
        <v>0.30540114611222136</v>
      </c>
      <c r="H30" s="95">
        <f>ABS(D30-G30)</f>
        <v>7.4598853887778649E-2</v>
      </c>
      <c r="I30" s="12"/>
      <c r="J30" s="12"/>
    </row>
    <row r="31" spans="1:16" x14ac:dyDescent="0.55000000000000004">
      <c r="A31" s="1">
        <v>1973</v>
      </c>
      <c r="B31" s="4">
        <v>1.44</v>
      </c>
      <c r="C31" s="2">
        <v>20</v>
      </c>
      <c r="D31" s="2">
        <f t="shared" si="2"/>
        <v>0.4</v>
      </c>
      <c r="E31" s="27">
        <f t="shared" si="0"/>
        <v>0.34917465762921523</v>
      </c>
      <c r="F31" s="95">
        <f t="shared" si="1"/>
        <v>5.0825342370784787E-2</v>
      </c>
      <c r="G31" s="95">
        <f>NORMDIST(B31,$B$5,$B$6,TRUE)</f>
        <v>0.32122152883711519</v>
      </c>
      <c r="H31" s="95">
        <f>ABS(D31-G31)</f>
        <v>7.8778471162884833E-2</v>
      </c>
      <c r="I31" s="12"/>
      <c r="J31" s="12"/>
    </row>
    <row r="32" spans="1:16" x14ac:dyDescent="0.55000000000000004">
      <c r="A32" s="1">
        <v>1941</v>
      </c>
      <c r="B32" s="4">
        <v>1.46</v>
      </c>
      <c r="C32" s="2">
        <v>21</v>
      </c>
      <c r="D32" s="2">
        <f t="shared" si="2"/>
        <v>0.42</v>
      </c>
      <c r="E32" s="27">
        <f t="shared" si="0"/>
        <v>0.35813521764862949</v>
      </c>
      <c r="F32" s="95">
        <f t="shared" si="1"/>
        <v>6.1864782351370495E-2</v>
      </c>
      <c r="G32" s="95">
        <f>NORMDIST(B32,$B$5,$B$6,TRUE)</f>
        <v>0.32764384907199973</v>
      </c>
      <c r="H32" s="95">
        <f>ABS(D32-G32)</f>
        <v>9.2356150928000258E-2</v>
      </c>
    </row>
    <row r="33" spans="1:8" x14ac:dyDescent="0.55000000000000004">
      <c r="A33" s="1">
        <v>1982</v>
      </c>
      <c r="B33" s="4">
        <v>1.51</v>
      </c>
      <c r="C33" s="2">
        <v>22</v>
      </c>
      <c r="D33" s="2">
        <f t="shared" si="2"/>
        <v>0.44</v>
      </c>
      <c r="E33" s="27">
        <f t="shared" si="0"/>
        <v>0.38050116828454111</v>
      </c>
      <c r="F33" s="95">
        <f t="shared" si="1"/>
        <v>5.9498831715458889E-2</v>
      </c>
      <c r="G33" s="95">
        <f>NORMDIST(B33,$B$5,$B$6,TRUE)</f>
        <v>0.34392086829870039</v>
      </c>
      <c r="H33" s="95">
        <f>ABS(D33-G33)</f>
        <v>9.6079131701299614E-2</v>
      </c>
    </row>
    <row r="34" spans="1:8" x14ac:dyDescent="0.55000000000000004">
      <c r="A34" s="1">
        <v>1961</v>
      </c>
      <c r="B34" s="4">
        <v>1.69</v>
      </c>
      <c r="C34" s="2">
        <v>23.5</v>
      </c>
      <c r="D34" s="2">
        <f t="shared" si="2"/>
        <v>0.47</v>
      </c>
      <c r="E34" s="27">
        <f t="shared" si="0"/>
        <v>0.45969671403407186</v>
      </c>
      <c r="F34" s="95">
        <f t="shared" si="1"/>
        <v>1.0303285965928111E-2</v>
      </c>
      <c r="G34" s="95">
        <f>NORMDIST(B34,$B$5,$B$6,TRUE)</f>
        <v>0.40474987825703185</v>
      </c>
      <c r="H34" s="95">
        <f>ABS(D34-G34)</f>
        <v>6.5250121742968126E-2</v>
      </c>
    </row>
    <row r="35" spans="1:8" x14ac:dyDescent="0.55000000000000004">
      <c r="A35" s="1">
        <v>1975</v>
      </c>
      <c r="B35" s="4">
        <v>1.69</v>
      </c>
      <c r="C35" s="2">
        <v>23.5</v>
      </c>
      <c r="D35" s="2">
        <f t="shared" si="2"/>
        <v>0.47</v>
      </c>
      <c r="E35" s="27">
        <f t="shared" si="0"/>
        <v>0.45969671403407186</v>
      </c>
      <c r="F35" s="95">
        <f t="shared" si="1"/>
        <v>1.0303285965928111E-2</v>
      </c>
      <c r="G35" s="95">
        <f>NORMDIST(B35,$B$5,$B$6,TRUE)</f>
        <v>0.40474987825703185</v>
      </c>
      <c r="H35" s="95">
        <f>ABS(D35-G35)</f>
        <v>6.5250121742968126E-2</v>
      </c>
    </row>
    <row r="36" spans="1:8" x14ac:dyDescent="0.55000000000000004">
      <c r="A36" s="1">
        <v>1938</v>
      </c>
      <c r="B36" s="4">
        <v>1.72</v>
      </c>
      <c r="C36" s="2">
        <v>25.5</v>
      </c>
      <c r="D36" s="2">
        <f t="shared" si="2"/>
        <v>0.51</v>
      </c>
      <c r="E36" s="27">
        <f t="shared" si="0"/>
        <v>0.47256861690817659</v>
      </c>
      <c r="F36" s="95">
        <f t="shared" si="1"/>
        <v>3.7431383091823422E-2</v>
      </c>
      <c r="G36" s="95">
        <f>NORMDIST(B36,$B$5,$B$6,TRUE)</f>
        <v>0.41516212882789766</v>
      </c>
      <c r="H36" s="95">
        <f>ABS(D36-G36)</f>
        <v>9.483787117210235E-2</v>
      </c>
    </row>
    <row r="37" spans="1:8" x14ac:dyDescent="0.55000000000000004">
      <c r="A37" s="1">
        <v>1948</v>
      </c>
      <c r="B37" s="4">
        <v>1.72</v>
      </c>
      <c r="C37" s="2">
        <v>25.5</v>
      </c>
      <c r="D37" s="2">
        <f t="shared" si="2"/>
        <v>0.51</v>
      </c>
      <c r="E37" s="27">
        <f t="shared" si="0"/>
        <v>0.47256861690817659</v>
      </c>
      <c r="F37" s="95">
        <f t="shared" si="1"/>
        <v>3.7431383091823422E-2</v>
      </c>
      <c r="G37" s="95">
        <f>NORMDIST(B37,$B$5,$B$6,TRUE)</f>
        <v>0.41516212882789766</v>
      </c>
      <c r="H37" s="95">
        <f>ABS(D37-G37)</f>
        <v>9.483787117210235E-2</v>
      </c>
    </row>
    <row r="38" spans="1:8" x14ac:dyDescent="0.55000000000000004">
      <c r="A38" s="1">
        <v>1960</v>
      </c>
      <c r="B38" s="4">
        <v>1.75</v>
      </c>
      <c r="C38" s="2">
        <v>27</v>
      </c>
      <c r="D38" s="2">
        <f t="shared" si="2"/>
        <v>0.54</v>
      </c>
      <c r="E38" s="27">
        <f t="shared" si="0"/>
        <v>0.48531821193018626</v>
      </c>
      <c r="F38" s="95">
        <f t="shared" si="1"/>
        <v>5.4681788069813775E-2</v>
      </c>
      <c r="G38" s="95">
        <f>NORMDIST(B38,$B$5,$B$6,TRUE)</f>
        <v>0.42563431184410283</v>
      </c>
      <c r="H38" s="95">
        <f>ABS(D38-G38)</f>
        <v>0.1143656881558972</v>
      </c>
    </row>
    <row r="39" spans="1:8" x14ac:dyDescent="0.55000000000000004">
      <c r="A39" s="1">
        <v>1964</v>
      </c>
      <c r="B39" s="4">
        <v>1.76</v>
      </c>
      <c r="C39" s="2">
        <v>28</v>
      </c>
      <c r="D39" s="2">
        <f t="shared" si="2"/>
        <v>0.56000000000000005</v>
      </c>
      <c r="E39" s="27">
        <f t="shared" si="0"/>
        <v>0.48953927845091694</v>
      </c>
      <c r="F39" s="95">
        <f t="shared" si="1"/>
        <v>7.0460721549083116E-2</v>
      </c>
      <c r="G39" s="95">
        <f>NORMDIST(B39,$B$5,$B$6,TRUE)</f>
        <v>0.42913711527372828</v>
      </c>
      <c r="H39" s="95">
        <f>ABS(D39-G39)</f>
        <v>0.13086288472627178</v>
      </c>
    </row>
    <row r="40" spans="1:8" x14ac:dyDescent="0.55000000000000004">
      <c r="A40" s="1">
        <v>1974</v>
      </c>
      <c r="B40" s="4">
        <v>1.84</v>
      </c>
      <c r="C40" s="2">
        <v>29</v>
      </c>
      <c r="D40" s="2">
        <f t="shared" si="2"/>
        <v>0.57999999999999996</v>
      </c>
      <c r="E40" s="27">
        <f t="shared" si="0"/>
        <v>0.52274386509175697</v>
      </c>
      <c r="F40" s="95">
        <f t="shared" si="1"/>
        <v>5.7256134908242995E-2</v>
      </c>
      <c r="G40" s="95">
        <f>NORMDIST(B40,$B$5,$B$6,TRUE)</f>
        <v>0.45733782387407651</v>
      </c>
      <c r="H40" s="95">
        <f>ABS(D40-G40)</f>
        <v>0.12266217612592345</v>
      </c>
    </row>
    <row r="41" spans="1:8" x14ac:dyDescent="0.55000000000000004">
      <c r="A41" s="1">
        <v>1962</v>
      </c>
      <c r="B41" s="4">
        <v>1.88</v>
      </c>
      <c r="C41" s="2">
        <v>30</v>
      </c>
      <c r="D41" s="2">
        <f t="shared" si="2"/>
        <v>0.6</v>
      </c>
      <c r="E41" s="27">
        <f t="shared" si="0"/>
        <v>0.53894055893377069</v>
      </c>
      <c r="F41" s="95">
        <f t="shared" si="1"/>
        <v>6.1059441066229292E-2</v>
      </c>
      <c r="G41" s="95">
        <f>NORMDIST(B41,$B$5,$B$6,TRUE)</f>
        <v>0.47152833548352147</v>
      </c>
      <c r="H41" s="95">
        <f>ABS(D41-G41)</f>
        <v>0.12847166451647851</v>
      </c>
    </row>
    <row r="42" spans="1:8" x14ac:dyDescent="0.55000000000000004">
      <c r="A42" s="1">
        <v>1951</v>
      </c>
      <c r="B42" s="4">
        <v>1.98</v>
      </c>
      <c r="C42" s="2">
        <v>31</v>
      </c>
      <c r="D42" s="2">
        <f t="shared" si="2"/>
        <v>0.62</v>
      </c>
      <c r="E42" s="27">
        <f t="shared" si="0"/>
        <v>0.57812519333896084</v>
      </c>
      <c r="F42" s="95">
        <f t="shared" si="1"/>
        <v>4.1874806661039154E-2</v>
      </c>
      <c r="G42" s="95">
        <f>NORMDIST(B42,$B$5,$B$6,TRUE)</f>
        <v>0.50712359069867807</v>
      </c>
      <c r="H42" s="95">
        <f>ABS(D42-G42)</f>
        <v>0.11287640930132192</v>
      </c>
    </row>
    <row r="43" spans="1:8" x14ac:dyDescent="0.55000000000000004">
      <c r="A43" s="1">
        <v>1954</v>
      </c>
      <c r="B43" s="4">
        <v>2</v>
      </c>
      <c r="C43" s="2">
        <v>32</v>
      </c>
      <c r="D43" s="2">
        <f t="shared" si="2"/>
        <v>0.64</v>
      </c>
      <c r="E43" s="27">
        <f t="shared" si="0"/>
        <v>0.58572531275795092</v>
      </c>
      <c r="F43" s="95">
        <f t="shared" si="1"/>
        <v>5.4274687242049091E-2</v>
      </c>
      <c r="G43" s="95">
        <f>NORMDIST(B43,$B$5,$B$6,TRUE)</f>
        <v>0.51424491026667729</v>
      </c>
      <c r="H43" s="95">
        <f>ABS(D43-G43)</f>
        <v>0.12575508973332272</v>
      </c>
    </row>
    <row r="44" spans="1:8" x14ac:dyDescent="0.55000000000000004">
      <c r="A44" s="1">
        <v>1936</v>
      </c>
      <c r="B44" s="4">
        <v>2.08</v>
      </c>
      <c r="C44" s="2">
        <v>33</v>
      </c>
      <c r="D44" s="2">
        <f t="shared" si="2"/>
        <v>0.66</v>
      </c>
      <c r="E44" s="27">
        <f t="shared" ref="E44:E61" si="3">GAMMADIST(B44,$B$3,1/$B$4,TRUE)</f>
        <v>0.61529396529603686</v>
      </c>
      <c r="F44" s="95">
        <f t="shared" ref="F44:F61" si="4">ABS(D44-E44)</f>
        <v>4.4706034703963171E-2</v>
      </c>
      <c r="G44" s="95">
        <f>NORMDIST(B44,$B$5,$B$6,TRUE)</f>
        <v>0.5426621761259236</v>
      </c>
      <c r="H44" s="95">
        <f>ABS(D44-G44)</f>
        <v>0.11733782387407643</v>
      </c>
    </row>
    <row r="45" spans="1:8" x14ac:dyDescent="0.55000000000000004">
      <c r="A45" s="1">
        <v>1956</v>
      </c>
      <c r="B45" s="4">
        <v>2.13</v>
      </c>
      <c r="C45" s="2">
        <v>34</v>
      </c>
      <c r="D45" s="2">
        <f t="shared" si="2"/>
        <v>0.68</v>
      </c>
      <c r="E45" s="27">
        <f t="shared" si="3"/>
        <v>0.63307886396242974</v>
      </c>
      <c r="F45" s="95">
        <f t="shared" si="4"/>
        <v>4.692113603757031E-2</v>
      </c>
      <c r="G45" s="95">
        <f>NORMDIST(B45,$B$5,$B$6,TRUE)</f>
        <v>0.56032202503803297</v>
      </c>
      <c r="H45" s="95">
        <f>ABS(D45-G45)</f>
        <v>0.11967797496196708</v>
      </c>
    </row>
    <row r="46" spans="1:8" x14ac:dyDescent="0.55000000000000004">
      <c r="A46" s="1">
        <v>1965</v>
      </c>
      <c r="B46" s="4">
        <v>2.17</v>
      </c>
      <c r="C46" s="2">
        <v>35</v>
      </c>
      <c r="D46" s="2">
        <f t="shared" si="2"/>
        <v>0.7</v>
      </c>
      <c r="E46" s="27">
        <f t="shared" si="3"/>
        <v>0.6469119746748595</v>
      </c>
      <c r="F46" s="95">
        <f t="shared" si="4"/>
        <v>5.3088025325140453E-2</v>
      </c>
      <c r="G46" s="95">
        <f>NORMDIST(B46,$B$5,$B$6,TRUE)</f>
        <v>0.57436568815589717</v>
      </c>
      <c r="H46" s="95">
        <f>ABS(D46-G46)</f>
        <v>0.12563431184410279</v>
      </c>
    </row>
    <row r="47" spans="1:8" x14ac:dyDescent="0.55000000000000004">
      <c r="A47" s="1">
        <v>1949</v>
      </c>
      <c r="B47" s="4">
        <v>2.27</v>
      </c>
      <c r="C47" s="2">
        <v>36</v>
      </c>
      <c r="D47" s="2">
        <f t="shared" si="2"/>
        <v>0.72</v>
      </c>
      <c r="E47" s="27">
        <f t="shared" si="3"/>
        <v>0.67993305039788243</v>
      </c>
      <c r="F47" s="95">
        <f t="shared" si="4"/>
        <v>4.0066949602117541E-2</v>
      </c>
      <c r="G47" s="95">
        <f>NORMDIST(B47,$B$5,$B$6,TRUE)</f>
        <v>0.60902767443003758</v>
      </c>
      <c r="H47" s="95">
        <f>ABS(D47-G47)</f>
        <v>0.11097232556996239</v>
      </c>
    </row>
    <row r="48" spans="1:8" x14ac:dyDescent="0.55000000000000004">
      <c r="A48" s="1">
        <v>1966</v>
      </c>
      <c r="B48" s="4">
        <v>2.38</v>
      </c>
      <c r="C48" s="2">
        <v>37</v>
      </c>
      <c r="D48" s="2">
        <f t="shared" si="2"/>
        <v>0.74</v>
      </c>
      <c r="E48" s="27">
        <f t="shared" si="3"/>
        <v>0.71365486729992522</v>
      </c>
      <c r="F48" s="95">
        <f t="shared" si="4"/>
        <v>2.6345132700074769E-2</v>
      </c>
      <c r="G48" s="95">
        <f>NORMDIST(B48,$B$5,$B$6,TRUE)</f>
        <v>0.64616976667272374</v>
      </c>
      <c r="H48" s="95">
        <f>ABS(D48-G48)</f>
        <v>9.3830233327276247E-2</v>
      </c>
    </row>
    <row r="49" spans="1:11" x14ac:dyDescent="0.55000000000000004">
      <c r="A49" s="1">
        <v>1952</v>
      </c>
      <c r="B49" s="4">
        <v>2.44</v>
      </c>
      <c r="C49" s="2">
        <v>38</v>
      </c>
      <c r="D49" s="2">
        <f t="shared" si="2"/>
        <v>0.76</v>
      </c>
      <c r="E49" s="27">
        <f t="shared" si="3"/>
        <v>0.73090225576856549</v>
      </c>
      <c r="F49" s="95">
        <f t="shared" si="4"/>
        <v>2.9097744231434519E-2</v>
      </c>
      <c r="G49" s="95">
        <f>NORMDIST(B49,$B$5,$B$6,TRUE)</f>
        <v>0.66588242910237527</v>
      </c>
      <c r="H49" s="95">
        <f>ABS(D49-G49)</f>
        <v>9.4117570897624736E-2</v>
      </c>
    </row>
    <row r="50" spans="1:11" x14ac:dyDescent="0.55000000000000004">
      <c r="A50" s="1">
        <v>1947</v>
      </c>
      <c r="B50" s="4">
        <v>2.5</v>
      </c>
      <c r="C50" s="2">
        <v>39</v>
      </c>
      <c r="D50" s="2">
        <f t="shared" si="2"/>
        <v>0.78</v>
      </c>
      <c r="E50" s="27">
        <f t="shared" si="3"/>
        <v>0.74734958388951989</v>
      </c>
      <c r="F50" s="95">
        <f t="shared" si="4"/>
        <v>3.265041611048014E-2</v>
      </c>
      <c r="G50" s="95">
        <f>NORMDIST(B50,$B$5,$B$6,TRUE)</f>
        <v>0.68514776664234478</v>
      </c>
      <c r="H50" s="95">
        <f>ABS(D50-G50)</f>
        <v>9.4852233357655247E-2</v>
      </c>
    </row>
    <row r="51" spans="1:11" x14ac:dyDescent="0.55000000000000004">
      <c r="A51" s="1">
        <v>1953</v>
      </c>
      <c r="B51" s="4">
        <v>2.5299999999999998</v>
      </c>
      <c r="C51" s="2">
        <v>40</v>
      </c>
      <c r="D51" s="2">
        <f t="shared" si="2"/>
        <v>0.8</v>
      </c>
      <c r="E51" s="27">
        <f t="shared" si="3"/>
        <v>0.75527671683851461</v>
      </c>
      <c r="F51" s="95">
        <f t="shared" si="4"/>
        <v>4.4723283161485439E-2</v>
      </c>
      <c r="G51" s="95">
        <f>NORMDIST(B51,$B$5,$B$6,TRUE)</f>
        <v>0.69459885388777853</v>
      </c>
      <c r="H51" s="95">
        <f>ABS(D51-G51)</f>
        <v>0.10540114611222151</v>
      </c>
    </row>
    <row r="52" spans="1:11" x14ac:dyDescent="0.55000000000000004">
      <c r="A52" s="1">
        <v>1935</v>
      </c>
      <c r="B52" s="4">
        <v>2.69</v>
      </c>
      <c r="C52" s="2">
        <v>41</v>
      </c>
      <c r="D52" s="2">
        <f t="shared" si="2"/>
        <v>0.82</v>
      </c>
      <c r="E52" s="27">
        <f t="shared" si="3"/>
        <v>0.79430448626255101</v>
      </c>
      <c r="F52" s="95">
        <f t="shared" si="4"/>
        <v>2.5695513737448938E-2</v>
      </c>
      <c r="G52" s="95">
        <f>NORMDIST(B52,$B$5,$B$6,TRUE)</f>
        <v>0.74273029066083862</v>
      </c>
      <c r="H52" s="95">
        <f>ABS(D52-G52)</f>
        <v>7.726970933916133E-2</v>
      </c>
    </row>
    <row r="53" spans="1:11" x14ac:dyDescent="0.55000000000000004">
      <c r="A53" s="1">
        <v>1945</v>
      </c>
      <c r="B53" s="4">
        <v>2.74</v>
      </c>
      <c r="C53" s="2">
        <v>42</v>
      </c>
      <c r="D53" s="2">
        <f t="shared" si="2"/>
        <v>0.84</v>
      </c>
      <c r="E53" s="27">
        <f t="shared" si="3"/>
        <v>0.80541339394514866</v>
      </c>
      <c r="F53" s="95">
        <f t="shared" si="4"/>
        <v>3.458660605485131E-2</v>
      </c>
      <c r="G53" s="95">
        <f>NORMDIST(B53,$B$5,$B$6,TRUE)</f>
        <v>0.75691976237977832</v>
      </c>
      <c r="H53" s="95">
        <f>ABS(D53-G53)</f>
        <v>8.3080237620221653E-2</v>
      </c>
    </row>
    <row r="54" spans="1:11" x14ac:dyDescent="0.55000000000000004">
      <c r="A54" s="1">
        <v>1939</v>
      </c>
      <c r="B54" s="4">
        <v>2.82</v>
      </c>
      <c r="C54" s="2">
        <v>43.5</v>
      </c>
      <c r="D54" s="2">
        <f t="shared" si="2"/>
        <v>0.87</v>
      </c>
      <c r="E54" s="27">
        <f t="shared" si="3"/>
        <v>0.82215912825533577</v>
      </c>
      <c r="F54" s="95">
        <f t="shared" si="4"/>
        <v>4.7840871744664226E-2</v>
      </c>
      <c r="G54" s="95">
        <f>NORMDIST(B54,$B$5,$B$6,TRUE)</f>
        <v>0.77871396932941739</v>
      </c>
      <c r="H54" s="95">
        <f>ABS(D54-G54)</f>
        <v>9.1286030670582607E-2</v>
      </c>
    </row>
    <row r="55" spans="1:11" x14ac:dyDescent="0.55000000000000004">
      <c r="A55" s="1">
        <v>1950</v>
      </c>
      <c r="B55" s="4">
        <v>2.82</v>
      </c>
      <c r="C55" s="2">
        <v>43.5</v>
      </c>
      <c r="D55" s="2">
        <f t="shared" si="2"/>
        <v>0.87</v>
      </c>
      <c r="E55" s="27">
        <f t="shared" si="3"/>
        <v>0.82215912825533577</v>
      </c>
      <c r="F55" s="95">
        <f t="shared" si="4"/>
        <v>4.7840871744664226E-2</v>
      </c>
      <c r="G55" s="95">
        <f>NORMDIST(B55,$B$5,$B$6,TRUE)</f>
        <v>0.77871396932941739</v>
      </c>
      <c r="H55" s="95">
        <f>ABS(D55-G55)</f>
        <v>9.1286030670582607E-2</v>
      </c>
    </row>
    <row r="56" spans="1:11" x14ac:dyDescent="0.55000000000000004">
      <c r="A56" s="1">
        <v>1959</v>
      </c>
      <c r="B56" s="4">
        <v>2.94</v>
      </c>
      <c r="C56" s="2">
        <v>45</v>
      </c>
      <c r="D56" s="2">
        <f t="shared" si="2"/>
        <v>0.9</v>
      </c>
      <c r="E56" s="27">
        <f t="shared" si="3"/>
        <v>0.84501180611509463</v>
      </c>
      <c r="F56" s="95">
        <f t="shared" si="4"/>
        <v>5.498819388490539E-2</v>
      </c>
      <c r="G56" s="95">
        <f>NORMDIST(B56,$B$5,$B$6,TRUE)</f>
        <v>0.80921304714748943</v>
      </c>
      <c r="H56" s="95">
        <f>ABS(D56-G56)</f>
        <v>9.0786952852510594E-2</v>
      </c>
    </row>
    <row r="57" spans="1:11" x14ac:dyDescent="0.55000000000000004">
      <c r="A57" s="1">
        <v>1976</v>
      </c>
      <c r="B57" s="4">
        <v>3</v>
      </c>
      <c r="C57" s="2">
        <v>46</v>
      </c>
      <c r="D57" s="2">
        <f t="shared" si="2"/>
        <v>0.92</v>
      </c>
      <c r="E57" s="27">
        <f t="shared" si="3"/>
        <v>0.85547144181681123</v>
      </c>
      <c r="F57" s="95">
        <f t="shared" si="4"/>
        <v>6.4528558183188811E-2</v>
      </c>
      <c r="G57" s="95">
        <f>NORMDIST(B57,$B$5,$B$6,TRUE)</f>
        <v>0.82344438274699727</v>
      </c>
      <c r="H57" s="95">
        <f>ABS(D57-G57)</f>
        <v>9.6555617253002768E-2</v>
      </c>
    </row>
    <row r="58" spans="1:11" x14ac:dyDescent="0.55000000000000004">
      <c r="A58" s="1">
        <v>1937</v>
      </c>
      <c r="B58" s="4">
        <v>3.66</v>
      </c>
      <c r="C58" s="2">
        <v>47</v>
      </c>
      <c r="D58" s="2">
        <f t="shared" si="2"/>
        <v>0.94</v>
      </c>
      <c r="E58" s="27">
        <f t="shared" si="3"/>
        <v>0.93577239056313921</v>
      </c>
      <c r="F58" s="95">
        <f t="shared" si="4"/>
        <v>4.2276094368607353E-3</v>
      </c>
      <c r="G58" s="95">
        <f>NORMDIST(B58,$B$5,$B$6,TRUE)</f>
        <v>0.93547479200264483</v>
      </c>
      <c r="H58" s="95">
        <f>ABS(D58-G58)</f>
        <v>4.5252079973551185E-3</v>
      </c>
    </row>
    <row r="59" spans="1:11" x14ac:dyDescent="0.55000000000000004">
      <c r="A59" s="1">
        <v>1979</v>
      </c>
      <c r="B59" s="4">
        <v>4.55</v>
      </c>
      <c r="C59" s="2">
        <v>48</v>
      </c>
      <c r="D59" s="2">
        <f t="shared" si="2"/>
        <v>0.96</v>
      </c>
      <c r="E59" s="27">
        <f t="shared" si="3"/>
        <v>0.98048663048772178</v>
      </c>
      <c r="F59" s="95">
        <f t="shared" si="4"/>
        <v>2.0486630487721813E-2</v>
      </c>
      <c r="G59" s="95">
        <f>NORMDIST(B59,$B$5,$B$6,TRUE)</f>
        <v>0.98962492734194196</v>
      </c>
      <c r="H59" s="95">
        <f>ABS(D59-G59)</f>
        <v>2.9624927341941998E-2</v>
      </c>
    </row>
    <row r="60" spans="1:11" x14ac:dyDescent="0.55000000000000004">
      <c r="A60" s="1">
        <v>1958</v>
      </c>
      <c r="B60" s="4">
        <v>4.9000000000000004</v>
      </c>
      <c r="C60" s="2">
        <v>49</v>
      </c>
      <c r="D60" s="2">
        <f t="shared" si="2"/>
        <v>0.98</v>
      </c>
      <c r="E60" s="27">
        <f t="shared" si="3"/>
        <v>0.98807126629980924</v>
      </c>
      <c r="F60" s="95">
        <f t="shared" si="4"/>
        <v>8.0712662998092544E-3</v>
      </c>
      <c r="G60" s="95">
        <f>NORMDIST(B60,$B$5,$B$6,TRUE)</f>
        <v>0.99566755163698739</v>
      </c>
      <c r="H60" s="95">
        <f>ABS(D60-G60)</f>
        <v>1.5667551636987409E-2</v>
      </c>
    </row>
    <row r="61" spans="1:11" x14ac:dyDescent="0.55000000000000004">
      <c r="A61" s="1">
        <v>1978</v>
      </c>
      <c r="B61" s="4">
        <v>6.37</v>
      </c>
      <c r="C61" s="2">
        <v>50</v>
      </c>
      <c r="D61" s="2">
        <f t="shared" si="2"/>
        <v>1</v>
      </c>
      <c r="E61" s="27">
        <f t="shared" si="3"/>
        <v>0.99864259776434239</v>
      </c>
      <c r="F61" s="95">
        <f t="shared" si="4"/>
        <v>1.3574022356576121E-3</v>
      </c>
      <c r="G61" s="95">
        <f>NORMDIST(B61,$B$5,$B$6,TRUE)</f>
        <v>0.9999588325340284</v>
      </c>
      <c r="H61" s="95">
        <f>ABS(D61-G61)</f>
        <v>4.1167465971603256E-5</v>
      </c>
    </row>
    <row r="62" spans="1:11" x14ac:dyDescent="0.55000000000000004">
      <c r="E62" s="1"/>
      <c r="F62" s="1"/>
      <c r="K62" s="4"/>
    </row>
    <row r="63" spans="1:11" x14ac:dyDescent="0.55000000000000004">
      <c r="B63" s="1"/>
      <c r="C63" s="1"/>
      <c r="D63" s="1"/>
      <c r="E63" s="1"/>
      <c r="F63" s="1"/>
    </row>
    <row r="64" spans="1:11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  <row r="557" spans="2:6" x14ac:dyDescent="0.55000000000000004">
      <c r="B557" s="1"/>
      <c r="C557" s="1"/>
      <c r="D557" s="1"/>
      <c r="E557" s="1"/>
      <c r="F557" s="1"/>
    </row>
  </sheetData>
  <mergeCells count="3">
    <mergeCell ref="L18:M18"/>
    <mergeCell ref="J11:M11"/>
    <mergeCell ref="J18:K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showGridLines="0" topLeftCell="A13" workbookViewId="0">
      <selection activeCell="K31" sqref="K31"/>
    </sheetView>
  </sheetViews>
  <sheetFormatPr defaultRowHeight="14.4" x14ac:dyDescent="0.55000000000000004"/>
  <cols>
    <col min="1" max="1" width="8.83984375" style="17"/>
    <col min="2" max="2" width="18.47265625" style="17" bestFit="1" customWidth="1"/>
    <col min="3" max="3" width="4.7890625" style="17" bestFit="1" customWidth="1"/>
    <col min="4" max="4" width="6.15625" style="17" bestFit="1" customWidth="1"/>
    <col min="5" max="5" width="12.15625" style="17" bestFit="1" customWidth="1"/>
    <col min="6" max="7" width="6.15625" style="17" bestFit="1" customWidth="1"/>
    <col min="8" max="8" width="9.41796875" style="17" bestFit="1" customWidth="1"/>
    <col min="9" max="9" width="10.578125" style="17" bestFit="1" customWidth="1"/>
    <col min="10" max="10" width="16.41796875" style="17" bestFit="1" customWidth="1"/>
    <col min="11" max="16384" width="8.83984375" style="17"/>
  </cols>
  <sheetData>
    <row r="1" spans="1:10" x14ac:dyDescent="0.55000000000000004">
      <c r="A1" s="17" t="s">
        <v>40</v>
      </c>
      <c r="B1" s="24">
        <f>AVERAGE(B10:B97)</f>
        <v>1352204.5454545454</v>
      </c>
      <c r="C1" s="17" t="s">
        <v>78</v>
      </c>
    </row>
    <row r="2" spans="1:10" ht="17.7" x14ac:dyDescent="0.75">
      <c r="A2" s="17" t="s">
        <v>43</v>
      </c>
      <c r="B2" s="17">
        <f>VAR(B10:B97)</f>
        <v>98171291013.584045</v>
      </c>
      <c r="C2" s="17" t="s">
        <v>79</v>
      </c>
    </row>
    <row r="3" spans="1:10" x14ac:dyDescent="0.55000000000000004">
      <c r="A3" s="17" t="s">
        <v>41</v>
      </c>
      <c r="B3" s="17">
        <f>SQRT(PI()^2/(6*B2))</f>
        <v>4.0933793691381389E-6</v>
      </c>
    </row>
    <row r="4" spans="1:10" x14ac:dyDescent="0.55000000000000004">
      <c r="A4" s="17" t="s">
        <v>42</v>
      </c>
      <c r="B4" s="17">
        <f>B1-0.5772/B3</f>
        <v>1211196.359320669</v>
      </c>
    </row>
    <row r="5" spans="1:10" x14ac:dyDescent="0.55000000000000004">
      <c r="A5" s="17" t="s">
        <v>45</v>
      </c>
      <c r="B5" s="17">
        <f>COUNT(B10:B97)</f>
        <v>88</v>
      </c>
      <c r="C5" s="17" t="s">
        <v>80</v>
      </c>
    </row>
    <row r="6" spans="1:10" x14ac:dyDescent="0.55000000000000004">
      <c r="A6" s="17" t="s">
        <v>50</v>
      </c>
      <c r="B6" s="17">
        <f>AVERAGE(E10:E97)</f>
        <v>1350841.711737805</v>
      </c>
      <c r="C6" s="17" t="s">
        <v>78</v>
      </c>
    </row>
    <row r="8" spans="1:10" x14ac:dyDescent="0.55000000000000004">
      <c r="B8" s="17" t="s">
        <v>2</v>
      </c>
    </row>
    <row r="9" spans="1:10" ht="16.8" x14ac:dyDescent="0.75">
      <c r="A9" s="21" t="s">
        <v>0</v>
      </c>
      <c r="B9" s="100" t="s">
        <v>47</v>
      </c>
      <c r="C9" s="100" t="s">
        <v>28</v>
      </c>
      <c r="D9" s="100" t="s">
        <v>48</v>
      </c>
      <c r="E9" s="100" t="s">
        <v>51</v>
      </c>
      <c r="F9" s="101" t="s">
        <v>32</v>
      </c>
      <c r="G9" s="101" t="s">
        <v>44</v>
      </c>
      <c r="H9" s="101" t="s">
        <v>54</v>
      </c>
      <c r="I9" s="101" t="s">
        <v>55</v>
      </c>
      <c r="J9" s="101" t="s">
        <v>53</v>
      </c>
    </row>
    <row r="10" spans="1:10" x14ac:dyDescent="0.55000000000000004">
      <c r="A10" s="22">
        <v>1954</v>
      </c>
      <c r="B10" s="23">
        <v>706000</v>
      </c>
      <c r="C10" s="97">
        <v>1</v>
      </c>
      <c r="D10" s="98">
        <f>(C10-0.44)/($B$5+0.12)</f>
        <v>6.3549704947798462E-3</v>
      </c>
      <c r="E10" s="98">
        <f t="shared" ref="E10:E41" si="0">$B$4-1/$B$3*LN(-LN(D10))</f>
        <v>815173.07092373958</v>
      </c>
      <c r="F10" s="96">
        <f t="shared" ref="F10:F41" si="1">EXP(-EXP(-$B$3*(B10-$B$4)))</f>
        <v>3.6754097022335735E-4</v>
      </c>
      <c r="G10" s="96">
        <f>F10</f>
        <v>3.6754097022335735E-4</v>
      </c>
      <c r="H10" s="99">
        <f>(B10-$B$1)^2</f>
        <v>417580314566.11566</v>
      </c>
      <c r="I10" s="99">
        <f t="shared" ref="I10:I41" si="2">(E10-$B$6)^2</f>
        <v>286940892751.58826</v>
      </c>
      <c r="J10" s="99">
        <f t="shared" ref="J10:J41" si="3">(B10-$B$1)*(E10-$B$6)</f>
        <v>346151510551.50732</v>
      </c>
    </row>
    <row r="11" spans="1:10" x14ac:dyDescent="0.55000000000000004">
      <c r="A11" s="22">
        <v>1931</v>
      </c>
      <c r="B11" s="23">
        <v>711000</v>
      </c>
      <c r="C11" s="97">
        <v>2</v>
      </c>
      <c r="D11" s="98">
        <f t="shared" ref="D11:D74" si="4">(C11-0.44)/($B$5+0.12)</f>
        <v>1.7703132092601E-2</v>
      </c>
      <c r="E11" s="98">
        <f t="shared" si="0"/>
        <v>870460.32924692892</v>
      </c>
      <c r="F11" s="96">
        <f t="shared" si="1"/>
        <v>4.3140858856988954E-4</v>
      </c>
      <c r="G11" s="96">
        <f>F11-F10</f>
        <v>6.3867618346532184E-5</v>
      </c>
      <c r="H11" s="99">
        <f t="shared" ref="H11:H74" si="5">(B11-$B$1)^2</f>
        <v>411143269111.57019</v>
      </c>
      <c r="I11" s="99">
        <f t="shared" si="2"/>
        <v>230766272643.84543</v>
      </c>
      <c r="J11" s="99">
        <f t="shared" si="3"/>
        <v>308022726004.88837</v>
      </c>
    </row>
    <row r="12" spans="1:10" x14ac:dyDescent="0.55000000000000004">
      <c r="A12" s="22">
        <v>2000</v>
      </c>
      <c r="B12" s="7">
        <v>787000</v>
      </c>
      <c r="C12" s="97">
        <v>3</v>
      </c>
      <c r="D12" s="98">
        <f t="shared" si="4"/>
        <v>2.9051293690422152E-2</v>
      </c>
      <c r="E12" s="98">
        <f t="shared" si="0"/>
        <v>902464.34896369372</v>
      </c>
      <c r="F12" s="96">
        <f t="shared" si="1"/>
        <v>3.4243256900055256E-3</v>
      </c>
      <c r="G12" s="96">
        <f>F12-F11</f>
        <v>2.9929171014356363E-3</v>
      </c>
      <c r="H12" s="99">
        <f t="shared" si="5"/>
        <v>319456178202.47931</v>
      </c>
      <c r="I12" s="99">
        <f t="shared" si="2"/>
        <v>201042259448.26703</v>
      </c>
      <c r="J12" s="99">
        <f t="shared" si="3"/>
        <v>253424923518.8494</v>
      </c>
    </row>
    <row r="13" spans="1:10" x14ac:dyDescent="0.55000000000000004">
      <c r="A13" s="22">
        <v>1941</v>
      </c>
      <c r="B13" s="23">
        <v>814000</v>
      </c>
      <c r="C13" s="97">
        <v>4</v>
      </c>
      <c r="D13" s="98">
        <f t="shared" si="4"/>
        <v>4.0399455288243305E-2</v>
      </c>
      <c r="E13" s="98">
        <f t="shared" si="0"/>
        <v>926360.71604877489</v>
      </c>
      <c r="F13" s="96">
        <f t="shared" si="1"/>
        <v>6.2021049040011673E-3</v>
      </c>
      <c r="G13" s="96">
        <f t="shared" ref="G13:G76" si="6">F13-F12</f>
        <v>2.7777792139956417E-3</v>
      </c>
      <c r="H13" s="99">
        <f t="shared" si="5"/>
        <v>289664132747.93384</v>
      </c>
      <c r="I13" s="99">
        <f t="shared" si="2"/>
        <v>180184115701.15045</v>
      </c>
      <c r="J13" s="99">
        <f t="shared" si="3"/>
        <v>228457601338.90732</v>
      </c>
    </row>
    <row r="14" spans="1:10" x14ac:dyDescent="0.55000000000000004">
      <c r="A14" s="22">
        <v>1934</v>
      </c>
      <c r="B14" s="23">
        <v>877000</v>
      </c>
      <c r="C14" s="97">
        <v>5</v>
      </c>
      <c r="D14" s="98">
        <f t="shared" si="4"/>
        <v>5.1747616886064447E-2</v>
      </c>
      <c r="E14" s="98">
        <f t="shared" si="0"/>
        <v>945974.34331478109</v>
      </c>
      <c r="F14" s="96">
        <f t="shared" si="1"/>
        <v>1.969366369750792E-2</v>
      </c>
      <c r="G14" s="96">
        <f t="shared" si="6"/>
        <v>1.3491558793506752E-2</v>
      </c>
      <c r="H14" s="99">
        <f t="shared" si="5"/>
        <v>225819360020.6611</v>
      </c>
      <c r="I14" s="99">
        <f t="shared" si="2"/>
        <v>163917586013.78461</v>
      </c>
      <c r="J14" s="99">
        <f t="shared" si="3"/>
        <v>192394813780.84106</v>
      </c>
    </row>
    <row r="15" spans="1:10" x14ac:dyDescent="0.55000000000000004">
      <c r="A15" s="22">
        <v>1981</v>
      </c>
      <c r="B15" s="23">
        <v>956000</v>
      </c>
      <c r="C15" s="97">
        <v>6.5</v>
      </c>
      <c r="D15" s="98">
        <f t="shared" si="4"/>
        <v>6.8769859282796178E-2</v>
      </c>
      <c r="E15" s="98">
        <f t="shared" si="0"/>
        <v>970638.90390192089</v>
      </c>
      <c r="F15" s="96">
        <f t="shared" si="1"/>
        <v>5.8291121791574758E-2</v>
      </c>
      <c r="G15" s="96">
        <f t="shared" si="6"/>
        <v>3.8597458094066839E-2</v>
      </c>
      <c r="H15" s="99">
        <f t="shared" si="5"/>
        <v>156978041838.84296</v>
      </c>
      <c r="I15" s="99">
        <f t="shared" si="2"/>
        <v>144554175086.29025</v>
      </c>
      <c r="J15" s="99">
        <f t="shared" si="3"/>
        <v>150638080659.15836</v>
      </c>
    </row>
    <row r="16" spans="1:10" x14ac:dyDescent="0.55000000000000004">
      <c r="A16" s="22">
        <v>2006</v>
      </c>
      <c r="B16" s="7">
        <v>956000</v>
      </c>
      <c r="C16" s="97">
        <v>6.5</v>
      </c>
      <c r="D16" s="98">
        <f t="shared" si="4"/>
        <v>6.8769859282796178E-2</v>
      </c>
      <c r="E16" s="98">
        <f t="shared" si="0"/>
        <v>970638.90390192089</v>
      </c>
      <c r="F16" s="96">
        <f t="shared" si="1"/>
        <v>5.8291121791574758E-2</v>
      </c>
      <c r="G16" s="96">
        <f t="shared" si="6"/>
        <v>0</v>
      </c>
      <c r="H16" s="99">
        <f t="shared" si="5"/>
        <v>156978041838.84296</v>
      </c>
      <c r="I16" s="99">
        <f t="shared" si="2"/>
        <v>144554175086.29025</v>
      </c>
      <c r="J16" s="99">
        <f t="shared" si="3"/>
        <v>150638080659.15836</v>
      </c>
    </row>
    <row r="17" spans="1:17" ht="14.7" thickBot="1" x14ac:dyDescent="0.6">
      <c r="A17" s="22">
        <v>1959</v>
      </c>
      <c r="B17" s="23">
        <v>977000</v>
      </c>
      <c r="C17" s="97">
        <v>8</v>
      </c>
      <c r="D17" s="98">
        <f t="shared" si="4"/>
        <v>8.5792101679527902E-2</v>
      </c>
      <c r="E17" s="98">
        <f t="shared" si="0"/>
        <v>991704.33834724443</v>
      </c>
      <c r="F17" s="96">
        <f t="shared" si="1"/>
        <v>7.3668136217084762E-2</v>
      </c>
      <c r="G17" s="96">
        <f t="shared" si="6"/>
        <v>1.5377014425510004E-2</v>
      </c>
      <c r="H17" s="99">
        <f t="shared" si="5"/>
        <v>140778450929.75204</v>
      </c>
      <c r="I17" s="99">
        <f t="shared" si="2"/>
        <v>128979652965.87096</v>
      </c>
      <c r="J17" s="99">
        <f t="shared" si="3"/>
        <v>134749974938.74464</v>
      </c>
    </row>
    <row r="18" spans="1:17" x14ac:dyDescent="0.55000000000000004">
      <c r="A18" s="22">
        <v>1977</v>
      </c>
      <c r="B18" s="23">
        <v>980000</v>
      </c>
      <c r="C18" s="97">
        <v>9</v>
      </c>
      <c r="D18" s="98">
        <f t="shared" si="4"/>
        <v>9.7140263277349065E-2</v>
      </c>
      <c r="E18" s="98">
        <f t="shared" si="0"/>
        <v>1004385.7111361661</v>
      </c>
      <c r="F18" s="96">
        <f t="shared" si="1"/>
        <v>7.6050939728984454E-2</v>
      </c>
      <c r="G18" s="96">
        <f t="shared" si="6"/>
        <v>2.3828035118996921E-3</v>
      </c>
      <c r="H18" s="99">
        <f t="shared" si="5"/>
        <v>138536223657.02475</v>
      </c>
      <c r="I18" s="99">
        <f t="shared" si="2"/>
        <v>120031760352.88283</v>
      </c>
      <c r="J18" s="99">
        <f t="shared" si="3"/>
        <v>128952498223.93272</v>
      </c>
      <c r="L18" s="105" t="s">
        <v>103</v>
      </c>
      <c r="M18" s="106"/>
      <c r="N18" s="106"/>
      <c r="O18" s="106"/>
      <c r="P18" s="106"/>
      <c r="Q18" s="107"/>
    </row>
    <row r="19" spans="1:17" x14ac:dyDescent="0.55000000000000004">
      <c r="A19" s="22">
        <v>1953</v>
      </c>
      <c r="B19" s="23">
        <v>983000</v>
      </c>
      <c r="C19" s="97">
        <v>10</v>
      </c>
      <c r="D19" s="98">
        <f t="shared" si="4"/>
        <v>0.10848842487517023</v>
      </c>
      <c r="E19" s="98">
        <f t="shared" si="0"/>
        <v>1016245.4869343013</v>
      </c>
      <c r="F19" s="96">
        <f t="shared" si="1"/>
        <v>7.8480317906407887E-2</v>
      </c>
      <c r="G19" s="96">
        <f t="shared" si="6"/>
        <v>2.429378177423433E-3</v>
      </c>
      <c r="H19" s="99">
        <f t="shared" si="5"/>
        <v>136311996384.29749</v>
      </c>
      <c r="I19" s="99">
        <f t="shared" si="2"/>
        <v>111954633652.75679</v>
      </c>
      <c r="J19" s="99">
        <f t="shared" si="3"/>
        <v>123534447089.38449</v>
      </c>
      <c r="L19" s="108" t="s">
        <v>49</v>
      </c>
      <c r="M19" s="28"/>
      <c r="N19" s="28"/>
      <c r="O19" s="28"/>
      <c r="P19" s="28"/>
      <c r="Q19" s="109"/>
    </row>
    <row r="20" spans="1:17" x14ac:dyDescent="0.55000000000000004">
      <c r="A20" s="22">
        <v>1976</v>
      </c>
      <c r="B20" s="23">
        <v>1020000</v>
      </c>
      <c r="C20" s="97">
        <v>11</v>
      </c>
      <c r="D20" s="98">
        <f t="shared" si="4"/>
        <v>0.11983658647299138</v>
      </c>
      <c r="E20" s="98">
        <f t="shared" si="0"/>
        <v>1027440.3907555939</v>
      </c>
      <c r="F20" s="96">
        <f t="shared" si="1"/>
        <v>0.11222637045736314</v>
      </c>
      <c r="G20" s="96">
        <f t="shared" si="6"/>
        <v>3.3746052550955252E-2</v>
      </c>
      <c r="H20" s="99">
        <f t="shared" si="5"/>
        <v>110359860020.66113</v>
      </c>
      <c r="I20" s="99">
        <f t="shared" si="2"/>
        <v>104588414413.03917</v>
      </c>
      <c r="J20" s="99">
        <f t="shared" si="3"/>
        <v>107435388836.295</v>
      </c>
      <c r="L20" s="108"/>
      <c r="M20" s="28"/>
      <c r="N20" s="28"/>
      <c r="O20" s="28"/>
      <c r="P20" s="28"/>
      <c r="Q20" s="109"/>
    </row>
    <row r="21" spans="1:17" x14ac:dyDescent="0.55000000000000004">
      <c r="A21" s="22">
        <v>1967</v>
      </c>
      <c r="B21" s="23">
        <v>1040000</v>
      </c>
      <c r="C21" s="97">
        <v>12.5</v>
      </c>
      <c r="D21" s="98">
        <f t="shared" si="4"/>
        <v>0.13685882886972311</v>
      </c>
      <c r="E21" s="98">
        <f t="shared" si="0"/>
        <v>1043233.8862399335</v>
      </c>
      <c r="F21" s="96">
        <f t="shared" si="1"/>
        <v>0.13327945229577634</v>
      </c>
      <c r="G21" s="96">
        <f t="shared" si="6"/>
        <v>2.1053081838413201E-2</v>
      </c>
      <c r="H21" s="99">
        <f t="shared" si="5"/>
        <v>97471678202.479309</v>
      </c>
      <c r="I21" s="99">
        <f t="shared" si="2"/>
        <v>94622574307.528961</v>
      </c>
      <c r="J21" s="99">
        <f t="shared" si="3"/>
        <v>96036561337.824097</v>
      </c>
      <c r="L21" s="110" t="s">
        <v>57</v>
      </c>
      <c r="M21" s="102" t="s">
        <v>58</v>
      </c>
      <c r="N21" s="28"/>
      <c r="O21" s="28"/>
      <c r="P21" s="28"/>
      <c r="Q21" s="109"/>
    </row>
    <row r="22" spans="1:17" x14ac:dyDescent="0.55000000000000004">
      <c r="A22" s="22">
        <v>2014</v>
      </c>
      <c r="B22" s="7">
        <v>1040000</v>
      </c>
      <c r="C22" s="97">
        <v>12.5</v>
      </c>
      <c r="D22" s="98">
        <f t="shared" si="4"/>
        <v>0.13685882886972311</v>
      </c>
      <c r="E22" s="98">
        <f t="shared" si="0"/>
        <v>1043233.8862399335</v>
      </c>
      <c r="F22" s="96">
        <f t="shared" si="1"/>
        <v>0.13327945229577634</v>
      </c>
      <c r="G22" s="96">
        <f t="shared" si="6"/>
        <v>0</v>
      </c>
      <c r="H22" s="99">
        <f t="shared" si="5"/>
        <v>97471678202.479309</v>
      </c>
      <c r="I22" s="99">
        <f t="shared" si="2"/>
        <v>94622574307.528961</v>
      </c>
      <c r="J22" s="99">
        <f t="shared" si="3"/>
        <v>96036561337.824097</v>
      </c>
      <c r="L22" s="110">
        <v>80</v>
      </c>
      <c r="M22" s="102">
        <v>0.97789999999999999</v>
      </c>
      <c r="N22" s="28"/>
      <c r="O22" s="28"/>
      <c r="P22" s="28"/>
      <c r="Q22" s="109"/>
    </row>
    <row r="23" spans="1:17" x14ac:dyDescent="0.55000000000000004">
      <c r="A23" s="22">
        <v>1940</v>
      </c>
      <c r="B23" s="23">
        <v>1075000</v>
      </c>
      <c r="C23" s="97">
        <v>14</v>
      </c>
      <c r="D23" s="98">
        <f t="shared" si="4"/>
        <v>0.15388107126645484</v>
      </c>
      <c r="E23" s="98">
        <f t="shared" si="0"/>
        <v>1058075.8215526312</v>
      </c>
      <c r="F23" s="96">
        <f t="shared" si="1"/>
        <v>0.17441684814510089</v>
      </c>
      <c r="G23" s="96">
        <f t="shared" si="6"/>
        <v>4.1137395849324548E-2</v>
      </c>
      <c r="H23" s="99">
        <f t="shared" si="5"/>
        <v>76842360020.661133</v>
      </c>
      <c r="I23" s="99">
        <f t="shared" si="2"/>
        <v>85711866455.917267</v>
      </c>
      <c r="J23" s="99">
        <f t="shared" si="3"/>
        <v>81156035513.376465</v>
      </c>
      <c r="L23" s="110">
        <v>100</v>
      </c>
      <c r="M23" s="102">
        <v>0.97470000000000001</v>
      </c>
      <c r="N23" s="28"/>
      <c r="O23" s="28"/>
      <c r="P23" s="28"/>
      <c r="Q23" s="109"/>
    </row>
    <row r="24" spans="1:17" x14ac:dyDescent="0.55000000000000004">
      <c r="A24" s="22">
        <v>1960</v>
      </c>
      <c r="B24" s="23">
        <v>1100000</v>
      </c>
      <c r="C24" s="97">
        <v>15.5</v>
      </c>
      <c r="D24" s="98">
        <f t="shared" si="4"/>
        <v>0.17090331366318656</v>
      </c>
      <c r="E24" s="98">
        <f t="shared" si="0"/>
        <v>1072169.6094347334</v>
      </c>
      <c r="F24" s="96">
        <f t="shared" si="1"/>
        <v>0.20670976011451256</v>
      </c>
      <c r="G24" s="96">
        <f t="shared" si="6"/>
        <v>3.229291196941167E-2</v>
      </c>
      <c r="H24" s="99">
        <f t="shared" si="5"/>
        <v>63607132747.933861</v>
      </c>
      <c r="I24" s="99">
        <f t="shared" si="2"/>
        <v>77658140602.013626</v>
      </c>
      <c r="J24" s="99">
        <f t="shared" si="3"/>
        <v>70282370892.208755</v>
      </c>
      <c r="L24" s="110">
        <v>88</v>
      </c>
      <c r="M24" s="103">
        <f>M22+(M23-M22)/(L23-L22)*8</f>
        <v>0.97662000000000004</v>
      </c>
      <c r="N24" s="28" t="s">
        <v>73</v>
      </c>
      <c r="O24" s="28"/>
      <c r="P24" s="28"/>
      <c r="Q24" s="109"/>
    </row>
    <row r="25" spans="1:17" x14ac:dyDescent="0.55000000000000004">
      <c r="A25" s="22">
        <v>1992</v>
      </c>
      <c r="B25" s="23">
        <v>1100000</v>
      </c>
      <c r="C25" s="97">
        <v>15.5</v>
      </c>
      <c r="D25" s="98">
        <f t="shared" si="4"/>
        <v>0.17090331366318656</v>
      </c>
      <c r="E25" s="98">
        <f t="shared" si="0"/>
        <v>1072169.6094347334</v>
      </c>
      <c r="F25" s="96">
        <f t="shared" si="1"/>
        <v>0.20670976011451256</v>
      </c>
      <c r="G25" s="96">
        <f t="shared" si="6"/>
        <v>0</v>
      </c>
      <c r="H25" s="99">
        <f t="shared" si="5"/>
        <v>63607132747.933861</v>
      </c>
      <c r="I25" s="99">
        <f t="shared" si="2"/>
        <v>77658140602.013626</v>
      </c>
      <c r="J25" s="99">
        <f t="shared" si="3"/>
        <v>70282370892.208755</v>
      </c>
      <c r="L25" s="108"/>
      <c r="M25" s="28"/>
      <c r="N25" s="28"/>
      <c r="O25" s="28"/>
      <c r="P25" s="28"/>
      <c r="Q25" s="109"/>
    </row>
    <row r="26" spans="1:17" x14ac:dyDescent="0.55000000000000004">
      <c r="A26" s="22">
        <v>1956</v>
      </c>
      <c r="B26" s="23">
        <v>1110000</v>
      </c>
      <c r="C26" s="97">
        <v>17.5</v>
      </c>
      <c r="D26" s="98">
        <f>(C26-0.44)/($B$5+0.12)</f>
        <v>0.19359963685882883</v>
      </c>
      <c r="E26" s="98">
        <f t="shared" si="0"/>
        <v>1090051.3541056546</v>
      </c>
      <c r="F26" s="96">
        <f t="shared" si="1"/>
        <v>0.22020137167684659</v>
      </c>
      <c r="G26" s="96">
        <f t="shared" si="6"/>
        <v>1.3491611562334027E-2</v>
      </c>
      <c r="H26" s="99">
        <f t="shared" si="5"/>
        <v>58663041838.842957</v>
      </c>
      <c r="I26" s="99">
        <f t="shared" si="2"/>
        <v>68011610633.904907</v>
      </c>
      <c r="J26" s="99">
        <f t="shared" si="3"/>
        <v>63164610029.223328</v>
      </c>
      <c r="L26" s="110" t="s">
        <v>56</v>
      </c>
      <c r="M26" s="103">
        <f>M24</f>
        <v>0.97662000000000004</v>
      </c>
      <c r="N26" s="28"/>
      <c r="O26" s="28"/>
      <c r="P26" s="28"/>
      <c r="Q26" s="109"/>
    </row>
    <row r="27" spans="1:17" ht="16.5" x14ac:dyDescent="0.55000000000000004">
      <c r="A27" s="22">
        <v>1966</v>
      </c>
      <c r="B27" s="23">
        <v>1110000</v>
      </c>
      <c r="C27" s="97">
        <v>17.5</v>
      </c>
      <c r="D27" s="98">
        <f t="shared" si="4"/>
        <v>0.19359963685882883</v>
      </c>
      <c r="E27" s="98">
        <f t="shared" si="0"/>
        <v>1090051.3541056546</v>
      </c>
      <c r="F27" s="96">
        <f t="shared" si="1"/>
        <v>0.22020137167684659</v>
      </c>
      <c r="G27" s="96">
        <f t="shared" si="6"/>
        <v>0</v>
      </c>
      <c r="H27" s="99">
        <f t="shared" si="5"/>
        <v>58663041838.842957</v>
      </c>
      <c r="I27" s="99">
        <f t="shared" si="2"/>
        <v>68011610633.904907</v>
      </c>
      <c r="J27" s="99">
        <f t="shared" si="3"/>
        <v>63164610029.223328</v>
      </c>
      <c r="L27" s="110" t="s">
        <v>52</v>
      </c>
      <c r="M27" s="103">
        <f>SUM(J10:J97)/SQRT(ABS(SUM(H10:H97)*SUM(I10:I97)))</f>
        <v>0.99146215105982816</v>
      </c>
      <c r="N27" s="111">
        <f>SQRT(0.983)</f>
        <v>0.99146356463563501</v>
      </c>
      <c r="O27" s="28" t="s">
        <v>70</v>
      </c>
      <c r="P27" s="28"/>
      <c r="Q27" s="109"/>
    </row>
    <row r="28" spans="1:17" x14ac:dyDescent="0.55000000000000004">
      <c r="A28" s="22">
        <v>1988</v>
      </c>
      <c r="B28" s="23">
        <v>1140000</v>
      </c>
      <c r="C28" s="97">
        <v>19</v>
      </c>
      <c r="D28" s="98">
        <f t="shared" si="4"/>
        <v>0.21062187925556058</v>
      </c>
      <c r="E28" s="98">
        <f t="shared" si="0"/>
        <v>1102922.8706602217</v>
      </c>
      <c r="F28" s="96">
        <f t="shared" si="1"/>
        <v>0.26227940569023417</v>
      </c>
      <c r="G28" s="96">
        <f t="shared" si="6"/>
        <v>4.2078034013387583E-2</v>
      </c>
      <c r="H28" s="99">
        <f t="shared" si="5"/>
        <v>45030769111.570229</v>
      </c>
      <c r="I28" s="99">
        <f t="shared" si="2"/>
        <v>61463751761.252045</v>
      </c>
      <c r="J28" s="99">
        <f t="shared" si="3"/>
        <v>52609504980.486259</v>
      </c>
      <c r="L28" s="110" t="s">
        <v>37</v>
      </c>
      <c r="M28" s="102"/>
      <c r="N28" s="28"/>
      <c r="O28" s="28"/>
      <c r="P28" s="28"/>
      <c r="Q28" s="109"/>
    </row>
    <row r="29" spans="1:17" x14ac:dyDescent="0.55000000000000004">
      <c r="A29" s="22">
        <v>1972</v>
      </c>
      <c r="B29" s="23">
        <v>1147000</v>
      </c>
      <c r="C29" s="97">
        <v>20</v>
      </c>
      <c r="D29" s="98">
        <f t="shared" si="4"/>
        <v>0.22197004085338173</v>
      </c>
      <c r="E29" s="98">
        <f t="shared" si="0"/>
        <v>1111294.9612915989</v>
      </c>
      <c r="F29" s="96">
        <f t="shared" si="1"/>
        <v>0.27238449201888826</v>
      </c>
      <c r="G29" s="96">
        <f t="shared" si="6"/>
        <v>1.0105086328654089E-2</v>
      </c>
      <c r="H29" s="99">
        <f t="shared" si="5"/>
        <v>42108905475.206596</v>
      </c>
      <c r="I29" s="99">
        <f t="shared" si="2"/>
        <v>57382645649.336983</v>
      </c>
      <c r="J29" s="99">
        <f t="shared" si="3"/>
        <v>49156082040.427162</v>
      </c>
      <c r="L29" s="112" t="str">
        <f>IF(M27&lt;=M26,"Reject","Do not Reject")</f>
        <v>Do not Reject</v>
      </c>
      <c r="M29" s="104"/>
      <c r="N29" s="28"/>
      <c r="O29" s="28"/>
      <c r="P29" s="28"/>
      <c r="Q29" s="109"/>
    </row>
    <row r="30" spans="1:17" x14ac:dyDescent="0.55000000000000004">
      <c r="A30" s="22">
        <v>1930</v>
      </c>
      <c r="B30" s="23">
        <v>1148000</v>
      </c>
      <c r="C30" s="97">
        <v>21</v>
      </c>
      <c r="D30" s="98">
        <f t="shared" si="4"/>
        <v>0.23331820245120288</v>
      </c>
      <c r="E30" s="98">
        <f t="shared" si="0"/>
        <v>1119524.4623820544</v>
      </c>
      <c r="F30" s="96">
        <f t="shared" si="1"/>
        <v>0.27383544684902622</v>
      </c>
      <c r="G30" s="96">
        <f t="shared" si="6"/>
        <v>1.4509548301379627E-3</v>
      </c>
      <c r="H30" s="99">
        <f t="shared" si="5"/>
        <v>41699496384.297501</v>
      </c>
      <c r="I30" s="99">
        <f t="shared" si="2"/>
        <v>53507669849.510513</v>
      </c>
      <c r="J30" s="99">
        <f t="shared" si="3"/>
        <v>47236033760.486794</v>
      </c>
      <c r="L30" s="110" t="s">
        <v>96</v>
      </c>
      <c r="M30" s="102" t="s">
        <v>99</v>
      </c>
      <c r="N30" s="28" t="s">
        <v>100</v>
      </c>
      <c r="O30" s="28"/>
      <c r="P30" s="28"/>
      <c r="Q30" s="109"/>
    </row>
    <row r="31" spans="1:17" x14ac:dyDescent="0.55000000000000004">
      <c r="A31" s="22">
        <v>1996</v>
      </c>
      <c r="B31" s="23">
        <v>1150000</v>
      </c>
      <c r="C31" s="97">
        <v>22</v>
      </c>
      <c r="D31" s="98">
        <f t="shared" si="4"/>
        <v>0.24466636404902403</v>
      </c>
      <c r="E31" s="98">
        <f t="shared" si="0"/>
        <v>1127629.5479055026</v>
      </c>
      <c r="F31" s="96">
        <f t="shared" si="1"/>
        <v>0.27674259068172863</v>
      </c>
      <c r="G31" s="96">
        <f t="shared" si="6"/>
        <v>2.9071438327024079E-3</v>
      </c>
      <c r="H31" s="99">
        <f t="shared" si="5"/>
        <v>40886678202.479324</v>
      </c>
      <c r="I31" s="99">
        <f t="shared" si="2"/>
        <v>49823670082.698624</v>
      </c>
      <c r="J31" s="99">
        <f t="shared" si="3"/>
        <v>45134514127.636238</v>
      </c>
      <c r="L31" s="108" t="s">
        <v>102</v>
      </c>
      <c r="M31" s="28"/>
      <c r="N31" s="28"/>
      <c r="O31" s="28"/>
      <c r="P31" s="28"/>
      <c r="Q31" s="109"/>
    </row>
    <row r="32" spans="1:17" ht="14.7" thickBot="1" x14ac:dyDescent="0.6">
      <c r="A32" s="22">
        <v>2004</v>
      </c>
      <c r="B32" s="7">
        <v>1153000</v>
      </c>
      <c r="C32" s="97">
        <v>23</v>
      </c>
      <c r="D32" s="98">
        <f t="shared" si="4"/>
        <v>0.25601452564684518</v>
      </c>
      <c r="E32" s="98">
        <f t="shared" si="0"/>
        <v>1135626.346787804</v>
      </c>
      <c r="F32" s="96">
        <f t="shared" si="1"/>
        <v>0.28111595147390783</v>
      </c>
      <c r="G32" s="96">
        <f t="shared" si="6"/>
        <v>4.3733607921792039E-3</v>
      </c>
      <c r="H32" s="99">
        <f t="shared" si="5"/>
        <v>39682450929.752052</v>
      </c>
      <c r="I32" s="99">
        <f t="shared" si="2"/>
        <v>46317653310.562119</v>
      </c>
      <c r="J32" s="99">
        <f t="shared" si="3"/>
        <v>42871878949.699059</v>
      </c>
      <c r="L32" s="113" t="s">
        <v>101</v>
      </c>
      <c r="M32" s="114"/>
      <c r="N32" s="114"/>
      <c r="O32" s="114"/>
      <c r="P32" s="114"/>
      <c r="Q32" s="115"/>
    </row>
    <row r="33" spans="1:16" ht="14.7" thickBot="1" x14ac:dyDescent="0.6">
      <c r="A33" s="22">
        <v>1968</v>
      </c>
      <c r="B33" s="23">
        <v>1160000</v>
      </c>
      <c r="C33" s="97">
        <v>24</v>
      </c>
      <c r="D33" s="98">
        <f t="shared" si="4"/>
        <v>0.26736268724466633</v>
      </c>
      <c r="E33" s="98">
        <f t="shared" si="0"/>
        <v>1143529.2973597753</v>
      </c>
      <c r="F33" s="96">
        <f t="shared" si="1"/>
        <v>0.29137537078839365</v>
      </c>
      <c r="G33" s="96">
        <f t="shared" si="6"/>
        <v>1.0259419314485818E-2</v>
      </c>
      <c r="H33" s="99">
        <f t="shared" si="5"/>
        <v>36942587293.388412</v>
      </c>
      <c r="I33" s="99">
        <f t="shared" si="2"/>
        <v>42978437155.247917</v>
      </c>
      <c r="J33" s="99">
        <f t="shared" si="3"/>
        <v>39846388372.613571</v>
      </c>
    </row>
    <row r="34" spans="1:16" x14ac:dyDescent="0.55000000000000004">
      <c r="A34" s="22">
        <v>1942</v>
      </c>
      <c r="B34" s="23">
        <v>1178000</v>
      </c>
      <c r="C34" s="97">
        <v>25</v>
      </c>
      <c r="D34" s="98">
        <f t="shared" si="4"/>
        <v>0.27871084884248748</v>
      </c>
      <c r="E34" s="98">
        <f t="shared" si="0"/>
        <v>1151351.4319276647</v>
      </c>
      <c r="F34" s="96">
        <f t="shared" si="1"/>
        <v>0.31804878924189445</v>
      </c>
      <c r="G34" s="96">
        <f t="shared" si="6"/>
        <v>2.6673418453500797E-2</v>
      </c>
      <c r="H34" s="99">
        <f t="shared" si="5"/>
        <v>30347223657.02478</v>
      </c>
      <c r="I34" s="99">
        <f t="shared" si="2"/>
        <v>39796371738.728104</v>
      </c>
      <c r="J34" s="99">
        <f t="shared" si="3"/>
        <v>34752113516.925583</v>
      </c>
      <c r="L34" s="105" t="s">
        <v>104</v>
      </c>
      <c r="M34" s="106"/>
      <c r="N34" s="106"/>
      <c r="O34" s="106" t="s">
        <v>97</v>
      </c>
      <c r="P34" s="107"/>
    </row>
    <row r="35" spans="1:16" x14ac:dyDescent="0.55000000000000004">
      <c r="A35" s="22">
        <v>1982</v>
      </c>
      <c r="B35" s="23">
        <v>1182000</v>
      </c>
      <c r="C35" s="97">
        <v>26</v>
      </c>
      <c r="D35" s="98">
        <f t="shared" si="4"/>
        <v>0.29005901044030863</v>
      </c>
      <c r="E35" s="98">
        <f t="shared" si="0"/>
        <v>1159104.6078395164</v>
      </c>
      <c r="F35" s="96">
        <f t="shared" si="1"/>
        <v>0.32402114153466721</v>
      </c>
      <c r="G35" s="96">
        <f t="shared" si="6"/>
        <v>5.9723522927727646E-3</v>
      </c>
      <c r="H35" s="99">
        <f t="shared" si="5"/>
        <v>28969587293.388416</v>
      </c>
      <c r="I35" s="99">
        <f t="shared" si="2"/>
        <v>36763117011.303146</v>
      </c>
      <c r="J35" s="99">
        <f t="shared" si="3"/>
        <v>32634526615.779171</v>
      </c>
      <c r="L35" s="110" t="s">
        <v>75</v>
      </c>
      <c r="M35" s="102">
        <v>100</v>
      </c>
      <c r="N35" s="28" t="s">
        <v>74</v>
      </c>
      <c r="O35" s="102" t="s">
        <v>57</v>
      </c>
      <c r="P35" s="116" t="s">
        <v>76</v>
      </c>
    </row>
    <row r="36" spans="1:16" ht="16.8" x14ac:dyDescent="0.75">
      <c r="A36" s="22">
        <v>2007</v>
      </c>
      <c r="B36" s="7">
        <v>1187000</v>
      </c>
      <c r="C36" s="97">
        <v>27</v>
      </c>
      <c r="D36" s="98">
        <f t="shared" si="4"/>
        <v>0.30140717203812978</v>
      </c>
      <c r="E36" s="98">
        <f t="shared" si="0"/>
        <v>1166799.6971383768</v>
      </c>
      <c r="F36" s="96">
        <f t="shared" si="1"/>
        <v>0.33150385216551476</v>
      </c>
      <c r="G36" s="96">
        <f t="shared" si="6"/>
        <v>7.4827106308475444E-3</v>
      </c>
      <c r="H36" s="99">
        <f t="shared" si="5"/>
        <v>27292541838.84296</v>
      </c>
      <c r="I36" s="99">
        <f t="shared" si="2"/>
        <v>33871463137.816174</v>
      </c>
      <c r="J36" s="99">
        <f t="shared" si="3"/>
        <v>30404577366.437359</v>
      </c>
      <c r="L36" s="110" t="s">
        <v>77</v>
      </c>
      <c r="M36" s="102">
        <f>B4-1/B3*LN(-LN(1-(1/M35)))</f>
        <v>2334998.6781233703</v>
      </c>
      <c r="N36" s="28" t="s">
        <v>78</v>
      </c>
      <c r="O36" s="102">
        <v>85</v>
      </c>
      <c r="P36" s="116">
        <v>4.1692999999999998</v>
      </c>
    </row>
    <row r="37" spans="1:16" ht="14.7" x14ac:dyDescent="0.55000000000000004">
      <c r="A37" s="22">
        <v>1938</v>
      </c>
      <c r="B37" s="23">
        <v>1190000</v>
      </c>
      <c r="C37" s="97">
        <v>28.5</v>
      </c>
      <c r="D37" s="98">
        <f t="shared" si="4"/>
        <v>0.3184294144348615</v>
      </c>
      <c r="E37" s="98">
        <f t="shared" si="0"/>
        <v>1178255.1964499156</v>
      </c>
      <c r="F37" s="96">
        <f t="shared" si="1"/>
        <v>0.3360013619881087</v>
      </c>
      <c r="G37" s="96">
        <f t="shared" si="6"/>
        <v>4.497509822593948E-3</v>
      </c>
      <c r="H37" s="99">
        <f t="shared" si="5"/>
        <v>26310314566.115688</v>
      </c>
      <c r="I37" s="99">
        <f t="shared" si="2"/>
        <v>29786105259.216881</v>
      </c>
      <c r="J37" s="99">
        <f t="shared" si="3"/>
        <v>27994317263.856052</v>
      </c>
      <c r="L37" s="110" t="s">
        <v>83</v>
      </c>
      <c r="M37" s="103">
        <f>P38</f>
        <v>4.1631799999999997</v>
      </c>
      <c r="N37" s="28"/>
      <c r="O37" s="102">
        <v>90</v>
      </c>
      <c r="P37" s="116">
        <v>4.1590999999999996</v>
      </c>
    </row>
    <row r="38" spans="1:16" ht="16.8" x14ac:dyDescent="0.75">
      <c r="A38" s="22">
        <v>2012</v>
      </c>
      <c r="B38" s="7">
        <v>1190000</v>
      </c>
      <c r="C38" s="97">
        <v>28.5</v>
      </c>
      <c r="D38" s="98">
        <f t="shared" si="4"/>
        <v>0.3184294144348615</v>
      </c>
      <c r="E38" s="98">
        <f t="shared" si="0"/>
        <v>1178255.1964499156</v>
      </c>
      <c r="F38" s="96">
        <f t="shared" si="1"/>
        <v>0.3360013619881087</v>
      </c>
      <c r="G38" s="96">
        <f t="shared" si="6"/>
        <v>0</v>
      </c>
      <c r="H38" s="99">
        <f t="shared" si="5"/>
        <v>26310314566.115688</v>
      </c>
      <c r="I38" s="99">
        <f t="shared" si="2"/>
        <v>29786105259.216881</v>
      </c>
      <c r="J38" s="99">
        <f t="shared" si="3"/>
        <v>27994317263.856052</v>
      </c>
      <c r="L38" s="110" t="s">
        <v>82</v>
      </c>
      <c r="M38" s="102">
        <f>M37/SQRT(B5)*SQRT(B2)</f>
        <v>139051.63622575134</v>
      </c>
      <c r="N38" s="28"/>
      <c r="O38" s="102">
        <v>88</v>
      </c>
      <c r="P38" s="117">
        <f>P36+(P37-P36)/(O37-O36)*3</f>
        <v>4.1631799999999997</v>
      </c>
    </row>
    <row r="39" spans="1:16" ht="17.100000000000001" x14ac:dyDescent="0.75">
      <c r="A39" s="22">
        <v>1958</v>
      </c>
      <c r="B39" s="23">
        <v>1191000</v>
      </c>
      <c r="C39" s="97">
        <v>30</v>
      </c>
      <c r="D39" s="98">
        <f t="shared" si="4"/>
        <v>0.33545165683159323</v>
      </c>
      <c r="E39" s="98">
        <f t="shared" si="0"/>
        <v>1189633.5159882938</v>
      </c>
      <c r="F39" s="96">
        <f t="shared" si="1"/>
        <v>0.33750168140477343</v>
      </c>
      <c r="G39" s="96">
        <f t="shared" si="6"/>
        <v>1.5003194166647305E-3</v>
      </c>
      <c r="H39" s="99">
        <f t="shared" si="5"/>
        <v>25986905475.206596</v>
      </c>
      <c r="I39" s="99">
        <f t="shared" si="2"/>
        <v>25988082376.812737</v>
      </c>
      <c r="J39" s="99">
        <f t="shared" si="3"/>
        <v>25987493919.34734</v>
      </c>
      <c r="L39" s="110" t="s">
        <v>92</v>
      </c>
      <c r="M39" s="103">
        <f>_xlfn.NORM.INV(0.95,0,1)</f>
        <v>1.6448536269514715</v>
      </c>
      <c r="N39" s="28" t="s">
        <v>93</v>
      </c>
      <c r="O39" s="28"/>
      <c r="P39" s="109"/>
    </row>
    <row r="40" spans="1:16" ht="17.7" x14ac:dyDescent="0.75">
      <c r="A40" s="22">
        <v>2001</v>
      </c>
      <c r="B40" s="7">
        <v>1221000</v>
      </c>
      <c r="C40" s="97">
        <v>31</v>
      </c>
      <c r="D40" s="98">
        <f t="shared" si="4"/>
        <v>0.34679981842941437</v>
      </c>
      <c r="E40" s="98">
        <f t="shared" si="0"/>
        <v>1197190.2782806866</v>
      </c>
      <c r="F40" s="96">
        <f t="shared" si="1"/>
        <v>0.38263852862170716</v>
      </c>
      <c r="G40" s="96">
        <f t="shared" si="6"/>
        <v>4.5136847216933729E-2</v>
      </c>
      <c r="H40" s="99">
        <f t="shared" si="5"/>
        <v>17214632747.933872</v>
      </c>
      <c r="I40" s="99">
        <f t="shared" si="2"/>
        <v>23608763003.427303</v>
      </c>
      <c r="J40" s="99">
        <f t="shared" si="3"/>
        <v>20159766485.180557</v>
      </c>
      <c r="L40" s="110" t="s">
        <v>84</v>
      </c>
      <c r="M40" s="119">
        <f>M36+M38*M39</f>
        <v>2563718.2663028338</v>
      </c>
      <c r="N40" s="28"/>
      <c r="O40" s="28"/>
      <c r="P40" s="109"/>
    </row>
    <row r="41" spans="1:16" ht="18" thickBot="1" x14ac:dyDescent="0.8">
      <c r="A41" s="22">
        <v>1987</v>
      </c>
      <c r="B41" s="23">
        <v>1230000</v>
      </c>
      <c r="C41" s="97">
        <v>32</v>
      </c>
      <c r="D41" s="98">
        <f t="shared" si="4"/>
        <v>0.35814798002723558</v>
      </c>
      <c r="E41" s="98">
        <f t="shared" si="0"/>
        <v>1204733.2495121546</v>
      </c>
      <c r="F41" s="96">
        <f t="shared" si="1"/>
        <v>0.3961678760623461</v>
      </c>
      <c r="G41" s="96">
        <f t="shared" si="6"/>
        <v>1.3529347440638939E-2</v>
      </c>
      <c r="H41" s="99">
        <f t="shared" si="5"/>
        <v>14933950929.752056</v>
      </c>
      <c r="I41" s="99">
        <f t="shared" si="2"/>
        <v>21347682733.944321</v>
      </c>
      <c r="J41" s="99">
        <f t="shared" si="3"/>
        <v>17855118213.348228</v>
      </c>
      <c r="L41" s="118" t="s">
        <v>85</v>
      </c>
      <c r="M41" s="120">
        <f>M36-M38*M39</f>
        <v>2106279.0899439068</v>
      </c>
      <c r="N41" s="114"/>
      <c r="O41" s="114"/>
      <c r="P41" s="115"/>
    </row>
    <row r="42" spans="1:16" x14ac:dyDescent="0.55000000000000004">
      <c r="A42" s="22">
        <v>1964</v>
      </c>
      <c r="B42" s="23">
        <v>1270000</v>
      </c>
      <c r="C42" s="97">
        <v>33</v>
      </c>
      <c r="D42" s="98">
        <f t="shared" si="4"/>
        <v>0.36949614162505673</v>
      </c>
      <c r="E42" s="98">
        <f t="shared" ref="E42:E73" si="7">$B$4-1/$B$3*LN(-LN(D42))</f>
        <v>1212269.9616426053</v>
      </c>
      <c r="F42" s="96">
        <f t="shared" ref="F42:F73" si="8">EXP(-EXP(-$B$3*(B42-$B$4)))</f>
        <v>0.45563054568884076</v>
      </c>
      <c r="G42" s="96">
        <f t="shared" si="6"/>
        <v>5.9462669626494657E-2</v>
      </c>
      <c r="H42" s="99">
        <f t="shared" si="5"/>
        <v>6757587293.388423</v>
      </c>
      <c r="I42" s="99">
        <f t="shared" ref="I42:I73" si="9">(E42-$B$6)^2</f>
        <v>19202129924.446503</v>
      </c>
      <c r="J42" s="99">
        <f t="shared" ref="J42:J73" si="10">(B42-$B$1)*(E42-$B$6)</f>
        <v>11391227729.416759</v>
      </c>
    </row>
    <row r="43" spans="1:16" x14ac:dyDescent="0.55000000000000004">
      <c r="A43" s="22">
        <v>1936</v>
      </c>
      <c r="B43" s="23">
        <v>1280000</v>
      </c>
      <c r="C43" s="97">
        <v>34.5</v>
      </c>
      <c r="D43" s="98">
        <f t="shared" si="4"/>
        <v>0.38651838402178845</v>
      </c>
      <c r="E43" s="98">
        <f t="shared" si="7"/>
        <v>1223579.1167035932</v>
      </c>
      <c r="F43" s="96">
        <f t="shared" si="8"/>
        <v>0.47022417862547738</v>
      </c>
      <c r="G43" s="96">
        <f t="shared" si="6"/>
        <v>1.4593632936636625E-2</v>
      </c>
      <c r="H43" s="99">
        <f t="shared" si="5"/>
        <v>5213496384.2975149</v>
      </c>
      <c r="I43" s="99">
        <f t="shared" si="9"/>
        <v>16195768094.841808</v>
      </c>
      <c r="J43" s="99">
        <f t="shared" si="10"/>
        <v>9188937827.8111572</v>
      </c>
    </row>
    <row r="44" spans="1:16" x14ac:dyDescent="0.55000000000000004">
      <c r="A44" s="22">
        <v>1995</v>
      </c>
      <c r="B44" s="23">
        <v>1280000</v>
      </c>
      <c r="C44" s="97">
        <v>34.5</v>
      </c>
      <c r="D44" s="98">
        <f t="shared" si="4"/>
        <v>0.38651838402178845</v>
      </c>
      <c r="E44" s="98">
        <f t="shared" si="7"/>
        <v>1223579.1167035932</v>
      </c>
      <c r="F44" s="96">
        <f t="shared" si="8"/>
        <v>0.47022417862547738</v>
      </c>
      <c r="G44" s="96">
        <f t="shared" si="6"/>
        <v>0</v>
      </c>
      <c r="H44" s="99">
        <f t="shared" si="5"/>
        <v>5213496384.2975149</v>
      </c>
      <c r="I44" s="99">
        <f t="shared" si="9"/>
        <v>16195768094.841808</v>
      </c>
      <c r="J44" s="99">
        <f t="shared" si="10"/>
        <v>9188937827.8111572</v>
      </c>
    </row>
    <row r="45" spans="1:16" x14ac:dyDescent="0.55000000000000004">
      <c r="A45" s="22">
        <v>1955</v>
      </c>
      <c r="B45" s="23">
        <v>1282000</v>
      </c>
      <c r="C45" s="97">
        <v>36</v>
      </c>
      <c r="D45" s="98">
        <f t="shared" si="4"/>
        <v>0.40354062641852023</v>
      </c>
      <c r="E45" s="98">
        <f t="shared" si="7"/>
        <v>1234914.129937863</v>
      </c>
      <c r="F45" s="96">
        <f t="shared" si="8"/>
        <v>0.47312594590815088</v>
      </c>
      <c r="G45" s="96">
        <f t="shared" si="6"/>
        <v>2.9017672826734953E-3</v>
      </c>
      <c r="H45" s="99">
        <f t="shared" si="5"/>
        <v>4928678202.4793329</v>
      </c>
      <c r="I45" s="99">
        <f t="shared" si="9"/>
        <v>13439204221.98226</v>
      </c>
      <c r="J45" s="99">
        <f t="shared" si="10"/>
        <v>8138643185.909564</v>
      </c>
    </row>
    <row r="46" spans="1:16" x14ac:dyDescent="0.55000000000000004">
      <c r="A46" s="22">
        <v>1965</v>
      </c>
      <c r="B46" s="23">
        <v>1284000</v>
      </c>
      <c r="C46" s="97">
        <v>37</v>
      </c>
      <c r="D46" s="98">
        <f t="shared" si="4"/>
        <v>0.41488878801634138</v>
      </c>
      <c r="E46" s="98">
        <f t="shared" si="7"/>
        <v>1242496.5223486896</v>
      </c>
      <c r="F46" s="96">
        <f t="shared" si="8"/>
        <v>0.47602174228904914</v>
      </c>
      <c r="G46" s="96">
        <f t="shared" si="6"/>
        <v>2.8957963808982634E-3</v>
      </c>
      <c r="H46" s="99">
        <f t="shared" si="5"/>
        <v>4651860020.6611509</v>
      </c>
      <c r="I46" s="99">
        <f t="shared" si="9"/>
        <v>11738680063.76329</v>
      </c>
      <c r="J46" s="99">
        <f t="shared" si="10"/>
        <v>7389634394.4712543</v>
      </c>
    </row>
    <row r="47" spans="1:16" x14ac:dyDescent="0.55000000000000004">
      <c r="A47" s="22">
        <v>1947</v>
      </c>
      <c r="B47" s="23">
        <v>1301000</v>
      </c>
      <c r="C47" s="97">
        <v>38</v>
      </c>
      <c r="D47" s="98">
        <f t="shared" si="4"/>
        <v>0.42623694961416253</v>
      </c>
      <c r="E47" s="98">
        <f t="shared" si="7"/>
        <v>1250107.3108572355</v>
      </c>
      <c r="F47" s="96">
        <f t="shared" si="8"/>
        <v>0.50037681833500891</v>
      </c>
      <c r="G47" s="96">
        <f t="shared" si="6"/>
        <v>2.4355076045959767E-2</v>
      </c>
      <c r="H47" s="99">
        <f t="shared" si="5"/>
        <v>2621905475.2066073</v>
      </c>
      <c r="I47" s="99">
        <f t="shared" si="9"/>
        <v>10147419520.7673</v>
      </c>
      <c r="J47" s="99">
        <f t="shared" si="10"/>
        <v>5158059208.7255249</v>
      </c>
    </row>
    <row r="48" spans="1:16" x14ac:dyDescent="0.55000000000000004">
      <c r="A48" s="22">
        <v>1970</v>
      </c>
      <c r="B48" s="23">
        <v>1304000</v>
      </c>
      <c r="C48" s="97">
        <v>39</v>
      </c>
      <c r="D48" s="98">
        <f t="shared" si="4"/>
        <v>0.43758511121198368</v>
      </c>
      <c r="E48" s="98">
        <f t="shared" si="7"/>
        <v>1257753.1624691291</v>
      </c>
      <c r="F48" s="96">
        <f t="shared" si="8"/>
        <v>0.50462326905895161</v>
      </c>
      <c r="G48" s="96">
        <f t="shared" si="6"/>
        <v>4.2464507239426963E-3</v>
      </c>
      <c r="H48" s="99">
        <f t="shared" si="5"/>
        <v>2323678202.4793348</v>
      </c>
      <c r="I48" s="99">
        <f t="shared" si="9"/>
        <v>8665478004.9467125</v>
      </c>
      <c r="J48" s="99">
        <f t="shared" si="10"/>
        <v>4487291204.5195808</v>
      </c>
    </row>
    <row r="49" spans="1:10" x14ac:dyDescent="0.55000000000000004">
      <c r="A49" s="22">
        <v>1957</v>
      </c>
      <c r="B49" s="23">
        <v>1312000</v>
      </c>
      <c r="C49" s="97">
        <v>40.5</v>
      </c>
      <c r="D49" s="98">
        <f t="shared" si="4"/>
        <v>0.4546073536087154</v>
      </c>
      <c r="E49" s="98">
        <f t="shared" si="7"/>
        <v>1269302.3023685096</v>
      </c>
      <c r="F49" s="96">
        <f t="shared" si="8"/>
        <v>0.51586572542095521</v>
      </c>
      <c r="G49" s="96">
        <f t="shared" si="6"/>
        <v>1.1242456362003606E-2</v>
      </c>
      <c r="H49" s="99">
        <f t="shared" si="5"/>
        <v>1616405475.2066081</v>
      </c>
      <c r="I49" s="99">
        <f t="shared" si="9"/>
        <v>6648675280.2935486</v>
      </c>
      <c r="J49" s="99">
        <f t="shared" si="10"/>
        <v>3278254890.3246255</v>
      </c>
    </row>
    <row r="50" spans="1:10" x14ac:dyDescent="0.55000000000000004">
      <c r="A50" s="22">
        <v>1986</v>
      </c>
      <c r="B50" s="23">
        <v>1312000</v>
      </c>
      <c r="C50" s="97">
        <v>40.5</v>
      </c>
      <c r="D50" s="98">
        <f t="shared" si="4"/>
        <v>0.4546073536087154</v>
      </c>
      <c r="E50" s="98">
        <f t="shared" si="7"/>
        <v>1269302.3023685096</v>
      </c>
      <c r="F50" s="96">
        <f t="shared" si="8"/>
        <v>0.51586572542095521</v>
      </c>
      <c r="G50" s="96">
        <f t="shared" si="6"/>
        <v>0</v>
      </c>
      <c r="H50" s="99">
        <f t="shared" si="5"/>
        <v>1616405475.2066081</v>
      </c>
      <c r="I50" s="99">
        <f t="shared" si="9"/>
        <v>6648675280.2935486</v>
      </c>
      <c r="J50" s="99">
        <f t="shared" si="10"/>
        <v>3278254890.3246255</v>
      </c>
    </row>
    <row r="51" spans="1:10" x14ac:dyDescent="0.55000000000000004">
      <c r="A51" s="22">
        <v>1999</v>
      </c>
      <c r="B51" s="7">
        <v>1315000</v>
      </c>
      <c r="C51" s="97">
        <v>42</v>
      </c>
      <c r="D51" s="98">
        <f t="shared" si="4"/>
        <v>0.47162959600544713</v>
      </c>
      <c r="E51" s="98">
        <f t="shared" si="7"/>
        <v>1280968.1549572004</v>
      </c>
      <c r="F51" s="96">
        <f t="shared" si="8"/>
        <v>0.52005009102117949</v>
      </c>
      <c r="G51" s="96">
        <f t="shared" si="6"/>
        <v>4.1843656002242824E-3</v>
      </c>
      <c r="H51" s="99">
        <f t="shared" si="5"/>
        <v>1384178202.4793358</v>
      </c>
      <c r="I51" s="99">
        <f t="shared" si="9"/>
        <v>4882313937.1723814</v>
      </c>
      <c r="J51" s="99">
        <f t="shared" si="10"/>
        <v>2599613919.3147655</v>
      </c>
    </row>
    <row r="52" spans="1:10" x14ac:dyDescent="0.55000000000000004">
      <c r="A52" s="22">
        <v>1971</v>
      </c>
      <c r="B52" s="23">
        <v>1320000</v>
      </c>
      <c r="C52" s="97">
        <v>43.5</v>
      </c>
      <c r="D52" s="98">
        <f t="shared" si="4"/>
        <v>0.48865183840217885</v>
      </c>
      <c r="E52" s="98">
        <f t="shared" si="7"/>
        <v>1292774.0492254484</v>
      </c>
      <c r="F52" s="96">
        <f t="shared" si="8"/>
        <v>0.52698442641109389</v>
      </c>
      <c r="G52" s="96">
        <f t="shared" si="6"/>
        <v>6.9343353899143922E-3</v>
      </c>
      <c r="H52" s="99">
        <f t="shared" si="5"/>
        <v>1037132747.9338815</v>
      </c>
      <c r="I52" s="99">
        <f t="shared" si="9"/>
        <v>3371853429.6489496</v>
      </c>
      <c r="J52" s="99">
        <f t="shared" si="10"/>
        <v>1870042676.8183923</v>
      </c>
    </row>
    <row r="53" spans="1:10" x14ac:dyDescent="0.55000000000000004">
      <c r="A53" s="22">
        <v>2010</v>
      </c>
      <c r="B53" s="7">
        <v>1320000</v>
      </c>
      <c r="C53" s="97">
        <v>43.5</v>
      </c>
      <c r="D53" s="98">
        <f t="shared" si="4"/>
        <v>0.48865183840217885</v>
      </c>
      <c r="E53" s="98">
        <f t="shared" si="7"/>
        <v>1292774.0492254484</v>
      </c>
      <c r="F53" s="96">
        <f t="shared" si="8"/>
        <v>0.52698442641109389</v>
      </c>
      <c r="G53" s="96">
        <f t="shared" si="6"/>
        <v>0</v>
      </c>
      <c r="H53" s="99">
        <f t="shared" si="5"/>
        <v>1037132747.9338815</v>
      </c>
      <c r="I53" s="99">
        <f t="shared" si="9"/>
        <v>3371853429.6489496</v>
      </c>
      <c r="J53" s="99">
        <f t="shared" si="10"/>
        <v>1870042676.8183923</v>
      </c>
    </row>
    <row r="54" spans="1:10" x14ac:dyDescent="0.55000000000000004">
      <c r="A54" s="22">
        <v>1928</v>
      </c>
      <c r="B54" s="23">
        <v>1325000</v>
      </c>
      <c r="C54" s="97">
        <v>45</v>
      </c>
      <c r="D54" s="98">
        <f t="shared" si="4"/>
        <v>0.50567408079891063</v>
      </c>
      <c r="E54" s="98">
        <f t="shared" si="7"/>
        <v>1304744.1580012022</v>
      </c>
      <c r="F54" s="96">
        <f t="shared" si="8"/>
        <v>0.53386794340784272</v>
      </c>
      <c r="G54" s="96">
        <f t="shared" si="6"/>
        <v>6.8835169967488286E-3</v>
      </c>
      <c r="H54" s="99">
        <f t="shared" si="5"/>
        <v>740087293.3884275</v>
      </c>
      <c r="I54" s="99">
        <f t="shared" si="9"/>
        <v>2124984460.4989908</v>
      </c>
      <c r="J54" s="99">
        <f t="shared" si="10"/>
        <v>1254062995.970763</v>
      </c>
    </row>
    <row r="55" spans="1:10" x14ac:dyDescent="0.55000000000000004">
      <c r="A55" s="22">
        <v>1993</v>
      </c>
      <c r="B55" s="23">
        <v>1333000</v>
      </c>
      <c r="C55" s="97">
        <v>46</v>
      </c>
      <c r="D55" s="98">
        <f t="shared" si="4"/>
        <v>0.51702224239673178</v>
      </c>
      <c r="E55" s="98">
        <f t="shared" si="7"/>
        <v>1312827.9126817072</v>
      </c>
      <c r="F55" s="96">
        <f t="shared" si="8"/>
        <v>0.54477229647850056</v>
      </c>
      <c r="G55" s="96">
        <f t="shared" si="6"/>
        <v>1.0904353070657846E-2</v>
      </c>
      <c r="H55" s="99">
        <f t="shared" si="5"/>
        <v>368814566.11570084</v>
      </c>
      <c r="I55" s="99">
        <f t="shared" si="9"/>
        <v>1445048918.677387</v>
      </c>
      <c r="J55" s="99">
        <f t="shared" si="10"/>
        <v>730037731.87278688</v>
      </c>
    </row>
    <row r="56" spans="1:10" x14ac:dyDescent="0.55000000000000004">
      <c r="A56" s="22">
        <v>1963</v>
      </c>
      <c r="B56" s="23">
        <v>1334000</v>
      </c>
      <c r="C56" s="97">
        <v>47</v>
      </c>
      <c r="D56" s="98">
        <f t="shared" si="4"/>
        <v>0.52837040399455293</v>
      </c>
      <c r="E56" s="98">
        <f t="shared" si="7"/>
        <v>1321003.740759263</v>
      </c>
      <c r="F56" s="96">
        <f t="shared" si="8"/>
        <v>0.54612565575156047</v>
      </c>
      <c r="G56" s="96">
        <f t="shared" si="6"/>
        <v>1.3533592730599064E-3</v>
      </c>
      <c r="H56" s="99">
        <f t="shared" si="5"/>
        <v>331405475.20661002</v>
      </c>
      <c r="I56" s="99">
        <f t="shared" si="9"/>
        <v>890304512.11631453</v>
      </c>
      <c r="J56" s="99">
        <f t="shared" si="10"/>
        <v>543186698.95027471</v>
      </c>
    </row>
    <row r="57" spans="1:10" x14ac:dyDescent="0.55000000000000004">
      <c r="A57" s="22">
        <v>1978</v>
      </c>
      <c r="B57" s="23">
        <v>1350000</v>
      </c>
      <c r="C57" s="97">
        <v>48.5</v>
      </c>
      <c r="D57" s="98">
        <f t="shared" si="4"/>
        <v>0.5453926463912846</v>
      </c>
      <c r="E57" s="98">
        <f t="shared" si="7"/>
        <v>1333458.1777479104</v>
      </c>
      <c r="F57" s="96">
        <f t="shared" si="8"/>
        <v>0.56747537560140349</v>
      </c>
      <c r="G57" s="96">
        <f t="shared" si="6"/>
        <v>2.1349719849843019E-2</v>
      </c>
      <c r="H57" s="99">
        <f t="shared" si="5"/>
        <v>4860020.6611568378</v>
      </c>
      <c r="I57" s="99">
        <f t="shared" si="9"/>
        <v>302187253.97782332</v>
      </c>
      <c r="J57" s="99">
        <f t="shared" si="10"/>
        <v>38322790.841357969</v>
      </c>
    </row>
    <row r="58" spans="1:10" x14ac:dyDescent="0.55000000000000004">
      <c r="A58" s="22">
        <v>1998</v>
      </c>
      <c r="B58" s="7">
        <v>1350000</v>
      </c>
      <c r="C58" s="97">
        <v>48.5</v>
      </c>
      <c r="D58" s="98">
        <f t="shared" si="4"/>
        <v>0.5453926463912846</v>
      </c>
      <c r="E58" s="98">
        <f t="shared" si="7"/>
        <v>1333458.1777479104</v>
      </c>
      <c r="F58" s="96">
        <f t="shared" si="8"/>
        <v>0.56747537560140349</v>
      </c>
      <c r="G58" s="96">
        <f t="shared" si="6"/>
        <v>0</v>
      </c>
      <c r="H58" s="99">
        <f t="shared" si="5"/>
        <v>4860020.6611568378</v>
      </c>
      <c r="I58" s="99">
        <f t="shared" si="9"/>
        <v>302187253.97782332</v>
      </c>
      <c r="J58" s="99">
        <f t="shared" si="10"/>
        <v>38322790.841357969</v>
      </c>
    </row>
    <row r="59" spans="1:10" x14ac:dyDescent="0.55000000000000004">
      <c r="A59" s="22">
        <v>1951</v>
      </c>
      <c r="B59" s="23">
        <v>1356000</v>
      </c>
      <c r="C59" s="97">
        <v>50</v>
      </c>
      <c r="D59" s="98">
        <f t="shared" si="4"/>
        <v>0.56241488878801638</v>
      </c>
      <c r="E59" s="98">
        <f t="shared" si="7"/>
        <v>1346167.7677273278</v>
      </c>
      <c r="F59" s="96">
        <f t="shared" si="8"/>
        <v>0.57532936811888791</v>
      </c>
      <c r="G59" s="96">
        <f t="shared" si="6"/>
        <v>7.8539925174844205E-3</v>
      </c>
      <c r="H59" s="99">
        <f t="shared" si="5"/>
        <v>14405475.206611892</v>
      </c>
      <c r="I59" s="99">
        <f t="shared" si="9"/>
        <v>21845752.613076441</v>
      </c>
      <c r="J59" s="99">
        <f t="shared" si="10"/>
        <v>-17739742.039766237</v>
      </c>
    </row>
    <row r="60" spans="1:10" x14ac:dyDescent="0.55000000000000004">
      <c r="A60" s="22">
        <v>1933</v>
      </c>
      <c r="B60" s="23">
        <v>1360000</v>
      </c>
      <c r="C60" s="97">
        <v>51</v>
      </c>
      <c r="D60" s="98">
        <f t="shared" si="4"/>
        <v>0.57376305038583753</v>
      </c>
      <c r="E60" s="98">
        <f t="shared" si="7"/>
        <v>1354798.215532264</v>
      </c>
      <c r="F60" s="96">
        <f t="shared" si="8"/>
        <v>0.58051780815985687</v>
      </c>
      <c r="G60" s="96">
        <f t="shared" si="6"/>
        <v>5.1884400409689668E-3</v>
      </c>
      <c r="H60" s="99">
        <f t="shared" si="5"/>
        <v>60769111.570248596</v>
      </c>
      <c r="I60" s="99">
        <f t="shared" si="9"/>
        <v>15653922.275567891</v>
      </c>
      <c r="J60" s="99">
        <f t="shared" si="10"/>
        <v>30842745.488623172</v>
      </c>
    </row>
    <row r="61" spans="1:10" x14ac:dyDescent="0.55000000000000004">
      <c r="A61" s="22">
        <v>1952</v>
      </c>
      <c r="B61" s="23">
        <v>1368000</v>
      </c>
      <c r="C61" s="97">
        <v>52</v>
      </c>
      <c r="D61" s="98">
        <f t="shared" si="4"/>
        <v>0.58511121198365867</v>
      </c>
      <c r="E61" s="98">
        <f t="shared" si="7"/>
        <v>1363566.3476569129</v>
      </c>
      <c r="F61" s="96">
        <f t="shared" si="8"/>
        <v>0.59077841610808668</v>
      </c>
      <c r="G61" s="96">
        <f t="shared" si="6"/>
        <v>1.0260607948229805E-2</v>
      </c>
      <c r="H61" s="99">
        <f t="shared" si="5"/>
        <v>249496384.29752201</v>
      </c>
      <c r="I61" s="99">
        <f t="shared" si="9"/>
        <v>161916359.27384898</v>
      </c>
      <c r="J61" s="99">
        <f t="shared" si="10"/>
        <v>200991408.26772636</v>
      </c>
    </row>
    <row r="62" spans="1:10" x14ac:dyDescent="0.55000000000000004">
      <c r="A62" s="22">
        <v>1980</v>
      </c>
      <c r="B62" s="23">
        <v>1370000</v>
      </c>
      <c r="C62" s="97">
        <v>53.5</v>
      </c>
      <c r="D62" s="98">
        <f t="shared" si="4"/>
        <v>0.60213345438039034</v>
      </c>
      <c r="E62" s="98">
        <f t="shared" si="7"/>
        <v>1377000.611047314</v>
      </c>
      <c r="F62" s="96">
        <f t="shared" si="8"/>
        <v>0.59331902252839896</v>
      </c>
      <c r="G62" s="96">
        <f t="shared" si="6"/>
        <v>2.5406064203122858E-3</v>
      </c>
      <c r="H62" s="99">
        <f t="shared" si="5"/>
        <v>316678202.47934037</v>
      </c>
      <c r="I62" s="99">
        <f t="shared" si="9"/>
        <v>684288013.08502877</v>
      </c>
      <c r="J62" s="99">
        <f t="shared" si="10"/>
        <v>465509503.62149024</v>
      </c>
    </row>
    <row r="63" spans="1:10" x14ac:dyDescent="0.55000000000000004">
      <c r="A63" s="22">
        <v>2003</v>
      </c>
      <c r="B63" s="7">
        <v>1370000</v>
      </c>
      <c r="C63" s="97">
        <v>53.5</v>
      </c>
      <c r="D63" s="98">
        <f t="shared" si="4"/>
        <v>0.60213345438039034</v>
      </c>
      <c r="E63" s="98">
        <f t="shared" si="7"/>
        <v>1377000.611047314</v>
      </c>
      <c r="F63" s="96">
        <f t="shared" si="8"/>
        <v>0.59331902252839896</v>
      </c>
      <c r="G63" s="96">
        <f t="shared" si="6"/>
        <v>0</v>
      </c>
      <c r="H63" s="99">
        <f t="shared" si="5"/>
        <v>316678202.47934037</v>
      </c>
      <c r="I63" s="99">
        <f t="shared" si="9"/>
        <v>684288013.08502877</v>
      </c>
      <c r="J63" s="99">
        <f t="shared" si="10"/>
        <v>465509503.62149024</v>
      </c>
    </row>
    <row r="64" spans="1:10" x14ac:dyDescent="0.55000000000000004">
      <c r="A64" s="22">
        <v>1990</v>
      </c>
      <c r="B64" s="23">
        <v>1380000</v>
      </c>
      <c r="C64" s="97">
        <v>55.5</v>
      </c>
      <c r="D64" s="98">
        <f t="shared" si="4"/>
        <v>0.62482977757603264</v>
      </c>
      <c r="E64" s="98">
        <f t="shared" si="7"/>
        <v>1395502.6273958399</v>
      </c>
      <c r="F64" s="96">
        <f t="shared" si="8"/>
        <v>0.60587226552816986</v>
      </c>
      <c r="G64" s="96">
        <f t="shared" si="6"/>
        <v>1.2553242999770897E-2</v>
      </c>
      <c r="H64" s="99">
        <f t="shared" si="5"/>
        <v>772587293.38843215</v>
      </c>
      <c r="I64" s="99">
        <f t="shared" si="9"/>
        <v>1994597387.4141023</v>
      </c>
      <c r="J64" s="99">
        <f t="shared" si="10"/>
        <v>1241370451.1312888</v>
      </c>
    </row>
    <row r="65" spans="1:10" x14ac:dyDescent="0.55000000000000004">
      <c r="A65" s="22">
        <v>2013</v>
      </c>
      <c r="B65" s="7">
        <v>1380000</v>
      </c>
      <c r="C65" s="97">
        <v>55.5</v>
      </c>
      <c r="D65" s="98">
        <f t="shared" si="4"/>
        <v>0.62482977757603264</v>
      </c>
      <c r="E65" s="98">
        <f t="shared" si="7"/>
        <v>1395502.6273958399</v>
      </c>
      <c r="F65" s="96">
        <f t="shared" si="8"/>
        <v>0.60587226552816986</v>
      </c>
      <c r="G65" s="96">
        <f t="shared" si="6"/>
        <v>0</v>
      </c>
      <c r="H65" s="99">
        <f t="shared" si="5"/>
        <v>772587293.38843215</v>
      </c>
      <c r="I65" s="99">
        <f t="shared" si="9"/>
        <v>1994597387.4141023</v>
      </c>
      <c r="J65" s="99">
        <f t="shared" si="10"/>
        <v>1241370451.1312888</v>
      </c>
    </row>
    <row r="66" spans="1:10" x14ac:dyDescent="0.55000000000000004">
      <c r="A66" s="22">
        <v>1948</v>
      </c>
      <c r="B66" s="23">
        <v>1401000</v>
      </c>
      <c r="C66" s="97">
        <v>57</v>
      </c>
      <c r="D66" s="98">
        <f t="shared" si="4"/>
        <v>0.64185201997276442</v>
      </c>
      <c r="E66" s="98">
        <f t="shared" si="7"/>
        <v>1409880.2695923431</v>
      </c>
      <c r="F66" s="96">
        <f t="shared" si="8"/>
        <v>0.63140255232361131</v>
      </c>
      <c r="G66" s="96">
        <f t="shared" si="6"/>
        <v>2.5530286795441448E-2</v>
      </c>
      <c r="H66" s="99">
        <f t="shared" si="5"/>
        <v>2380996384.2975249</v>
      </c>
      <c r="I66" s="99">
        <f t="shared" si="9"/>
        <v>3485551313.5436406</v>
      </c>
      <c r="J66" s="99">
        <f t="shared" si="10"/>
        <v>2880813266.220304</v>
      </c>
    </row>
    <row r="67" spans="1:10" x14ac:dyDescent="0.55000000000000004">
      <c r="A67" s="22">
        <v>1969</v>
      </c>
      <c r="B67" s="23">
        <v>1404000</v>
      </c>
      <c r="C67" s="97">
        <v>58</v>
      </c>
      <c r="D67" s="98">
        <f t="shared" si="4"/>
        <v>0.65320018157058557</v>
      </c>
      <c r="E67" s="98">
        <f t="shared" si="7"/>
        <v>1419732.4406100234</v>
      </c>
      <c r="F67" s="96">
        <f t="shared" si="8"/>
        <v>0.63495595888921585</v>
      </c>
      <c r="G67" s="96">
        <f t="shared" si="6"/>
        <v>3.5534065656045444E-3</v>
      </c>
      <c r="H67" s="99">
        <f t="shared" si="5"/>
        <v>2682769111.5702524</v>
      </c>
      <c r="I67" s="99">
        <f t="shared" si="9"/>
        <v>4745932524.5455065</v>
      </c>
      <c r="J67" s="99">
        <f t="shared" si="10"/>
        <v>3568226615.9042244</v>
      </c>
    </row>
    <row r="68" spans="1:10" x14ac:dyDescent="0.55000000000000004">
      <c r="A68" s="22">
        <v>1932</v>
      </c>
      <c r="B68" s="23">
        <v>1410000</v>
      </c>
      <c r="C68" s="97">
        <v>59.5</v>
      </c>
      <c r="D68" s="98">
        <f t="shared" si="4"/>
        <v>0.67022242396731724</v>
      </c>
      <c r="E68" s="98">
        <f t="shared" si="7"/>
        <v>1434954.4333968866</v>
      </c>
      <c r="F68" s="96">
        <f t="shared" si="8"/>
        <v>0.64199148180541732</v>
      </c>
      <c r="G68" s="96">
        <f t="shared" si="6"/>
        <v>7.0355229162014643E-3</v>
      </c>
      <c r="H68" s="99">
        <f t="shared" si="5"/>
        <v>3340314566.1157074</v>
      </c>
      <c r="I68" s="99">
        <f t="shared" si="9"/>
        <v>7074949944.8981218</v>
      </c>
      <c r="J68" s="99">
        <f t="shared" si="10"/>
        <v>4861332981.3419199</v>
      </c>
    </row>
    <row r="69" spans="1:10" x14ac:dyDescent="0.55000000000000004">
      <c r="A69" s="22">
        <v>1939</v>
      </c>
      <c r="B69" s="23">
        <v>1410000</v>
      </c>
      <c r="C69" s="97">
        <v>59.5</v>
      </c>
      <c r="D69" s="98">
        <f t="shared" si="4"/>
        <v>0.67022242396731724</v>
      </c>
      <c r="E69" s="98">
        <f t="shared" si="7"/>
        <v>1434954.4333968866</v>
      </c>
      <c r="F69" s="96">
        <f t="shared" si="8"/>
        <v>0.64199148180541732</v>
      </c>
      <c r="G69" s="96">
        <f t="shared" si="6"/>
        <v>0</v>
      </c>
      <c r="H69" s="99">
        <f t="shared" si="5"/>
        <v>3340314566.1157074</v>
      </c>
      <c r="I69" s="99">
        <f t="shared" si="9"/>
        <v>7074949944.8981218</v>
      </c>
      <c r="J69" s="99">
        <f t="shared" si="10"/>
        <v>4861332981.3419199</v>
      </c>
    </row>
    <row r="70" spans="1:10" x14ac:dyDescent="0.55000000000000004">
      <c r="A70" s="22">
        <v>1935</v>
      </c>
      <c r="B70" s="23">
        <v>1420000</v>
      </c>
      <c r="C70" s="97">
        <v>61</v>
      </c>
      <c r="D70" s="98">
        <f t="shared" si="4"/>
        <v>0.68724466636404902</v>
      </c>
      <c r="E70" s="98">
        <f t="shared" si="7"/>
        <v>1450767.6471842767</v>
      </c>
      <c r="F70" s="96">
        <f t="shared" si="8"/>
        <v>0.65350475403596342</v>
      </c>
      <c r="G70" s="96">
        <f t="shared" si="6"/>
        <v>1.1513272230546101E-2</v>
      </c>
      <c r="H70" s="99">
        <f t="shared" si="5"/>
        <v>4596223657.0247993</v>
      </c>
      <c r="I70" s="99">
        <f t="shared" si="9"/>
        <v>9985192574.8524246</v>
      </c>
      <c r="J70" s="99">
        <f t="shared" si="10"/>
        <v>6774524214.4733</v>
      </c>
    </row>
    <row r="71" spans="1:10" x14ac:dyDescent="0.55000000000000004">
      <c r="A71" s="22">
        <v>1985</v>
      </c>
      <c r="B71" s="23">
        <v>1430000</v>
      </c>
      <c r="C71" s="97">
        <v>62.5</v>
      </c>
      <c r="D71" s="98">
        <f t="shared" si="4"/>
        <v>0.7042669087607808</v>
      </c>
      <c r="E71" s="98">
        <f t="shared" si="7"/>
        <v>1467247.7309395855</v>
      </c>
      <c r="F71" s="96">
        <f t="shared" si="8"/>
        <v>0.66475043309865378</v>
      </c>
      <c r="G71" s="96">
        <f t="shared" si="6"/>
        <v>1.1245679062690361E-2</v>
      </c>
      <c r="H71" s="99">
        <f t="shared" si="5"/>
        <v>6052132747.9338913</v>
      </c>
      <c r="I71" s="99">
        <f t="shared" si="9"/>
        <v>13550361306.405275</v>
      </c>
      <c r="J71" s="99">
        <f t="shared" si="10"/>
        <v>9055859175.6294231</v>
      </c>
    </row>
    <row r="72" spans="1:10" x14ac:dyDescent="0.55000000000000004">
      <c r="A72" s="22">
        <v>1989</v>
      </c>
      <c r="B72" s="23">
        <v>1430000</v>
      </c>
      <c r="C72" s="97">
        <v>62.5</v>
      </c>
      <c r="D72" s="98">
        <f t="shared" si="4"/>
        <v>0.7042669087607808</v>
      </c>
      <c r="E72" s="98">
        <f t="shared" si="7"/>
        <v>1467247.7309395855</v>
      </c>
      <c r="F72" s="96">
        <f t="shared" si="8"/>
        <v>0.66475043309865378</v>
      </c>
      <c r="G72" s="96">
        <f t="shared" si="6"/>
        <v>0</v>
      </c>
      <c r="H72" s="99">
        <f t="shared" si="5"/>
        <v>6052132747.9338913</v>
      </c>
      <c r="I72" s="99">
        <f t="shared" si="9"/>
        <v>13550361306.405275</v>
      </c>
      <c r="J72" s="99">
        <f t="shared" si="10"/>
        <v>9055859175.6294231</v>
      </c>
    </row>
    <row r="73" spans="1:10" x14ac:dyDescent="0.55000000000000004">
      <c r="A73" s="22">
        <v>1962</v>
      </c>
      <c r="B73" s="23">
        <v>1440000</v>
      </c>
      <c r="C73" s="97">
        <v>64</v>
      </c>
      <c r="D73" s="98">
        <f t="shared" si="4"/>
        <v>0.72128915115751246</v>
      </c>
      <c r="E73" s="98">
        <f t="shared" si="7"/>
        <v>1484483.1463771563</v>
      </c>
      <c r="F73" s="96">
        <f t="shared" si="8"/>
        <v>0.67572706834516094</v>
      </c>
      <c r="G73" s="96">
        <f t="shared" si="6"/>
        <v>1.097663524650716E-2</v>
      </c>
      <c r="H73" s="99">
        <f t="shared" si="5"/>
        <v>7708041838.8429823</v>
      </c>
      <c r="I73" s="99">
        <f t="shared" si="9"/>
        <v>17860033052.463982</v>
      </c>
      <c r="J73" s="99">
        <f t="shared" si="10"/>
        <v>11733110500.268499</v>
      </c>
    </row>
    <row r="74" spans="1:10" x14ac:dyDescent="0.55000000000000004">
      <c r="A74" s="22">
        <v>1946</v>
      </c>
      <c r="B74" s="23">
        <v>1481000</v>
      </c>
      <c r="C74" s="97">
        <v>65</v>
      </c>
      <c r="D74" s="98">
        <f t="shared" si="4"/>
        <v>0.73263731275533361</v>
      </c>
      <c r="E74" s="98">
        <f t="shared" ref="E74:E97" si="11">$B$4-1/$B$3*LN(-LN(D74))</f>
        <v>1496443.9045888605</v>
      </c>
      <c r="F74" s="96">
        <f t="shared" ref="F74:F97" si="12">EXP(-EXP(-$B$3*(B74-$B$4)))</f>
        <v>0.71791306290206158</v>
      </c>
      <c r="G74" s="96">
        <f t="shared" si="6"/>
        <v>4.2185994556900641E-2</v>
      </c>
      <c r="H74" s="99">
        <f t="shared" si="5"/>
        <v>16588269111.570259</v>
      </c>
      <c r="I74" s="99">
        <f t="shared" ref="I74:I97" si="13">(E74-$B$6)^2</f>
        <v>21199998563.035931</v>
      </c>
      <c r="J74" s="99">
        <f t="shared" ref="J74:J97" si="14">(B74-$B$1)*(E74-$B$6)</f>
        <v>18752900611.06662</v>
      </c>
    </row>
    <row r="75" spans="1:10" x14ac:dyDescent="0.55000000000000004">
      <c r="A75" s="22">
        <v>1974</v>
      </c>
      <c r="B75" s="23">
        <v>1530000</v>
      </c>
      <c r="C75" s="97">
        <v>66</v>
      </c>
      <c r="D75" s="98">
        <f t="shared" ref="D75:D97" si="15">(C75-0.44)/($B$5+0.12)</f>
        <v>0.74398547435315476</v>
      </c>
      <c r="E75" s="98">
        <f t="shared" si="11"/>
        <v>1508822.2453575199</v>
      </c>
      <c r="F75" s="96">
        <f t="shared" si="12"/>
        <v>0.76248167219890817</v>
      </c>
      <c r="G75" s="96">
        <f t="shared" si="6"/>
        <v>4.4568609296846584E-2</v>
      </c>
      <c r="H75" s="99">
        <f t="shared" ref="H75:H97" si="16">(B75-$B$1)^2</f>
        <v>31611223657.024807</v>
      </c>
      <c r="I75" s="99">
        <f t="shared" si="13"/>
        <v>24957849002.769871</v>
      </c>
      <c r="J75" s="99">
        <f t="shared" si="14"/>
        <v>28088220784.250683</v>
      </c>
    </row>
    <row r="76" spans="1:10" x14ac:dyDescent="0.55000000000000004">
      <c r="A76" s="22">
        <v>2002</v>
      </c>
      <c r="B76" s="7">
        <v>1537000</v>
      </c>
      <c r="C76" s="97">
        <v>67</v>
      </c>
      <c r="D76" s="98">
        <f t="shared" si="15"/>
        <v>0.75533363595097591</v>
      </c>
      <c r="E76" s="98">
        <f t="shared" si="11"/>
        <v>1521658.7500583786</v>
      </c>
      <c r="F76" s="96">
        <f t="shared" si="12"/>
        <v>0.76834466255577005</v>
      </c>
      <c r="G76" s="96">
        <f t="shared" si="6"/>
        <v>5.8629903568618857E-3</v>
      </c>
      <c r="H76" s="99">
        <f t="shared" si="16"/>
        <v>34149360020.661171</v>
      </c>
      <c r="I76" s="99">
        <f t="shared" si="13"/>
        <v>29178460580.612278</v>
      </c>
      <c r="J76" s="99">
        <f t="shared" si="14"/>
        <v>31566212240.558716</v>
      </c>
    </row>
    <row r="77" spans="1:10" x14ac:dyDescent="0.55000000000000004">
      <c r="A77" s="22">
        <v>2005</v>
      </c>
      <c r="B77" s="7">
        <v>1542000</v>
      </c>
      <c r="C77" s="97">
        <v>68</v>
      </c>
      <c r="D77" s="98">
        <f t="shared" si="15"/>
        <v>0.76668179754879706</v>
      </c>
      <c r="E77" s="98">
        <f t="shared" si="11"/>
        <v>1534999.670038142</v>
      </c>
      <c r="F77" s="96">
        <f t="shared" si="12"/>
        <v>0.77245748078795728</v>
      </c>
      <c r="G77" s="96">
        <f t="shared" ref="G77:G97" si="17">F77-F76</f>
        <v>4.112818232187232E-3</v>
      </c>
      <c r="H77" s="99">
        <f t="shared" si="16"/>
        <v>36022314566.115715</v>
      </c>
      <c r="I77" s="99">
        <f t="shared" si="13"/>
        <v>33914153605.348648</v>
      </c>
      <c r="J77" s="99">
        <f t="shared" si="14"/>
        <v>34952343403.775322</v>
      </c>
    </row>
    <row r="78" spans="1:10" x14ac:dyDescent="0.55000000000000004">
      <c r="A78" s="22">
        <v>2009</v>
      </c>
      <c r="B78" s="7">
        <v>1550000</v>
      </c>
      <c r="C78" s="97">
        <v>69</v>
      </c>
      <c r="D78" s="98">
        <f t="shared" si="15"/>
        <v>0.77802995914661821</v>
      </c>
      <c r="E78" s="98">
        <f t="shared" si="11"/>
        <v>1548898.0649169786</v>
      </c>
      <c r="F78" s="96">
        <f t="shared" si="12"/>
        <v>0.77890930025630478</v>
      </c>
      <c r="G78" s="96">
        <f t="shared" si="17"/>
        <v>6.4518194683474972E-3</v>
      </c>
      <c r="H78" s="99">
        <f t="shared" si="16"/>
        <v>39123041838.842995</v>
      </c>
      <c r="I78" s="99">
        <f t="shared" si="13"/>
        <v>39226319034.63353</v>
      </c>
      <c r="J78" s="99">
        <f t="shared" si="14"/>
        <v>39174646402.68972</v>
      </c>
    </row>
    <row r="79" spans="1:10" x14ac:dyDescent="0.55000000000000004">
      <c r="A79" s="22">
        <v>1994</v>
      </c>
      <c r="B79" s="23">
        <v>1560000</v>
      </c>
      <c r="C79" s="97">
        <v>70</v>
      </c>
      <c r="D79" s="98">
        <f t="shared" si="15"/>
        <v>0.78937812074443936</v>
      </c>
      <c r="E79" s="98">
        <f t="shared" si="11"/>
        <v>1563415.2393861851</v>
      </c>
      <c r="F79" s="96">
        <f t="shared" si="12"/>
        <v>0.78675418106655182</v>
      </c>
      <c r="G79" s="96">
        <f t="shared" si="17"/>
        <v>7.8448808102470347E-3</v>
      </c>
      <c r="H79" s="99">
        <f t="shared" si="16"/>
        <v>43178950929.752083</v>
      </c>
      <c r="I79" s="99">
        <f t="shared" si="13"/>
        <v>45187504656.876587</v>
      </c>
      <c r="J79" s="99">
        <f t="shared" si="14"/>
        <v>44171812802.025887</v>
      </c>
    </row>
    <row r="80" spans="1:10" x14ac:dyDescent="0.55000000000000004">
      <c r="A80" s="22">
        <v>1949</v>
      </c>
      <c r="B80" s="23">
        <v>1574000</v>
      </c>
      <c r="C80" s="97">
        <v>71</v>
      </c>
      <c r="D80" s="98">
        <f t="shared" si="15"/>
        <v>0.80072628234226051</v>
      </c>
      <c r="E80" s="98">
        <f t="shared" si="11"/>
        <v>1578622.5778647645</v>
      </c>
      <c r="F80" s="96">
        <f t="shared" si="12"/>
        <v>0.79733425948075121</v>
      </c>
      <c r="G80" s="96">
        <f t="shared" si="17"/>
        <v>1.058007841419939E-2</v>
      </c>
      <c r="H80" s="99">
        <f t="shared" si="16"/>
        <v>49193223657.024811</v>
      </c>
      <c r="I80" s="99">
        <f t="shared" si="13"/>
        <v>51884122973.547821</v>
      </c>
      <c r="J80" s="99">
        <f t="shared" si="14"/>
        <v>50520760739.386307</v>
      </c>
    </row>
    <row r="81" spans="1:10" x14ac:dyDescent="0.55000000000000004">
      <c r="A81" s="22">
        <v>1961</v>
      </c>
      <c r="B81" s="23">
        <v>1580000</v>
      </c>
      <c r="C81" s="97">
        <v>72</v>
      </c>
      <c r="D81" s="98">
        <f t="shared" si="15"/>
        <v>0.81207444394008166</v>
      </c>
      <c r="E81" s="98">
        <f t="shared" si="11"/>
        <v>1594603.917222816</v>
      </c>
      <c r="F81" s="96">
        <f t="shared" si="12"/>
        <v>0.80172742358413751</v>
      </c>
      <c r="G81" s="96">
        <f t="shared" si="17"/>
        <v>4.3931641033863045E-3</v>
      </c>
      <c r="H81" s="99">
        <f t="shared" si="16"/>
        <v>51890769111.570267</v>
      </c>
      <c r="I81" s="99">
        <f t="shared" si="13"/>
        <v>59420012822.916718</v>
      </c>
      <c r="J81" s="99">
        <f t="shared" si="14"/>
        <v>55527922399.460579</v>
      </c>
    </row>
    <row r="82" spans="1:10" x14ac:dyDescent="0.55000000000000004">
      <c r="A82" s="22">
        <v>1984</v>
      </c>
      <c r="B82" s="23">
        <v>1600000</v>
      </c>
      <c r="C82" s="97">
        <v>73</v>
      </c>
      <c r="D82" s="98">
        <f t="shared" si="15"/>
        <v>0.82342260553790281</v>
      </c>
      <c r="E82" s="98">
        <f t="shared" si="11"/>
        <v>1611458.6590189675</v>
      </c>
      <c r="F82" s="96">
        <f t="shared" si="12"/>
        <v>0.81577579966579894</v>
      </c>
      <c r="G82" s="96">
        <f t="shared" si="17"/>
        <v>1.4048376081661429E-2</v>
      </c>
      <c r="H82" s="99">
        <f t="shared" si="16"/>
        <v>61402587293.388451</v>
      </c>
      <c r="I82" s="99">
        <f t="shared" si="13"/>
        <v>67921193210.152229</v>
      </c>
      <c r="J82" s="99">
        <f t="shared" si="14"/>
        <v>64579694913.784431</v>
      </c>
    </row>
    <row r="83" spans="1:10" x14ac:dyDescent="0.55000000000000004">
      <c r="A83" s="22">
        <v>1944</v>
      </c>
      <c r="B83" s="23">
        <v>1610000</v>
      </c>
      <c r="C83" s="97">
        <v>74</v>
      </c>
      <c r="D83" s="98">
        <f t="shared" si="15"/>
        <v>0.83477076713572396</v>
      </c>
      <c r="E83" s="98">
        <f t="shared" si="11"/>
        <v>1629305.9165563297</v>
      </c>
      <c r="F83" s="96">
        <f t="shared" si="12"/>
        <v>0.82246509402846402</v>
      </c>
      <c r="G83" s="96">
        <f t="shared" si="17"/>
        <v>6.6892943626650769E-3</v>
      </c>
      <c r="H83" s="99">
        <f t="shared" si="16"/>
        <v>66458496384.297539</v>
      </c>
      <c r="I83" s="99">
        <f t="shared" si="13"/>
        <v>77542313365.213242</v>
      </c>
      <c r="J83" s="99">
        <f t="shared" si="14"/>
        <v>71786806255.830124</v>
      </c>
    </row>
    <row r="84" spans="1:10" x14ac:dyDescent="0.55000000000000004">
      <c r="A84" s="22">
        <v>1943</v>
      </c>
      <c r="B84" s="23">
        <v>1648000</v>
      </c>
      <c r="C84" s="97">
        <v>75</v>
      </c>
      <c r="D84" s="98">
        <f t="shared" si="15"/>
        <v>0.84611892873354511</v>
      </c>
      <c r="E84" s="98">
        <f t="shared" si="11"/>
        <v>1648290.1394840106</v>
      </c>
      <c r="F84" s="96">
        <f t="shared" si="12"/>
        <v>0.84595093255119536</v>
      </c>
      <c r="G84" s="96">
        <f t="shared" si="17"/>
        <v>2.3485838522731339E-2</v>
      </c>
      <c r="H84" s="99">
        <f t="shared" si="16"/>
        <v>87494950929.75209</v>
      </c>
      <c r="I84" s="99">
        <f t="shared" si="13"/>
        <v>88475567168.689682</v>
      </c>
      <c r="J84" s="99">
        <f t="shared" si="14"/>
        <v>87983892889.019684</v>
      </c>
    </row>
    <row r="85" spans="1:10" x14ac:dyDescent="0.55000000000000004">
      <c r="A85" s="22">
        <v>1979</v>
      </c>
      <c r="B85" s="23">
        <v>1690000</v>
      </c>
      <c r="C85" s="97">
        <v>76.5</v>
      </c>
      <c r="D85" s="98">
        <f t="shared" si="15"/>
        <v>0.86314117113027689</v>
      </c>
      <c r="E85" s="98">
        <f t="shared" si="11"/>
        <v>1679298.3919094119</v>
      </c>
      <c r="F85" s="96">
        <f t="shared" si="12"/>
        <v>0.86860309689633253</v>
      </c>
      <c r="G85" s="96">
        <f t="shared" si="17"/>
        <v>2.2652164345137171E-2</v>
      </c>
      <c r="H85" s="99">
        <f t="shared" si="16"/>
        <v>114105769111.57028</v>
      </c>
      <c r="I85" s="99">
        <f t="shared" si="13"/>
        <v>107883790749.35323</v>
      </c>
      <c r="J85" s="99">
        <f t="shared" si="14"/>
        <v>110951173577.05893</v>
      </c>
    </row>
    <row r="86" spans="1:10" x14ac:dyDescent="0.55000000000000004">
      <c r="A86" s="22">
        <v>1991</v>
      </c>
      <c r="B86" s="23">
        <v>1690000</v>
      </c>
      <c r="C86" s="97">
        <v>76.5</v>
      </c>
      <c r="D86" s="98">
        <f t="shared" si="15"/>
        <v>0.86314117113027689</v>
      </c>
      <c r="E86" s="98">
        <f t="shared" si="11"/>
        <v>1679298.3919094119</v>
      </c>
      <c r="F86" s="96">
        <f t="shared" si="12"/>
        <v>0.86860309689633253</v>
      </c>
      <c r="G86" s="96">
        <f t="shared" si="17"/>
        <v>0</v>
      </c>
      <c r="H86" s="99">
        <f t="shared" si="16"/>
        <v>114105769111.57028</v>
      </c>
      <c r="I86" s="99">
        <f t="shared" si="13"/>
        <v>107883790749.35323</v>
      </c>
      <c r="J86" s="99">
        <f t="shared" si="14"/>
        <v>110951173577.05893</v>
      </c>
    </row>
    <row r="87" spans="1:10" x14ac:dyDescent="0.55000000000000004">
      <c r="A87" s="22">
        <v>1929</v>
      </c>
      <c r="B87" s="23">
        <v>1730000</v>
      </c>
      <c r="C87" s="97">
        <v>78</v>
      </c>
      <c r="D87" s="98">
        <f t="shared" si="15"/>
        <v>0.88016341352700855</v>
      </c>
      <c r="E87" s="98">
        <f t="shared" si="11"/>
        <v>1714076.9950899123</v>
      </c>
      <c r="F87" s="96">
        <f t="shared" si="12"/>
        <v>0.88728139679712215</v>
      </c>
      <c r="G87" s="96">
        <f t="shared" si="17"/>
        <v>1.8678299900789619E-2</v>
      </c>
      <c r="H87" s="99">
        <f t="shared" si="16"/>
        <v>142729405475.20663</v>
      </c>
      <c r="I87" s="99">
        <f t="shared" si="13"/>
        <v>131939871071.88567</v>
      </c>
      <c r="J87" s="99">
        <f t="shared" si="14"/>
        <v>137228638980.95636</v>
      </c>
    </row>
    <row r="88" spans="1:10" x14ac:dyDescent="0.55000000000000004">
      <c r="A88" s="22">
        <v>1997</v>
      </c>
      <c r="B88" s="7">
        <v>1780000</v>
      </c>
      <c r="C88" s="97">
        <v>79</v>
      </c>
      <c r="D88" s="98">
        <f t="shared" si="15"/>
        <v>0.8915115751248297</v>
      </c>
      <c r="E88" s="98">
        <f t="shared" si="11"/>
        <v>1739914.2204604433</v>
      </c>
      <c r="F88" s="96">
        <f t="shared" si="12"/>
        <v>0.90714002733054022</v>
      </c>
      <c r="G88" s="96">
        <f t="shared" si="17"/>
        <v>1.9858630533418076E-2</v>
      </c>
      <c r="H88" s="99">
        <f t="shared" si="16"/>
        <v>183008950929.75211</v>
      </c>
      <c r="I88" s="99">
        <f t="shared" si="13"/>
        <v>151377417043.72742</v>
      </c>
      <c r="J88" s="99">
        <f t="shared" si="14"/>
        <v>166443450720.14139</v>
      </c>
    </row>
    <row r="89" spans="1:10" x14ac:dyDescent="0.55000000000000004">
      <c r="A89" s="22">
        <v>1983</v>
      </c>
      <c r="B89" s="23">
        <v>1790000</v>
      </c>
      <c r="C89" s="97">
        <v>80</v>
      </c>
      <c r="D89" s="98">
        <f t="shared" si="15"/>
        <v>0.90285973672265096</v>
      </c>
      <c r="E89" s="98">
        <f t="shared" si="11"/>
        <v>1768423.0794235053</v>
      </c>
      <c r="F89" s="96">
        <f t="shared" si="12"/>
        <v>0.91069279307555029</v>
      </c>
      <c r="G89" s="96">
        <f t="shared" si="17"/>
        <v>3.5527657450100669E-3</v>
      </c>
      <c r="H89" s="99">
        <f t="shared" si="16"/>
        <v>191664860020.66119</v>
      </c>
      <c r="I89" s="99">
        <f t="shared" si="13"/>
        <v>174374198638.26004</v>
      </c>
      <c r="J89" s="99">
        <f t="shared" si="14"/>
        <v>182815224675.67377</v>
      </c>
    </row>
    <row r="90" spans="1:10" x14ac:dyDescent="0.55000000000000004">
      <c r="A90" s="22">
        <v>2008</v>
      </c>
      <c r="B90" s="7">
        <v>1820000</v>
      </c>
      <c r="C90" s="97">
        <v>81</v>
      </c>
      <c r="D90" s="98">
        <f t="shared" si="15"/>
        <v>0.91420789832047211</v>
      </c>
      <c r="E90" s="98">
        <f t="shared" si="11"/>
        <v>1800273.180310504</v>
      </c>
      <c r="F90" s="96">
        <f t="shared" si="12"/>
        <v>0.92059139467869389</v>
      </c>
      <c r="G90" s="96">
        <f t="shared" si="17"/>
        <v>9.8986016031435975E-3</v>
      </c>
      <c r="H90" s="99">
        <f t="shared" si="16"/>
        <v>218832587293.38846</v>
      </c>
      <c r="I90" s="99">
        <f t="shared" si="13"/>
        <v>201988644943.41293</v>
      </c>
      <c r="J90" s="99">
        <f t="shared" si="14"/>
        <v>210241998127.99692</v>
      </c>
    </row>
    <row r="91" spans="1:10" x14ac:dyDescent="0.55000000000000004">
      <c r="A91" s="22">
        <v>1975</v>
      </c>
      <c r="B91" s="23">
        <v>1840000</v>
      </c>
      <c r="C91" s="97">
        <v>82</v>
      </c>
      <c r="D91" s="98">
        <f t="shared" si="15"/>
        <v>0.92555605991829326</v>
      </c>
      <c r="E91" s="98">
        <f t="shared" si="11"/>
        <v>1836420.1044018653</v>
      </c>
      <c r="F91" s="96">
        <f t="shared" si="12"/>
        <v>0.9265982357883763</v>
      </c>
      <c r="G91" s="96">
        <f t="shared" si="17"/>
        <v>6.0068411096824148E-3</v>
      </c>
      <c r="H91" s="99">
        <f t="shared" si="16"/>
        <v>237944405475.20667</v>
      </c>
      <c r="I91" s="99">
        <f t="shared" si="13"/>
        <v>235786375422.21225</v>
      </c>
      <c r="J91" s="99">
        <f t="shared" si="14"/>
        <v>236862932767.01648</v>
      </c>
    </row>
    <row r="92" spans="1:10" x14ac:dyDescent="0.55000000000000004">
      <c r="A92" s="22">
        <v>1950</v>
      </c>
      <c r="B92" s="23">
        <v>1880000</v>
      </c>
      <c r="C92" s="97">
        <v>83</v>
      </c>
      <c r="D92" s="98">
        <f t="shared" si="15"/>
        <v>0.93690422151611441</v>
      </c>
      <c r="E92" s="98">
        <f t="shared" si="11"/>
        <v>1878295.8479531724</v>
      </c>
      <c r="F92" s="96">
        <f t="shared" si="12"/>
        <v>0.93732878816669807</v>
      </c>
      <c r="G92" s="96">
        <f t="shared" si="17"/>
        <v>1.0730552378321767E-2</v>
      </c>
      <c r="H92" s="99">
        <f t="shared" si="16"/>
        <v>278568041838.84302</v>
      </c>
      <c r="I92" s="99">
        <f t="shared" si="13"/>
        <v>278207865810.69928</v>
      </c>
      <c r="J92" s="99">
        <f t="shared" si="14"/>
        <v>278387895575.66992</v>
      </c>
    </row>
    <row r="93" spans="1:10" x14ac:dyDescent="0.55000000000000004">
      <c r="A93" s="22">
        <v>1945</v>
      </c>
      <c r="B93" s="23">
        <v>1922000</v>
      </c>
      <c r="C93" s="97">
        <v>84</v>
      </c>
      <c r="D93" s="98">
        <f t="shared" si="15"/>
        <v>0.94825238311393556</v>
      </c>
      <c r="E93" s="98">
        <f t="shared" si="11"/>
        <v>1928190.0643226313</v>
      </c>
      <c r="F93" s="96">
        <f t="shared" si="12"/>
        <v>0.94696028320375081</v>
      </c>
      <c r="G93" s="96">
        <f t="shared" si="17"/>
        <v>9.6314950370527397E-3</v>
      </c>
      <c r="H93" s="99">
        <f t="shared" si="16"/>
        <v>324666860020.66119</v>
      </c>
      <c r="I93" s="99">
        <f t="shared" si="13"/>
        <v>333331120232.4129</v>
      </c>
      <c r="J93" s="99">
        <f t="shared" si="14"/>
        <v>328970466992.1405</v>
      </c>
    </row>
    <row r="94" spans="1:10" x14ac:dyDescent="0.55000000000000004">
      <c r="A94" s="22">
        <v>1973</v>
      </c>
      <c r="B94" s="23">
        <v>1962000</v>
      </c>
      <c r="C94" s="97">
        <v>85</v>
      </c>
      <c r="D94" s="98">
        <f t="shared" si="15"/>
        <v>0.95960054471175671</v>
      </c>
      <c r="E94" s="98">
        <f t="shared" si="11"/>
        <v>1990110.4193591967</v>
      </c>
      <c r="F94" s="96">
        <f t="shared" si="12"/>
        <v>0.9547869036372193</v>
      </c>
      <c r="G94" s="96">
        <f t="shared" si="17"/>
        <v>7.8266204334684897E-3</v>
      </c>
      <c r="H94" s="99">
        <f t="shared" si="16"/>
        <v>371850496384.29755</v>
      </c>
      <c r="I94" s="99">
        <f t="shared" si="13"/>
        <v>408664480543.92432</v>
      </c>
      <c r="J94" s="99">
        <f t="shared" si="14"/>
        <v>389823152140.67181</v>
      </c>
    </row>
    <row r="95" spans="1:10" x14ac:dyDescent="0.55000000000000004">
      <c r="A95" s="22">
        <v>1937</v>
      </c>
      <c r="B95" s="23">
        <v>2080000</v>
      </c>
      <c r="C95" s="97">
        <v>86</v>
      </c>
      <c r="D95" s="98">
        <f t="shared" si="15"/>
        <v>0.97094870630957786</v>
      </c>
      <c r="E95" s="98">
        <f t="shared" si="11"/>
        <v>2072095.7145525501</v>
      </c>
      <c r="F95" s="96">
        <f t="shared" si="12"/>
        <v>0.97186048498649236</v>
      </c>
      <c r="G95" s="96">
        <f t="shared" si="17"/>
        <v>1.7073581349273059E-2</v>
      </c>
      <c r="H95" s="99">
        <f t="shared" si="16"/>
        <v>529686223657.02484</v>
      </c>
      <c r="I95" s="99">
        <f t="shared" si="13"/>
        <v>520207336576.2923</v>
      </c>
      <c r="J95" s="99">
        <f t="shared" si="14"/>
        <v>524925384821.28595</v>
      </c>
    </row>
    <row r="96" spans="1:10" x14ac:dyDescent="0.55000000000000004">
      <c r="A96" s="22">
        <v>1927</v>
      </c>
      <c r="B96" s="23">
        <v>2278000</v>
      </c>
      <c r="C96" s="97">
        <v>87</v>
      </c>
      <c r="D96" s="98">
        <f t="shared" si="15"/>
        <v>0.98229686790739901</v>
      </c>
      <c r="E96" s="98">
        <f t="shared" si="11"/>
        <v>2194514.9764328627</v>
      </c>
      <c r="F96" s="96">
        <f t="shared" si="12"/>
        <v>0.98738881290077107</v>
      </c>
      <c r="G96" s="96">
        <f t="shared" si="17"/>
        <v>1.5528327914278717E-2</v>
      </c>
      <c r="H96" s="99">
        <f t="shared" si="16"/>
        <v>857097223657.0249</v>
      </c>
      <c r="I96" s="99">
        <f t="shared" si="13"/>
        <v>711784577561.2168</v>
      </c>
      <c r="J96" s="99">
        <f t="shared" si="14"/>
        <v>781068873576.2085</v>
      </c>
    </row>
    <row r="97" spans="1:10" x14ac:dyDescent="0.55000000000000004">
      <c r="A97" s="22">
        <v>2011</v>
      </c>
      <c r="B97" s="7">
        <v>2310000</v>
      </c>
      <c r="C97" s="97">
        <v>88</v>
      </c>
      <c r="D97" s="98">
        <f t="shared" si="15"/>
        <v>0.99364502950522016</v>
      </c>
      <c r="E97" s="98">
        <f t="shared" si="11"/>
        <v>2446198.4517612187</v>
      </c>
      <c r="F97" s="96">
        <f t="shared" si="12"/>
        <v>0.98892850629189921</v>
      </c>
      <c r="G97" s="96">
        <f t="shared" si="17"/>
        <v>1.5396933911281385E-3</v>
      </c>
      <c r="H97" s="99">
        <f t="shared" si="16"/>
        <v>917372132747.93396</v>
      </c>
      <c r="I97" s="99">
        <f t="shared" si="13"/>
        <v>1199806387914.7202</v>
      </c>
      <c r="J97" s="99">
        <f t="shared" si="14"/>
        <v>1049127706700.1528</v>
      </c>
    </row>
  </sheetData>
  <mergeCells count="1">
    <mergeCell ref="L29:M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showGridLines="0" tabSelected="1" workbookViewId="0">
      <selection activeCell="K5" sqref="K5"/>
    </sheetView>
  </sheetViews>
  <sheetFormatPr defaultRowHeight="14.4" x14ac:dyDescent="0.55000000000000004"/>
  <cols>
    <col min="1" max="1" width="5.578125" style="17" bestFit="1" customWidth="1"/>
    <col min="2" max="2" width="17.83984375" style="17" bestFit="1" customWidth="1"/>
    <col min="3" max="3" width="4.7890625" style="17" bestFit="1" customWidth="1"/>
    <col min="4" max="4" width="13" style="17" bestFit="1" customWidth="1"/>
    <col min="5" max="5" width="9.5234375" style="17" bestFit="1" customWidth="1"/>
    <col min="6" max="6" width="11.68359375" style="17" bestFit="1" customWidth="1"/>
    <col min="7" max="8" width="6.734375" style="17" bestFit="1" customWidth="1"/>
    <col min="9" max="9" width="9.41796875" style="17" bestFit="1" customWidth="1"/>
    <col min="10" max="10" width="10.578125" style="17" bestFit="1" customWidth="1"/>
    <col min="11" max="11" width="16.41796875" style="17" bestFit="1" customWidth="1"/>
    <col min="12" max="12" width="8.83984375" style="17"/>
    <col min="13" max="13" width="10.5234375" style="17" customWidth="1"/>
    <col min="14" max="14" width="12.15625" style="17" bestFit="1" customWidth="1"/>
    <col min="15" max="16384" width="8.83984375" style="17"/>
  </cols>
  <sheetData>
    <row r="1" spans="1:11" x14ac:dyDescent="0.55000000000000004">
      <c r="A1" s="17" t="s">
        <v>64</v>
      </c>
      <c r="B1" s="17">
        <f>COUNT(B9:B96)</f>
        <v>88</v>
      </c>
    </row>
    <row r="2" spans="1:11" x14ac:dyDescent="0.55000000000000004">
      <c r="A2" s="17" t="s">
        <v>60</v>
      </c>
      <c r="B2" s="25">
        <f>AVERAGE(D9:D96)</f>
        <v>6.1196380051176256</v>
      </c>
      <c r="C2" s="17" t="s">
        <v>78</v>
      </c>
      <c r="E2" s="17" t="s">
        <v>67</v>
      </c>
      <c r="F2" s="24">
        <f>AVERAGE(B9:B96)</f>
        <v>1352204.5454545454</v>
      </c>
      <c r="G2" s="17" t="s">
        <v>78</v>
      </c>
    </row>
    <row r="3" spans="1:11" ht="16.8" x14ac:dyDescent="0.75">
      <c r="A3" s="17" t="s">
        <v>65</v>
      </c>
      <c r="B3" s="25">
        <f>STDEV(D9:D96)</f>
        <v>0.10067199983589337</v>
      </c>
      <c r="C3" s="17" t="s">
        <v>78</v>
      </c>
      <c r="E3" s="17" t="s">
        <v>68</v>
      </c>
      <c r="F3" s="17">
        <f>STDEV(B9:B96)</f>
        <v>313322.98194288916</v>
      </c>
      <c r="G3" s="17" t="s">
        <v>78</v>
      </c>
    </row>
    <row r="4" spans="1:11" ht="17.7" x14ac:dyDescent="0.75">
      <c r="A4" s="17" t="s">
        <v>61</v>
      </c>
      <c r="B4" s="25">
        <f>B3^2</f>
        <v>1.0134851550958114E-2</v>
      </c>
      <c r="C4" s="17" t="s">
        <v>79</v>
      </c>
      <c r="E4" s="17" t="s">
        <v>62</v>
      </c>
      <c r="F4" s="25">
        <f>B1/((B1-1)*(B1-2))*SUM(E9:E96)/B5</f>
        <v>-0.1793468055696707</v>
      </c>
    </row>
    <row r="5" spans="1:11" ht="17.7" x14ac:dyDescent="0.75">
      <c r="A5" s="17" t="s">
        <v>66</v>
      </c>
      <c r="B5" s="25">
        <f>B3^3</f>
        <v>1.0202957736748588E-3</v>
      </c>
      <c r="C5" s="17" t="s">
        <v>81</v>
      </c>
      <c r="E5" s="17" t="s">
        <v>98</v>
      </c>
      <c r="F5" s="25">
        <f>AVERAGE(H9:H96)</f>
        <v>1.086437899967258E-3</v>
      </c>
    </row>
    <row r="7" spans="1:11" x14ac:dyDescent="0.55000000000000004">
      <c r="B7" s="17" t="s">
        <v>2</v>
      </c>
    </row>
    <row r="8" spans="1:11" ht="16.8" x14ac:dyDescent="0.75">
      <c r="A8" s="21" t="s">
        <v>0</v>
      </c>
      <c r="B8" s="100" t="s">
        <v>46</v>
      </c>
      <c r="C8" s="100" t="s">
        <v>28</v>
      </c>
      <c r="D8" s="100" t="s">
        <v>59</v>
      </c>
      <c r="E8" s="101" t="s">
        <v>63</v>
      </c>
      <c r="F8" s="100" t="s">
        <v>48</v>
      </c>
      <c r="G8" s="100" t="s">
        <v>71</v>
      </c>
      <c r="H8" s="100" t="s">
        <v>72</v>
      </c>
      <c r="I8" s="101" t="s">
        <v>54</v>
      </c>
      <c r="J8" s="101" t="s">
        <v>55</v>
      </c>
      <c r="K8" s="101" t="s">
        <v>53</v>
      </c>
    </row>
    <row r="9" spans="1:11" x14ac:dyDescent="0.55000000000000004">
      <c r="A9" s="22">
        <v>1954</v>
      </c>
      <c r="B9" s="23">
        <v>706000</v>
      </c>
      <c r="C9" s="97">
        <v>1</v>
      </c>
      <c r="D9" s="26">
        <f t="shared" ref="D9:D40" si="0">LOG(B9)</f>
        <v>5.8488047010518036</v>
      </c>
      <c r="E9" s="98">
        <f t="shared" ref="E9:E40" si="1">(D9-$B$2)^3</f>
        <v>-1.9865806638327547E-2</v>
      </c>
      <c r="F9" s="98">
        <f t="shared" ref="F9:F40" si="2">(C9-3/8)/($B$1+1/4)</f>
        <v>7.0821529745042494E-3</v>
      </c>
      <c r="G9" s="98">
        <f>_xlfn.NORM.INV(F9,0,1)</f>
        <v>-2.453069270492287</v>
      </c>
      <c r="H9" s="98">
        <f>2/$F$4*(1+$F$4*G9/6-$F$4^2/36)^3-2/$F$4</f>
        <v>-2.6029302637355194</v>
      </c>
      <c r="I9" s="98">
        <f>(D9-$B$2)^2</f>
        <v>7.3350678591209972E-2</v>
      </c>
      <c r="J9" s="98">
        <f t="shared" ref="J9:J40" si="3">(H9-$F$5)^2</f>
        <v>6.780902982396559</v>
      </c>
      <c r="K9" s="98">
        <f>(D9-$B$2)*(H9-$F$5)</f>
        <v>0.70525444714652252</v>
      </c>
    </row>
    <row r="10" spans="1:11" x14ac:dyDescent="0.55000000000000004">
      <c r="A10" s="22">
        <v>1931</v>
      </c>
      <c r="B10" s="23">
        <v>711000</v>
      </c>
      <c r="C10" s="97">
        <v>2</v>
      </c>
      <c r="D10" s="26">
        <f t="shared" si="0"/>
        <v>5.8518696007297661</v>
      </c>
      <c r="E10" s="98">
        <f t="shared" si="1"/>
        <v>-1.919897274160702E-2</v>
      </c>
      <c r="F10" s="98">
        <f t="shared" si="2"/>
        <v>1.8413597733711047E-2</v>
      </c>
      <c r="G10" s="98">
        <f t="shared" ref="G10:G73" si="4">_xlfn.NORM.INV(F10,0,1)</f>
        <v>-2.0876746233110124</v>
      </c>
      <c r="H10" s="98">
        <f>2/$F$4*(1+$F$4*G10/6-$F$4^2/36)^3-2/$F$4</f>
        <v>-2.186951837296057</v>
      </c>
      <c r="I10" s="98">
        <f>(D10-$B$2)^2</f>
        <v>7.1699918388420214E-2</v>
      </c>
      <c r="J10" s="98">
        <f t="shared" si="3"/>
        <v>4.7875114937227927</v>
      </c>
      <c r="K10" s="98">
        <f>(D10-$B$2)*(H10-$F$5)</f>
        <v>0.58588751768880354</v>
      </c>
    </row>
    <row r="11" spans="1:11" x14ac:dyDescent="0.55000000000000004">
      <c r="A11" s="22">
        <v>2000</v>
      </c>
      <c r="B11" s="7">
        <v>787000</v>
      </c>
      <c r="C11" s="97">
        <v>3</v>
      </c>
      <c r="D11" s="26">
        <f t="shared" si="0"/>
        <v>5.8959747323590648</v>
      </c>
      <c r="E11" s="98">
        <f t="shared" si="1"/>
        <v>-1.1188813278498747E-2</v>
      </c>
      <c r="F11" s="98">
        <f t="shared" si="2"/>
        <v>2.9745042492917848E-2</v>
      </c>
      <c r="G11" s="98">
        <f t="shared" si="4"/>
        <v>-1.8845539464383709</v>
      </c>
      <c r="H11" s="98">
        <f>2/$F$4*(1+$F$4*G11/6-$F$4^2/36)^3-2/$F$4</f>
        <v>-1.9593815841480549</v>
      </c>
      <c r="I11" s="98">
        <f>(D11-$B$2)^2</f>
        <v>5.0025259581070361E-2</v>
      </c>
      <c r="J11" s="98">
        <f t="shared" si="3"/>
        <v>3.8434348654728843</v>
      </c>
      <c r="K11" s="98">
        <f>(D11-$B$2)*(H11-$F$5)</f>
        <v>0.43848469394976297</v>
      </c>
    </row>
    <row r="12" spans="1:11" x14ac:dyDescent="0.55000000000000004">
      <c r="A12" s="22">
        <v>1941</v>
      </c>
      <c r="B12" s="23">
        <v>814000</v>
      </c>
      <c r="C12" s="97">
        <v>4</v>
      </c>
      <c r="D12" s="26">
        <f t="shared" si="0"/>
        <v>5.9106244048892016</v>
      </c>
      <c r="E12" s="98">
        <f t="shared" si="1"/>
        <v>-9.1311113307096931E-3</v>
      </c>
      <c r="F12" s="98">
        <f t="shared" si="2"/>
        <v>4.1076487252124649E-2</v>
      </c>
      <c r="G12" s="98">
        <f t="shared" si="4"/>
        <v>-1.7383283455849536</v>
      </c>
      <c r="H12" s="98">
        <f>2/$F$4*(1+$F$4*G12/6-$F$4^2/36)^3-2/$F$4</f>
        <v>-1.7971673065323444</v>
      </c>
      <c r="I12" s="98">
        <f>(D12-$B$2)^2</f>
        <v>4.3686685080447429E-2</v>
      </c>
      <c r="J12" s="98">
        <f t="shared" si="3"/>
        <v>3.2337165293648296</v>
      </c>
      <c r="K12" s="98">
        <f>(D12-$B$2)*(H12-$F$5)</f>
        <v>0.37585948924804169</v>
      </c>
    </row>
    <row r="13" spans="1:11" x14ac:dyDescent="0.55000000000000004">
      <c r="A13" s="22">
        <v>1934</v>
      </c>
      <c r="B13" s="23">
        <v>877000</v>
      </c>
      <c r="C13" s="97">
        <v>5</v>
      </c>
      <c r="D13" s="26">
        <f t="shared" si="0"/>
        <v>5.9429995933660402</v>
      </c>
      <c r="E13" s="98">
        <f t="shared" si="1"/>
        <v>-5.5113177841786118E-3</v>
      </c>
      <c r="F13" s="98">
        <f t="shared" si="2"/>
        <v>5.2407932011331447E-2</v>
      </c>
      <c r="G13" s="98">
        <f t="shared" si="4"/>
        <v>-1.621941549229303</v>
      </c>
      <c r="H13" s="98">
        <f>2/$F$4*(1+$F$4*G13/6-$F$4^2/36)^3-2/$F$4</f>
        <v>-1.6690150218509281</v>
      </c>
      <c r="I13" s="98">
        <f>(D13-$B$2)^2</f>
        <v>3.1201128506122604E-2</v>
      </c>
      <c r="J13" s="98">
        <f t="shared" si="3"/>
        <v>2.7892388858620718</v>
      </c>
      <c r="K13" s="98">
        <f>(D13-$B$2)*(H13-$F$5)</f>
        <v>0.29500406931440243</v>
      </c>
    </row>
    <row r="14" spans="1:11" x14ac:dyDescent="0.55000000000000004">
      <c r="A14" s="22">
        <v>1981</v>
      </c>
      <c r="B14" s="23">
        <v>956000</v>
      </c>
      <c r="C14" s="97">
        <v>6.5</v>
      </c>
      <c r="D14" s="26">
        <f t="shared" si="0"/>
        <v>5.9804578922761005</v>
      </c>
      <c r="E14" s="98">
        <f t="shared" si="1"/>
        <v>-2.6960724142213737E-3</v>
      </c>
      <c r="F14" s="98">
        <f t="shared" si="2"/>
        <v>6.9405099150141647E-2</v>
      </c>
      <c r="G14" s="98">
        <f t="shared" si="4"/>
        <v>-1.4802362920086845</v>
      </c>
      <c r="H14" s="98">
        <f>2/$F$4*(1+$F$4*G14/6-$F$4^2/36)^3-2/$F$4</f>
        <v>-1.5141298011223085</v>
      </c>
      <c r="I14" s="98">
        <f>(D14-$B$2)^2</f>
        <v>1.937110381057966E-2</v>
      </c>
      <c r="J14" s="98">
        <f t="shared" si="3"/>
        <v>2.2958802509968108</v>
      </c>
      <c r="K14" s="98">
        <f>(D14-$B$2)*(H14-$F$5)</f>
        <v>0.21088796712643162</v>
      </c>
    </row>
    <row r="15" spans="1:11" x14ac:dyDescent="0.55000000000000004">
      <c r="A15" s="22">
        <v>2006</v>
      </c>
      <c r="B15" s="7">
        <v>956000</v>
      </c>
      <c r="C15" s="97">
        <v>6.5</v>
      </c>
      <c r="D15" s="26">
        <f t="shared" si="0"/>
        <v>5.9804578922761005</v>
      </c>
      <c r="E15" s="98">
        <f t="shared" si="1"/>
        <v>-2.6960724142213737E-3</v>
      </c>
      <c r="F15" s="98">
        <f t="shared" si="2"/>
        <v>6.9405099150141647E-2</v>
      </c>
      <c r="G15" s="98">
        <f t="shared" si="4"/>
        <v>-1.4802362920086845</v>
      </c>
      <c r="H15" s="98">
        <f>2/$F$4*(1+$F$4*G15/6-$F$4^2/36)^3-2/$F$4</f>
        <v>-1.5141298011223085</v>
      </c>
      <c r="I15" s="98">
        <f>(D15-$B$2)^2</f>
        <v>1.937110381057966E-2</v>
      </c>
      <c r="J15" s="98">
        <f t="shared" si="3"/>
        <v>2.2958802509968108</v>
      </c>
      <c r="K15" s="98">
        <f>(D15-$B$2)*(H15-$F$5)</f>
        <v>0.21088796712643162</v>
      </c>
    </row>
    <row r="16" spans="1:11" x14ac:dyDescent="0.55000000000000004">
      <c r="A16" s="22">
        <v>1959</v>
      </c>
      <c r="B16" s="23">
        <v>977000</v>
      </c>
      <c r="C16" s="97">
        <v>8</v>
      </c>
      <c r="D16" s="26">
        <f t="shared" si="0"/>
        <v>5.9898945637187735</v>
      </c>
      <c r="E16" s="98">
        <f t="shared" si="1"/>
        <v>-2.18401813273769E-3</v>
      </c>
      <c r="F16" s="98">
        <f t="shared" si="2"/>
        <v>8.640226628895184E-2</v>
      </c>
      <c r="G16" s="98">
        <f t="shared" si="4"/>
        <v>-1.3632474656234139</v>
      </c>
      <c r="H16" s="98">
        <f>2/$F$4*(1+$F$4*G16/6-$F$4^2/36)^3-2/$F$4</f>
        <v>-1.3872039547501718</v>
      </c>
      <c r="I16" s="98">
        <f>(D16-$B$2)^2</f>
        <v>1.6833360586017362E-2</v>
      </c>
      <c r="J16" s="98">
        <f t="shared" si="3"/>
        <v>1.9273502143246775</v>
      </c>
      <c r="K16" s="98">
        <f>(D16-$B$2)*(H16-$F$5)</f>
        <v>0.18012157320339267</v>
      </c>
    </row>
    <row r="17" spans="1:17" x14ac:dyDescent="0.55000000000000004">
      <c r="A17" s="22">
        <v>1977</v>
      </c>
      <c r="B17" s="23">
        <v>980000</v>
      </c>
      <c r="C17" s="97">
        <v>9</v>
      </c>
      <c r="D17" s="26">
        <f t="shared" si="0"/>
        <v>5.9912260756924951</v>
      </c>
      <c r="E17" s="98">
        <f t="shared" si="1"/>
        <v>-2.1174643843695027E-3</v>
      </c>
      <c r="F17" s="98">
        <f t="shared" si="2"/>
        <v>9.7733711048158645E-2</v>
      </c>
      <c r="G17" s="98">
        <f t="shared" si="4"/>
        <v>-1.2945734328943461</v>
      </c>
      <c r="H17" s="98">
        <f>2/$F$4*(1+$F$4*G17/6-$F$4^2/36)^3-2/$F$4</f>
        <v>-1.3130932476987116</v>
      </c>
      <c r="I17" s="98">
        <f>(D17-$B$2)^2</f>
        <v>1.6489623618684689E-2</v>
      </c>
      <c r="J17" s="98">
        <f t="shared" si="3"/>
        <v>1.7270682460402427</v>
      </c>
      <c r="K17" s="98">
        <f>(D17-$B$2)*(H17-$F$5)</f>
        <v>0.16875634903903772</v>
      </c>
    </row>
    <row r="18" spans="1:17" x14ac:dyDescent="0.55000000000000004">
      <c r="A18" s="22">
        <v>1953</v>
      </c>
      <c r="B18" s="23">
        <v>983000</v>
      </c>
      <c r="C18" s="97">
        <v>10</v>
      </c>
      <c r="D18" s="26">
        <f t="shared" si="0"/>
        <v>5.9925535178321354</v>
      </c>
      <c r="E18" s="98">
        <f t="shared" si="1"/>
        <v>-2.0524738065027283E-3</v>
      </c>
      <c r="F18" s="98">
        <f t="shared" si="2"/>
        <v>0.10906515580736544</v>
      </c>
      <c r="G18" s="98">
        <f t="shared" si="4"/>
        <v>-1.2315149957125135</v>
      </c>
      <c r="H18" s="98">
        <f>2/$F$4*(1+$F$4*G18/6-$F$4^2/36)^3-2/$F$4</f>
        <v>-1.2453004038872297</v>
      </c>
      <c r="I18" s="98">
        <f>(D18-$B$2)^2</f>
        <v>1.615046690861591E-2</v>
      </c>
      <c r="J18" s="98">
        <f t="shared" si="3"/>
        <v>1.5534801593802634</v>
      </c>
      <c r="K18" s="98">
        <f>(D18-$B$2)*(H18-$F$5)</f>
        <v>0.15839643274790727</v>
      </c>
    </row>
    <row r="19" spans="1:17" ht="14.7" thickBot="1" x14ac:dyDescent="0.6">
      <c r="A19" s="22">
        <v>1976</v>
      </c>
      <c r="B19" s="23">
        <v>1020000</v>
      </c>
      <c r="C19" s="97">
        <v>11</v>
      </c>
      <c r="D19" s="26">
        <f t="shared" si="0"/>
        <v>6.008600171761918</v>
      </c>
      <c r="E19" s="98">
        <f t="shared" si="1"/>
        <v>-1.3690299110249873E-3</v>
      </c>
      <c r="F19" s="98">
        <f t="shared" si="2"/>
        <v>0.12039660056657224</v>
      </c>
      <c r="G19" s="98">
        <f t="shared" si="4"/>
        <v>-1.1730064949411458</v>
      </c>
      <c r="H19" s="98">
        <f>2/$F$4*(1+$F$4*G19/6-$F$4^2/36)^3-2/$F$4</f>
        <v>-1.1826193568806378</v>
      </c>
      <c r="I19" s="98">
        <f>(D19-$B$2)^2</f>
        <v>1.2329400436329893E-2</v>
      </c>
      <c r="J19" s="98">
        <f t="shared" si="3"/>
        <v>1.4011594085971841</v>
      </c>
      <c r="K19" s="98">
        <f>(D19-$B$2)*(H19-$F$5)</f>
        <v>0.13143612678303426</v>
      </c>
    </row>
    <row r="20" spans="1:17" x14ac:dyDescent="0.55000000000000004">
      <c r="A20" s="22">
        <v>1967</v>
      </c>
      <c r="B20" s="23">
        <v>1040000</v>
      </c>
      <c r="C20" s="97">
        <v>12.5</v>
      </c>
      <c r="D20" s="26">
        <f t="shared" si="0"/>
        <v>6.0170333392987807</v>
      </c>
      <c r="E20" s="98">
        <f t="shared" si="1"/>
        <v>-1.0801929305664162E-3</v>
      </c>
      <c r="F20" s="98">
        <f t="shared" si="2"/>
        <v>0.13739376770538245</v>
      </c>
      <c r="G20" s="98">
        <f t="shared" si="4"/>
        <v>-1.0921036724812101</v>
      </c>
      <c r="H20" s="98">
        <f>2/$F$4*(1+$F$4*G20/6-$F$4^2/36)^3-2/$F$4</f>
        <v>-1.0962955119161393</v>
      </c>
      <c r="I20" s="98">
        <f>(D20-$B$2)^2</f>
        <v>1.0527717447796832E-2</v>
      </c>
      <c r="J20" s="98">
        <f t="shared" si="3"/>
        <v>1.2042471437822</v>
      </c>
      <c r="K20" s="98">
        <f>(D20-$B$2)*(H20-$F$5)</f>
        <v>0.112596508236514</v>
      </c>
      <c r="M20" s="105" t="s">
        <v>106</v>
      </c>
      <c r="N20" s="106"/>
      <c r="O20" s="106"/>
      <c r="P20" s="106"/>
      <c r="Q20" s="107"/>
    </row>
    <row r="21" spans="1:17" x14ac:dyDescent="0.55000000000000004">
      <c r="A21" s="22">
        <v>2014</v>
      </c>
      <c r="B21" s="7">
        <v>1040000</v>
      </c>
      <c r="C21" s="97">
        <v>12.5</v>
      </c>
      <c r="D21" s="26">
        <f t="shared" si="0"/>
        <v>6.0170333392987807</v>
      </c>
      <c r="E21" s="98">
        <f t="shared" si="1"/>
        <v>-1.0801929305664162E-3</v>
      </c>
      <c r="F21" s="98">
        <f t="shared" si="2"/>
        <v>0.13739376770538245</v>
      </c>
      <c r="G21" s="98">
        <f t="shared" si="4"/>
        <v>-1.0921036724812101</v>
      </c>
      <c r="H21" s="98">
        <f>2/$F$4*(1+$F$4*G21/6-$F$4^2/36)^3-2/$F$4</f>
        <v>-1.0962955119161393</v>
      </c>
      <c r="I21" s="98">
        <f>(D21-$B$2)^2</f>
        <v>1.0527717447796832E-2</v>
      </c>
      <c r="J21" s="98">
        <f t="shared" si="3"/>
        <v>1.2042471437822</v>
      </c>
      <c r="K21" s="98">
        <f>(D21-$B$2)*(H21-$F$5)</f>
        <v>0.112596508236514</v>
      </c>
      <c r="M21" s="108" t="s">
        <v>49</v>
      </c>
      <c r="N21" s="28"/>
      <c r="O21" s="28"/>
      <c r="P21" s="28"/>
      <c r="Q21" s="109"/>
    </row>
    <row r="22" spans="1:17" x14ac:dyDescent="0.55000000000000004">
      <c r="A22" s="22">
        <v>1940</v>
      </c>
      <c r="B22" s="23">
        <v>1075000</v>
      </c>
      <c r="C22" s="97">
        <v>14</v>
      </c>
      <c r="D22" s="26">
        <f t="shared" si="0"/>
        <v>6.0314084642516246</v>
      </c>
      <c r="E22" s="98">
        <f t="shared" si="1"/>
        <v>-6.8681861539163518E-4</v>
      </c>
      <c r="F22" s="98">
        <f t="shared" si="2"/>
        <v>0.15439093484419264</v>
      </c>
      <c r="G22" s="98">
        <f t="shared" si="4"/>
        <v>-1.0177813653724057</v>
      </c>
      <c r="H22" s="98">
        <f>2/$F$4*(1+$F$4*G22/6-$F$4^2/36)^3-2/$F$4</f>
        <v>-1.0173489366446535</v>
      </c>
      <c r="I22" s="98">
        <f>(D22-$B$2)^2</f>
        <v>7.7844518814253385E-3</v>
      </c>
      <c r="J22" s="98">
        <f t="shared" si="3"/>
        <v>1.0372106121238422</v>
      </c>
      <c r="K22" s="98">
        <f>(D22-$B$2)*(H22-$F$5)</f>
        <v>8.985608549776565E-2</v>
      </c>
      <c r="M22" s="108"/>
      <c r="N22" s="28"/>
      <c r="O22" s="28"/>
      <c r="P22" s="28"/>
      <c r="Q22" s="109"/>
    </row>
    <row r="23" spans="1:17" x14ac:dyDescent="0.55000000000000004">
      <c r="A23" s="22">
        <v>1960</v>
      </c>
      <c r="B23" s="23">
        <v>1100000</v>
      </c>
      <c r="C23" s="97">
        <v>15.5</v>
      </c>
      <c r="D23" s="26">
        <f t="shared" si="0"/>
        <v>6.0413926851582254</v>
      </c>
      <c r="E23" s="98">
        <f t="shared" si="1"/>
        <v>-4.7904367722328989E-4</v>
      </c>
      <c r="F23" s="98">
        <f t="shared" si="2"/>
        <v>0.17138810198300283</v>
      </c>
      <c r="G23" s="98">
        <f t="shared" si="4"/>
        <v>-0.94869412295584754</v>
      </c>
      <c r="H23" s="98">
        <f>2/$F$4*(1+$F$4*G23/6-$F$4^2/36)^3-2/$F$4</f>
        <v>-0.94426806229033211</v>
      </c>
      <c r="I23" s="98">
        <f>(D23-$B$2)^2</f>
        <v>6.1223300955489121E-3</v>
      </c>
      <c r="J23" s="98">
        <f t="shared" si="3"/>
        <v>0.8936951310300506</v>
      </c>
      <c r="K23" s="98">
        <f>(D23-$B$2)*(H23-$F$5)</f>
        <v>7.3969565342448834E-2</v>
      </c>
      <c r="M23" s="110" t="s">
        <v>57</v>
      </c>
      <c r="N23" s="102" t="s">
        <v>58</v>
      </c>
      <c r="O23" s="28"/>
      <c r="P23" s="28"/>
      <c r="Q23" s="109"/>
    </row>
    <row r="24" spans="1:17" x14ac:dyDescent="0.55000000000000004">
      <c r="A24" s="22">
        <v>1992</v>
      </c>
      <c r="B24" s="23">
        <v>1100000</v>
      </c>
      <c r="C24" s="97">
        <v>15.5</v>
      </c>
      <c r="D24" s="26">
        <f t="shared" si="0"/>
        <v>6.0413926851582254</v>
      </c>
      <c r="E24" s="98">
        <f t="shared" si="1"/>
        <v>-4.7904367722328989E-4</v>
      </c>
      <c r="F24" s="98">
        <f t="shared" si="2"/>
        <v>0.17138810198300283</v>
      </c>
      <c r="G24" s="98">
        <f t="shared" si="4"/>
        <v>-0.94869412295584754</v>
      </c>
      <c r="H24" s="98">
        <f>2/$F$4*(1+$F$4*G24/6-$F$4^2/36)^3-2/$F$4</f>
        <v>-0.94426806229033211</v>
      </c>
      <c r="I24" s="98">
        <f>(D24-$B$2)^2</f>
        <v>6.1223300955489121E-3</v>
      </c>
      <c r="J24" s="98">
        <f t="shared" si="3"/>
        <v>0.8936951310300506</v>
      </c>
      <c r="K24" s="98">
        <f>(D24-$B$2)*(H24-$F$5)</f>
        <v>7.3969565342448834E-2</v>
      </c>
      <c r="M24" s="110">
        <v>75</v>
      </c>
      <c r="N24" s="102">
        <v>0.98350000000000004</v>
      </c>
      <c r="O24" s="28"/>
      <c r="P24" s="28"/>
      <c r="Q24" s="109"/>
    </row>
    <row r="25" spans="1:17" x14ac:dyDescent="0.55000000000000004">
      <c r="A25" s="22">
        <v>1956</v>
      </c>
      <c r="B25" s="23">
        <v>1110000</v>
      </c>
      <c r="C25" s="97">
        <v>17.5</v>
      </c>
      <c r="D25" s="26">
        <f t="shared" si="0"/>
        <v>6.0453229787866576</v>
      </c>
      <c r="E25" s="98">
        <f t="shared" si="1"/>
        <v>-4.1042131546165881E-4</v>
      </c>
      <c r="F25" s="98">
        <f t="shared" si="2"/>
        <v>0.19405099150141644</v>
      </c>
      <c r="G25" s="98">
        <f t="shared" si="4"/>
        <v>-0.86306453992694387</v>
      </c>
      <c r="H25" s="98">
        <f>2/$F$4*(1+$F$4*G25/6-$F$4^2/36)^3-2/$F$4</f>
        <v>-0.85409542535590077</v>
      </c>
      <c r="I25" s="98">
        <f>(D25-$B$2)^2</f>
        <v>5.5227231385724645E-3</v>
      </c>
      <c r="J25" s="98">
        <f t="shared" si="3"/>
        <v>0.73133601924177805</v>
      </c>
      <c r="K25" s="98">
        <f>(D25-$B$2)*(H25-$F$5)</f>
        <v>6.3552862685626085E-2</v>
      </c>
      <c r="M25" s="110">
        <v>100</v>
      </c>
      <c r="N25" s="102">
        <v>0.98699999999999999</v>
      </c>
      <c r="O25" s="28"/>
      <c r="P25" s="28"/>
      <c r="Q25" s="109"/>
    </row>
    <row r="26" spans="1:17" x14ac:dyDescent="0.55000000000000004">
      <c r="A26" s="22">
        <v>1966</v>
      </c>
      <c r="B26" s="23">
        <v>1110000</v>
      </c>
      <c r="C26" s="97">
        <v>17.5</v>
      </c>
      <c r="D26" s="26">
        <f t="shared" si="0"/>
        <v>6.0453229787866576</v>
      </c>
      <c r="E26" s="98">
        <f t="shared" si="1"/>
        <v>-4.1042131546165881E-4</v>
      </c>
      <c r="F26" s="98">
        <f t="shared" si="2"/>
        <v>0.19405099150141644</v>
      </c>
      <c r="G26" s="98">
        <f t="shared" si="4"/>
        <v>-0.86306453992694387</v>
      </c>
      <c r="H26" s="98">
        <f>2/$F$4*(1+$F$4*G26/6-$F$4^2/36)^3-2/$F$4</f>
        <v>-0.85409542535590077</v>
      </c>
      <c r="I26" s="98">
        <f>(D26-$B$2)^2</f>
        <v>5.5227231385724645E-3</v>
      </c>
      <c r="J26" s="98">
        <f t="shared" si="3"/>
        <v>0.73133601924177805</v>
      </c>
      <c r="K26" s="98">
        <f>(D26-$B$2)*(H26-$F$5)</f>
        <v>6.3552862685626085E-2</v>
      </c>
      <c r="M26" s="110">
        <v>88</v>
      </c>
      <c r="N26" s="103">
        <f>N24+(N25-N24)/(M25-M24)*8</f>
        <v>0.98462000000000005</v>
      </c>
      <c r="O26" s="28" t="s">
        <v>73</v>
      </c>
      <c r="P26" s="28"/>
      <c r="Q26" s="109"/>
    </row>
    <row r="27" spans="1:17" x14ac:dyDescent="0.55000000000000004">
      <c r="A27" s="22">
        <v>1988</v>
      </c>
      <c r="B27" s="23">
        <v>1140000</v>
      </c>
      <c r="C27" s="97">
        <v>19</v>
      </c>
      <c r="D27" s="26">
        <f t="shared" si="0"/>
        <v>6.0569048513364727</v>
      </c>
      <c r="E27" s="98">
        <f t="shared" si="1"/>
        <v>-2.4688310117584671E-4</v>
      </c>
      <c r="F27" s="98">
        <f t="shared" si="2"/>
        <v>0.21104815864022664</v>
      </c>
      <c r="G27" s="98">
        <f t="shared" si="4"/>
        <v>-0.80278966400436147</v>
      </c>
      <c r="H27" s="98">
        <f>2/$F$4*(1+$F$4*G27/6-$F$4^2/36)^3-2/$F$4</f>
        <v>-0.79089216945654606</v>
      </c>
      <c r="I27" s="98">
        <f>(D27-$B$2)^2</f>
        <v>3.9354485833297719E-3</v>
      </c>
      <c r="J27" s="98">
        <f t="shared" si="3"/>
        <v>0.62723011451036226</v>
      </c>
      <c r="K27" s="98">
        <f>(D27-$B$2)*(H27-$F$5)</f>
        <v>4.968331576667942E-2</v>
      </c>
      <c r="M27" s="108"/>
      <c r="N27" s="28"/>
      <c r="O27" s="28"/>
      <c r="P27" s="28"/>
      <c r="Q27" s="109"/>
    </row>
    <row r="28" spans="1:17" x14ac:dyDescent="0.55000000000000004">
      <c r="A28" s="22">
        <v>1972</v>
      </c>
      <c r="B28" s="23">
        <v>1147000</v>
      </c>
      <c r="C28" s="97">
        <v>20</v>
      </c>
      <c r="D28" s="26">
        <f t="shared" si="0"/>
        <v>6.0595634179012681</v>
      </c>
      <c r="E28" s="98">
        <f t="shared" si="1"/>
        <v>-2.1680654373712046E-4</v>
      </c>
      <c r="F28" s="98">
        <f t="shared" si="2"/>
        <v>0.22237960339943344</v>
      </c>
      <c r="G28" s="98">
        <f t="shared" si="4"/>
        <v>-0.76418130329089151</v>
      </c>
      <c r="H28" s="98">
        <f>2/$F$4*(1+$F$4*G28/6-$F$4^2/36)^3-2/$F$4</f>
        <v>-0.75052484650129792</v>
      </c>
      <c r="I28" s="98">
        <f>(D28-$B$2)^2</f>
        <v>3.6089560292157439E-3</v>
      </c>
      <c r="J28" s="98">
        <f t="shared" si="3"/>
        <v>0.56491952283931945</v>
      </c>
      <c r="K28" s="98">
        <f>(D28-$B$2)*(H28-$F$5)</f>
        <v>4.5152737657562281E-2</v>
      </c>
      <c r="M28" s="110" t="s">
        <v>56</v>
      </c>
      <c r="N28" s="103">
        <f>N26</f>
        <v>0.98462000000000005</v>
      </c>
      <c r="O28" s="28"/>
      <c r="P28" s="28"/>
      <c r="Q28" s="109"/>
    </row>
    <row r="29" spans="1:17" ht="16.5" x14ac:dyDescent="0.55000000000000004">
      <c r="A29" s="22">
        <v>1930</v>
      </c>
      <c r="B29" s="23">
        <v>1148000</v>
      </c>
      <c r="C29" s="97">
        <v>21</v>
      </c>
      <c r="D29" s="26">
        <f t="shared" si="0"/>
        <v>6.0599418880619549</v>
      </c>
      <c r="E29" s="98">
        <f t="shared" si="1"/>
        <v>-2.127346582111141E-4</v>
      </c>
      <c r="F29" s="98">
        <f t="shared" si="2"/>
        <v>0.23371104815864022</v>
      </c>
      <c r="G29" s="98">
        <f t="shared" si="4"/>
        <v>-0.7266798559341906</v>
      </c>
      <c r="H29" s="98">
        <f>2/$F$4*(1+$F$4*G29/6-$F$4^2/36)^3-2/$F$4</f>
        <v>-0.71140205651678556</v>
      </c>
      <c r="I29" s="98">
        <f>(D29-$B$2)^2</f>
        <v>3.5636263915243362E-3</v>
      </c>
      <c r="J29" s="98">
        <f t="shared" si="3"/>
        <v>0.50763985467625117</v>
      </c>
      <c r="K29" s="98">
        <f>(D29-$B$2)*(H29-$F$5)</f>
        <v>4.253279656352104E-2</v>
      </c>
      <c r="M29" s="110" t="s">
        <v>52</v>
      </c>
      <c r="N29" s="103">
        <f>SUM(K9:K96)/SQRT(ABS(SUM(I9:I96)*SUM(J9:J96)))</f>
        <v>0.99205357162360919</v>
      </c>
      <c r="O29" s="111">
        <f>SQRT(0.9842)</f>
        <v>0.99206854601887262</v>
      </c>
      <c r="P29" s="28" t="s">
        <v>70</v>
      </c>
      <c r="Q29" s="109"/>
    </row>
    <row r="30" spans="1:17" x14ac:dyDescent="0.55000000000000004">
      <c r="A30" s="22">
        <v>1996</v>
      </c>
      <c r="B30" s="23">
        <v>1150000</v>
      </c>
      <c r="C30" s="97">
        <v>22</v>
      </c>
      <c r="D30" s="26">
        <f t="shared" si="0"/>
        <v>6.0606978403536118</v>
      </c>
      <c r="E30" s="98">
        <f t="shared" si="1"/>
        <v>-2.0475477412158766E-4</v>
      </c>
      <c r="F30" s="98">
        <f t="shared" si="2"/>
        <v>0.24504249291784702</v>
      </c>
      <c r="G30" s="98">
        <f t="shared" si="4"/>
        <v>-0.69017365944824649</v>
      </c>
      <c r="H30" s="98">
        <f>2/$F$4*(1+$F$4*G30/6-$F$4^2/36)^3-2/$F$4</f>
        <v>-0.67339998702698622</v>
      </c>
      <c r="I30" s="98">
        <f>(D30-$B$2)^2</f>
        <v>3.4739430224090891E-3</v>
      </c>
      <c r="J30" s="98">
        <f t="shared" si="3"/>
        <v>0.45493193741074278</v>
      </c>
      <c r="K30" s="98">
        <f>(D30-$B$2)*(H30-$F$5)</f>
        <v>3.9754341016285229E-2</v>
      </c>
      <c r="M30" s="110" t="s">
        <v>37</v>
      </c>
      <c r="N30" s="102"/>
      <c r="O30" s="28"/>
      <c r="P30" s="28"/>
      <c r="Q30" s="109"/>
    </row>
    <row r="31" spans="1:17" x14ac:dyDescent="0.55000000000000004">
      <c r="A31" s="22">
        <v>2004</v>
      </c>
      <c r="B31" s="7">
        <v>1153000</v>
      </c>
      <c r="C31" s="97">
        <v>23</v>
      </c>
      <c r="D31" s="26">
        <f t="shared" si="0"/>
        <v>6.0618293072946994</v>
      </c>
      <c r="E31" s="98">
        <f t="shared" si="1"/>
        <v>-1.9318773922297045E-4</v>
      </c>
      <c r="F31" s="98">
        <f t="shared" si="2"/>
        <v>0.2563739376770538</v>
      </c>
      <c r="G31" s="98">
        <f t="shared" si="4"/>
        <v>-0.65456498343176639</v>
      </c>
      <c r="H31" s="98">
        <f>2/$F$4*(1+$F$4*G31/6-$F$4^2/36)^3-2/$F$4</f>
        <v>-0.63641048820661972</v>
      </c>
      <c r="I31" s="98">
        <f>(D31-$B$2)^2</f>
        <v>3.3418455439823912E-3</v>
      </c>
      <c r="J31" s="98">
        <f t="shared" si="3"/>
        <v>0.40640233079534716</v>
      </c>
      <c r="K31" s="98">
        <f>(D31-$B$2)*(H31-$F$5)</f>
        <v>3.685286716433999E-2</v>
      </c>
      <c r="M31" s="122" t="str">
        <f>IF(N29&lt;=N28,"Reject","Do not Reject")</f>
        <v>Do not Reject</v>
      </c>
      <c r="N31" s="121"/>
      <c r="O31" s="28"/>
      <c r="P31" s="28"/>
      <c r="Q31" s="109"/>
    </row>
    <row r="32" spans="1:17" ht="14.7" thickBot="1" x14ac:dyDescent="0.6">
      <c r="A32" s="22">
        <v>1968</v>
      </c>
      <c r="B32" s="23">
        <v>1160000</v>
      </c>
      <c r="C32" s="97">
        <v>24</v>
      </c>
      <c r="D32" s="26">
        <f t="shared" si="0"/>
        <v>6.0644579892269181</v>
      </c>
      <c r="E32" s="98">
        <f t="shared" si="1"/>
        <v>-1.6801399698566425E-4</v>
      </c>
      <c r="F32" s="98">
        <f t="shared" si="2"/>
        <v>0.26770538243626063</v>
      </c>
      <c r="G32" s="98">
        <f t="shared" si="4"/>
        <v>-0.61976765739524897</v>
      </c>
      <c r="H32" s="98">
        <f>2/$F$4*(1+$F$4*G32/6-$F$4^2/36)^3-2/$F$4</f>
        <v>-0.60033840114766157</v>
      </c>
      <c r="I32" s="98">
        <f>(D32-$B$2)^2</f>
        <v>3.0448341536987236E-3</v>
      </c>
      <c r="J32" s="98">
        <f t="shared" si="3"/>
        <v>0.36171183702346621</v>
      </c>
      <c r="K32" s="98">
        <f>(D32-$B$2)*(H32-$F$5)</f>
        <v>3.3186632175714312E-2</v>
      </c>
      <c r="M32" s="123" t="s">
        <v>105</v>
      </c>
      <c r="N32" s="114"/>
      <c r="O32" s="114"/>
      <c r="P32" s="114"/>
      <c r="Q32" s="115"/>
    </row>
    <row r="33" spans="1:16" ht="14.7" thickBot="1" x14ac:dyDescent="0.6">
      <c r="A33" s="22">
        <v>1942</v>
      </c>
      <c r="B33" s="23">
        <v>1178000</v>
      </c>
      <c r="C33" s="97">
        <v>25</v>
      </c>
      <c r="D33" s="26">
        <f t="shared" si="0"/>
        <v>6.0711452904510832</v>
      </c>
      <c r="E33" s="98">
        <f t="shared" si="1"/>
        <v>-1.1403272194530635E-4</v>
      </c>
      <c r="F33" s="98">
        <f t="shared" si="2"/>
        <v>0.27903682719546741</v>
      </c>
      <c r="G33" s="98">
        <f t="shared" si="4"/>
        <v>-0.58570517718287463</v>
      </c>
      <c r="H33" s="98">
        <f>2/$F$4*(1+$F$4*G33/6-$F$4^2/36)^3-2/$F$4</f>
        <v>-0.56509942760193965</v>
      </c>
      <c r="I33" s="98">
        <f>(D33-$B$2)^2</f>
        <v>2.3515433757306933E-3</v>
      </c>
      <c r="J33" s="98">
        <f t="shared" si="3"/>
        <v>0.32056643429414339</v>
      </c>
      <c r="K33" s="98">
        <f>(D33-$B$2)*(H33-$F$5)</f>
        <v>2.7455889624013304E-2</v>
      </c>
    </row>
    <row r="34" spans="1:16" x14ac:dyDescent="0.55000000000000004">
      <c r="A34" s="22">
        <v>1982</v>
      </c>
      <c r="B34" s="23">
        <v>1182000</v>
      </c>
      <c r="C34" s="97">
        <v>26</v>
      </c>
      <c r="D34" s="26">
        <f t="shared" si="0"/>
        <v>6.0726174765452363</v>
      </c>
      <c r="E34" s="98">
        <f t="shared" si="1"/>
        <v>-1.0395910227841685E-4</v>
      </c>
      <c r="F34" s="98">
        <f t="shared" si="2"/>
        <v>0.29036827195467424</v>
      </c>
      <c r="G34" s="98">
        <f t="shared" si="4"/>
        <v>-0.55230917743321417</v>
      </c>
      <c r="H34" s="98">
        <f>2/$F$4*(1+$F$4*G34/6-$F$4^2/36)^3-2/$F$4</f>
        <v>-0.53061841354287331</v>
      </c>
      <c r="I34" s="98">
        <f>(D34-$B$2)^2</f>
        <v>2.2109301072268739E-3</v>
      </c>
      <c r="J34" s="98">
        <f t="shared" si="3"/>
        <v>0.28271004904785313</v>
      </c>
      <c r="K34" s="98">
        <f>(D34-$B$2)*(H34-$F$5)</f>
        <v>2.5001043159346065E-2</v>
      </c>
      <c r="M34" s="105" t="s">
        <v>107</v>
      </c>
      <c r="N34" s="106"/>
      <c r="O34" s="106"/>
      <c r="P34" s="107"/>
    </row>
    <row r="35" spans="1:16" x14ac:dyDescent="0.55000000000000004">
      <c r="A35" s="22">
        <v>2007</v>
      </c>
      <c r="B35" s="7">
        <v>1187000</v>
      </c>
      <c r="C35" s="97">
        <v>27</v>
      </c>
      <c r="D35" s="26">
        <f t="shared" si="0"/>
        <v>6.0744507189545915</v>
      </c>
      <c r="E35" s="98">
        <f t="shared" si="1"/>
        <v>-9.2267505284127801E-5</v>
      </c>
      <c r="F35" s="98">
        <f t="shared" si="2"/>
        <v>0.30169971671388102</v>
      </c>
      <c r="G35" s="98">
        <f t="shared" si="4"/>
        <v>-0.51951818724524945</v>
      </c>
      <c r="H35" s="98">
        <f>2/$F$4*(1+$F$4*G35/6-$F$4^2/36)^3-2/$F$4</f>
        <v>-0.49682795268472191</v>
      </c>
      <c r="I35" s="98">
        <f>(D35-$B$2)^2</f>
        <v>2.041890830779926E-3</v>
      </c>
      <c r="J35" s="98">
        <f t="shared" si="3"/>
        <v>0.24791874035132241</v>
      </c>
      <c r="K35" s="98">
        <f>(D35-$B$2)*(H35-$F$5)</f>
        <v>2.2499400052043043E-2</v>
      </c>
      <c r="M35" s="110" t="s">
        <v>75</v>
      </c>
      <c r="N35" s="102">
        <v>100</v>
      </c>
      <c r="O35" s="28" t="s">
        <v>74</v>
      </c>
      <c r="P35" s="109"/>
    </row>
    <row r="36" spans="1:16" x14ac:dyDescent="0.55000000000000004">
      <c r="A36" s="22">
        <v>1938</v>
      </c>
      <c r="B36" s="23">
        <v>1190000</v>
      </c>
      <c r="C36" s="97">
        <v>28.5</v>
      </c>
      <c r="D36" s="26">
        <f t="shared" si="0"/>
        <v>6.075546961392531</v>
      </c>
      <c r="E36" s="98">
        <f t="shared" si="1"/>
        <v>-8.5713876852710881E-5</v>
      </c>
      <c r="F36" s="98">
        <f t="shared" si="2"/>
        <v>0.31869688385269124</v>
      </c>
      <c r="G36" s="98">
        <f t="shared" si="4"/>
        <v>-0.47134586511172694</v>
      </c>
      <c r="H36" s="98">
        <f>2/$F$4*(1+$F$4*G36/6-$F$4^2/36)^3-2/$F$4</f>
        <v>-0.44730560576160627</v>
      </c>
      <c r="I36" s="98">
        <f>(D36-$B$2)^2</f>
        <v>1.9440201367681982E-3</v>
      </c>
      <c r="J36" s="98">
        <f t="shared" si="3"/>
        <v>0.20105542481900246</v>
      </c>
      <c r="K36" s="98">
        <f>(D36-$B$2)*(H36-$F$5)</f>
        <v>1.9770073203066937E-2</v>
      </c>
      <c r="M36" s="110" t="s">
        <v>89</v>
      </c>
      <c r="N36" s="102">
        <v>0.99</v>
      </c>
      <c r="O36" s="28"/>
      <c r="P36" s="109"/>
    </row>
    <row r="37" spans="1:16" ht="16.8" x14ac:dyDescent="0.75">
      <c r="A37" s="22">
        <v>2012</v>
      </c>
      <c r="B37" s="7">
        <v>1190000</v>
      </c>
      <c r="C37" s="97">
        <v>28.5</v>
      </c>
      <c r="D37" s="26">
        <f t="shared" si="0"/>
        <v>6.075546961392531</v>
      </c>
      <c r="E37" s="98">
        <f t="shared" si="1"/>
        <v>-8.5713876852710881E-5</v>
      </c>
      <c r="F37" s="98">
        <f t="shared" si="2"/>
        <v>0.31869688385269124</v>
      </c>
      <c r="G37" s="98">
        <f t="shared" si="4"/>
        <v>-0.47134586511172694</v>
      </c>
      <c r="H37" s="98">
        <f>2/$F$4*(1+$F$4*G37/6-$F$4^2/36)^3-2/$F$4</f>
        <v>-0.44730560576160627</v>
      </c>
      <c r="I37" s="98">
        <f>(D37-$B$2)^2</f>
        <v>1.9440201367681982E-3</v>
      </c>
      <c r="J37" s="98">
        <f t="shared" si="3"/>
        <v>0.20105542481900246</v>
      </c>
      <c r="K37" s="98">
        <f>(D37-$B$2)*(H37-$F$5)</f>
        <v>1.9770073203066937E-2</v>
      </c>
      <c r="M37" s="110" t="s">
        <v>88</v>
      </c>
      <c r="N37" s="103">
        <f>_xlfn.NORM.INV(N36,0,1)</f>
        <v>2.3263478740408408</v>
      </c>
      <c r="O37" s="28"/>
      <c r="P37" s="109"/>
    </row>
    <row r="38" spans="1:16" ht="16.8" x14ac:dyDescent="0.75">
      <c r="A38" s="22">
        <v>1958</v>
      </c>
      <c r="B38" s="23">
        <v>1191000</v>
      </c>
      <c r="C38" s="97">
        <v>30</v>
      </c>
      <c r="D38" s="26">
        <f t="shared" si="0"/>
        <v>6.0759117614827778</v>
      </c>
      <c r="E38" s="98">
        <f t="shared" si="1"/>
        <v>-8.3603894931461435E-5</v>
      </c>
      <c r="F38" s="98">
        <f t="shared" si="2"/>
        <v>0.3356940509915014</v>
      </c>
      <c r="G38" s="98">
        <f t="shared" si="4"/>
        <v>-0.42424368864907602</v>
      </c>
      <c r="H38" s="98">
        <f>2/$F$4*(1+$F$4*G38/6-$F$4^2/36)^3-2/$F$4</f>
        <v>-0.39901930727133461</v>
      </c>
      <c r="I38" s="98">
        <f>(D38-$B$2)^2</f>
        <v>1.9119843824140664E-3</v>
      </c>
      <c r="J38" s="98">
        <f t="shared" si="3"/>
        <v>0.16008460731908275</v>
      </c>
      <c r="K38" s="98">
        <f>(D38-$B$2)*(H38-$F$5)</f>
        <v>1.7495121293062667E-2</v>
      </c>
      <c r="M38" s="110" t="s">
        <v>87</v>
      </c>
      <c r="N38" s="103">
        <f>2/$F$4*(1+$F$4*N37/6-$F$4^2/36)^3-2/$F$4</f>
        <v>2.1941835713956621</v>
      </c>
      <c r="O38" s="28"/>
      <c r="P38" s="109"/>
    </row>
    <row r="39" spans="1:16" ht="16.8" x14ac:dyDescent="0.75">
      <c r="A39" s="22">
        <v>2001</v>
      </c>
      <c r="B39" s="7">
        <v>1221000</v>
      </c>
      <c r="C39" s="97">
        <v>31</v>
      </c>
      <c r="D39" s="26">
        <f t="shared" si="0"/>
        <v>6.0867156639448821</v>
      </c>
      <c r="E39" s="98">
        <f t="shared" si="1"/>
        <v>-3.5683885201452561E-5</v>
      </c>
      <c r="F39" s="98">
        <f t="shared" si="2"/>
        <v>0.34702549575070823</v>
      </c>
      <c r="G39" s="98">
        <f t="shared" si="4"/>
        <v>-0.39336354407828605</v>
      </c>
      <c r="H39" s="98">
        <f>2/$F$4*(1+$F$4*G39/6-$F$4^2/36)^3-2/$F$4</f>
        <v>-0.36743569448424829</v>
      </c>
      <c r="I39" s="98">
        <f>(D39-$B$2)^2</f>
        <v>1.0838805482945224E-3</v>
      </c>
      <c r="J39" s="98">
        <f t="shared" si="3"/>
        <v>0.13580856205700928</v>
      </c>
      <c r="K39" s="98">
        <f>(D39-$B$2)*(H39-$F$5)</f>
        <v>1.2132611372060093E-2</v>
      </c>
      <c r="M39" s="110" t="s">
        <v>86</v>
      </c>
      <c r="N39" s="103">
        <f>B2+N38*B3</f>
        <v>6.3405308532570892</v>
      </c>
      <c r="O39" s="28"/>
      <c r="P39" s="109"/>
    </row>
    <row r="40" spans="1:16" ht="16.8" x14ac:dyDescent="0.75">
      <c r="A40" s="22">
        <v>1987</v>
      </c>
      <c r="B40" s="23">
        <v>1230000</v>
      </c>
      <c r="C40" s="97">
        <v>32</v>
      </c>
      <c r="D40" s="26">
        <f t="shared" si="0"/>
        <v>6.0899051114393981</v>
      </c>
      <c r="E40" s="98">
        <f t="shared" si="1"/>
        <v>-2.6285214995145283E-5</v>
      </c>
      <c r="F40" s="98">
        <f t="shared" si="2"/>
        <v>0.35835694050991501</v>
      </c>
      <c r="G40" s="98">
        <f t="shared" si="4"/>
        <v>-0.3628540933694791</v>
      </c>
      <c r="H40" s="98">
        <f>2/$F$4*(1+$F$4*G40/6-$F$4^2/36)^3-2/$F$4</f>
        <v>-0.33628781363250582</v>
      </c>
      <c r="I40" s="98">
        <f>(D40-$B$2)^2</f>
        <v>8.8404496648078154E-4</v>
      </c>
      <c r="J40" s="98">
        <f t="shared" si="3"/>
        <v>0.11382138559709641</v>
      </c>
      <c r="K40" s="98">
        <f>(D40-$B$2)*(H40-$F$5)</f>
        <v>1.0031112750586607E-2</v>
      </c>
      <c r="M40" s="110" t="s">
        <v>77</v>
      </c>
      <c r="N40" s="103">
        <f>10^(N39)</f>
        <v>2190437.4361446234</v>
      </c>
      <c r="O40" s="28" t="s">
        <v>78</v>
      </c>
      <c r="P40" s="109"/>
    </row>
    <row r="41" spans="1:16" ht="16.8" x14ac:dyDescent="0.7">
      <c r="A41" s="22">
        <v>1964</v>
      </c>
      <c r="B41" s="23">
        <v>1270000</v>
      </c>
      <c r="C41" s="97">
        <v>33</v>
      </c>
      <c r="D41" s="26">
        <f t="shared" ref="D41:D72" si="5">LOG(B41)</f>
        <v>6.1038037209559572</v>
      </c>
      <c r="E41" s="98">
        <f t="shared" ref="E41:E72" si="6">(D41-$B$2)^3</f>
        <v>-3.9700438487917089E-6</v>
      </c>
      <c r="F41" s="98">
        <f t="shared" ref="F41:F72" si="7">(C41-3/8)/($B$1+1/4)</f>
        <v>0.36968838526912179</v>
      </c>
      <c r="G41" s="98">
        <f t="shared" si="4"/>
        <v>-0.33267877813035435</v>
      </c>
      <c r="H41" s="98">
        <f>2/$F$4*(1+$F$4*G41/6-$F$4^2/36)^3-2/$F$4</f>
        <v>-0.30553634130926</v>
      </c>
      <c r="I41" s="98">
        <f>(D41-$B$2)^2</f>
        <v>2.5072455491246024E-4</v>
      </c>
      <c r="J41" s="98">
        <f t="shared" ref="J41:J72" si="8">(H41-$F$5)^2</f>
        <v>9.4017528729990529E-2</v>
      </c>
      <c r="K41" s="98">
        <f>(D41-$B$2)*(H41-$F$5)</f>
        <v>4.8551522164393896E-3</v>
      </c>
      <c r="M41" s="110" t="s">
        <v>90</v>
      </c>
      <c r="N41" s="103">
        <f>(N37^2-1)/6+4*(N37^3-6*N37)/6^3*F4-3*(N37^2-1)/6^3*F4^2+4*N37/6^4*F4^3-(10/6^6)*F4^4</f>
        <v>0.73784703840012533</v>
      </c>
      <c r="O41" s="28"/>
      <c r="P41" s="109"/>
    </row>
    <row r="42" spans="1:16" ht="14.7" x14ac:dyDescent="0.55000000000000004">
      <c r="A42" s="22">
        <v>1936</v>
      </c>
      <c r="B42" s="23">
        <v>1280000</v>
      </c>
      <c r="C42" s="97">
        <v>34.5</v>
      </c>
      <c r="D42" s="26">
        <f t="shared" si="5"/>
        <v>6.1072099696478688</v>
      </c>
      <c r="E42" s="98">
        <f t="shared" si="6"/>
        <v>-1.9195854622623428E-6</v>
      </c>
      <c r="F42" s="98">
        <f t="shared" si="7"/>
        <v>0.38668555240793201</v>
      </c>
      <c r="G42" s="98">
        <f t="shared" si="4"/>
        <v>-0.28796816858829238</v>
      </c>
      <c r="H42" s="98">
        <f>2/$F$4*(1+$F$4*G42/6-$F$4^2/36)^3-2/$F$4</f>
        <v>-0.26007301544123251</v>
      </c>
      <c r="I42" s="98">
        <f>(D42-$B$2)^2</f>
        <v>1.5445606563753295E-4</v>
      </c>
      <c r="J42" s="98">
        <f t="shared" si="8"/>
        <v>6.8204260069474304E-2</v>
      </c>
      <c r="K42" s="98">
        <f>(D42-$B$2)*(H42-$F$5)</f>
        <v>3.245698949386725E-3</v>
      </c>
      <c r="M42" s="110" t="s">
        <v>83</v>
      </c>
      <c r="N42" s="103">
        <f>SQRT(1+N38*F4+N38^2/2*(3*F4^3/4+1)+3*N38*N41*(F4+F4^3/4)+3*N41^2*(2+3*F4^2+5*F4^4/8))</f>
        <v>2.3559238147620207</v>
      </c>
      <c r="O42" s="28"/>
      <c r="P42" s="109"/>
    </row>
    <row r="43" spans="1:16" ht="16.8" x14ac:dyDescent="0.75">
      <c r="A43" s="22">
        <v>1995</v>
      </c>
      <c r="B43" s="23">
        <v>1280000</v>
      </c>
      <c r="C43" s="97">
        <v>34.5</v>
      </c>
      <c r="D43" s="26">
        <f t="shared" si="5"/>
        <v>6.1072099696478688</v>
      </c>
      <c r="E43" s="98">
        <f t="shared" si="6"/>
        <v>-1.9195854622623428E-6</v>
      </c>
      <c r="F43" s="98">
        <f t="shared" si="7"/>
        <v>0.38668555240793201</v>
      </c>
      <c r="G43" s="98">
        <f t="shared" si="4"/>
        <v>-0.28796816858829238</v>
      </c>
      <c r="H43" s="98">
        <f>2/$F$4*(1+$F$4*G43/6-$F$4^2/36)^3-2/$F$4</f>
        <v>-0.26007301544123251</v>
      </c>
      <c r="I43" s="98">
        <f>(D43-$B$2)^2</f>
        <v>1.5445606563753295E-4</v>
      </c>
      <c r="J43" s="98">
        <f t="shared" si="8"/>
        <v>6.8204260069474304E-2</v>
      </c>
      <c r="K43" s="98">
        <f>(D43-$B$2)*(H43-$F$5)</f>
        <v>3.245698949386725E-3</v>
      </c>
      <c r="M43" s="110" t="s">
        <v>91</v>
      </c>
      <c r="N43" s="103">
        <f>N42/SQRT(B1)*B3</f>
        <v>2.5282999848826607E-2</v>
      </c>
      <c r="O43" s="28"/>
      <c r="P43" s="109"/>
    </row>
    <row r="44" spans="1:16" ht="16.8" x14ac:dyDescent="0.75">
      <c r="A44" s="22">
        <v>1955</v>
      </c>
      <c r="B44" s="23">
        <v>1282000</v>
      </c>
      <c r="C44" s="97">
        <v>36</v>
      </c>
      <c r="D44" s="26">
        <f t="shared" si="5"/>
        <v>6.1078880251827989</v>
      </c>
      <c r="E44" s="98">
        <f t="shared" si="6"/>
        <v>-1.6222260642701955E-6</v>
      </c>
      <c r="F44" s="98">
        <f t="shared" si="7"/>
        <v>0.40368271954674223</v>
      </c>
      <c r="G44" s="98">
        <f t="shared" si="4"/>
        <v>-0.24382618560742569</v>
      </c>
      <c r="H44" s="98">
        <f>2/$F$4*(1+$F$4*G44/6-$F$4^2/36)^3-2/$F$4</f>
        <v>-0.2153060310888204</v>
      </c>
      <c r="I44" s="98">
        <f>(D44-$B$2)^2</f>
        <v>1.3806202846882834E-4</v>
      </c>
      <c r="J44" s="98">
        <f t="shared" si="8"/>
        <v>4.682570063506343E-2</v>
      </c>
      <c r="K44" s="98">
        <f>(D44-$B$2)*(H44-$F$5)</f>
        <v>2.5426071686658483E-3</v>
      </c>
      <c r="M44" s="110" t="s">
        <v>82</v>
      </c>
      <c r="N44" s="102">
        <f>N40*(10^N43-10^-N43)/2</f>
        <v>127591.11418897289</v>
      </c>
      <c r="O44" s="28" t="s">
        <v>78</v>
      </c>
      <c r="P44" s="109"/>
    </row>
    <row r="45" spans="1:16" ht="17.100000000000001" x14ac:dyDescent="0.75">
      <c r="A45" s="22">
        <v>1965</v>
      </c>
      <c r="B45" s="23">
        <v>1284000</v>
      </c>
      <c r="C45" s="97">
        <v>37</v>
      </c>
      <c r="D45" s="26">
        <f t="shared" si="5"/>
        <v>6.1085650237328348</v>
      </c>
      <c r="E45" s="98">
        <f t="shared" si="6"/>
        <v>-1.3576683987218689E-6</v>
      </c>
      <c r="F45" s="98">
        <f t="shared" si="7"/>
        <v>0.41501416430594901</v>
      </c>
      <c r="G45" s="98">
        <f t="shared" si="4"/>
        <v>-0.21466523566554077</v>
      </c>
      <c r="H45" s="98">
        <f>2/$F$4*(1+$F$4*G45/6-$F$4^2/36)^3-2/$F$4</f>
        <v>-0.1857965074514123</v>
      </c>
      <c r="I45" s="98">
        <f>(D45-$B$2)^2</f>
        <v>1.2261091674792217E-4</v>
      </c>
      <c r="J45" s="98">
        <f t="shared" si="8"/>
        <v>3.4925235263206719E-2</v>
      </c>
      <c r="K45" s="98">
        <f>(D45-$B$2)*(H45-$F$5)</f>
        <v>2.0693513750106906E-3</v>
      </c>
      <c r="M45" s="110" t="s">
        <v>92</v>
      </c>
      <c r="N45" s="103">
        <f>_xlfn.NORM.INV(0.95,0,1)</f>
        <v>1.6448536269514715</v>
      </c>
      <c r="O45" s="28" t="s">
        <v>93</v>
      </c>
      <c r="P45" s="109"/>
    </row>
    <row r="46" spans="1:16" ht="17.7" x14ac:dyDescent="0.75">
      <c r="A46" s="22">
        <v>1947</v>
      </c>
      <c r="B46" s="23">
        <v>1301000</v>
      </c>
      <c r="C46" s="97">
        <v>38</v>
      </c>
      <c r="D46" s="26">
        <f t="shared" si="5"/>
        <v>6.1142772965615864</v>
      </c>
      <c r="E46" s="98">
        <f t="shared" si="6"/>
        <v>-1.5405173366809839E-7</v>
      </c>
      <c r="F46" s="98">
        <f t="shared" si="7"/>
        <v>0.42634560906515578</v>
      </c>
      <c r="G46" s="98">
        <f t="shared" si="4"/>
        <v>-0.1856857317647102</v>
      </c>
      <c r="H46" s="98">
        <f>2/$F$4*(1+$F$4*G46/6-$F$4^2/36)^3-2/$F$4</f>
        <v>-0.15652124003042722</v>
      </c>
      <c r="I46" s="98">
        <f>(D46-$B$2)^2</f>
        <v>2.8737196222791955E-5</v>
      </c>
      <c r="J46" s="98">
        <f t="shared" si="8"/>
        <v>2.4840180142610958E-2</v>
      </c>
      <c r="K46" s="98">
        <f>(D46-$B$2)*(H46-$F$5)</f>
        <v>8.4488882757893736E-4</v>
      </c>
      <c r="M46" s="110" t="s">
        <v>84</v>
      </c>
      <c r="N46" s="119">
        <f>N40+N44*N45</f>
        <v>2400306.1430851347</v>
      </c>
      <c r="O46" s="28"/>
      <c r="P46" s="109"/>
    </row>
    <row r="47" spans="1:16" ht="18" thickBot="1" x14ac:dyDescent="0.8">
      <c r="A47" s="22">
        <v>1970</v>
      </c>
      <c r="B47" s="23">
        <v>1304000</v>
      </c>
      <c r="C47" s="97">
        <v>39</v>
      </c>
      <c r="D47" s="26">
        <f t="shared" si="5"/>
        <v>6.115277591395901</v>
      </c>
      <c r="E47" s="98">
        <f t="shared" si="6"/>
        <v>-8.2905452292404242E-8</v>
      </c>
      <c r="F47" s="98">
        <f t="shared" si="7"/>
        <v>0.43767705382436262</v>
      </c>
      <c r="G47" s="98">
        <f t="shared" si="4"/>
        <v>-0.15686136685624064</v>
      </c>
      <c r="H47" s="98">
        <f>2/$F$4*(1+$F$4*G47/6-$F$4^2/36)^3-2/$F$4</f>
        <v>-0.12745273035526239</v>
      </c>
      <c r="I47" s="98">
        <f>(D47-$B$2)^2</f>
        <v>1.9013207824603971E-5</v>
      </c>
      <c r="J47" s="98">
        <f t="shared" si="8"/>
        <v>1.652231777574624E-2</v>
      </c>
      <c r="K47" s="98">
        <f>(D47-$B$2)*(H47-$F$5)</f>
        <v>5.6048395303916741E-4</v>
      </c>
      <c r="M47" s="118" t="s">
        <v>85</v>
      </c>
      <c r="N47" s="120">
        <f>N40-N44*N45</f>
        <v>1980568.729204112</v>
      </c>
      <c r="O47" s="114"/>
      <c r="P47" s="115"/>
    </row>
    <row r="48" spans="1:16" x14ac:dyDescent="0.55000000000000004">
      <c r="A48" s="22">
        <v>1957</v>
      </c>
      <c r="B48" s="23">
        <v>1312000</v>
      </c>
      <c r="C48" s="97">
        <v>40.5</v>
      </c>
      <c r="D48" s="26">
        <f t="shared" si="5"/>
        <v>6.1179338350396417</v>
      </c>
      <c r="E48" s="98">
        <f t="shared" si="6"/>
        <v>-4.949243335342726E-9</v>
      </c>
      <c r="F48" s="98">
        <f t="shared" si="7"/>
        <v>0.45467422096317278</v>
      </c>
      <c r="G48" s="98">
        <f t="shared" si="4"/>
        <v>-0.1138604197443442</v>
      </c>
      <c r="H48" s="98">
        <f>2/$F$4*(1+$F$4*G48/6-$F$4^2/36)^3-2/$F$4</f>
        <v>-8.4180219444341731E-2</v>
      </c>
      <c r="I48" s="98">
        <f>(D48-$B$2)^2</f>
        <v>2.9041956546954693E-6</v>
      </c>
      <c r="J48" s="98">
        <f t="shared" si="8"/>
        <v>7.2704028546718025E-3</v>
      </c>
      <c r="K48" s="98">
        <f>(D48-$B$2)*(H48-$F$5)</f>
        <v>1.4530888609587297E-4</v>
      </c>
    </row>
    <row r="49" spans="1:11" x14ac:dyDescent="0.55000000000000004">
      <c r="A49" s="22">
        <v>1986</v>
      </c>
      <c r="B49" s="23">
        <v>1312000</v>
      </c>
      <c r="C49" s="97">
        <v>40.5</v>
      </c>
      <c r="D49" s="26">
        <f t="shared" si="5"/>
        <v>6.1179338350396417</v>
      </c>
      <c r="E49" s="98">
        <f t="shared" si="6"/>
        <v>-4.949243335342726E-9</v>
      </c>
      <c r="F49" s="98">
        <f t="shared" si="7"/>
        <v>0.45467422096317278</v>
      </c>
      <c r="G49" s="98">
        <f t="shared" si="4"/>
        <v>-0.1138604197443442</v>
      </c>
      <c r="H49" s="98">
        <f>2/$F$4*(1+$F$4*G49/6-$F$4^2/36)^3-2/$F$4</f>
        <v>-8.4180219444341731E-2</v>
      </c>
      <c r="I49" s="98">
        <f>(D49-$B$2)^2</f>
        <v>2.9041956546954693E-6</v>
      </c>
      <c r="J49" s="98">
        <f t="shared" si="8"/>
        <v>7.2704028546718025E-3</v>
      </c>
      <c r="K49" s="98">
        <f>(D49-$B$2)*(H49-$F$5)</f>
        <v>1.4530888609587297E-4</v>
      </c>
    </row>
    <row r="50" spans="1:11" x14ac:dyDescent="0.55000000000000004">
      <c r="A50" s="22">
        <v>1999</v>
      </c>
      <c r="B50" s="7">
        <v>1315000</v>
      </c>
      <c r="C50" s="97">
        <v>42</v>
      </c>
      <c r="D50" s="26">
        <f t="shared" si="5"/>
        <v>6.1189257528257768</v>
      </c>
      <c r="E50" s="98">
        <f t="shared" si="6"/>
        <v>-3.6132795749195425E-10</v>
      </c>
      <c r="F50" s="98">
        <f t="shared" si="7"/>
        <v>0.471671388101983</v>
      </c>
      <c r="G50" s="98">
        <f t="shared" si="4"/>
        <v>-7.1069080386176819E-2</v>
      </c>
      <c r="H50" s="98">
        <f>2/$F$4*(1+$F$4*G50/6-$F$4^2/36)^3-2/$F$4</f>
        <v>-4.1228651021636864E-2</v>
      </c>
      <c r="I50" s="98">
        <f>(D50-$B$2)^2</f>
        <v>5.0730332724385633E-7</v>
      </c>
      <c r="J50" s="98">
        <f t="shared" si="8"/>
        <v>1.7905667504432637E-3</v>
      </c>
      <c r="K50" s="98">
        <f>(D50-$B$2)*(H50-$F$5)</f>
        <v>3.0139019064197951E-5</v>
      </c>
    </row>
    <row r="51" spans="1:11" x14ac:dyDescent="0.55000000000000004">
      <c r="A51" s="22">
        <v>1971</v>
      </c>
      <c r="B51" s="23">
        <v>1320000</v>
      </c>
      <c r="C51" s="97">
        <v>43.5</v>
      </c>
      <c r="D51" s="26">
        <f t="shared" si="5"/>
        <v>6.1205739312058496</v>
      </c>
      <c r="E51" s="98">
        <f t="shared" si="6"/>
        <v>8.1983160990568165E-10</v>
      </c>
      <c r="F51" s="98">
        <f t="shared" si="7"/>
        <v>0.48866855524079322</v>
      </c>
      <c r="G51" s="98">
        <f t="shared" si="4"/>
        <v>-2.8407540122316478E-2</v>
      </c>
      <c r="H51" s="98">
        <f>2/$F$4*(1+$F$4*G51/6-$F$4^2/36)^3-2/$F$4</f>
        <v>1.483528348341423E-3</v>
      </c>
      <c r="I51" s="98">
        <f>(D51-$B$2)^2</f>
        <v>8.7595764261830677E-7</v>
      </c>
      <c r="J51" s="98">
        <f t="shared" si="8"/>
        <v>1.5768082418999536E-7</v>
      </c>
      <c r="K51" s="98">
        <f>(D51-$B$2)*(H51-$F$5)</f>
        <v>3.7164731001795239E-7</v>
      </c>
    </row>
    <row r="52" spans="1:11" x14ac:dyDescent="0.55000000000000004">
      <c r="A52" s="22">
        <v>2010</v>
      </c>
      <c r="B52" s="7">
        <v>1320000</v>
      </c>
      <c r="C52" s="97">
        <v>43.5</v>
      </c>
      <c r="D52" s="26">
        <f t="shared" si="5"/>
        <v>6.1205739312058496</v>
      </c>
      <c r="E52" s="98">
        <f t="shared" si="6"/>
        <v>8.1983160990568165E-10</v>
      </c>
      <c r="F52" s="98">
        <f t="shared" si="7"/>
        <v>0.48866855524079322</v>
      </c>
      <c r="G52" s="98">
        <f t="shared" si="4"/>
        <v>-2.8407540122316478E-2</v>
      </c>
      <c r="H52" s="98">
        <f>2/$F$4*(1+$F$4*G52/6-$F$4^2/36)^3-2/$F$4</f>
        <v>1.483528348341423E-3</v>
      </c>
      <c r="I52" s="98">
        <f>(D52-$B$2)^2</f>
        <v>8.7595764261830677E-7</v>
      </c>
      <c r="J52" s="98">
        <f t="shared" si="8"/>
        <v>1.5768082418999536E-7</v>
      </c>
      <c r="K52" s="98">
        <f>(D52-$B$2)*(H52-$F$5)</f>
        <v>3.7164731001795239E-7</v>
      </c>
    </row>
    <row r="53" spans="1:11" x14ac:dyDescent="0.55000000000000004">
      <c r="A53" s="22">
        <v>1928</v>
      </c>
      <c r="B53" s="23">
        <v>1325000</v>
      </c>
      <c r="C53" s="97">
        <v>45</v>
      </c>
      <c r="D53" s="26">
        <f t="shared" si="5"/>
        <v>6.1222158782728267</v>
      </c>
      <c r="E53" s="98">
        <f t="shared" si="6"/>
        <v>1.7131075612869243E-8</v>
      </c>
      <c r="F53" s="98">
        <f t="shared" si="7"/>
        <v>0.50566572237960339</v>
      </c>
      <c r="G53" s="98">
        <f t="shared" si="4"/>
        <v>1.4202337348835083E-2</v>
      </c>
      <c r="H53" s="98">
        <f>2/$F$4*(1+$F$4*G53/6-$F$4^2/36)^3-2/$F$4</f>
        <v>4.4035381775874072E-2</v>
      </c>
      <c r="I53" s="98">
        <f>(D53-$B$2)^2</f>
        <v>6.6454300043063845E-6</v>
      </c>
      <c r="J53" s="98">
        <f t="shared" si="8"/>
        <v>1.8446117800557935E-3</v>
      </c>
      <c r="K53" s="98">
        <f>(D53-$B$2)*(H53-$F$5)</f>
        <v>1.1071692946193811E-4</v>
      </c>
    </row>
    <row r="54" spans="1:11" x14ac:dyDescent="0.55000000000000004">
      <c r="A54" s="22">
        <v>1993</v>
      </c>
      <c r="B54" s="23">
        <v>1333000</v>
      </c>
      <c r="C54" s="97">
        <v>46</v>
      </c>
      <c r="D54" s="26">
        <f t="shared" si="5"/>
        <v>6.1248301494138593</v>
      </c>
      <c r="E54" s="98">
        <f t="shared" si="6"/>
        <v>1.39971707534161E-7</v>
      </c>
      <c r="F54" s="98">
        <f t="shared" si="7"/>
        <v>0.51699716713881017</v>
      </c>
      <c r="G54" s="98">
        <f t="shared" si="4"/>
        <v>4.2618477794149533E-2</v>
      </c>
      <c r="H54" s="98">
        <f>2/$F$4*(1+$F$4*G54/6-$F$4^2/36)^3-2/$F$4</f>
        <v>7.2352568658187622E-2</v>
      </c>
      <c r="I54" s="98">
        <f>(D54-$B$2)^2</f>
        <v>2.6958362392912288E-5</v>
      </c>
      <c r="J54" s="98">
        <f t="shared" si="8"/>
        <v>5.0788613932477621E-3</v>
      </c>
      <c r="K54" s="98">
        <f>(D54-$B$2)*(H54-$F$5)</f>
        <v>3.7002403433093989E-4</v>
      </c>
    </row>
    <row r="55" spans="1:11" x14ac:dyDescent="0.55000000000000004">
      <c r="A55" s="22">
        <v>1963</v>
      </c>
      <c r="B55" s="23">
        <v>1334000</v>
      </c>
      <c r="C55" s="97">
        <v>47</v>
      </c>
      <c r="D55" s="26">
        <f t="shared" si="5"/>
        <v>6.12515582958053</v>
      </c>
      <c r="E55" s="98">
        <f t="shared" si="6"/>
        <v>1.6799781791099367E-7</v>
      </c>
      <c r="F55" s="98">
        <f t="shared" si="7"/>
        <v>0.52832861189801694</v>
      </c>
      <c r="G55" s="98">
        <f t="shared" si="4"/>
        <v>7.1069080386176667E-2</v>
      </c>
      <c r="H55" s="98">
        <f>2/$F$4*(1+$F$4*G55/6-$F$4^2/36)^3-2/$F$4</f>
        <v>0.10065584185279697</v>
      </c>
      <c r="I55" s="98">
        <f>(D55-$B$2)^2</f>
        <v>3.0446386803426077E-5</v>
      </c>
      <c r="J55" s="98">
        <f t="shared" si="8"/>
        <v>9.9140662035217802E-3</v>
      </c>
      <c r="K55" s="98">
        <f>(D55-$B$2)*(H55-$F$5)</f>
        <v>5.4940649288773237E-4</v>
      </c>
    </row>
    <row r="56" spans="1:11" x14ac:dyDescent="0.55000000000000004">
      <c r="A56" s="22">
        <v>1978</v>
      </c>
      <c r="B56" s="23">
        <v>1350000</v>
      </c>
      <c r="C56" s="97">
        <v>48.5</v>
      </c>
      <c r="D56" s="26">
        <f t="shared" si="5"/>
        <v>6.1303337684950066</v>
      </c>
      <c r="E56" s="98">
        <f t="shared" si="6"/>
        <v>1.2235884233149796E-6</v>
      </c>
      <c r="F56" s="98">
        <f t="shared" si="7"/>
        <v>0.54532577903682722</v>
      </c>
      <c r="G56" s="98">
        <f t="shared" si="4"/>
        <v>0.1138604197443442</v>
      </c>
      <c r="H56" s="98">
        <f>2/$F$4*(1+$F$4*G56/6-$F$4^2/36)^3-2/$F$4</f>
        <v>0.14313475309514168</v>
      </c>
      <c r="I56" s="98">
        <f>(D56-$B$2)^2</f>
        <v>1.1439935422492428E-4</v>
      </c>
      <c r="J56" s="98">
        <f t="shared" si="8"/>
        <v>2.0177723849787617E-2</v>
      </c>
      <c r="K56" s="98">
        <f>(D56-$B$2)*(H56-$F$5)</f>
        <v>1.5193151674832172E-3</v>
      </c>
    </row>
    <row r="57" spans="1:11" x14ac:dyDescent="0.55000000000000004">
      <c r="A57" s="22">
        <v>1998</v>
      </c>
      <c r="B57" s="7">
        <v>1350000</v>
      </c>
      <c r="C57" s="97">
        <v>48.5</v>
      </c>
      <c r="D57" s="26">
        <f t="shared" si="5"/>
        <v>6.1303337684950066</v>
      </c>
      <c r="E57" s="98">
        <f t="shared" si="6"/>
        <v>1.2235884233149796E-6</v>
      </c>
      <c r="F57" s="98">
        <f t="shared" si="7"/>
        <v>0.54532577903682722</v>
      </c>
      <c r="G57" s="98">
        <f t="shared" si="4"/>
        <v>0.1138604197443442</v>
      </c>
      <c r="H57" s="98">
        <f>2/$F$4*(1+$F$4*G57/6-$F$4^2/36)^3-2/$F$4</f>
        <v>0.14313475309514168</v>
      </c>
      <c r="I57" s="98">
        <f>(D57-$B$2)^2</f>
        <v>1.1439935422492428E-4</v>
      </c>
      <c r="J57" s="98">
        <f t="shared" si="8"/>
        <v>2.0177723849787617E-2</v>
      </c>
      <c r="K57" s="98">
        <f>(D57-$B$2)*(H57-$F$5)</f>
        <v>1.5193151674832172E-3</v>
      </c>
    </row>
    <row r="58" spans="1:11" x14ac:dyDescent="0.55000000000000004">
      <c r="A58" s="22">
        <v>1951</v>
      </c>
      <c r="B58" s="23">
        <v>1356000</v>
      </c>
      <c r="C58" s="97">
        <v>50</v>
      </c>
      <c r="D58" s="26">
        <f t="shared" si="5"/>
        <v>6.1322596895310442</v>
      </c>
      <c r="E58" s="98">
        <f t="shared" si="6"/>
        <v>2.010721636700405E-6</v>
      </c>
      <c r="F58" s="98">
        <f t="shared" si="7"/>
        <v>0.56232294617563738</v>
      </c>
      <c r="G58" s="98">
        <f t="shared" si="4"/>
        <v>0.15686136685624064</v>
      </c>
      <c r="H58" s="98">
        <f>2/$F$4*(1+$F$4*G58/6-$F$4^2/36)^3-2/$F$4</f>
        <v>0.1857119428993812</v>
      </c>
      <c r="I58" s="98">
        <f>(D58-$B$2)^2</f>
        <v>1.5930691743193401E-4</v>
      </c>
      <c r="J58" s="98">
        <f t="shared" si="8"/>
        <v>3.4086577096288623E-2</v>
      </c>
      <c r="K58" s="98">
        <f>(D58-$B$2)*(H58-$F$5)</f>
        <v>2.3302848587706407E-3</v>
      </c>
    </row>
    <row r="59" spans="1:11" x14ac:dyDescent="0.55000000000000004">
      <c r="A59" s="22">
        <v>1933</v>
      </c>
      <c r="B59" s="23">
        <v>1360000</v>
      </c>
      <c r="C59" s="97">
        <v>51</v>
      </c>
      <c r="D59" s="26">
        <f t="shared" si="5"/>
        <v>6.1335389083702179</v>
      </c>
      <c r="E59" s="98">
        <f t="shared" si="6"/>
        <v>2.6861425863223931E-6</v>
      </c>
      <c r="F59" s="98">
        <f t="shared" si="7"/>
        <v>0.57365439093484416</v>
      </c>
      <c r="G59" s="98">
        <f t="shared" si="4"/>
        <v>0.18568573176471007</v>
      </c>
      <c r="H59" s="98">
        <f>2/$F$4*(1+$F$4*G59/6-$F$4^2/36)^3-2/$F$4</f>
        <v>0.2141907076327243</v>
      </c>
      <c r="I59" s="98">
        <f>(D59-$B$2)^2</f>
        <v>1.9323511123793121E-4</v>
      </c>
      <c r="J59" s="98">
        <f t="shared" si="8"/>
        <v>4.5413429778331668E-2</v>
      </c>
      <c r="K59" s="98">
        <f>(D59-$B$2)*(H59-$F$5)</f>
        <v>2.9623418362693891E-3</v>
      </c>
    </row>
    <row r="60" spans="1:11" x14ac:dyDescent="0.55000000000000004">
      <c r="A60" s="22">
        <v>1952</v>
      </c>
      <c r="B60" s="23">
        <v>1368000</v>
      </c>
      <c r="C60" s="97">
        <v>52</v>
      </c>
      <c r="D60" s="26">
        <f t="shared" si="5"/>
        <v>6.1360860973840978</v>
      </c>
      <c r="E60" s="98">
        <f t="shared" si="6"/>
        <v>4.4498625922139548E-6</v>
      </c>
      <c r="F60" s="98">
        <f t="shared" si="7"/>
        <v>0.58498583569405094</v>
      </c>
      <c r="G60" s="98">
        <f t="shared" si="4"/>
        <v>0.2146652356655406</v>
      </c>
      <c r="H60" s="98">
        <f>2/$F$4*(1+$F$4*G60/6-$F$4^2/36)^3-2/$F$4</f>
        <v>0.24277300253367784</v>
      </c>
      <c r="I60" s="98">
        <f>(D60-$B$2)^2</f>
        <v>2.705397392063845E-4</v>
      </c>
      <c r="J60" s="98">
        <f t="shared" si="8"/>
        <v>5.8412395524444757E-2</v>
      </c>
      <c r="K60" s="98">
        <f>(D60-$B$2)*(H60-$F$5)</f>
        <v>3.9752829146619826E-3</v>
      </c>
    </row>
    <row r="61" spans="1:11" x14ac:dyDescent="0.55000000000000004">
      <c r="A61" s="22">
        <v>1980</v>
      </c>
      <c r="B61" s="23">
        <v>1370000</v>
      </c>
      <c r="C61" s="97">
        <v>53.5</v>
      </c>
      <c r="D61" s="26">
        <f t="shared" si="5"/>
        <v>6.1367205671564067</v>
      </c>
      <c r="E61" s="98">
        <f t="shared" si="6"/>
        <v>4.9849294914091896E-6</v>
      </c>
      <c r="F61" s="98">
        <f t="shared" si="7"/>
        <v>0.60198300283286121</v>
      </c>
      <c r="G61" s="98">
        <f t="shared" si="4"/>
        <v>0.25848322412897878</v>
      </c>
      <c r="H61" s="98">
        <f>2/$F$4*(1+$F$4*G61/6-$F$4^2/36)^3-2/$F$4</f>
        <v>0.28589576074698364</v>
      </c>
      <c r="I61" s="98">
        <f>(D61-$B$2)^2</f>
        <v>2.9181392580880552E-4</v>
      </c>
      <c r="J61" s="98">
        <f t="shared" si="8"/>
        <v>8.1116350380576005E-2</v>
      </c>
      <c r="K61" s="98">
        <f>(D61-$B$2)*(H61-$F$5)</f>
        <v>4.865272926757396E-3</v>
      </c>
    </row>
    <row r="62" spans="1:11" x14ac:dyDescent="0.55000000000000004">
      <c r="A62" s="22">
        <v>2003</v>
      </c>
      <c r="B62" s="7">
        <v>1370000</v>
      </c>
      <c r="C62" s="97">
        <v>53.5</v>
      </c>
      <c r="D62" s="26">
        <f t="shared" si="5"/>
        <v>6.1367205671564067</v>
      </c>
      <c r="E62" s="98">
        <f t="shared" si="6"/>
        <v>4.9849294914091896E-6</v>
      </c>
      <c r="F62" s="98">
        <f t="shared" si="7"/>
        <v>0.60198300283286121</v>
      </c>
      <c r="G62" s="98">
        <f t="shared" si="4"/>
        <v>0.25848322412897878</v>
      </c>
      <c r="H62" s="98">
        <f>2/$F$4*(1+$F$4*G62/6-$F$4^2/36)^3-2/$F$4</f>
        <v>0.28589576074698364</v>
      </c>
      <c r="I62" s="98">
        <f>(D62-$B$2)^2</f>
        <v>2.9181392580880552E-4</v>
      </c>
      <c r="J62" s="98">
        <f t="shared" si="8"/>
        <v>8.1116350380576005E-2</v>
      </c>
      <c r="K62" s="98">
        <f>(D62-$B$2)*(H62-$F$5)</f>
        <v>4.865272926757396E-3</v>
      </c>
    </row>
    <row r="63" spans="1:11" x14ac:dyDescent="0.55000000000000004">
      <c r="A63" s="22">
        <v>1990</v>
      </c>
      <c r="B63" s="23">
        <v>1380000</v>
      </c>
      <c r="C63" s="97">
        <v>55.5</v>
      </c>
      <c r="D63" s="26">
        <f t="shared" si="5"/>
        <v>6.1398790864012369</v>
      </c>
      <c r="E63" s="98">
        <f t="shared" si="6"/>
        <v>8.2927987631409601E-6</v>
      </c>
      <c r="F63" s="98">
        <f t="shared" si="7"/>
        <v>0.62464589235127477</v>
      </c>
      <c r="G63" s="98">
        <f t="shared" si="4"/>
        <v>0.31770566283286567</v>
      </c>
      <c r="H63" s="98">
        <f>2/$F$4*(1+$F$4*G63/6-$F$4^2/36)^3-2/$F$4</f>
        <v>0.34399775272242827</v>
      </c>
      <c r="I63" s="98">
        <f>(D63-$B$2)^2</f>
        <v>4.0970137152976171E-4</v>
      </c>
      <c r="J63" s="98">
        <f t="shared" si="8"/>
        <v>0.11758816983326897</v>
      </c>
      <c r="K63" s="98">
        <f>(D63-$B$2)*(H63-$F$5)</f>
        <v>6.9408957963914752E-3</v>
      </c>
    </row>
    <row r="64" spans="1:11" x14ac:dyDescent="0.55000000000000004">
      <c r="A64" s="22">
        <v>2013</v>
      </c>
      <c r="B64" s="7">
        <v>1380000</v>
      </c>
      <c r="C64" s="97">
        <v>55.5</v>
      </c>
      <c r="D64" s="26">
        <f t="shared" si="5"/>
        <v>6.1398790864012369</v>
      </c>
      <c r="E64" s="98">
        <f t="shared" si="6"/>
        <v>8.2927987631409601E-6</v>
      </c>
      <c r="F64" s="98">
        <f t="shared" si="7"/>
        <v>0.62464589235127477</v>
      </c>
      <c r="G64" s="98">
        <f t="shared" si="4"/>
        <v>0.31770566283286567</v>
      </c>
      <c r="H64" s="98">
        <f>2/$F$4*(1+$F$4*G64/6-$F$4^2/36)^3-2/$F$4</f>
        <v>0.34399775272242827</v>
      </c>
      <c r="I64" s="98">
        <f>(D64-$B$2)^2</f>
        <v>4.0970137152976171E-4</v>
      </c>
      <c r="J64" s="98">
        <f t="shared" si="8"/>
        <v>0.11758816983326897</v>
      </c>
      <c r="K64" s="98">
        <f>(D64-$B$2)*(H64-$F$5)</f>
        <v>6.9408957963914752E-3</v>
      </c>
    </row>
    <row r="65" spans="1:11" x14ac:dyDescent="0.55000000000000004">
      <c r="A65" s="22">
        <v>1948</v>
      </c>
      <c r="B65" s="23">
        <v>1401000</v>
      </c>
      <c r="C65" s="97">
        <v>57</v>
      </c>
      <c r="D65" s="26">
        <f t="shared" si="5"/>
        <v>6.1464381352857744</v>
      </c>
      <c r="E65" s="98">
        <f t="shared" si="6"/>
        <v>1.9249112477275992E-5</v>
      </c>
      <c r="F65" s="98">
        <f t="shared" si="7"/>
        <v>0.64164305949008493</v>
      </c>
      <c r="G65" s="98">
        <f t="shared" si="4"/>
        <v>0.36285409336947888</v>
      </c>
      <c r="H65" s="98">
        <f>2/$F$4*(1+$F$4*G65/6-$F$4^2/36)^3-2/$F$4</f>
        <v>0.38815259810948533</v>
      </c>
      <c r="I65" s="98">
        <f>(D65-$B$2)^2</f>
        <v>7.1824697702972272E-4</v>
      </c>
      <c r="J65" s="98">
        <f t="shared" si="8"/>
        <v>0.14982021237934032</v>
      </c>
      <c r="K65" s="98">
        <f>(D65-$B$2)*(H65-$F$5)</f>
        <v>1.0373423477300645E-2</v>
      </c>
    </row>
    <row r="66" spans="1:11" x14ac:dyDescent="0.55000000000000004">
      <c r="A66" s="22">
        <v>1969</v>
      </c>
      <c r="B66" s="23">
        <v>1404000</v>
      </c>
      <c r="C66" s="97">
        <v>58</v>
      </c>
      <c r="D66" s="26">
        <f t="shared" si="5"/>
        <v>6.1473671077937864</v>
      </c>
      <c r="E66" s="98">
        <f t="shared" si="6"/>
        <v>2.1320993984677863E-5</v>
      </c>
      <c r="F66" s="98">
        <f t="shared" si="7"/>
        <v>0.65297450424929182</v>
      </c>
      <c r="G66" s="98">
        <f t="shared" si="4"/>
        <v>0.39336354407828611</v>
      </c>
      <c r="H66" s="98">
        <f>2/$F$4*(1+$F$4*G66/6-$F$4^2/36)^3-2/$F$4</f>
        <v>0.41792242769311017</v>
      </c>
      <c r="I66" s="98">
        <f>(D66-$B$2)^2</f>
        <v>7.6890313522506805E-4</v>
      </c>
      <c r="J66" s="98">
        <f t="shared" si="8"/>
        <v>0.17375224238682913</v>
      </c>
      <c r="K66" s="98">
        <f>(D66-$B$2)*(H66-$F$5)</f>
        <v>1.1558487960093174E-2</v>
      </c>
    </row>
    <row r="67" spans="1:11" x14ac:dyDescent="0.55000000000000004">
      <c r="A67" s="22">
        <v>1932</v>
      </c>
      <c r="B67" s="23">
        <v>1410000</v>
      </c>
      <c r="C67" s="97">
        <v>59.5</v>
      </c>
      <c r="D67" s="26">
        <f t="shared" si="5"/>
        <v>6.1492191126553797</v>
      </c>
      <c r="E67" s="98">
        <f t="shared" si="6"/>
        <v>2.5884709229044259E-5</v>
      </c>
      <c r="F67" s="98">
        <f t="shared" si="7"/>
        <v>0.66997167138810199</v>
      </c>
      <c r="G67" s="98">
        <f t="shared" si="4"/>
        <v>0.43983494332104195</v>
      </c>
      <c r="H67" s="98">
        <f>2/$F$4*(1+$F$4*G67/6-$F$4^2/36)^3-2/$F$4</f>
        <v>0.46316168758440313</v>
      </c>
      <c r="I67" s="98">
        <f>(D67-$B$2)^2</f>
        <v>8.7504192316017332E-4</v>
      </c>
      <c r="J67" s="98">
        <f t="shared" si="8"/>
        <v>0.21351353637093373</v>
      </c>
      <c r="K67" s="98">
        <f>(D67-$B$2)*(H67-$F$5)</f>
        <v>1.3668697651449881E-2</v>
      </c>
    </row>
    <row r="68" spans="1:11" x14ac:dyDescent="0.55000000000000004">
      <c r="A68" s="22">
        <v>1939</v>
      </c>
      <c r="B68" s="23">
        <v>1410000</v>
      </c>
      <c r="C68" s="97">
        <v>59.5</v>
      </c>
      <c r="D68" s="26">
        <f t="shared" si="5"/>
        <v>6.1492191126553797</v>
      </c>
      <c r="E68" s="98">
        <f t="shared" si="6"/>
        <v>2.5884709229044259E-5</v>
      </c>
      <c r="F68" s="98">
        <f t="shared" si="7"/>
        <v>0.66997167138810199</v>
      </c>
      <c r="G68" s="98">
        <f t="shared" si="4"/>
        <v>0.43983494332104195</v>
      </c>
      <c r="H68" s="98">
        <f>2/$F$4*(1+$F$4*G68/6-$F$4^2/36)^3-2/$F$4</f>
        <v>0.46316168758440313</v>
      </c>
      <c r="I68" s="98">
        <f>(D68-$B$2)^2</f>
        <v>8.7504192316017332E-4</v>
      </c>
      <c r="J68" s="98">
        <f t="shared" si="8"/>
        <v>0.21351353637093373</v>
      </c>
      <c r="K68" s="98">
        <f>(D68-$B$2)*(H68-$F$5)</f>
        <v>1.3668697651449881E-2</v>
      </c>
    </row>
    <row r="69" spans="1:11" x14ac:dyDescent="0.55000000000000004">
      <c r="A69" s="22">
        <v>1935</v>
      </c>
      <c r="B69" s="23">
        <v>1420000</v>
      </c>
      <c r="C69" s="97">
        <v>61</v>
      </c>
      <c r="D69" s="26">
        <f t="shared" si="5"/>
        <v>6.1522883443830567</v>
      </c>
      <c r="E69" s="98">
        <f t="shared" si="6"/>
        <v>3.4806719630023423E-5</v>
      </c>
      <c r="F69" s="98">
        <f t="shared" si="7"/>
        <v>0.68696883852691215</v>
      </c>
      <c r="G69" s="98">
        <f t="shared" si="4"/>
        <v>0.48727660726912242</v>
      </c>
      <c r="H69" s="98">
        <f>2/$F$4*(1+$F$4*G69/6-$F$4^2/36)^3-2/$F$4</f>
        <v>0.5092141811066746</v>
      </c>
      <c r="I69" s="98">
        <f>(D69-$B$2)^2</f>
        <v>1.0660446541477552E-3</v>
      </c>
      <c r="J69" s="98">
        <f t="shared" si="8"/>
        <v>0.25819380341634157</v>
      </c>
      <c r="K69" s="98">
        <f>(D69-$B$2)*(H69-$F$5)</f>
        <v>1.6590543205876874E-2</v>
      </c>
    </row>
    <row r="70" spans="1:11" x14ac:dyDescent="0.55000000000000004">
      <c r="A70" s="22">
        <v>1985</v>
      </c>
      <c r="B70" s="23">
        <v>1430000</v>
      </c>
      <c r="C70" s="97">
        <v>62.5</v>
      </c>
      <c r="D70" s="26">
        <f t="shared" si="5"/>
        <v>6.1553360374650614</v>
      </c>
      <c r="E70" s="98">
        <f t="shared" si="6"/>
        <v>4.5491770154097352E-5</v>
      </c>
      <c r="F70" s="98">
        <f t="shared" si="7"/>
        <v>0.70396600566572243</v>
      </c>
      <c r="G70" s="98">
        <f t="shared" si="4"/>
        <v>0.53584165802237338</v>
      </c>
      <c r="H70" s="98">
        <f>2/$F$4*(1+$F$4*G70/6-$F$4^2/36)^3-2/$F$4</f>
        <v>0.55621995331062024</v>
      </c>
      <c r="I70" s="98">
        <f>(D70-$B$2)^2</f>
        <v>1.2743495134785762E-3</v>
      </c>
      <c r="J70" s="98">
        <f t="shared" si="8"/>
        <v>0.30817321993218977</v>
      </c>
      <c r="K70" s="98">
        <f>(D70-$B$2)*(H70-$F$5)</f>
        <v>1.9817174190275268E-2</v>
      </c>
    </row>
    <row r="71" spans="1:11" x14ac:dyDescent="0.55000000000000004">
      <c r="A71" s="22">
        <v>1989</v>
      </c>
      <c r="B71" s="23">
        <v>1430000</v>
      </c>
      <c r="C71" s="97">
        <v>62.5</v>
      </c>
      <c r="D71" s="26">
        <f t="shared" si="5"/>
        <v>6.1553360374650614</v>
      </c>
      <c r="E71" s="98">
        <f t="shared" si="6"/>
        <v>4.5491770154097352E-5</v>
      </c>
      <c r="F71" s="98">
        <f t="shared" si="7"/>
        <v>0.70396600566572243</v>
      </c>
      <c r="G71" s="98">
        <f t="shared" si="4"/>
        <v>0.53584165802237338</v>
      </c>
      <c r="H71" s="98">
        <f>2/$F$4*(1+$F$4*G71/6-$F$4^2/36)^3-2/$F$4</f>
        <v>0.55621995331062024</v>
      </c>
      <c r="I71" s="98">
        <f>(D71-$B$2)^2</f>
        <v>1.2743495134785762E-3</v>
      </c>
      <c r="J71" s="98">
        <f t="shared" si="8"/>
        <v>0.30817321993218977</v>
      </c>
      <c r="K71" s="98">
        <f>(D71-$B$2)*(H71-$F$5)</f>
        <v>1.9817174190275268E-2</v>
      </c>
    </row>
    <row r="72" spans="1:11" x14ac:dyDescent="0.55000000000000004">
      <c r="A72" s="22">
        <v>1962</v>
      </c>
      <c r="B72" s="23">
        <v>1440000</v>
      </c>
      <c r="C72" s="97">
        <v>64</v>
      </c>
      <c r="D72" s="26">
        <f t="shared" si="5"/>
        <v>6.1583624920952493</v>
      </c>
      <c r="E72" s="98">
        <f t="shared" si="6"/>
        <v>5.8070694334196378E-5</v>
      </c>
      <c r="F72" s="98">
        <f t="shared" si="7"/>
        <v>0.72096317280453259</v>
      </c>
      <c r="G72" s="98">
        <f t="shared" si="4"/>
        <v>0.58570517718287463</v>
      </c>
      <c r="H72" s="98">
        <f>2/$F$4*(1+$F$4*G72/6-$F$4^2/36)^3-2/$F$4</f>
        <v>0.60433828119678523</v>
      </c>
      <c r="I72" s="98">
        <f>(D72-$B$2)^2</f>
        <v>1.4995858916801524E-3</v>
      </c>
      <c r="J72" s="98">
        <f t="shared" si="8"/>
        <v>0.36391278644100866</v>
      </c>
      <c r="K72" s="98">
        <f>(D72-$B$2)*(H72-$F$5)</f>
        <v>2.336061814997516E-2</v>
      </c>
    </row>
    <row r="73" spans="1:11" x14ac:dyDescent="0.55000000000000004">
      <c r="A73" s="22">
        <v>1946</v>
      </c>
      <c r="B73" s="23">
        <v>1481000</v>
      </c>
      <c r="C73" s="97">
        <v>65</v>
      </c>
      <c r="D73" s="26">
        <f t="shared" ref="D73:D96" si="9">LOG(B73)</f>
        <v>6.1705550585212086</v>
      </c>
      <c r="E73" s="98">
        <f t="shared" ref="E73:E96" si="10">(D73-$B$2)^3</f>
        <v>1.3200481979856621E-4</v>
      </c>
      <c r="F73" s="98">
        <f t="shared" ref="F73:F96" si="11">(C73-3/8)/($B$1+1/4)</f>
        <v>0.73229461756373937</v>
      </c>
      <c r="G73" s="98">
        <f t="shared" si="4"/>
        <v>0.61976765739524897</v>
      </c>
      <c r="H73" s="98">
        <f>2/$F$4*(1+$F$4*G73/6-$F$4^2/36)^3-2/$F$4</f>
        <v>0.63712470468995619</v>
      </c>
      <c r="I73" s="98">
        <f>(D73-$B$2)^2</f>
        <v>2.5925463273033223E-3</v>
      </c>
      <c r="J73" s="98">
        <f t="shared" ref="J73:J96" si="12">(H73-$F$5)^2</f>
        <v>0.4045446768212132</v>
      </c>
      <c r="K73" s="98">
        <f>(D73-$B$2)*(H73-$F$5)</f>
        <v>3.2385194396868232E-2</v>
      </c>
    </row>
    <row r="74" spans="1:11" x14ac:dyDescent="0.55000000000000004">
      <c r="A74" s="22">
        <v>1974</v>
      </c>
      <c r="B74" s="23">
        <v>1530000</v>
      </c>
      <c r="C74" s="97">
        <v>66</v>
      </c>
      <c r="D74" s="26">
        <f t="shared" si="9"/>
        <v>6.1846914308175984</v>
      </c>
      <c r="E74" s="98">
        <f t="shared" si="10"/>
        <v>2.753027274892056E-4</v>
      </c>
      <c r="F74" s="98">
        <f t="shared" si="11"/>
        <v>0.74362606232294615</v>
      </c>
      <c r="G74" s="98">
        <f t="shared" ref="G74:G96" si="13">_xlfn.NORM.INV(F74,0,1)</f>
        <v>0.6545649834317665</v>
      </c>
      <c r="H74" s="98">
        <f>2/$F$4*(1+$F$4*G74/6-$F$4^2/36)^3-2/$F$4</f>
        <v>0.67054821316111024</v>
      </c>
      <c r="I74" s="98">
        <f>(D74-$B$2)^2</f>
        <v>4.2319481953018885E-3</v>
      </c>
      <c r="J74" s="98">
        <f t="shared" si="12"/>
        <v>0.44817906853580119</v>
      </c>
      <c r="K74" s="98">
        <f>(D74-$B$2)*(H74-$F$5)</f>
        <v>4.3550781855922698E-2</v>
      </c>
    </row>
    <row r="75" spans="1:11" x14ac:dyDescent="0.55000000000000004">
      <c r="A75" s="22">
        <v>2002</v>
      </c>
      <c r="B75" s="7">
        <v>1537000</v>
      </c>
      <c r="C75" s="97">
        <v>67</v>
      </c>
      <c r="D75" s="26">
        <f t="shared" si="9"/>
        <v>6.1866738674997448</v>
      </c>
      <c r="E75" s="98">
        <f t="shared" si="10"/>
        <v>3.0124621725432328E-4</v>
      </c>
      <c r="F75" s="98">
        <f t="shared" si="11"/>
        <v>0.75495750708215292</v>
      </c>
      <c r="G75" s="98">
        <f t="shared" si="13"/>
        <v>0.69017365944824605</v>
      </c>
      <c r="H75" s="98">
        <f>2/$F$4*(1+$F$4*G75/6-$F$4^2/36)^3-2/$F$4</f>
        <v>0.70467763386239035</v>
      </c>
      <c r="I75" s="98">
        <f>(D75-$B$2)^2</f>
        <v>4.4938068453144273E-3</v>
      </c>
      <c r="J75" s="98">
        <f t="shared" si="12"/>
        <v>0.49504057103583293</v>
      </c>
      <c r="K75" s="98">
        <f>(D75-$B$2)*(H75-$F$5)</f>
        <v>4.716584258580768E-2</v>
      </c>
    </row>
    <row r="76" spans="1:11" x14ac:dyDescent="0.55000000000000004">
      <c r="A76" s="22">
        <v>2005</v>
      </c>
      <c r="B76" s="7">
        <v>1542000</v>
      </c>
      <c r="C76" s="97">
        <v>68</v>
      </c>
      <c r="D76" s="26">
        <f t="shared" si="9"/>
        <v>6.188084373714938</v>
      </c>
      <c r="E76" s="98">
        <f t="shared" si="10"/>
        <v>3.2066476008322793E-4</v>
      </c>
      <c r="F76" s="98">
        <f t="shared" si="11"/>
        <v>0.76628895184135981</v>
      </c>
      <c r="G76" s="98">
        <f t="shared" si="13"/>
        <v>0.7266798559341906</v>
      </c>
      <c r="H76" s="98">
        <f>2/$F$4*(1+$F$4*G76/6-$F$4^2/36)^3-2/$F$4</f>
        <v>0.73959029210638505</v>
      </c>
      <c r="I76" s="98">
        <f>(D76-$B$2)^2</f>
        <v>4.6849053741591607E-3</v>
      </c>
      <c r="J76" s="98">
        <f t="shared" si="12"/>
        <v>0.54538794267773405</v>
      </c>
      <c r="K76" s="98">
        <f>(D76-$B$2)*(H76-$F$5)</f>
        <v>5.0547907015548378E-2</v>
      </c>
    </row>
    <row r="77" spans="1:11" x14ac:dyDescent="0.55000000000000004">
      <c r="A77" s="22">
        <v>2009</v>
      </c>
      <c r="B77" s="7">
        <v>1550000</v>
      </c>
      <c r="C77" s="97">
        <v>69</v>
      </c>
      <c r="D77" s="26">
        <f t="shared" si="9"/>
        <v>6.1903316981702918</v>
      </c>
      <c r="E77" s="98">
        <f t="shared" si="10"/>
        <v>3.5329867579704023E-4</v>
      </c>
      <c r="F77" s="98">
        <f t="shared" si="11"/>
        <v>0.77762039660056659</v>
      </c>
      <c r="G77" s="98">
        <f t="shared" si="13"/>
        <v>0.76418130329089151</v>
      </c>
      <c r="H77" s="98">
        <f>2/$F$4*(1+$F$4*G77/6-$F$4^2/36)^3-2/$F$4</f>
        <v>0.77537367462329065</v>
      </c>
      <c r="I77" s="98">
        <f>(D77-$B$2)^2</f>
        <v>4.9975982374245945E-3</v>
      </c>
      <c r="J77" s="98">
        <f t="shared" si="12"/>
        <v>0.59952072495263997</v>
      </c>
      <c r="K77" s="98">
        <f>(D77-$B$2)*(H77-$F$5)</f>
        <v>5.4737224247515766E-2</v>
      </c>
    </row>
    <row r="78" spans="1:11" x14ac:dyDescent="0.55000000000000004">
      <c r="A78" s="22">
        <v>1994</v>
      </c>
      <c r="B78" s="23">
        <v>1560000</v>
      </c>
      <c r="C78" s="97">
        <v>70</v>
      </c>
      <c r="D78" s="26">
        <f t="shared" si="9"/>
        <v>6.1931245983544612</v>
      </c>
      <c r="E78" s="98">
        <f t="shared" si="10"/>
        <v>3.9684813457163188E-4</v>
      </c>
      <c r="F78" s="98">
        <f t="shared" si="11"/>
        <v>0.78895184135977336</v>
      </c>
      <c r="G78" s="98">
        <f t="shared" si="13"/>
        <v>0.80278966400436147</v>
      </c>
      <c r="H78" s="98">
        <f>2/$F$4*(1+$F$4*G78/6-$F$4^2/36)^3-2/$F$4</f>
        <v>0.81212751058198229</v>
      </c>
      <c r="I78" s="98">
        <f>(D78-$B$2)^2</f>
        <v>5.4002793855561313E-3</v>
      </c>
      <c r="J78" s="98">
        <f t="shared" si="12"/>
        <v>0.65778762157719373</v>
      </c>
      <c r="K78" s="98">
        <f>(D78-$B$2)*(H78-$F$5)</f>
        <v>5.9600645406550058E-2</v>
      </c>
    </row>
    <row r="79" spans="1:11" x14ac:dyDescent="0.55000000000000004">
      <c r="A79" s="22">
        <v>1949</v>
      </c>
      <c r="B79" s="23">
        <v>1574000</v>
      </c>
      <c r="C79" s="97">
        <v>71</v>
      </c>
      <c r="D79" s="26">
        <f t="shared" si="9"/>
        <v>6.197004728023046</v>
      </c>
      <c r="E79" s="98">
        <f t="shared" si="10"/>
        <v>4.6308701583193862E-4</v>
      </c>
      <c r="F79" s="98">
        <f t="shared" si="11"/>
        <v>0.80028328611898014</v>
      </c>
      <c r="G79" s="98">
        <f t="shared" si="13"/>
        <v>0.84263353860634083</v>
      </c>
      <c r="H79" s="98">
        <f>2/$F$4*(1+$F$4*G79/6-$F$4^2/36)^3-2/$F$4</f>
        <v>0.84996640520162003</v>
      </c>
      <c r="I79" s="98">
        <f>(D79-$B$2)^2</f>
        <v>5.9856098131241108E-3</v>
      </c>
      <c r="J79" s="98">
        <f t="shared" si="12"/>
        <v>0.72059719888605522</v>
      </c>
      <c r="K79" s="98">
        <f>(D79-$B$2)*(H79-$F$5)</f>
        <v>6.5675061210189359E-2</v>
      </c>
    </row>
    <row r="80" spans="1:11" x14ac:dyDescent="0.55000000000000004">
      <c r="A80" s="22">
        <v>1961</v>
      </c>
      <c r="B80" s="23">
        <v>1580000</v>
      </c>
      <c r="C80" s="97">
        <v>72</v>
      </c>
      <c r="D80" s="26">
        <f t="shared" si="9"/>
        <v>6.1986570869544222</v>
      </c>
      <c r="E80" s="98">
        <f t="shared" si="10"/>
        <v>4.9339635553290065E-4</v>
      </c>
      <c r="F80" s="98">
        <f t="shared" si="11"/>
        <v>0.81161473087818692</v>
      </c>
      <c r="G80" s="98">
        <f t="shared" si="13"/>
        <v>0.88386232286338462</v>
      </c>
      <c r="H80" s="98">
        <f>2/$F$4*(1+$F$4*G80/6-$F$4^2/36)^3-2/$F$4</f>
        <v>0.88902321479254276</v>
      </c>
      <c r="I80" s="98">
        <f>(D80-$B$2)^2</f>
        <v>6.2440152943303616E-3</v>
      </c>
      <c r="J80" s="98">
        <f t="shared" si="12"/>
        <v>0.78843171975837545</v>
      </c>
      <c r="K80" s="98">
        <f>(D80-$B$2)*(H80-$F$5)</f>
        <v>7.0163948839175858E-2</v>
      </c>
    </row>
    <row r="81" spans="1:11" x14ac:dyDescent="0.55000000000000004">
      <c r="A81" s="22">
        <v>1984</v>
      </c>
      <c r="B81" s="23">
        <v>1600000</v>
      </c>
      <c r="C81" s="97">
        <v>73</v>
      </c>
      <c r="D81" s="26">
        <f t="shared" si="9"/>
        <v>6.204119982655925</v>
      </c>
      <c r="E81" s="98">
        <f t="shared" si="10"/>
        <v>6.0296515268678738E-4</v>
      </c>
      <c r="F81" s="98">
        <f t="shared" si="11"/>
        <v>0.82294617563739381</v>
      </c>
      <c r="G81" s="98">
        <f t="shared" si="13"/>
        <v>0.92665122628816643</v>
      </c>
      <c r="H81" s="98">
        <f>2/$F$4*(1+$F$4*G81/6-$F$4^2/36)^3-2/$F$4</f>
        <v>0.92945343222742416</v>
      </c>
      <c r="I81" s="98">
        <f>(D81-$B$2)^2</f>
        <v>7.1372045287817322E-3</v>
      </c>
      <c r="J81" s="98">
        <f t="shared" si="12"/>
        <v>0.86186527615659647</v>
      </c>
      <c r="K81" s="98">
        <f>(D81-$B$2)*(H81-$F$5)</f>
        <v>7.8430279562070784E-2</v>
      </c>
    </row>
    <row r="82" spans="1:11" x14ac:dyDescent="0.55000000000000004">
      <c r="A82" s="22">
        <v>1944</v>
      </c>
      <c r="B82" s="23">
        <v>1610000</v>
      </c>
      <c r="C82" s="97">
        <v>74</v>
      </c>
      <c r="D82" s="26">
        <f t="shared" si="9"/>
        <v>6.20682587603185</v>
      </c>
      <c r="E82" s="98">
        <f t="shared" si="10"/>
        <v>6.6277820360067542E-4</v>
      </c>
      <c r="F82" s="98">
        <f t="shared" si="11"/>
        <v>0.83427762039660058</v>
      </c>
      <c r="G82" s="98">
        <f t="shared" si="13"/>
        <v>0.97120790298435278</v>
      </c>
      <c r="H82" s="98">
        <f>2/$F$4*(1+$F$4*G82/6-$F$4^2/36)^3-2/$F$4</f>
        <v>0.9714409736227374</v>
      </c>
      <c r="I82" s="98">
        <f>(D82-$B$2)^2</f>
        <v>7.6017248345554601E-3</v>
      </c>
      <c r="J82" s="98">
        <f t="shared" si="12"/>
        <v>0.9415879249977529</v>
      </c>
      <c r="K82" s="98">
        <f>(D82-$B$2)*(H82-$F$5)</f>
        <v>8.4603146001629062E-2</v>
      </c>
    </row>
    <row r="83" spans="1:11" x14ac:dyDescent="0.55000000000000004">
      <c r="A83" s="22">
        <v>1943</v>
      </c>
      <c r="B83" s="23">
        <v>1648000</v>
      </c>
      <c r="C83" s="97">
        <v>75</v>
      </c>
      <c r="D83" s="26">
        <f t="shared" si="9"/>
        <v>6.216957207361097</v>
      </c>
      <c r="E83" s="98">
        <f t="shared" si="10"/>
        <v>9.2171280426102951E-4</v>
      </c>
      <c r="F83" s="98">
        <f t="shared" si="11"/>
        <v>0.84560906515580736</v>
      </c>
      <c r="G83" s="98">
        <f t="shared" si="13"/>
        <v>1.0177813653724057</v>
      </c>
      <c r="H83" s="98">
        <f>2/$F$4*(1+$F$4*G83/6-$F$4^2/36)^3-2/$F$4</f>
        <v>1.0152059465035901</v>
      </c>
      <c r="I83" s="98">
        <f>(D83-$B$2)^2</f>
        <v>9.4710271253056998E-3</v>
      </c>
      <c r="J83" s="98">
        <f t="shared" si="12"/>
        <v>1.0284383777304533</v>
      </c>
      <c r="K83" s="98">
        <f>(D83-$B$2)*(H83-$F$5)</f>
        <v>9.8693301556845858E-2</v>
      </c>
    </row>
    <row r="84" spans="1:11" x14ac:dyDescent="0.55000000000000004">
      <c r="A84" s="22">
        <v>1979</v>
      </c>
      <c r="B84" s="23">
        <v>1690000</v>
      </c>
      <c r="C84" s="97">
        <v>76.5</v>
      </c>
      <c r="D84" s="26">
        <f t="shared" si="9"/>
        <v>6.2278867046136739</v>
      </c>
      <c r="E84" s="98">
        <f t="shared" si="10"/>
        <v>1.268434548014489E-3</v>
      </c>
      <c r="F84" s="98">
        <f t="shared" si="11"/>
        <v>0.86260623229461753</v>
      </c>
      <c r="G84" s="98">
        <f t="shared" si="13"/>
        <v>1.0921036724812101</v>
      </c>
      <c r="H84" s="98">
        <f>2/$F$4*(1+$F$4*G84/6-$F$4^2/36)^3-2/$F$4</f>
        <v>1.0847863491256913</v>
      </c>
      <c r="I84" s="98">
        <f>(D84-$B$2)^2</f>
        <v>1.171778094258577E-2</v>
      </c>
      <c r="J84" s="98">
        <f t="shared" si="12"/>
        <v>1.1744054975906419</v>
      </c>
      <c r="K84" s="98">
        <f>(D84-$B$2)*(H84-$F$5)</f>
        <v>0.11730910603416764</v>
      </c>
    </row>
    <row r="85" spans="1:11" x14ac:dyDescent="0.55000000000000004">
      <c r="A85" s="22">
        <v>1991</v>
      </c>
      <c r="B85" s="23">
        <v>1690000</v>
      </c>
      <c r="C85" s="97">
        <v>76.5</v>
      </c>
      <c r="D85" s="26">
        <f t="shared" si="9"/>
        <v>6.2278867046136739</v>
      </c>
      <c r="E85" s="98">
        <f t="shared" si="10"/>
        <v>1.268434548014489E-3</v>
      </c>
      <c r="F85" s="98">
        <f t="shared" si="11"/>
        <v>0.86260623229461753</v>
      </c>
      <c r="G85" s="98">
        <f t="shared" si="13"/>
        <v>1.0921036724812101</v>
      </c>
      <c r="H85" s="98">
        <f>2/$F$4*(1+$F$4*G85/6-$F$4^2/36)^3-2/$F$4</f>
        <v>1.0847863491256913</v>
      </c>
      <c r="I85" s="98">
        <f>(D85-$B$2)^2</f>
        <v>1.171778094258577E-2</v>
      </c>
      <c r="J85" s="98">
        <f t="shared" si="12"/>
        <v>1.1744054975906419</v>
      </c>
      <c r="K85" s="98">
        <f>(D85-$B$2)*(H85-$F$5)</f>
        <v>0.11730910603416764</v>
      </c>
    </row>
    <row r="86" spans="1:11" x14ac:dyDescent="0.55000000000000004">
      <c r="A86" s="22">
        <v>1929</v>
      </c>
      <c r="B86" s="23">
        <v>1730000</v>
      </c>
      <c r="C86" s="97">
        <v>78</v>
      </c>
      <c r="D86" s="26">
        <f t="shared" si="9"/>
        <v>6.238046103128795</v>
      </c>
      <c r="E86" s="98">
        <f t="shared" si="10"/>
        <v>1.66013809466014E-3</v>
      </c>
      <c r="F86" s="98">
        <f t="shared" si="11"/>
        <v>0.8796033994334278</v>
      </c>
      <c r="G86" s="98">
        <f t="shared" si="13"/>
        <v>1.1730064949411463</v>
      </c>
      <c r="H86" s="98">
        <f>2/$F$4*(1+$F$4*G86/6-$F$4^2/36)^3-2/$F$4</f>
        <v>1.1601646542339523</v>
      </c>
      <c r="I86" s="98">
        <f>(D86-$B$2)^2</f>
        <v>1.4020477674622715E-2</v>
      </c>
      <c r="J86" s="98">
        <f t="shared" si="12"/>
        <v>1.3434623115799722</v>
      </c>
      <c r="K86" s="98">
        <f>(D86-$B$2)*(H86-$F$5)</f>
        <v>0.13724424704228599</v>
      </c>
    </row>
    <row r="87" spans="1:11" x14ac:dyDescent="0.55000000000000004">
      <c r="A87" s="22">
        <v>1997</v>
      </c>
      <c r="B87" s="7">
        <v>1780000</v>
      </c>
      <c r="C87" s="97">
        <v>79</v>
      </c>
      <c r="D87" s="26">
        <f t="shared" si="9"/>
        <v>6.2504200023088936</v>
      </c>
      <c r="E87" s="98">
        <f t="shared" si="10"/>
        <v>2.2368862284506937E-3</v>
      </c>
      <c r="F87" s="98">
        <f t="shared" si="11"/>
        <v>0.89093484419263458</v>
      </c>
      <c r="G87" s="98">
        <f t="shared" si="13"/>
        <v>1.2315149957125135</v>
      </c>
      <c r="H87" s="98">
        <f>2/$F$4*(1+$F$4*G87/6-$F$4^2/36)^3-2/$F$4</f>
        <v>1.214442750514241</v>
      </c>
      <c r="I87" s="98">
        <f>(D87-$B$2)^2</f>
        <v>1.7103930789336842E-2</v>
      </c>
      <c r="J87" s="98">
        <f t="shared" si="12"/>
        <v>1.4722335413609071</v>
      </c>
      <c r="K87" s="98">
        <f>(D87-$B$2)*(H87-$F$5)</f>
        <v>0.15868516186832729</v>
      </c>
    </row>
    <row r="88" spans="1:11" x14ac:dyDescent="0.55000000000000004">
      <c r="A88" s="22">
        <v>1983</v>
      </c>
      <c r="B88" s="23">
        <v>1790000</v>
      </c>
      <c r="C88" s="97">
        <v>80</v>
      </c>
      <c r="D88" s="26">
        <f t="shared" si="9"/>
        <v>6.2528530309798933</v>
      </c>
      <c r="E88" s="98">
        <f t="shared" si="10"/>
        <v>2.3640662355873805E-3</v>
      </c>
      <c r="F88" s="98">
        <f t="shared" si="11"/>
        <v>0.90226628895184136</v>
      </c>
      <c r="G88" s="98">
        <f t="shared" si="13"/>
        <v>1.2945734328943461</v>
      </c>
      <c r="H88" s="98">
        <f>2/$F$4*(1+$F$4*G88/6-$F$4^2/36)^3-2/$F$4</f>
        <v>1.272721314142256</v>
      </c>
      <c r="I88" s="98">
        <f>(D88-$B$2)^2</f>
        <v>1.7746243115484665E-2</v>
      </c>
      <c r="J88" s="98">
        <f t="shared" si="12"/>
        <v>1.6170552584757407</v>
      </c>
      <c r="K88" s="98">
        <f>(D88-$B$2)*(H88-$F$5)</f>
        <v>0.16940087292597814</v>
      </c>
    </row>
    <row r="89" spans="1:11" x14ac:dyDescent="0.55000000000000004">
      <c r="A89" s="22">
        <v>2008</v>
      </c>
      <c r="B89" s="7">
        <v>1820000</v>
      </c>
      <c r="C89" s="97">
        <v>81</v>
      </c>
      <c r="D89" s="26">
        <f t="shared" si="9"/>
        <v>6.2600713879850751</v>
      </c>
      <c r="E89" s="98">
        <f t="shared" si="10"/>
        <v>2.7695618787024266E-3</v>
      </c>
      <c r="F89" s="98">
        <f t="shared" si="11"/>
        <v>0.91359773371104813</v>
      </c>
      <c r="G89" s="98">
        <f t="shared" si="13"/>
        <v>1.3632474656234139</v>
      </c>
      <c r="H89" s="98">
        <f>2/$F$4*(1+$F$4*G89/6-$F$4^2/36)^3-2/$F$4</f>
        <v>1.3359301148396359</v>
      </c>
      <c r="I89" s="98">
        <f>(D89-$B$2)^2</f>
        <v>1.9721535023595672E-2</v>
      </c>
      <c r="J89" s="98">
        <f t="shared" si="12"/>
        <v>1.7818076418658142</v>
      </c>
      <c r="K89" s="98">
        <f>(D89-$B$2)*(H89-$F$5)</f>
        <v>0.1874566131518626</v>
      </c>
    </row>
    <row r="90" spans="1:11" x14ac:dyDescent="0.55000000000000004">
      <c r="A90" s="22">
        <v>1975</v>
      </c>
      <c r="B90" s="23">
        <v>1840000</v>
      </c>
      <c r="C90" s="97">
        <v>82</v>
      </c>
      <c r="D90" s="26">
        <f t="shared" si="9"/>
        <v>6.2648178230095368</v>
      </c>
      <c r="E90" s="98">
        <f t="shared" si="10"/>
        <v>3.0599810848429185E-3</v>
      </c>
      <c r="F90" s="98">
        <f t="shared" si="11"/>
        <v>0.92492917847025491</v>
      </c>
      <c r="G90" s="98">
        <f t="shared" si="13"/>
        <v>1.4390313414448697</v>
      </c>
      <c r="H90" s="98">
        <f>2/$F$4*(1+$F$4*G90/6-$F$4^2/36)^3-2/$F$4</f>
        <v>1.4053693560245577</v>
      </c>
      <c r="I90" s="98">
        <f>(D90-$B$2)^2</f>
        <v>2.1077179523128514E-2</v>
      </c>
      <c r="J90" s="98">
        <f t="shared" si="12"/>
        <v>1.972010514136515</v>
      </c>
      <c r="K90" s="98">
        <f>(D90-$B$2)*(H90-$F$5)</f>
        <v>0.20387353832204977</v>
      </c>
    </row>
    <row r="91" spans="1:11" x14ac:dyDescent="0.55000000000000004">
      <c r="A91" s="22">
        <v>1950</v>
      </c>
      <c r="B91" s="23">
        <v>1880000</v>
      </c>
      <c r="C91" s="97">
        <v>83</v>
      </c>
      <c r="D91" s="26">
        <f t="shared" si="9"/>
        <v>6.2741578492636796</v>
      </c>
      <c r="E91" s="98">
        <f t="shared" si="10"/>
        <v>3.6893748617115789E-3</v>
      </c>
      <c r="F91" s="98">
        <f t="shared" si="11"/>
        <v>0.9362606232294618</v>
      </c>
      <c r="G91" s="98">
        <f t="shared" si="13"/>
        <v>1.5241199356662796</v>
      </c>
      <c r="H91" s="98">
        <f>2/$F$4*(1+$F$4*G91/6-$F$4^2/36)^3-2/$F$4</f>
        <v>1.4829431646914397</v>
      </c>
      <c r="I91" s="98">
        <f>(D91-$B$2)^2</f>
        <v>2.3876382234920824E-2</v>
      </c>
      <c r="J91" s="98">
        <f t="shared" si="12"/>
        <v>2.1958993587371363</v>
      </c>
      <c r="K91" s="98">
        <f>(D91-$B$2)*(H91-$F$5)</f>
        <v>0.22897627047060007</v>
      </c>
    </row>
    <row r="92" spans="1:11" x14ac:dyDescent="0.55000000000000004">
      <c r="A92" s="22">
        <v>1945</v>
      </c>
      <c r="B92" s="23">
        <v>1922000</v>
      </c>
      <c r="C92" s="97">
        <v>84</v>
      </c>
      <c r="D92" s="26">
        <f t="shared" si="9"/>
        <v>6.2837533833325265</v>
      </c>
      <c r="E92" s="98">
        <f t="shared" si="10"/>
        <v>4.4202601885090361E-3</v>
      </c>
      <c r="F92" s="98">
        <f t="shared" si="11"/>
        <v>0.94759206798866857</v>
      </c>
      <c r="G92" s="98">
        <f t="shared" si="13"/>
        <v>1.621941549229303</v>
      </c>
      <c r="H92" s="98">
        <f>2/$F$4*(1+$F$4*G92/6-$F$4^2/36)^3-2/$F$4</f>
        <v>1.5716155302367891</v>
      </c>
      <c r="I92" s="98">
        <f>(D92-$B$2)^2</f>
        <v>2.693385736661999E-2</v>
      </c>
      <c r="J92" s="98">
        <f t="shared" si="12"/>
        <v>2.4665616298763213</v>
      </c>
      <c r="K92" s="98">
        <f>(D92-$B$2)*(H92-$F$5)</f>
        <v>0.25774797598636262</v>
      </c>
    </row>
    <row r="93" spans="1:11" x14ac:dyDescent="0.55000000000000004">
      <c r="A93" s="22">
        <v>1973</v>
      </c>
      <c r="B93" s="23">
        <v>1962000</v>
      </c>
      <c r="C93" s="97">
        <v>85</v>
      </c>
      <c r="D93" s="26">
        <f t="shared" si="9"/>
        <v>6.2926990030439294</v>
      </c>
      <c r="E93" s="98">
        <f t="shared" si="10"/>
        <v>5.1831957521036977E-3</v>
      </c>
      <c r="F93" s="98">
        <f t="shared" si="11"/>
        <v>0.95892351274787535</v>
      </c>
      <c r="G93" s="98">
        <f t="shared" si="13"/>
        <v>1.7383283455849536</v>
      </c>
      <c r="H93" s="98">
        <f>2/$F$4*(1+$F$4*G93/6-$F$4^2/36)^3-2/$F$4</f>
        <v>1.6764083947100197</v>
      </c>
      <c r="I93" s="98">
        <f>(D93-$B$2)^2</f>
        <v>2.995010900324813E-2</v>
      </c>
      <c r="J93" s="98">
        <f t="shared" si="12"/>
        <v>2.8067036589698628</v>
      </c>
      <c r="K93" s="98">
        <f>(D93-$B$2)*(H93-$F$5)</f>
        <v>0.2899328896933957</v>
      </c>
    </row>
    <row r="94" spans="1:11" x14ac:dyDescent="0.55000000000000004">
      <c r="A94" s="22">
        <v>1937</v>
      </c>
      <c r="B94" s="23">
        <v>2080000</v>
      </c>
      <c r="C94" s="97">
        <v>86</v>
      </c>
      <c r="D94" s="26">
        <f t="shared" si="9"/>
        <v>6.318063334962762</v>
      </c>
      <c r="E94" s="98">
        <f t="shared" si="10"/>
        <v>7.8125234285441152E-3</v>
      </c>
      <c r="F94" s="98">
        <f t="shared" si="11"/>
        <v>0.97025495750708213</v>
      </c>
      <c r="G94" s="98">
        <f t="shared" si="13"/>
        <v>1.8845539464383703</v>
      </c>
      <c r="H94" s="98">
        <f>2/$F$4*(1+$F$4*G94/6-$F$4^2/36)^3-2/$F$4</f>
        <v>1.8069808255863116</v>
      </c>
      <c r="I94" s="98">
        <f>(D94-$B$2)^2</f>
        <v>3.9372611524151176E-2</v>
      </c>
      <c r="J94" s="98">
        <f t="shared" si="12"/>
        <v>3.261254539477036</v>
      </c>
      <c r="K94" s="98">
        <f>(D94-$B$2)*(H94-$F$5)</f>
        <v>0.3583351895421435</v>
      </c>
    </row>
    <row r="95" spans="1:11" x14ac:dyDescent="0.55000000000000004">
      <c r="A95" s="22">
        <v>1927</v>
      </c>
      <c r="B95" s="23">
        <v>2278000</v>
      </c>
      <c r="C95" s="97">
        <v>87</v>
      </c>
      <c r="D95" s="26">
        <f t="shared" si="9"/>
        <v>6.3575537197430814</v>
      </c>
      <c r="E95" s="98">
        <f t="shared" si="10"/>
        <v>1.3466954289407584E-2</v>
      </c>
      <c r="F95" s="98">
        <f t="shared" si="11"/>
        <v>0.9815864022662889</v>
      </c>
      <c r="G95" s="98">
        <f t="shared" si="13"/>
        <v>2.0876746233110111</v>
      </c>
      <c r="H95" s="98">
        <f>2/$F$4*(1+$F$4*G95/6-$F$4^2/36)^3-2/$F$4</f>
        <v>1.9863593450863934</v>
      </c>
      <c r="I95" s="98">
        <f>(D95-$B$2)^2</f>
        <v>5.6603887265741323E-2</v>
      </c>
      <c r="J95" s="98">
        <f t="shared" si="12"/>
        <v>3.9413085160084442</v>
      </c>
      <c r="K95" s="98">
        <f>(D95-$B$2)*(H95-$F$5)</f>
        <v>0.47232762243981474</v>
      </c>
    </row>
    <row r="96" spans="1:11" x14ac:dyDescent="0.55000000000000004">
      <c r="A96" s="22">
        <v>2011</v>
      </c>
      <c r="B96" s="7">
        <v>2310000</v>
      </c>
      <c r="C96" s="97">
        <v>88</v>
      </c>
      <c r="D96" s="26">
        <f t="shared" si="9"/>
        <v>6.363611979892144</v>
      </c>
      <c r="E96" s="98">
        <f t="shared" si="10"/>
        <v>1.452213618230221E-2</v>
      </c>
      <c r="F96" s="98">
        <f t="shared" si="11"/>
        <v>0.99291784702549579</v>
      </c>
      <c r="G96" s="98">
        <f t="shared" si="13"/>
        <v>2.4530692704922892</v>
      </c>
      <c r="H96" s="98">
        <f>2/$F$4*(1+$F$4*G96/6-$F$4^2/36)^3-2/$F$4</f>
        <v>2.30323783585097</v>
      </c>
      <c r="I96" s="98">
        <f>(D96-$B$2)^2</f>
        <v>5.9523300367277356E-2</v>
      </c>
      <c r="J96" s="98">
        <f t="shared" si="12"/>
        <v>5.2999010590877562</v>
      </c>
      <c r="K96" s="98">
        <f>(D96-$B$2)*(H96-$F$5)</f>
        <v>0.56166502709082022</v>
      </c>
    </row>
  </sheetData>
  <mergeCells count="1">
    <mergeCell ref="M31:N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p1_chisq</vt:lpstr>
      <vt:lpstr>p1_ks</vt:lpstr>
      <vt:lpstr>p2_ev1</vt:lpstr>
      <vt:lpstr>p2_lp3</vt:lpstr>
    </vt:vector>
  </TitlesOfParts>
  <Company>Cockrell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Passalacqua, Paola</dc:creator>
  <cp:lastModifiedBy>Paul</cp:lastModifiedBy>
  <dcterms:created xsi:type="dcterms:W3CDTF">2016-09-27T16:58:44Z</dcterms:created>
  <dcterms:modified xsi:type="dcterms:W3CDTF">2016-10-06T13:27:46Z</dcterms:modified>
</cp:coreProperties>
</file>