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hool\fall2016\stoch_hydro\hw3\"/>
    </mc:Choice>
  </mc:AlternateContent>
  <bookViews>
    <workbookView xWindow="0" yWindow="0" windowWidth="23028" windowHeight="10236"/>
  </bookViews>
  <sheets>
    <sheet name="p1_chisq" sheetId="3" r:id="rId1"/>
    <sheet name="p1_ks" sheetId="4" r:id="rId2"/>
    <sheet name="p2_ev1" sheetId="5" r:id="rId3"/>
    <sheet name="p2_lp3" sheetId="7" r:id="rId4"/>
  </sheets>
  <definedNames>
    <definedName name="_xlnm._FilterDatabase" localSheetId="2" hidden="1">p2_ev1!$A$9:$F$9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7" l="1"/>
  <c r="P35" i="7"/>
  <c r="M39" i="5"/>
  <c r="P38" i="5"/>
  <c r="M37" i="5" s="1"/>
  <c r="Q28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" i="7"/>
  <c r="M12" i="3"/>
  <c r="N12" i="3" s="1"/>
  <c r="I12" i="3"/>
  <c r="J12" i="3" s="1"/>
  <c r="P43" i="7"/>
  <c r="N27" i="5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F3" i="7" l="1"/>
  <c r="F2" i="7"/>
  <c r="D91" i="7"/>
  <c r="D92" i="7"/>
  <c r="D93" i="7"/>
  <c r="D94" i="7"/>
  <c r="D95" i="7"/>
  <c r="D96" i="7"/>
  <c r="P25" i="7"/>
  <c r="P27" i="7" s="1"/>
  <c r="M24" i="5"/>
  <c r="M26" i="5" s="1"/>
  <c r="B5" i="5"/>
  <c r="B2" i="5"/>
  <c r="B3" i="5" s="1"/>
  <c r="B1" i="5"/>
  <c r="H20" i="3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11" i="4"/>
  <c r="B7" i="4"/>
  <c r="L13" i="4" s="1"/>
  <c r="I19" i="3"/>
  <c r="M13" i="3"/>
  <c r="M14" i="3"/>
  <c r="M15" i="3"/>
  <c r="M16" i="3"/>
  <c r="M17" i="3"/>
  <c r="G17" i="3"/>
  <c r="K12" i="3" s="1"/>
  <c r="G16" i="3"/>
  <c r="G15" i="3"/>
  <c r="G14" i="3"/>
  <c r="G13" i="3"/>
  <c r="H13" i="3" s="1"/>
  <c r="G12" i="3"/>
  <c r="H12" i="3" s="1"/>
  <c r="I14" i="3"/>
  <c r="I17" i="3"/>
  <c r="I15" i="3"/>
  <c r="I16" i="3"/>
  <c r="J16" i="3" s="1"/>
  <c r="I13" i="3"/>
  <c r="J13" i="3" s="1"/>
  <c r="D13" i="4" l="1"/>
  <c r="J13" i="4" s="1"/>
  <c r="D11" i="4"/>
  <c r="J11" i="4" s="1"/>
  <c r="D53" i="4"/>
  <c r="J53" i="4" s="1"/>
  <c r="D45" i="4"/>
  <c r="J45" i="4" s="1"/>
  <c r="D37" i="4"/>
  <c r="J37" i="4" s="1"/>
  <c r="D29" i="4"/>
  <c r="J29" i="4" s="1"/>
  <c r="D21" i="4"/>
  <c r="J21" i="4" s="1"/>
  <c r="D16" i="5"/>
  <c r="M38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D72" i="5"/>
  <c r="D40" i="5"/>
  <c r="D96" i="5"/>
  <c r="D32" i="5"/>
  <c r="D64" i="5"/>
  <c r="D56" i="5"/>
  <c r="D48" i="5"/>
  <c r="D88" i="5"/>
  <c r="D23" i="5"/>
  <c r="D80" i="5"/>
  <c r="D15" i="5"/>
  <c r="D95" i="5"/>
  <c r="D87" i="5"/>
  <c r="D79" i="5"/>
  <c r="D71" i="5"/>
  <c r="D63" i="5"/>
  <c r="D55" i="5"/>
  <c r="D47" i="5"/>
  <c r="D39" i="5"/>
  <c r="D31" i="5"/>
  <c r="D22" i="5"/>
  <c r="D14" i="5"/>
  <c r="D94" i="5"/>
  <c r="D86" i="5"/>
  <c r="D78" i="5"/>
  <c r="D70" i="5"/>
  <c r="D62" i="5"/>
  <c r="D54" i="5"/>
  <c r="D46" i="5"/>
  <c r="D38" i="5"/>
  <c r="D30" i="5"/>
  <c r="D21" i="5"/>
  <c r="D13" i="5"/>
  <c r="D93" i="5"/>
  <c r="D85" i="5"/>
  <c r="D77" i="5"/>
  <c r="D69" i="5"/>
  <c r="D61" i="5"/>
  <c r="D53" i="5"/>
  <c r="D45" i="5"/>
  <c r="D37" i="5"/>
  <c r="D29" i="5"/>
  <c r="D20" i="5"/>
  <c r="D12" i="5"/>
  <c r="D92" i="5"/>
  <c r="D84" i="5"/>
  <c r="D76" i="5"/>
  <c r="D68" i="5"/>
  <c r="D60" i="5"/>
  <c r="D52" i="5"/>
  <c r="D44" i="5"/>
  <c r="D36" i="5"/>
  <c r="D28" i="5"/>
  <c r="D19" i="5"/>
  <c r="D11" i="5"/>
  <c r="D91" i="5"/>
  <c r="D83" i="5"/>
  <c r="D75" i="5"/>
  <c r="D67" i="5"/>
  <c r="D59" i="5"/>
  <c r="D51" i="5"/>
  <c r="D43" i="5"/>
  <c r="D35" i="5"/>
  <c r="D27" i="5"/>
  <c r="D18" i="5"/>
  <c r="D26" i="5"/>
  <c r="D10" i="5"/>
  <c r="D90" i="5"/>
  <c r="D82" i="5"/>
  <c r="D74" i="5"/>
  <c r="D66" i="5"/>
  <c r="D58" i="5"/>
  <c r="D50" i="5"/>
  <c r="D42" i="5"/>
  <c r="D34" i="5"/>
  <c r="D25" i="5"/>
  <c r="D17" i="5"/>
  <c r="D97" i="5"/>
  <c r="D89" i="5"/>
  <c r="D81" i="5"/>
  <c r="D73" i="5"/>
  <c r="D65" i="5"/>
  <c r="D57" i="5"/>
  <c r="D49" i="5"/>
  <c r="D41" i="5"/>
  <c r="D33" i="5"/>
  <c r="D24" i="5"/>
  <c r="B4" i="5"/>
  <c r="D60" i="4"/>
  <c r="D52" i="4"/>
  <c r="D44" i="4"/>
  <c r="D36" i="4"/>
  <c r="D28" i="4"/>
  <c r="D20" i="4"/>
  <c r="D12" i="4"/>
  <c r="D59" i="4"/>
  <c r="D51" i="4"/>
  <c r="D43" i="4"/>
  <c r="D35" i="4"/>
  <c r="D27" i="4"/>
  <c r="D19" i="4"/>
  <c r="D58" i="4"/>
  <c r="D50" i="4"/>
  <c r="D42" i="4"/>
  <c r="D34" i="4"/>
  <c r="D26" i="4"/>
  <c r="D18" i="4"/>
  <c r="F11" i="4"/>
  <c r="F53" i="4"/>
  <c r="F37" i="4"/>
  <c r="F29" i="4"/>
  <c r="F21" i="4"/>
  <c r="D57" i="4"/>
  <c r="D49" i="4"/>
  <c r="D41" i="4"/>
  <c r="D33" i="4"/>
  <c r="D25" i="4"/>
  <c r="D17" i="4"/>
  <c r="D56" i="4"/>
  <c r="D48" i="4"/>
  <c r="D40" i="4"/>
  <c r="D32" i="4"/>
  <c r="D24" i="4"/>
  <c r="D16" i="4"/>
  <c r="H13" i="4"/>
  <c r="D55" i="4"/>
  <c r="D47" i="4"/>
  <c r="D39" i="4"/>
  <c r="D31" i="4"/>
  <c r="D23" i="4"/>
  <c r="D15" i="4"/>
  <c r="D54" i="4"/>
  <c r="D46" i="4"/>
  <c r="D38" i="4"/>
  <c r="D30" i="4"/>
  <c r="D22" i="4"/>
  <c r="D14" i="4"/>
  <c r="H14" i="3"/>
  <c r="H15" i="3"/>
  <c r="J14" i="3"/>
  <c r="H16" i="3"/>
  <c r="H17" i="3"/>
  <c r="O12" i="3"/>
  <c r="P12" i="3" s="1"/>
  <c r="J15" i="3"/>
  <c r="N16" i="3"/>
  <c r="O16" i="3" s="1"/>
  <c r="J17" i="3"/>
  <c r="N15" i="3"/>
  <c r="O15" i="3" s="1"/>
  <c r="P15" i="3" s="1"/>
  <c r="N17" i="3"/>
  <c r="O17" i="3" s="1"/>
  <c r="P17" i="3" s="1"/>
  <c r="N14" i="3"/>
  <c r="O14" i="3" s="1"/>
  <c r="N13" i="3"/>
  <c r="O13" i="3" s="1"/>
  <c r="P13" i="3" s="1"/>
  <c r="F45" i="4" l="1"/>
  <c r="F13" i="4"/>
  <c r="E40" i="5"/>
  <c r="M36" i="5"/>
  <c r="F92" i="5"/>
  <c r="F14" i="5"/>
  <c r="F88" i="5"/>
  <c r="F51" i="5"/>
  <c r="F31" i="5"/>
  <c r="F28" i="5"/>
  <c r="F16" i="5"/>
  <c r="F64" i="5"/>
  <c r="F86" i="5"/>
  <c r="F72" i="5"/>
  <c r="F62" i="5"/>
  <c r="F39" i="5"/>
  <c r="F91" i="5"/>
  <c r="G92" i="5" s="1"/>
  <c r="F94" i="5"/>
  <c r="F26" i="5"/>
  <c r="F34" i="5"/>
  <c r="E41" i="5"/>
  <c r="E56" i="5"/>
  <c r="F97" i="5"/>
  <c r="F84" i="5"/>
  <c r="F22" i="5"/>
  <c r="F49" i="5"/>
  <c r="G50" i="5" s="1"/>
  <c r="F68" i="5"/>
  <c r="F85" i="5"/>
  <c r="F66" i="5"/>
  <c r="F35" i="5"/>
  <c r="F60" i="5"/>
  <c r="F36" i="5"/>
  <c r="F47" i="5"/>
  <c r="F46" i="5"/>
  <c r="F27" i="5"/>
  <c r="G27" i="5" s="1"/>
  <c r="F38" i="5"/>
  <c r="F89" i="5"/>
  <c r="F95" i="5"/>
  <c r="F24" i="5"/>
  <c r="E63" i="5"/>
  <c r="F56" i="5"/>
  <c r="E30" i="5"/>
  <c r="E74" i="5"/>
  <c r="E43" i="5"/>
  <c r="E19" i="5"/>
  <c r="F37" i="5"/>
  <c r="E49" i="5"/>
  <c r="E17" i="5"/>
  <c r="E46" i="5"/>
  <c r="F78" i="5"/>
  <c r="E61" i="5"/>
  <c r="E14" i="5"/>
  <c r="E59" i="5"/>
  <c r="E36" i="5"/>
  <c r="E12" i="5"/>
  <c r="E65" i="5"/>
  <c r="E34" i="5"/>
  <c r="F19" i="5"/>
  <c r="E57" i="5"/>
  <c r="E25" i="5"/>
  <c r="E51" i="5"/>
  <c r="E28" i="5"/>
  <c r="E69" i="5"/>
  <c r="E38" i="5"/>
  <c r="E71" i="5"/>
  <c r="F61" i="5"/>
  <c r="G62" i="5" s="1"/>
  <c r="E23" i="5"/>
  <c r="E81" i="5"/>
  <c r="E89" i="5"/>
  <c r="E97" i="5"/>
  <c r="E26" i="5"/>
  <c r="E82" i="5"/>
  <c r="E90" i="5"/>
  <c r="E10" i="5"/>
  <c r="E75" i="5"/>
  <c r="E83" i="5"/>
  <c r="E91" i="5"/>
  <c r="E76" i="5"/>
  <c r="E84" i="5"/>
  <c r="E92" i="5"/>
  <c r="E77" i="5"/>
  <c r="E85" i="5"/>
  <c r="E93" i="5"/>
  <c r="E96" i="5"/>
  <c r="E78" i="5"/>
  <c r="E86" i="5"/>
  <c r="E94" i="5"/>
  <c r="E80" i="5"/>
  <c r="E88" i="5"/>
  <c r="E79" i="5"/>
  <c r="E87" i="5"/>
  <c r="E95" i="5"/>
  <c r="E15" i="5"/>
  <c r="E73" i="5"/>
  <c r="E42" i="5"/>
  <c r="E64" i="5"/>
  <c r="E67" i="5"/>
  <c r="E44" i="5"/>
  <c r="E20" i="5"/>
  <c r="E54" i="5"/>
  <c r="E22" i="5"/>
  <c r="E50" i="5"/>
  <c r="E52" i="5"/>
  <c r="E29" i="5"/>
  <c r="E62" i="5"/>
  <c r="E31" i="5"/>
  <c r="F76" i="5"/>
  <c r="E24" i="5"/>
  <c r="E58" i="5"/>
  <c r="E18" i="5"/>
  <c r="E60" i="5"/>
  <c r="E37" i="5"/>
  <c r="E32" i="5"/>
  <c r="E70" i="5"/>
  <c r="E39" i="5"/>
  <c r="E48" i="5"/>
  <c r="F50" i="5"/>
  <c r="G51" i="5" s="1"/>
  <c r="E33" i="5"/>
  <c r="E66" i="5"/>
  <c r="E27" i="5"/>
  <c r="E68" i="5"/>
  <c r="E45" i="5"/>
  <c r="E13" i="5"/>
  <c r="E47" i="5"/>
  <c r="E72" i="5"/>
  <c r="E35" i="5"/>
  <c r="E11" i="5"/>
  <c r="E53" i="5"/>
  <c r="E21" i="5"/>
  <c r="E55" i="5"/>
  <c r="E16" i="5"/>
  <c r="F21" i="5"/>
  <c r="F65" i="5"/>
  <c r="G66" i="5" s="1"/>
  <c r="F80" i="5"/>
  <c r="F29" i="5"/>
  <c r="F17" i="5"/>
  <c r="F63" i="5"/>
  <c r="G64" i="5" s="1"/>
  <c r="F69" i="5"/>
  <c r="F73" i="5"/>
  <c r="G73" i="5" s="1"/>
  <c r="F71" i="5"/>
  <c r="G72" i="5" s="1"/>
  <c r="F12" i="5"/>
  <c r="F48" i="5"/>
  <c r="F55" i="5"/>
  <c r="G56" i="5" s="1"/>
  <c r="F59" i="5"/>
  <c r="F77" i="5"/>
  <c r="G77" i="5" s="1"/>
  <c r="F13" i="5"/>
  <c r="G14" i="5" s="1"/>
  <c r="F42" i="5"/>
  <c r="F70" i="5"/>
  <c r="F44" i="5"/>
  <c r="F11" i="5"/>
  <c r="F10" i="5"/>
  <c r="G10" i="5" s="1"/>
  <c r="F67" i="5"/>
  <c r="F25" i="5"/>
  <c r="F41" i="5"/>
  <c r="F53" i="5"/>
  <c r="F74" i="5"/>
  <c r="F81" i="5"/>
  <c r="F82" i="5"/>
  <c r="G37" i="5"/>
  <c r="F20" i="5"/>
  <c r="G20" i="5" s="1"/>
  <c r="F96" i="5"/>
  <c r="G96" i="5" s="1"/>
  <c r="F58" i="5"/>
  <c r="F15" i="5"/>
  <c r="G15" i="5" s="1"/>
  <c r="F32" i="5"/>
  <c r="F23" i="5"/>
  <c r="F75" i="5"/>
  <c r="F52" i="5"/>
  <c r="G52" i="5" s="1"/>
  <c r="F79" i="5"/>
  <c r="F30" i="5"/>
  <c r="F93" i="5"/>
  <c r="F33" i="5"/>
  <c r="F45" i="5"/>
  <c r="F57" i="5"/>
  <c r="F40" i="5"/>
  <c r="G40" i="5" s="1"/>
  <c r="F87" i="5"/>
  <c r="G88" i="5" s="1"/>
  <c r="F54" i="5"/>
  <c r="G36" i="5"/>
  <c r="G33" i="5"/>
  <c r="F83" i="5"/>
  <c r="G89" i="5"/>
  <c r="F18" i="5"/>
  <c r="F90" i="5"/>
  <c r="G90" i="5" s="1"/>
  <c r="F43" i="5"/>
  <c r="J47" i="4"/>
  <c r="F47" i="4"/>
  <c r="J51" i="4"/>
  <c r="F51" i="4"/>
  <c r="J38" i="4"/>
  <c r="F38" i="4"/>
  <c r="J46" i="4"/>
  <c r="F46" i="4"/>
  <c r="J50" i="4"/>
  <c r="F50" i="4"/>
  <c r="J54" i="4"/>
  <c r="F54" i="4"/>
  <c r="J16" i="4"/>
  <c r="F16" i="4"/>
  <c r="F33" i="4"/>
  <c r="J33" i="4"/>
  <c r="J58" i="4"/>
  <c r="F58" i="4"/>
  <c r="J20" i="4"/>
  <c r="F20" i="4"/>
  <c r="F56" i="4"/>
  <c r="J56" i="4"/>
  <c r="J34" i="4"/>
  <c r="F34" i="4"/>
  <c r="J60" i="4"/>
  <c r="F60" i="4"/>
  <c r="J55" i="4"/>
  <c r="F55" i="4"/>
  <c r="F17" i="4"/>
  <c r="J17" i="4"/>
  <c r="J42" i="4"/>
  <c r="F42" i="4"/>
  <c r="J59" i="4"/>
  <c r="F59" i="4"/>
  <c r="F25" i="4"/>
  <c r="J25" i="4"/>
  <c r="J12" i="4"/>
  <c r="F12" i="4"/>
  <c r="J15" i="4"/>
  <c r="F15" i="4"/>
  <c r="F24" i="4"/>
  <c r="J24" i="4"/>
  <c r="F41" i="4"/>
  <c r="J41" i="4"/>
  <c r="J19" i="4"/>
  <c r="F19" i="4"/>
  <c r="J28" i="4"/>
  <c r="F28" i="4"/>
  <c r="J30" i="4"/>
  <c r="F30" i="4"/>
  <c r="J23" i="4"/>
  <c r="F23" i="4"/>
  <c r="F32" i="4"/>
  <c r="J32" i="4"/>
  <c r="F49" i="4"/>
  <c r="J49" i="4"/>
  <c r="J27" i="4"/>
  <c r="F27" i="4"/>
  <c r="J36" i="4"/>
  <c r="F36" i="4"/>
  <c r="J14" i="4"/>
  <c r="F14" i="4"/>
  <c r="J31" i="4"/>
  <c r="F31" i="4"/>
  <c r="F40" i="4"/>
  <c r="J40" i="4"/>
  <c r="F57" i="4"/>
  <c r="J57" i="4"/>
  <c r="J18" i="4"/>
  <c r="F18" i="4"/>
  <c r="J35" i="4"/>
  <c r="F35" i="4"/>
  <c r="J44" i="4"/>
  <c r="F44" i="4"/>
  <c r="J22" i="4"/>
  <c r="F22" i="4"/>
  <c r="J39" i="4"/>
  <c r="F39" i="4"/>
  <c r="F48" i="4"/>
  <c r="J48" i="4"/>
  <c r="J26" i="4"/>
  <c r="F26" i="4"/>
  <c r="J43" i="4"/>
  <c r="F43" i="4"/>
  <c r="J52" i="4"/>
  <c r="F52" i="4"/>
  <c r="P14" i="3"/>
  <c r="P18" i="3" s="1"/>
  <c r="P16" i="3"/>
  <c r="K14" i="3"/>
  <c r="L14" i="3" s="1"/>
  <c r="M40" i="5" l="1"/>
  <c r="M41" i="5"/>
  <c r="O21" i="3"/>
  <c r="P22" i="3"/>
  <c r="G57" i="5"/>
  <c r="G23" i="5"/>
  <c r="G32" i="5"/>
  <c r="G22" i="5"/>
  <c r="G39" i="5"/>
  <c r="G85" i="5"/>
  <c r="G35" i="5"/>
  <c r="G68" i="5"/>
  <c r="G17" i="5"/>
  <c r="G47" i="5"/>
  <c r="G95" i="5"/>
  <c r="G24" i="5"/>
  <c r="G69" i="5"/>
  <c r="G25" i="5"/>
  <c r="G28" i="5"/>
  <c r="G60" i="5"/>
  <c r="G81" i="5"/>
  <c r="G79" i="5"/>
  <c r="G26" i="5"/>
  <c r="G49" i="5"/>
  <c r="G29" i="5"/>
  <c r="G34" i="5"/>
  <c r="G74" i="5"/>
  <c r="G13" i="5"/>
  <c r="G94" i="5"/>
  <c r="G86" i="5"/>
  <c r="G61" i="5"/>
  <c r="G38" i="5"/>
  <c r="G67" i="5"/>
  <c r="G43" i="5"/>
  <c r="G63" i="5"/>
  <c r="G78" i="5"/>
  <c r="G71" i="5"/>
  <c r="G30" i="5"/>
  <c r="G42" i="5"/>
  <c r="G16" i="5"/>
  <c r="G80" i="5"/>
  <c r="B6" i="5"/>
  <c r="I72" i="5" s="1"/>
  <c r="G54" i="5"/>
  <c r="G75" i="5"/>
  <c r="G65" i="5"/>
  <c r="G45" i="5"/>
  <c r="G87" i="5"/>
  <c r="G31" i="5"/>
  <c r="G44" i="5"/>
  <c r="G48" i="5"/>
  <c r="G93" i="5"/>
  <c r="G83" i="5"/>
  <c r="G11" i="5"/>
  <c r="G18" i="5"/>
  <c r="G53" i="5"/>
  <c r="G76" i="5"/>
  <c r="G55" i="5"/>
  <c r="G59" i="5"/>
  <c r="G97" i="5"/>
  <c r="G46" i="5"/>
  <c r="G41" i="5"/>
  <c r="G82" i="5"/>
  <c r="G70" i="5"/>
  <c r="G58" i="5"/>
  <c r="G12" i="5"/>
  <c r="G21" i="5"/>
  <c r="G84" i="5"/>
  <c r="G19" i="5"/>
  <c r="G91" i="5"/>
  <c r="H10" i="4"/>
  <c r="G15" i="4" s="1"/>
  <c r="L10" i="4"/>
  <c r="K15" i="4" s="1"/>
  <c r="K13" i="3"/>
  <c r="L13" i="3" s="1"/>
  <c r="L12" i="3"/>
  <c r="K17" i="3"/>
  <c r="L17" i="3" s="1"/>
  <c r="K16" i="3"/>
  <c r="L16" i="3" s="1"/>
  <c r="K15" i="3"/>
  <c r="L15" i="3" s="1"/>
  <c r="L18" i="3" l="1"/>
  <c r="I65" i="5"/>
  <c r="I66" i="5"/>
  <c r="I41" i="5"/>
  <c r="I88" i="5"/>
  <c r="I95" i="5"/>
  <c r="I22" i="5"/>
  <c r="I84" i="5"/>
  <c r="I36" i="5"/>
  <c r="J78" i="5"/>
  <c r="I40" i="5"/>
  <c r="I54" i="5"/>
  <c r="I19" i="5"/>
  <c r="I24" i="5"/>
  <c r="I28" i="5"/>
  <c r="I57" i="5"/>
  <c r="I94" i="5"/>
  <c r="I38" i="5"/>
  <c r="I35" i="5"/>
  <c r="I67" i="5"/>
  <c r="I30" i="5"/>
  <c r="I68" i="5"/>
  <c r="I43" i="5"/>
  <c r="I39" i="5"/>
  <c r="I59" i="5"/>
  <c r="I48" i="5"/>
  <c r="I97" i="5"/>
  <c r="I93" i="5"/>
  <c r="I42" i="5"/>
  <c r="I82" i="5"/>
  <c r="I87" i="5"/>
  <c r="I62" i="5"/>
  <c r="J10" i="5"/>
  <c r="I53" i="5"/>
  <c r="I32" i="5"/>
  <c r="I14" i="5"/>
  <c r="I51" i="5"/>
  <c r="I47" i="5"/>
  <c r="I52" i="5"/>
  <c r="I92" i="5"/>
  <c r="I46" i="5"/>
  <c r="I37" i="5"/>
  <c r="I10" i="5"/>
  <c r="I13" i="5"/>
  <c r="I76" i="5"/>
  <c r="I25" i="5"/>
  <c r="I55" i="5"/>
  <c r="I89" i="5"/>
  <c r="I16" i="5"/>
  <c r="I86" i="5"/>
  <c r="I49" i="5"/>
  <c r="I18" i="5"/>
  <c r="I80" i="5"/>
  <c r="I34" i="5"/>
  <c r="I27" i="5"/>
  <c r="I85" i="5"/>
  <c r="I81" i="5"/>
  <c r="I91" i="5"/>
  <c r="I23" i="5"/>
  <c r="I73" i="5"/>
  <c r="I12" i="5"/>
  <c r="I33" i="5"/>
  <c r="I64" i="5"/>
  <c r="I71" i="5"/>
  <c r="I11" i="5"/>
  <c r="I79" i="5"/>
  <c r="I61" i="5"/>
  <c r="I83" i="5"/>
  <c r="I74" i="5"/>
  <c r="I78" i="5"/>
  <c r="I45" i="5"/>
  <c r="I50" i="5"/>
  <c r="I69" i="5"/>
  <c r="I63" i="5"/>
  <c r="I29" i="5"/>
  <c r="I90" i="5"/>
  <c r="I21" i="5"/>
  <c r="I44" i="5"/>
  <c r="I75" i="5"/>
  <c r="I96" i="5"/>
  <c r="I20" i="5"/>
  <c r="I15" i="5"/>
  <c r="I56" i="5"/>
  <c r="I58" i="5"/>
  <c r="I26" i="5"/>
  <c r="I17" i="5"/>
  <c r="I60" i="5"/>
  <c r="I77" i="5"/>
  <c r="I31" i="5"/>
  <c r="I70" i="5"/>
  <c r="J29" i="5"/>
  <c r="J88" i="5"/>
  <c r="J71" i="5"/>
  <c r="J82" i="5"/>
  <c r="J36" i="5"/>
  <c r="J64" i="5"/>
  <c r="J40" i="5"/>
  <c r="J56" i="5"/>
  <c r="J41" i="5"/>
  <c r="J74" i="5"/>
  <c r="J67" i="5"/>
  <c r="J11" i="5"/>
  <c r="J31" i="5"/>
  <c r="J42" i="5"/>
  <c r="J25" i="5"/>
  <c r="J87" i="5"/>
  <c r="J21" i="5"/>
  <c r="J81" i="5"/>
  <c r="J54" i="5"/>
  <c r="J48" i="5"/>
  <c r="J72" i="5"/>
  <c r="J12" i="5"/>
  <c r="J86" i="5"/>
  <c r="J38" i="5"/>
  <c r="J46" i="5"/>
  <c r="J92" i="5"/>
  <c r="J60" i="5"/>
  <c r="J16" i="5"/>
  <c r="J28" i="5"/>
  <c r="J15" i="5"/>
  <c r="J47" i="5"/>
  <c r="J69" i="5"/>
  <c r="J73" i="5"/>
  <c r="J84" i="5"/>
  <c r="J90" i="5"/>
  <c r="J43" i="5"/>
  <c r="J85" i="5"/>
  <c r="J63" i="5"/>
  <c r="J23" i="5"/>
  <c r="J20" i="5"/>
  <c r="J33" i="5"/>
  <c r="J83" i="5"/>
  <c r="J39" i="5"/>
  <c r="J34" i="5"/>
  <c r="J89" i="5"/>
  <c r="J22" i="5"/>
  <c r="J52" i="5"/>
  <c r="J50" i="5"/>
  <c r="J17" i="5"/>
  <c r="J94" i="5"/>
  <c r="J62" i="5"/>
  <c r="J66" i="5"/>
  <c r="J32" i="5"/>
  <c r="J26" i="5"/>
  <c r="J97" i="5"/>
  <c r="J80" i="5"/>
  <c r="J77" i="5"/>
  <c r="J37" i="5"/>
  <c r="J61" i="5"/>
  <c r="J79" i="5"/>
  <c r="J68" i="5"/>
  <c r="J19" i="5"/>
  <c r="J75" i="5"/>
  <c r="J70" i="5"/>
  <c r="J59" i="5"/>
  <c r="J96" i="5"/>
  <c r="J13" i="5"/>
  <c r="J35" i="5"/>
  <c r="J30" i="5"/>
  <c r="J91" i="5"/>
  <c r="J49" i="5"/>
  <c r="J76" i="5"/>
  <c r="J58" i="5"/>
  <c r="J65" i="5"/>
  <c r="J18" i="5"/>
  <c r="J27" i="5"/>
  <c r="J57" i="5"/>
  <c r="J44" i="5"/>
  <c r="J53" i="5"/>
  <c r="J14" i="5"/>
  <c r="J93" i="5"/>
  <c r="J45" i="5"/>
  <c r="J51" i="5"/>
  <c r="J95" i="5"/>
  <c r="J55" i="5"/>
  <c r="J24" i="5"/>
  <c r="K21" i="3" l="1"/>
  <c r="L22" i="3"/>
  <c r="M27" i="5"/>
  <c r="L29" i="5" s="1"/>
  <c r="D82" i="7"/>
  <c r="D78" i="7"/>
  <c r="D40" i="7"/>
  <c r="D48" i="7"/>
  <c r="D26" i="7"/>
  <c r="D10" i="7"/>
  <c r="D21" i="7"/>
  <c r="D76" i="7"/>
  <c r="D36" i="7"/>
  <c r="D43" i="7"/>
  <c r="D65" i="7"/>
  <c r="D79" i="7"/>
  <c r="D47" i="7"/>
  <c r="D15" i="7"/>
  <c r="D70" i="7"/>
  <c r="D38" i="7"/>
  <c r="D13" i="7"/>
  <c r="D68" i="7"/>
  <c r="D58" i="7"/>
  <c r="D89" i="7"/>
  <c r="D83" i="7"/>
  <c r="D23" i="7"/>
  <c r="D55" i="7"/>
  <c r="D88" i="7"/>
  <c r="D24" i="7"/>
  <c r="D72" i="7"/>
  <c r="D14" i="7"/>
  <c r="D46" i="7"/>
  <c r="D16" i="7"/>
  <c r="D32" i="7"/>
  <c r="D56" i="7"/>
  <c r="D80" i="7"/>
  <c r="D87" i="7"/>
  <c r="D37" i="7"/>
  <c r="D52" i="7"/>
  <c r="D53" i="7"/>
  <c r="D28" i="7"/>
  <c r="D12" i="7"/>
  <c r="D59" i="7"/>
  <c r="D27" i="7"/>
  <c r="D63" i="7"/>
  <c r="D86" i="7"/>
  <c r="D22" i="7"/>
  <c r="D25" i="7"/>
  <c r="D69" i="7"/>
  <c r="D74" i="7"/>
  <c r="D19" i="7"/>
  <c r="D61" i="7"/>
  <c r="D84" i="7"/>
  <c r="D90" i="7"/>
  <c r="D42" i="7"/>
  <c r="D81" i="7"/>
  <c r="D66" i="7"/>
  <c r="D45" i="7"/>
  <c r="D60" i="7"/>
  <c r="D11" i="7"/>
  <c r="D41" i="7"/>
  <c r="D18" i="7"/>
  <c r="D39" i="7"/>
  <c r="D49" i="7"/>
  <c r="D62" i="7"/>
  <c r="D57" i="7"/>
  <c r="D75" i="7"/>
  <c r="D64" i="7"/>
  <c r="D31" i="7"/>
  <c r="D54" i="7"/>
  <c r="D50" i="7"/>
  <c r="D17" i="7"/>
  <c r="D35" i="7"/>
  <c r="D29" i="7"/>
  <c r="D73" i="7"/>
  <c r="D67" i="7"/>
  <c r="D44" i="7"/>
  <c r="D20" i="7"/>
  <c r="D85" i="7"/>
  <c r="D30" i="7"/>
  <c r="D33" i="7"/>
  <c r="D34" i="7"/>
  <c r="D77" i="7"/>
  <c r="D71" i="7"/>
  <c r="D51" i="7"/>
  <c r="B1" i="7"/>
  <c r="F9" i="7" s="1"/>
  <c r="D9" i="7"/>
  <c r="F27" i="7" l="1"/>
  <c r="F65" i="7"/>
  <c r="F75" i="7"/>
  <c r="F47" i="7"/>
  <c r="F61" i="7"/>
  <c r="F50" i="7"/>
  <c r="F25" i="7"/>
  <c r="F78" i="7"/>
  <c r="F37" i="7"/>
  <c r="F80" i="7"/>
  <c r="F23" i="7"/>
  <c r="F82" i="7"/>
  <c r="F94" i="7"/>
  <c r="F11" i="7"/>
  <c r="F84" i="7"/>
  <c r="F48" i="7"/>
  <c r="F93" i="7"/>
  <c r="F88" i="7"/>
  <c r="F68" i="7"/>
  <c r="F95" i="7"/>
  <c r="F71" i="7"/>
  <c r="F33" i="7"/>
  <c r="F18" i="7"/>
  <c r="F64" i="7"/>
  <c r="F66" i="7"/>
  <c r="F20" i="7"/>
  <c r="F13" i="7"/>
  <c r="F60" i="7"/>
  <c r="F24" i="7"/>
  <c r="F42" i="7"/>
  <c r="F54" i="7"/>
  <c r="F51" i="7"/>
  <c r="F35" i="7"/>
  <c r="F36" i="7"/>
  <c r="F46" i="7"/>
  <c r="F70" i="7"/>
  <c r="F67" i="7"/>
  <c r="F39" i="7"/>
  <c r="F85" i="7"/>
  <c r="F79" i="7"/>
  <c r="F29" i="7"/>
  <c r="F73" i="7"/>
  <c r="F77" i="7"/>
  <c r="F83" i="7"/>
  <c r="F55" i="7"/>
  <c r="F57" i="7"/>
  <c r="F62" i="7"/>
  <c r="F76" i="7"/>
  <c r="F43" i="7"/>
  <c r="F15" i="7"/>
  <c r="F86" i="7"/>
  <c r="F96" i="7"/>
  <c r="F72" i="7"/>
  <c r="F41" i="7"/>
  <c r="F19" i="7"/>
  <c r="F53" i="7"/>
  <c r="F38" i="7"/>
  <c r="F58" i="7"/>
  <c r="F12" i="7"/>
  <c r="F45" i="7"/>
  <c r="F90" i="7"/>
  <c r="F30" i="7"/>
  <c r="F87" i="7"/>
  <c r="F63" i="7"/>
  <c r="F40" i="7"/>
  <c r="F91" i="7"/>
  <c r="F49" i="7"/>
  <c r="F26" i="7"/>
  <c r="F32" i="7"/>
  <c r="F17" i="7"/>
  <c r="F69" i="7"/>
  <c r="F74" i="7"/>
  <c r="F59" i="7"/>
  <c r="F21" i="7"/>
  <c r="F89" i="7"/>
  <c r="F16" i="7"/>
  <c r="F10" i="7"/>
  <c r="F14" i="7"/>
  <c r="F81" i="7"/>
  <c r="F28" i="7"/>
  <c r="F56" i="7"/>
  <c r="F92" i="7"/>
  <c r="F34" i="7"/>
  <c r="F31" i="7"/>
  <c r="F52" i="7"/>
  <c r="B3" i="7"/>
  <c r="F22" i="7"/>
  <c r="F44" i="7"/>
  <c r="B2" i="7"/>
  <c r="K55" i="7" l="1"/>
  <c r="K71" i="7"/>
  <c r="K9" i="7"/>
  <c r="K48" i="7"/>
  <c r="K85" i="7"/>
  <c r="K29" i="7"/>
  <c r="K88" i="7"/>
  <c r="K41" i="7"/>
  <c r="K36" i="7"/>
  <c r="K89" i="7"/>
  <c r="K72" i="7"/>
  <c r="K53" i="7"/>
  <c r="K58" i="7"/>
  <c r="K79" i="7"/>
  <c r="K15" i="7"/>
  <c r="K34" i="7"/>
  <c r="K38" i="7"/>
  <c r="K82" i="7"/>
  <c r="K68" i="7"/>
  <c r="K65" i="7"/>
  <c r="K10" i="7"/>
  <c r="K75" i="7"/>
  <c r="K80" i="7"/>
  <c r="K44" i="7"/>
  <c r="K13" i="7"/>
  <c r="K25" i="7"/>
  <c r="K37" i="7"/>
  <c r="K49" i="7"/>
  <c r="K14" i="7"/>
  <c r="K46" i="7"/>
  <c r="K23" i="7"/>
  <c r="K21" i="7"/>
  <c r="K51" i="7"/>
  <c r="K24" i="7"/>
  <c r="K47" i="7"/>
  <c r="K86" i="7"/>
  <c r="K26" i="7"/>
  <c r="K52" i="7"/>
  <c r="K81" i="7"/>
  <c r="K32" i="7"/>
  <c r="K70" i="7"/>
  <c r="K61" i="7"/>
  <c r="K17" i="7"/>
  <c r="K87" i="7"/>
  <c r="K28" i="7"/>
  <c r="K90" i="7"/>
  <c r="K69" i="7"/>
  <c r="K22" i="7"/>
  <c r="K30" i="7"/>
  <c r="K12" i="7"/>
  <c r="E77" i="7"/>
  <c r="K96" i="7"/>
  <c r="K95" i="7"/>
  <c r="K93" i="7"/>
  <c r="K92" i="7"/>
  <c r="K91" i="7"/>
  <c r="K94" i="7"/>
  <c r="K83" i="7"/>
  <c r="K35" i="7"/>
  <c r="K33" i="7"/>
  <c r="K74" i="7"/>
  <c r="K64" i="7"/>
  <c r="K66" i="7"/>
  <c r="K84" i="7"/>
  <c r="K78" i="7"/>
  <c r="K54" i="7"/>
  <c r="K77" i="7"/>
  <c r="K39" i="7"/>
  <c r="K62" i="7"/>
  <c r="K45" i="7"/>
  <c r="K59" i="7"/>
  <c r="K27" i="7"/>
  <c r="K11" i="7"/>
  <c r="K63" i="7"/>
  <c r="K18" i="7"/>
  <c r="K42" i="7"/>
  <c r="K16" i="7"/>
  <c r="K56" i="7"/>
  <c r="K76" i="7"/>
  <c r="K67" i="7"/>
  <c r="K60" i="7"/>
  <c r="K31" i="7"/>
  <c r="K43" i="7"/>
  <c r="K20" i="7"/>
  <c r="K40" i="7"/>
  <c r="K50" i="7"/>
  <c r="K73" i="7"/>
  <c r="K57" i="7"/>
  <c r="K19" i="7"/>
  <c r="E27" i="7"/>
  <c r="E78" i="7"/>
  <c r="E54" i="7"/>
  <c r="E42" i="7"/>
  <c r="E22" i="7"/>
  <c r="E53" i="7"/>
  <c r="E83" i="7"/>
  <c r="E31" i="7"/>
  <c r="E57" i="7"/>
  <c r="E19" i="7"/>
  <c r="E11" i="7"/>
  <c r="E43" i="7"/>
  <c r="E20" i="7"/>
  <c r="E39" i="7"/>
  <c r="E50" i="7"/>
  <c r="E25" i="7"/>
  <c r="E16" i="7"/>
  <c r="E10" i="7"/>
  <c r="E29" i="7"/>
  <c r="E60" i="7"/>
  <c r="E71" i="7"/>
  <c r="E68" i="7"/>
  <c r="E85" i="7"/>
  <c r="E81" i="7"/>
  <c r="E34" i="7"/>
  <c r="E41" i="7"/>
  <c r="E72" i="7"/>
  <c r="E9" i="7"/>
  <c r="E84" i="7"/>
  <c r="E49" i="7"/>
  <c r="E66" i="7"/>
  <c r="E23" i="7"/>
  <c r="E21" i="7"/>
  <c r="E73" i="7"/>
  <c r="E33" i="7"/>
  <c r="E28" i="7"/>
  <c r="E15" i="7"/>
  <c r="E75" i="7"/>
  <c r="E76" i="7"/>
  <c r="E82" i="7"/>
  <c r="E37" i="7"/>
  <c r="E65" i="7"/>
  <c r="E67" i="7"/>
  <c r="E48" i="7"/>
  <c r="E17" i="7"/>
  <c r="E62" i="7"/>
  <c r="E32" i="7"/>
  <c r="E70" i="7"/>
  <c r="E94" i="7"/>
  <c r="E95" i="7"/>
  <c r="E92" i="7"/>
  <c r="E91" i="7"/>
  <c r="E93" i="7"/>
  <c r="E96" i="7"/>
  <c r="E38" i="7"/>
  <c r="E36" i="7"/>
  <c r="E86" i="7"/>
  <c r="E58" i="7"/>
  <c r="E63" i="7"/>
  <c r="E79" i="7"/>
  <c r="E30" i="7"/>
  <c r="E35" i="7"/>
  <c r="E12" i="7"/>
  <c r="E55" i="7"/>
  <c r="E61" i="7"/>
  <c r="E88" i="7"/>
  <c r="E87" i="7"/>
  <c r="E90" i="7"/>
  <c r="E14" i="7"/>
  <c r="E51" i="7"/>
  <c r="E89" i="7"/>
  <c r="E26" i="7"/>
  <c r="E13" i="7"/>
  <c r="E74" i="7"/>
  <c r="E56" i="7"/>
  <c r="E64" i="7"/>
  <c r="E80" i="7"/>
  <c r="E44" i="7"/>
  <c r="E18" i="7"/>
  <c r="E52" i="7"/>
  <c r="E40" i="7"/>
  <c r="E46" i="7"/>
  <c r="E47" i="7"/>
  <c r="E69" i="7"/>
  <c r="E45" i="7"/>
  <c r="E59" i="7"/>
  <c r="E24" i="7"/>
  <c r="B5" i="7"/>
  <c r="B4" i="7"/>
  <c r="F4" i="7" l="1"/>
  <c r="P36" i="7" s="1"/>
  <c r="P39" i="7" l="1"/>
  <c r="P40" i="7" s="1"/>
  <c r="P41" i="7" s="1"/>
  <c r="P37" i="7"/>
  <c r="P38" i="7" s="1"/>
  <c r="J10" i="7"/>
  <c r="J34" i="7"/>
  <c r="J9" i="7"/>
  <c r="J30" i="7"/>
  <c r="J65" i="7"/>
  <c r="J22" i="7"/>
  <c r="J43" i="7"/>
  <c r="J44" i="7"/>
  <c r="J84" i="7"/>
  <c r="J81" i="7"/>
  <c r="J28" i="7"/>
  <c r="J73" i="7"/>
  <c r="J54" i="7"/>
  <c r="J93" i="7"/>
  <c r="J32" i="7"/>
  <c r="J37" i="7"/>
  <c r="J66" i="7"/>
  <c r="J71" i="7"/>
  <c r="J51" i="7"/>
  <c r="J96" i="7"/>
  <c r="J88" i="7"/>
  <c r="J68" i="7"/>
  <c r="J24" i="7"/>
  <c r="J29" i="7"/>
  <c r="J58" i="7"/>
  <c r="J85" i="7"/>
  <c r="J35" i="7"/>
  <c r="J52" i="7"/>
  <c r="J50" i="7"/>
  <c r="J49" i="7"/>
  <c r="J72" i="7"/>
  <c r="J86" i="7"/>
  <c r="J87" i="7"/>
  <c r="J77" i="7"/>
  <c r="J13" i="7"/>
  <c r="J91" i="7"/>
  <c r="J27" i="7"/>
  <c r="J36" i="7"/>
  <c r="J42" i="7"/>
  <c r="J16" i="7"/>
  <c r="J41" i="7"/>
  <c r="J47" i="7"/>
  <c r="J83" i="7"/>
  <c r="J20" i="7"/>
  <c r="J57" i="7"/>
  <c r="J14" i="7"/>
  <c r="J64" i="7"/>
  <c r="J69" i="7"/>
  <c r="J33" i="7"/>
  <c r="J56" i="7"/>
  <c r="J55" i="7"/>
  <c r="J62" i="7"/>
  <c r="J23" i="7"/>
  <c r="J61" i="7"/>
  <c r="J92" i="7"/>
  <c r="J75" i="7"/>
  <c r="J11" i="7"/>
  <c r="J90" i="7"/>
  <c r="J26" i="7"/>
  <c r="J31" i="7"/>
  <c r="J12" i="7"/>
  <c r="J70" i="7"/>
  <c r="J19" i="7"/>
  <c r="J25" i="7"/>
  <c r="J48" i="7"/>
  <c r="J39" i="7"/>
  <c r="J46" i="7"/>
  <c r="J94" i="7"/>
  <c r="J53" i="7"/>
  <c r="J76" i="7"/>
  <c r="J67" i="7"/>
  <c r="J89" i="7"/>
  <c r="J82" i="7"/>
  <c r="J18" i="7"/>
  <c r="J80" i="7"/>
  <c r="J21" i="7"/>
  <c r="J95" i="7"/>
  <c r="J79" i="7"/>
  <c r="H87" i="7"/>
  <c r="J17" i="7"/>
  <c r="J40" i="7"/>
  <c r="J15" i="7"/>
  <c r="J38" i="7"/>
  <c r="J78" i="7"/>
  <c r="J45" i="7"/>
  <c r="J60" i="7"/>
  <c r="J59" i="7"/>
  <c r="J63" i="7"/>
  <c r="J74" i="7"/>
  <c r="H81" i="7"/>
  <c r="H60" i="7"/>
  <c r="H11" i="7"/>
  <c r="H76" i="7"/>
  <c r="H34" i="7"/>
  <c r="H89" i="7"/>
  <c r="H46" i="7"/>
  <c r="H90" i="7"/>
  <c r="H23" i="7"/>
  <c r="H16" i="7"/>
  <c r="H68" i="7"/>
  <c r="H21" i="7"/>
  <c r="H56" i="7"/>
  <c r="H95" i="7"/>
  <c r="H25" i="7"/>
  <c r="H84" i="7"/>
  <c r="H9" i="7"/>
  <c r="I9" i="7" s="1"/>
  <c r="H66" i="7"/>
  <c r="H53" i="7"/>
  <c r="H13" i="7"/>
  <c r="H54" i="7"/>
  <c r="H26" i="7"/>
  <c r="H15" i="7"/>
  <c r="H17" i="7"/>
  <c r="H59" i="7"/>
  <c r="H96" i="7"/>
  <c r="H71" i="7"/>
  <c r="H77" i="7"/>
  <c r="I77" i="7" s="1"/>
  <c r="H82" i="7"/>
  <c r="H19" i="7"/>
  <c r="H69" i="7"/>
  <c r="H43" i="7"/>
  <c r="H83" i="7"/>
  <c r="H61" i="7"/>
  <c r="I61" i="7" s="1"/>
  <c r="H88" i="7"/>
  <c r="H86" i="7"/>
  <c r="H33" i="7"/>
  <c r="H78" i="7"/>
  <c r="H64" i="7"/>
  <c r="H73" i="7"/>
  <c r="H38" i="7"/>
  <c r="H28" i="7"/>
  <c r="H44" i="7"/>
  <c r="H41" i="7"/>
  <c r="H93" i="7"/>
  <c r="H24" i="7"/>
  <c r="H57" i="7"/>
  <c r="H91" i="7"/>
  <c r="H12" i="7"/>
  <c r="H47" i="7"/>
  <c r="H94" i="7"/>
  <c r="H85" i="7"/>
  <c r="H48" i="7"/>
  <c r="H70" i="7"/>
  <c r="H35" i="7"/>
  <c r="H67" i="7"/>
  <c r="H51" i="7"/>
  <c r="H50" i="7"/>
  <c r="H20" i="7"/>
  <c r="H49" i="7"/>
  <c r="H62" i="7"/>
  <c r="H74" i="7"/>
  <c r="H14" i="7"/>
  <c r="H58" i="7"/>
  <c r="H40" i="7"/>
  <c r="H65" i="7"/>
  <c r="H72" i="7"/>
  <c r="H75" i="7"/>
  <c r="H27" i="7"/>
  <c r="H63" i="7"/>
  <c r="H18" i="7"/>
  <c r="H30" i="7"/>
  <c r="H92" i="7"/>
  <c r="H39" i="7"/>
  <c r="H31" i="7"/>
  <c r="H80" i="7"/>
  <c r="H32" i="7"/>
  <c r="H45" i="7"/>
  <c r="H36" i="7"/>
  <c r="H22" i="7"/>
  <c r="H79" i="7"/>
  <c r="H42" i="7"/>
  <c r="H10" i="7"/>
  <c r="H37" i="7"/>
  <c r="H29" i="7"/>
  <c r="H52" i="7"/>
  <c r="H55" i="7"/>
  <c r="P42" i="7" l="1"/>
  <c r="P45" i="7" s="1"/>
  <c r="F5" i="7"/>
  <c r="L30" i="7" s="1"/>
  <c r="I88" i="7"/>
  <c r="I22" i="7"/>
  <c r="I69" i="7"/>
  <c r="I45" i="7"/>
  <c r="I32" i="7"/>
  <c r="I42" i="7"/>
  <c r="I29" i="7"/>
  <c r="I91" i="7"/>
  <c r="I27" i="7"/>
  <c r="I55" i="7"/>
  <c r="I18" i="7"/>
  <c r="I14" i="7"/>
  <c r="I35" i="7"/>
  <c r="I57" i="7"/>
  <c r="I24" i="7"/>
  <c r="I10" i="7"/>
  <c r="I83" i="7"/>
  <c r="I60" i="7"/>
  <c r="I52" i="7"/>
  <c r="I82" i="7"/>
  <c r="I39" i="7"/>
  <c r="I20" i="7"/>
  <c r="I79" i="7"/>
  <c r="I96" i="7"/>
  <c r="I36" i="7"/>
  <c r="I58" i="7"/>
  <c r="I67" i="7"/>
  <c r="I73" i="7"/>
  <c r="I43" i="7"/>
  <c r="I17" i="7"/>
  <c r="I84" i="7"/>
  <c r="I90" i="7"/>
  <c r="I70" i="7"/>
  <c r="I26" i="7"/>
  <c r="I75" i="7"/>
  <c r="I62" i="7"/>
  <c r="I54" i="7"/>
  <c r="I31" i="7"/>
  <c r="I72" i="7"/>
  <c r="I49" i="7"/>
  <c r="I65" i="7"/>
  <c r="I47" i="7"/>
  <c r="I16" i="7"/>
  <c r="I40" i="7"/>
  <c r="I12" i="7"/>
  <c r="I63" i="7"/>
  <c r="I64" i="7"/>
  <c r="I15" i="7"/>
  <c r="I25" i="7"/>
  <c r="I46" i="7"/>
  <c r="I74" i="7"/>
  <c r="I78" i="7"/>
  <c r="I19" i="7"/>
  <c r="I95" i="7"/>
  <c r="I89" i="7"/>
  <c r="I80" i="7"/>
  <c r="I48" i="7"/>
  <c r="I93" i="7"/>
  <c r="I33" i="7"/>
  <c r="I56" i="7"/>
  <c r="I34" i="7"/>
  <c r="I37" i="7"/>
  <c r="I85" i="7"/>
  <c r="I41" i="7"/>
  <c r="I86" i="7"/>
  <c r="I13" i="7"/>
  <c r="I21" i="7"/>
  <c r="I76" i="7"/>
  <c r="I94" i="7"/>
  <c r="I44" i="7"/>
  <c r="I71" i="7"/>
  <c r="I53" i="7"/>
  <c r="I68" i="7"/>
  <c r="I11" i="7"/>
  <c r="I92" i="7"/>
  <c r="I50" i="7"/>
  <c r="I28" i="7"/>
  <c r="I66" i="7"/>
  <c r="I81" i="7"/>
  <c r="I30" i="7"/>
  <c r="I51" i="7"/>
  <c r="I38" i="7"/>
  <c r="I59" i="7"/>
  <c r="I23" i="7"/>
  <c r="I87" i="7"/>
  <c r="L90" i="7" l="1"/>
  <c r="M48" i="7"/>
  <c r="L65" i="7"/>
  <c r="M83" i="7"/>
  <c r="M88" i="7"/>
  <c r="M41" i="7"/>
  <c r="M58" i="7"/>
  <c r="M93" i="7"/>
  <c r="L80" i="7"/>
  <c r="M44" i="7"/>
  <c r="L91" i="7"/>
  <c r="M24" i="7"/>
  <c r="L74" i="7"/>
  <c r="L88" i="7"/>
  <c r="L96" i="7"/>
  <c r="L64" i="7"/>
  <c r="M9" i="7"/>
  <c r="L39" i="7"/>
  <c r="L16" i="7"/>
  <c r="M13" i="7"/>
  <c r="L76" i="7"/>
  <c r="L81" i="7"/>
  <c r="L62" i="7"/>
  <c r="L21" i="7"/>
  <c r="M33" i="7"/>
  <c r="L9" i="7"/>
  <c r="L93" i="7"/>
  <c r="L42" i="7"/>
  <c r="M53" i="7"/>
  <c r="M68" i="7"/>
  <c r="L70" i="7"/>
  <c r="M18" i="7"/>
  <c r="L85" i="7"/>
  <c r="M92" i="7"/>
  <c r="L58" i="7"/>
  <c r="L46" i="7"/>
  <c r="L72" i="7"/>
  <c r="M78" i="7"/>
  <c r="L23" i="7"/>
  <c r="M20" i="7"/>
  <c r="M31" i="7"/>
  <c r="M29" i="7"/>
  <c r="M17" i="7"/>
  <c r="L68" i="7"/>
  <c r="M95" i="7"/>
  <c r="L82" i="7"/>
  <c r="L57" i="7"/>
  <c r="L83" i="7"/>
  <c r="L38" i="7"/>
  <c r="M49" i="7"/>
  <c r="L26" i="7"/>
  <c r="M85" i="7"/>
  <c r="L67" i="7"/>
  <c r="M87" i="7"/>
  <c r="M63" i="7"/>
  <c r="L11" i="7"/>
  <c r="L25" i="7"/>
  <c r="M30" i="7"/>
  <c r="M57" i="7"/>
  <c r="L44" i="7"/>
  <c r="L59" i="7"/>
  <c r="M52" i="7"/>
  <c r="L17" i="7"/>
  <c r="M47" i="7"/>
  <c r="M28" i="7"/>
  <c r="M74" i="7"/>
  <c r="M45" i="7"/>
  <c r="L95" i="7"/>
  <c r="M15" i="7"/>
  <c r="M86" i="7"/>
  <c r="L14" i="7"/>
  <c r="L34" i="7"/>
  <c r="M60" i="7"/>
  <c r="M35" i="7"/>
  <c r="L55" i="7"/>
  <c r="L37" i="7"/>
  <c r="M91" i="7"/>
  <c r="L18" i="7"/>
  <c r="L27" i="7"/>
  <c r="L63" i="7"/>
  <c r="M19" i="7"/>
  <c r="M21" i="7"/>
  <c r="L48" i="7"/>
  <c r="L61" i="7"/>
  <c r="M14" i="7"/>
  <c r="M39" i="7"/>
  <c r="L35" i="7"/>
  <c r="M56" i="7"/>
  <c r="L10" i="7"/>
  <c r="M84" i="7"/>
  <c r="L92" i="7"/>
  <c r="L24" i="7"/>
  <c r="M96" i="7"/>
  <c r="M38" i="7"/>
  <c r="L54" i="7"/>
  <c r="M66" i="7"/>
  <c r="M64" i="7"/>
  <c r="L50" i="7"/>
  <c r="M65" i="7"/>
  <c r="L60" i="7"/>
  <c r="M79" i="7"/>
  <c r="L84" i="7"/>
  <c r="M61" i="7"/>
  <c r="M32" i="7"/>
  <c r="L86" i="7"/>
  <c r="M26" i="7"/>
  <c r="L29" i="7"/>
  <c r="M70" i="7"/>
  <c r="M59" i="7"/>
  <c r="L47" i="7"/>
  <c r="M73" i="7"/>
  <c r="M75" i="7"/>
  <c r="M72" i="7"/>
  <c r="L32" i="7"/>
  <c r="M76" i="7"/>
  <c r="M80" i="7"/>
  <c r="L19" i="7"/>
  <c r="L78" i="7"/>
  <c r="M50" i="7"/>
  <c r="M62" i="7"/>
  <c r="L66" i="7"/>
  <c r="L77" i="7"/>
  <c r="M25" i="7"/>
  <c r="L22" i="7"/>
  <c r="L79" i="7"/>
  <c r="L41" i="7"/>
  <c r="M23" i="7"/>
  <c r="M42" i="7"/>
  <c r="M82" i="7"/>
  <c r="M71" i="7"/>
  <c r="L36" i="7"/>
  <c r="L94" i="7"/>
  <c r="L43" i="7"/>
  <c r="M90" i="7"/>
  <c r="M89" i="7"/>
  <c r="M51" i="7"/>
  <c r="L56" i="7"/>
  <c r="M69" i="7"/>
  <c r="L89" i="7"/>
  <c r="L51" i="7"/>
  <c r="L15" i="7"/>
  <c r="M43" i="7"/>
  <c r="M36" i="7"/>
  <c r="L53" i="7"/>
  <c r="M11" i="7"/>
  <c r="L49" i="7"/>
  <c r="L75" i="7"/>
  <c r="L71" i="7"/>
  <c r="M27" i="7"/>
  <c r="M46" i="7"/>
  <c r="L73" i="7"/>
  <c r="L69" i="7"/>
  <c r="L40" i="7"/>
  <c r="L31" i="7"/>
  <c r="M22" i="7"/>
  <c r="L13" i="7"/>
  <c r="L33" i="7"/>
  <c r="M10" i="7"/>
  <c r="L52" i="7"/>
  <c r="M55" i="7"/>
  <c r="M37" i="7"/>
  <c r="L87" i="7"/>
  <c r="M81" i="7"/>
  <c r="L28" i="7"/>
  <c r="M54" i="7"/>
  <c r="M67" i="7"/>
  <c r="M16" i="7"/>
  <c r="L20" i="7"/>
  <c r="L45" i="7"/>
  <c r="L12" i="7"/>
  <c r="M77" i="7"/>
  <c r="M34" i="7"/>
  <c r="M94" i="7"/>
  <c r="M12" i="7"/>
  <c r="M40" i="7"/>
  <c r="P28" i="7" l="1"/>
  <c r="O30" i="7" s="1"/>
</calcChain>
</file>

<file path=xl/sharedStrings.xml><?xml version="1.0" encoding="utf-8"?>
<sst xmlns="http://schemas.openxmlformats.org/spreadsheetml/2006/main" count="175" uniqueCount="106">
  <si>
    <t>Year</t>
  </si>
  <si>
    <t>Precipitation [in]</t>
  </si>
  <si>
    <t>Peak Streamflow (cfs)</t>
  </si>
  <si>
    <t>January precipitation at Ithaca, New York, 1933-1982, inches</t>
  </si>
  <si>
    <t>Group</t>
  </si>
  <si>
    <t xml:space="preserve">k = </t>
  </si>
  <si>
    <t>in^-1</t>
  </si>
  <si>
    <t xml:space="preserve">mu = </t>
  </si>
  <si>
    <t xml:space="preserve">stdev = </t>
  </si>
  <si>
    <t>in</t>
  </si>
  <si>
    <t>Obs Freq</t>
  </si>
  <si>
    <t>Exp Freq</t>
  </si>
  <si>
    <t>P(x&lt;=b)</t>
  </si>
  <si>
    <t>P(a&lt;x&lt;=b)</t>
  </si>
  <si>
    <t>Criteria</t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</si>
  <si>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</si>
  <si>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Obs Cumul</t>
  </si>
  <si>
    <t>NORMAL DIST</t>
  </si>
  <si>
    <t>GAMMA DIST</t>
  </si>
  <si>
    <t>CHI-SQUARE TEST</t>
  </si>
  <si>
    <t>KOLMOGOROV-SMIRNOV TEST</t>
  </si>
  <si>
    <t xml:space="preserve">df = </t>
  </si>
  <si>
    <t>k-1-p =</t>
  </si>
  <si>
    <t>kappa =</t>
  </si>
  <si>
    <t xml:space="preserve">lambda = </t>
  </si>
  <si>
    <t xml:space="preserve">p = </t>
  </si>
  <si>
    <t xml:space="preserve">alpha = </t>
  </si>
  <si>
    <t xml:space="preserve">a = </t>
  </si>
  <si>
    <t>Result:</t>
  </si>
  <si>
    <t>Rank</t>
  </si>
  <si>
    <t>Ref: http://www.real-statistics.com/tests-normality-and-symmetry/statistical-tests-normality-symmetry/chi-square-test-for-normality/</t>
  </si>
  <si>
    <t xml:space="preserve">n =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</si>
  <si>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(x)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</si>
  <si>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</si>
  <si>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n,x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</si>
  <si>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</si>
  <si>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</si>
  <si>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</si>
  <si>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Result: 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</si>
  <si>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crit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</si>
  <si>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1-a = </t>
  </si>
  <si>
    <t>xbar =</t>
  </si>
  <si>
    <t>α =</t>
  </si>
  <si>
    <t xml:space="preserve">β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</si>
  <si>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</si>
  <si>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</si>
  <si>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t xml:space="preserve">N =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</si>
  <si>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</si>
  <si>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</si>
  <si>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cdf</t>
    </r>
  </si>
  <si>
    <t xml:space="preserve">Fit looks pretty good. </t>
  </si>
  <si>
    <t xml:space="preserve">wbar = 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</si>
  <si>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</si>
  <si>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t xml:space="preserve">PPCC = </t>
  </si>
  <si>
    <t>(xi-xbar)*(wi-wbar)</t>
  </si>
  <si>
    <t>(xi-xbar)^2</t>
  </si>
  <si>
    <t>(wi-wbar)^2</t>
  </si>
  <si>
    <t xml:space="preserve">PPCCreq = </t>
  </si>
  <si>
    <t>n</t>
  </si>
  <si>
    <t>a = 0.05</t>
  </si>
  <si>
    <r>
      <t>y = log(x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(Exp)</t>
    </r>
  </si>
  <si>
    <t>ybar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</si>
  <si>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</si>
  <si>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C</t>
    </r>
    <r>
      <rPr>
        <vertAlign val="subscript"/>
        <sz val="11"/>
        <color theme="1"/>
        <rFont val="Calibri"/>
        <family val="2"/>
        <scheme val="minor"/>
      </rPr>
      <t>sy</t>
    </r>
    <r>
      <rPr>
        <sz val="11"/>
        <color theme="1"/>
        <rFont val="Calibri"/>
        <family val="2"/>
        <scheme val="minor"/>
      </rPr>
      <t xml:space="preserve"> = </t>
    </r>
  </si>
  <si>
    <t>(yi-ybar)^3</t>
  </si>
  <si>
    <t>n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</si>
  <si>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</si>
  <si>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</si>
  <si>
    <t xml:space="preserve">xbar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</si>
  <si>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</si>
  <si>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0.95,5</t>
    </r>
    <r>
      <rPr>
        <b/>
        <sz val="11"/>
        <color theme="1"/>
        <rFont val="Calibri"/>
        <family val="2"/>
        <scheme val="minor"/>
      </rPr>
      <t xml:space="preserve"> = </t>
    </r>
  </si>
  <si>
    <r>
      <t>&lt;-- check using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</si>
  <si>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</si>
  <si>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</si>
  <si>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&lt;-- interpolate over table</t>
  </si>
  <si>
    <t>yr</t>
  </si>
  <si>
    <t xml:space="preserve">T = </t>
  </si>
  <si>
    <t>T = 100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</si>
  <si>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</si>
  <si>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Part 3</t>
  </si>
  <si>
    <t>cfs</t>
  </si>
  <si>
    <t>cfs^2</t>
  </si>
  <si>
    <t>obs</t>
  </si>
  <si>
    <t>cfs^3</t>
  </si>
  <si>
    <t>Part 2</t>
  </si>
  <si>
    <r>
      <t>S(X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</si>
  <si>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MS Reference Sans Serif"/>
        <family val="2"/>
      </rPr>
      <t>δ</t>
    </r>
    <r>
      <rPr>
        <sz val="11"/>
        <color theme="1"/>
        <rFont val="Calibri"/>
        <family val="2"/>
        <scheme val="minor"/>
      </rPr>
      <t xml:space="preserve"> = 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</si>
  <si>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</si>
  <si>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</si>
  <si>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</si>
  <si>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</si>
  <si>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=</t>
    </r>
  </si>
  <si>
    <t xml:space="preserve">prob = </t>
  </si>
  <si>
    <r>
      <rPr>
        <sz val="11"/>
        <color theme="1"/>
        <rFont val="MS Reference Sans Serif"/>
        <family val="2"/>
      </rPr>
      <t>δK</t>
    </r>
    <r>
      <rPr>
        <vertAlign val="subscript"/>
        <sz val="11"/>
        <color theme="1"/>
        <rFont val="MS Reference Sans Serif"/>
        <family val="2"/>
      </rPr>
      <t>T</t>
    </r>
    <r>
      <rPr>
        <sz val="11"/>
        <color theme="1"/>
        <rFont val="MS Reference Sans Serif"/>
        <family val="2"/>
      </rPr>
      <t>/δC</t>
    </r>
    <r>
      <rPr>
        <vertAlign val="subscript"/>
        <sz val="11"/>
        <color theme="1"/>
        <rFont val="MS Reference Sans Serif"/>
        <family val="2"/>
      </rPr>
      <t>sy</t>
    </r>
    <r>
      <rPr>
        <sz val="11"/>
        <color theme="1"/>
        <rFont val="Calibri"/>
        <family val="2"/>
        <scheme val="minor"/>
      </rPr>
      <t xml:space="preserve"> = </t>
    </r>
  </si>
  <si>
    <r>
      <t>S(Y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=</t>
    </r>
  </si>
  <si>
    <r>
      <t>Z</t>
    </r>
    <r>
      <rPr>
        <vertAlign val="subscript"/>
        <sz val="11"/>
        <color theme="1"/>
        <rFont val="Calibri"/>
        <family val="2"/>
        <scheme val="minor"/>
      </rPr>
      <t>1-</t>
    </r>
    <r>
      <rPr>
        <vertAlign val="subscript"/>
        <sz val="11"/>
        <color theme="1"/>
        <rFont val="MS Reference Sans Serif"/>
        <family val="2"/>
      </rPr>
      <t>α</t>
    </r>
    <r>
      <rPr>
        <vertAlign val="subscript"/>
        <sz val="11"/>
        <color theme="1"/>
        <rFont val="Calibri"/>
        <family val="2"/>
      </rPr>
      <t>/2</t>
    </r>
    <r>
      <rPr>
        <sz val="11"/>
        <color theme="1"/>
        <rFont val="Calibri"/>
        <family val="2"/>
      </rPr>
      <t xml:space="preserve"> = </t>
    </r>
  </si>
  <si>
    <t>&lt;-- Z(0.95) for N(0,1)</t>
  </si>
  <si>
    <t xml:space="preserve">P-value: </t>
  </si>
  <si>
    <t>P-value:</t>
  </si>
  <si>
    <t xml:space="preserve">P-Value: </t>
  </si>
  <si>
    <t>from table 8.4 Kite</t>
  </si>
  <si>
    <r>
      <t>K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bar =</t>
    </r>
  </si>
  <si>
    <t>&gt; 0.1</t>
  </si>
  <si>
    <t>&lt;-- from table 18.3.4</t>
  </si>
  <si>
    <t>Based on table, p-value will be larger than 0.1. Because alpha is</t>
  </si>
  <si>
    <t xml:space="preserve">smaller than 0.1, it is certain that the null hypothesis will not be rejected.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</si>
</sst>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vertAlign val="subscript"/>
      <sz val="11"/>
      <color theme="1"/>
      <name val="MS Reference Sans Serif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9" fontId="0" fillId="0" borderId="0" xfId="0" applyNumberFormat="1"/>
    <xf numFmtId="0" fontId="5" fillId="0" borderId="0" xfId="0" applyFont="1"/>
    <xf numFmtId="0" fontId="0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1" fontId="0" fillId="0" borderId="0" xfId="0" applyNumberFormat="1" applyFill="1" applyAlignment="1">
      <alignment horizontal="center"/>
    </xf>
    <xf numFmtId="0" fontId="4" fillId="0" borderId="0" xfId="0" applyFont="1" applyFill="1"/>
    <xf numFmtId="1" fontId="1" fillId="0" borderId="0" xfId="0" applyNumberFormat="1" applyFont="1" applyFill="1" applyAlignment="1"/>
    <xf numFmtId="166" fontId="1" fillId="0" borderId="0" xfId="0" applyNumberFormat="1" applyFont="1" applyFill="1" applyAlignment="1"/>
    <xf numFmtId="164" fontId="1" fillId="0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0" fontId="1" fillId="0" borderId="0" xfId="0" applyFont="1" applyFill="1" applyBorder="1"/>
    <xf numFmtId="165" fontId="0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vertical="center" wrapText="1"/>
    </xf>
    <xf numFmtId="164" fontId="0" fillId="0" borderId="0" xfId="0" applyNumberFormat="1" applyFont="1" applyFill="1"/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0" xfId="0" applyFont="1" applyFill="1" applyAlignment="1"/>
    <xf numFmtId="1" fontId="1" fillId="2" borderId="0" xfId="0" applyNumberFormat="1" applyFont="1" applyFill="1" applyAlignment="1"/>
    <xf numFmtId="1" fontId="1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164" fontId="0" fillId="0" borderId="0" xfId="0" applyNumberFormat="1" applyFill="1" applyAlignment="1"/>
    <xf numFmtId="0" fontId="0" fillId="0" borderId="0" xfId="0" applyNumberFormat="1" applyFont="1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p2_ev1!$B$9</c:f>
              <c:strCache>
                <c:ptCount val="1"/>
                <c:pt idx="0">
                  <c:v>xi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p2_ev1!$B$10:$B$97</c:f>
              <c:numCache>
                <c:formatCode>0</c:formatCode>
                <c:ptCount val="88"/>
                <c:pt idx="0">
                  <c:v>706000</c:v>
                </c:pt>
                <c:pt idx="1">
                  <c:v>711000</c:v>
                </c:pt>
                <c:pt idx="2">
                  <c:v>787000</c:v>
                </c:pt>
                <c:pt idx="3">
                  <c:v>814000</c:v>
                </c:pt>
                <c:pt idx="4">
                  <c:v>877000</c:v>
                </c:pt>
                <c:pt idx="5">
                  <c:v>956000</c:v>
                </c:pt>
                <c:pt idx="6">
                  <c:v>956000</c:v>
                </c:pt>
                <c:pt idx="7">
                  <c:v>977000</c:v>
                </c:pt>
                <c:pt idx="8">
                  <c:v>980000</c:v>
                </c:pt>
                <c:pt idx="9">
                  <c:v>983000</c:v>
                </c:pt>
                <c:pt idx="10">
                  <c:v>1020000</c:v>
                </c:pt>
                <c:pt idx="11">
                  <c:v>1040000</c:v>
                </c:pt>
                <c:pt idx="12">
                  <c:v>1040000</c:v>
                </c:pt>
                <c:pt idx="13">
                  <c:v>1075000</c:v>
                </c:pt>
                <c:pt idx="14">
                  <c:v>1100000</c:v>
                </c:pt>
                <c:pt idx="15">
                  <c:v>1100000</c:v>
                </c:pt>
                <c:pt idx="16">
                  <c:v>1110000</c:v>
                </c:pt>
                <c:pt idx="17">
                  <c:v>1110000</c:v>
                </c:pt>
                <c:pt idx="18">
                  <c:v>1140000</c:v>
                </c:pt>
                <c:pt idx="19">
                  <c:v>1147000</c:v>
                </c:pt>
                <c:pt idx="20">
                  <c:v>1148000</c:v>
                </c:pt>
                <c:pt idx="21">
                  <c:v>1150000</c:v>
                </c:pt>
                <c:pt idx="22">
                  <c:v>1153000</c:v>
                </c:pt>
                <c:pt idx="23">
                  <c:v>1160000</c:v>
                </c:pt>
                <c:pt idx="24">
                  <c:v>1178000</c:v>
                </c:pt>
                <c:pt idx="25">
                  <c:v>1182000</c:v>
                </c:pt>
                <c:pt idx="26">
                  <c:v>1187000</c:v>
                </c:pt>
                <c:pt idx="27">
                  <c:v>1190000</c:v>
                </c:pt>
                <c:pt idx="28">
                  <c:v>1190000</c:v>
                </c:pt>
                <c:pt idx="29">
                  <c:v>1191000</c:v>
                </c:pt>
                <c:pt idx="30">
                  <c:v>1221000</c:v>
                </c:pt>
                <c:pt idx="31">
                  <c:v>1230000</c:v>
                </c:pt>
                <c:pt idx="32">
                  <c:v>1270000</c:v>
                </c:pt>
                <c:pt idx="33">
                  <c:v>1280000</c:v>
                </c:pt>
                <c:pt idx="34">
                  <c:v>1280000</c:v>
                </c:pt>
                <c:pt idx="35">
                  <c:v>1282000</c:v>
                </c:pt>
                <c:pt idx="36">
                  <c:v>1284000</c:v>
                </c:pt>
                <c:pt idx="37">
                  <c:v>1301000</c:v>
                </c:pt>
                <c:pt idx="38">
                  <c:v>1304000</c:v>
                </c:pt>
                <c:pt idx="39">
                  <c:v>1312000</c:v>
                </c:pt>
                <c:pt idx="40">
                  <c:v>1312000</c:v>
                </c:pt>
                <c:pt idx="41">
                  <c:v>1315000</c:v>
                </c:pt>
                <c:pt idx="42">
                  <c:v>1320000</c:v>
                </c:pt>
                <c:pt idx="43">
                  <c:v>1320000</c:v>
                </c:pt>
                <c:pt idx="44">
                  <c:v>1325000</c:v>
                </c:pt>
                <c:pt idx="45">
                  <c:v>1333000</c:v>
                </c:pt>
                <c:pt idx="46">
                  <c:v>1334000</c:v>
                </c:pt>
                <c:pt idx="47">
                  <c:v>1350000</c:v>
                </c:pt>
                <c:pt idx="48">
                  <c:v>1350000</c:v>
                </c:pt>
                <c:pt idx="49">
                  <c:v>1356000</c:v>
                </c:pt>
                <c:pt idx="50">
                  <c:v>1360000</c:v>
                </c:pt>
                <c:pt idx="51">
                  <c:v>1368000</c:v>
                </c:pt>
                <c:pt idx="52">
                  <c:v>1370000</c:v>
                </c:pt>
                <c:pt idx="53">
                  <c:v>1370000</c:v>
                </c:pt>
                <c:pt idx="54">
                  <c:v>1380000</c:v>
                </c:pt>
                <c:pt idx="55">
                  <c:v>1380000</c:v>
                </c:pt>
                <c:pt idx="56">
                  <c:v>1401000</c:v>
                </c:pt>
                <c:pt idx="57">
                  <c:v>1404000</c:v>
                </c:pt>
                <c:pt idx="58">
                  <c:v>1410000</c:v>
                </c:pt>
                <c:pt idx="59">
                  <c:v>1410000</c:v>
                </c:pt>
                <c:pt idx="60">
                  <c:v>1420000</c:v>
                </c:pt>
                <c:pt idx="61">
                  <c:v>1430000</c:v>
                </c:pt>
                <c:pt idx="62">
                  <c:v>1430000</c:v>
                </c:pt>
                <c:pt idx="63">
                  <c:v>1440000</c:v>
                </c:pt>
                <c:pt idx="64">
                  <c:v>1481000</c:v>
                </c:pt>
                <c:pt idx="65">
                  <c:v>1530000</c:v>
                </c:pt>
                <c:pt idx="66">
                  <c:v>1537000</c:v>
                </c:pt>
                <c:pt idx="67">
                  <c:v>1542000</c:v>
                </c:pt>
                <c:pt idx="68">
                  <c:v>1550000</c:v>
                </c:pt>
                <c:pt idx="69">
                  <c:v>1560000</c:v>
                </c:pt>
                <c:pt idx="70">
                  <c:v>1574000</c:v>
                </c:pt>
                <c:pt idx="71">
                  <c:v>1580000</c:v>
                </c:pt>
                <c:pt idx="72">
                  <c:v>1600000</c:v>
                </c:pt>
                <c:pt idx="73">
                  <c:v>1610000</c:v>
                </c:pt>
                <c:pt idx="74">
                  <c:v>1648000</c:v>
                </c:pt>
                <c:pt idx="75">
                  <c:v>1690000</c:v>
                </c:pt>
                <c:pt idx="76">
                  <c:v>1690000</c:v>
                </c:pt>
                <c:pt idx="77">
                  <c:v>1730000</c:v>
                </c:pt>
                <c:pt idx="78">
                  <c:v>1780000</c:v>
                </c:pt>
                <c:pt idx="79">
                  <c:v>1790000</c:v>
                </c:pt>
                <c:pt idx="80">
                  <c:v>1820000</c:v>
                </c:pt>
                <c:pt idx="81">
                  <c:v>1840000</c:v>
                </c:pt>
                <c:pt idx="82">
                  <c:v>1880000</c:v>
                </c:pt>
                <c:pt idx="83">
                  <c:v>1922000</c:v>
                </c:pt>
                <c:pt idx="84">
                  <c:v>1962000</c:v>
                </c:pt>
                <c:pt idx="85">
                  <c:v>2080000</c:v>
                </c:pt>
                <c:pt idx="86">
                  <c:v>2278000</c:v>
                </c:pt>
                <c:pt idx="87">
                  <c:v>2310000</c:v>
                </c:pt>
              </c:numCache>
            </c:numRef>
          </c:xVal>
          <c:yVal>
            <c:numRef>
              <c:f>p2_ev1!$E$10:$E$97</c:f>
              <c:numCache>
                <c:formatCode>General</c:formatCode>
                <c:ptCount val="88"/>
                <c:pt idx="0">
                  <c:v>815173.07092373958</c:v>
                </c:pt>
                <c:pt idx="1">
                  <c:v>870460.32924692892</c:v>
                </c:pt>
                <c:pt idx="2">
                  <c:v>902464.34896369372</c:v>
                </c:pt>
                <c:pt idx="3">
                  <c:v>926360.71604877489</c:v>
                </c:pt>
                <c:pt idx="4">
                  <c:v>945974.34331478109</c:v>
                </c:pt>
                <c:pt idx="5">
                  <c:v>970638.90390192089</c:v>
                </c:pt>
                <c:pt idx="6">
                  <c:v>970638.90390192089</c:v>
                </c:pt>
                <c:pt idx="7">
                  <c:v>991704.33834724443</c:v>
                </c:pt>
                <c:pt idx="8">
                  <c:v>1004385.7111361661</c:v>
                </c:pt>
                <c:pt idx="9">
                  <c:v>1016245.4869343013</c:v>
                </c:pt>
                <c:pt idx="10">
                  <c:v>1027440.3907555939</c:v>
                </c:pt>
                <c:pt idx="11">
                  <c:v>1043233.8862399335</c:v>
                </c:pt>
                <c:pt idx="12">
                  <c:v>1043233.8862399335</c:v>
                </c:pt>
                <c:pt idx="13">
                  <c:v>1058075.8215526312</c:v>
                </c:pt>
                <c:pt idx="14">
                  <c:v>1072169.6094347334</c:v>
                </c:pt>
                <c:pt idx="15">
                  <c:v>1072169.6094347334</c:v>
                </c:pt>
                <c:pt idx="16">
                  <c:v>1090051.3541056546</c:v>
                </c:pt>
                <c:pt idx="17">
                  <c:v>1090051.3541056546</c:v>
                </c:pt>
                <c:pt idx="18">
                  <c:v>1102922.8706602217</c:v>
                </c:pt>
                <c:pt idx="19">
                  <c:v>1111294.9612915989</c:v>
                </c:pt>
                <c:pt idx="20">
                  <c:v>1119524.4623820544</c:v>
                </c:pt>
                <c:pt idx="21">
                  <c:v>1127629.5479055026</c:v>
                </c:pt>
                <c:pt idx="22">
                  <c:v>1135626.346787804</c:v>
                </c:pt>
                <c:pt idx="23">
                  <c:v>1143529.2973597753</c:v>
                </c:pt>
                <c:pt idx="24">
                  <c:v>1151351.4319276647</c:v>
                </c:pt>
                <c:pt idx="25">
                  <c:v>1159104.6078395164</c:v>
                </c:pt>
                <c:pt idx="26">
                  <c:v>1166799.6971383768</c:v>
                </c:pt>
                <c:pt idx="27">
                  <c:v>1178255.1964499156</c:v>
                </c:pt>
                <c:pt idx="28">
                  <c:v>1178255.1964499156</c:v>
                </c:pt>
                <c:pt idx="29">
                  <c:v>1189633.5159882938</c:v>
                </c:pt>
                <c:pt idx="30">
                  <c:v>1197190.2782806866</c:v>
                </c:pt>
                <c:pt idx="31">
                  <c:v>1204733.2495121546</c:v>
                </c:pt>
                <c:pt idx="32">
                  <c:v>1212269.9616426053</c:v>
                </c:pt>
                <c:pt idx="33">
                  <c:v>1223579.1167035932</c:v>
                </c:pt>
                <c:pt idx="34">
                  <c:v>1223579.1167035932</c:v>
                </c:pt>
                <c:pt idx="35">
                  <c:v>1234914.129937863</c:v>
                </c:pt>
                <c:pt idx="36">
                  <c:v>1242496.5223486896</c:v>
                </c:pt>
                <c:pt idx="37">
                  <c:v>1250107.3108572355</c:v>
                </c:pt>
                <c:pt idx="38">
                  <c:v>1257753.1624691291</c:v>
                </c:pt>
                <c:pt idx="39">
                  <c:v>1269302.3023685096</c:v>
                </c:pt>
                <c:pt idx="40">
                  <c:v>1269302.3023685096</c:v>
                </c:pt>
                <c:pt idx="41">
                  <c:v>1280968.1549572004</c:v>
                </c:pt>
                <c:pt idx="42">
                  <c:v>1292774.0492254484</c:v>
                </c:pt>
                <c:pt idx="43">
                  <c:v>1292774.0492254484</c:v>
                </c:pt>
                <c:pt idx="44">
                  <c:v>1304744.1580012022</c:v>
                </c:pt>
                <c:pt idx="45">
                  <c:v>1312827.9126817072</c:v>
                </c:pt>
                <c:pt idx="46">
                  <c:v>1321003.740759263</c:v>
                </c:pt>
                <c:pt idx="47">
                  <c:v>1333458.1777479104</c:v>
                </c:pt>
                <c:pt idx="48">
                  <c:v>1333458.1777479104</c:v>
                </c:pt>
                <c:pt idx="49">
                  <c:v>1346167.7677273278</c:v>
                </c:pt>
                <c:pt idx="50">
                  <c:v>1354798.215532264</c:v>
                </c:pt>
                <c:pt idx="51">
                  <c:v>1363566.3476569129</c:v>
                </c:pt>
                <c:pt idx="52">
                  <c:v>1377000.611047314</c:v>
                </c:pt>
                <c:pt idx="53">
                  <c:v>1377000.611047314</c:v>
                </c:pt>
                <c:pt idx="54">
                  <c:v>1395502.6273958399</c:v>
                </c:pt>
                <c:pt idx="55">
                  <c:v>1395502.6273958399</c:v>
                </c:pt>
                <c:pt idx="56">
                  <c:v>1409880.2695923431</c:v>
                </c:pt>
                <c:pt idx="57">
                  <c:v>1419732.4406100234</c:v>
                </c:pt>
                <c:pt idx="58">
                  <c:v>1434954.4333968866</c:v>
                </c:pt>
                <c:pt idx="59">
                  <c:v>1434954.4333968866</c:v>
                </c:pt>
                <c:pt idx="60">
                  <c:v>1450767.6471842767</c:v>
                </c:pt>
                <c:pt idx="61">
                  <c:v>1467247.7309395855</c:v>
                </c:pt>
                <c:pt idx="62">
                  <c:v>1467247.7309395855</c:v>
                </c:pt>
                <c:pt idx="63">
                  <c:v>1484483.1463771563</c:v>
                </c:pt>
                <c:pt idx="64">
                  <c:v>1496443.9045888605</c:v>
                </c:pt>
                <c:pt idx="65">
                  <c:v>1508822.2453575199</c:v>
                </c:pt>
                <c:pt idx="66">
                  <c:v>1521658.7500583786</c:v>
                </c:pt>
                <c:pt idx="67">
                  <c:v>1534999.670038142</c:v>
                </c:pt>
                <c:pt idx="68">
                  <c:v>1548898.0649169786</c:v>
                </c:pt>
                <c:pt idx="69">
                  <c:v>1563415.2393861851</c:v>
                </c:pt>
                <c:pt idx="70">
                  <c:v>1578622.5778647645</c:v>
                </c:pt>
                <c:pt idx="71">
                  <c:v>1594603.917222816</c:v>
                </c:pt>
                <c:pt idx="72">
                  <c:v>1611458.6590189675</c:v>
                </c:pt>
                <c:pt idx="73">
                  <c:v>1629305.9165563297</c:v>
                </c:pt>
                <c:pt idx="74">
                  <c:v>1648290.1394840106</c:v>
                </c:pt>
                <c:pt idx="75">
                  <c:v>1679298.3919094119</c:v>
                </c:pt>
                <c:pt idx="76">
                  <c:v>1679298.3919094119</c:v>
                </c:pt>
                <c:pt idx="77">
                  <c:v>1714076.9950899123</c:v>
                </c:pt>
                <c:pt idx="78">
                  <c:v>1739914.2204604433</c:v>
                </c:pt>
                <c:pt idx="79">
                  <c:v>1768423.0794235053</c:v>
                </c:pt>
                <c:pt idx="80">
                  <c:v>1800273.180310504</c:v>
                </c:pt>
                <c:pt idx="81">
                  <c:v>1836420.1044018653</c:v>
                </c:pt>
                <c:pt idx="82">
                  <c:v>1878295.8479531724</c:v>
                </c:pt>
                <c:pt idx="83">
                  <c:v>1928190.0643226313</c:v>
                </c:pt>
                <c:pt idx="84">
                  <c:v>1990110.4193591967</c:v>
                </c:pt>
                <c:pt idx="85">
                  <c:v>2072095.7145525501</c:v>
                </c:pt>
                <c:pt idx="86">
                  <c:v>2194514.9764328627</c:v>
                </c:pt>
                <c:pt idx="87">
                  <c:v>2446198.4517612187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4744"/>
        <c:axId val="536905136"/>
      </c:scatterChart>
      <c:valAx>
        <c:axId val="5369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-25000"/>
                  <a:t>i</a:t>
                </a:r>
                <a:r>
                  <a:rPr lang="en-US"/>
                  <a:t> (expected</a:t>
                </a:r>
                <a:r>
                  <a:rPr lang="en-US" baseline="0"/>
                  <a:t> streamflow from distribution) ~ cfs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5136"/>
        <c:crosses val="autoZero"/>
        <c:crossBetween val="midCat"/>
      </c:valAx>
      <c:valAx>
        <c:axId val="5369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r>
                  <a:rPr lang="en-US"/>
                  <a:t> (peak streamflow) ~ 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p2_lp3!$B$8</c:f>
              <c:strCache>
                <c:ptCount val="1"/>
                <c:pt idx="0">
                  <c:v>xi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p2_lp3!$J$9:$J$96</c:f>
              <c:numCache>
                <c:formatCode>General</c:formatCode>
                <c:ptCount val="88"/>
                <c:pt idx="0">
                  <c:v>-2.6029302637355194</c:v>
                </c:pt>
                <c:pt idx="1">
                  <c:v>-2.186951837296057</c:v>
                </c:pt>
                <c:pt idx="2">
                  <c:v>-1.9593815841480549</c:v>
                </c:pt>
                <c:pt idx="3">
                  <c:v>-1.7971673065323444</c:v>
                </c:pt>
                <c:pt idx="4">
                  <c:v>-1.6690150218509281</c:v>
                </c:pt>
                <c:pt idx="5">
                  <c:v>-1.5141298011223085</c:v>
                </c:pt>
                <c:pt idx="6">
                  <c:v>-1.5141298011223085</c:v>
                </c:pt>
                <c:pt idx="7">
                  <c:v>-1.3872039547501718</c:v>
                </c:pt>
                <c:pt idx="8">
                  <c:v>-1.3130932476987116</c:v>
                </c:pt>
                <c:pt idx="9">
                  <c:v>-1.2453004038872297</c:v>
                </c:pt>
                <c:pt idx="10">
                  <c:v>-1.1826193568806378</c:v>
                </c:pt>
                <c:pt idx="11">
                  <c:v>-1.0962955119161393</c:v>
                </c:pt>
                <c:pt idx="12">
                  <c:v>-1.0962955119161393</c:v>
                </c:pt>
                <c:pt idx="13">
                  <c:v>-1.0173489366446535</c:v>
                </c:pt>
                <c:pt idx="14">
                  <c:v>-0.94426806229033211</c:v>
                </c:pt>
                <c:pt idx="15">
                  <c:v>-0.94426806229033211</c:v>
                </c:pt>
                <c:pt idx="16">
                  <c:v>-0.85409542535590077</c:v>
                </c:pt>
                <c:pt idx="17">
                  <c:v>-0.85409542535590077</c:v>
                </c:pt>
                <c:pt idx="18">
                  <c:v>-0.79089216945654606</c:v>
                </c:pt>
                <c:pt idx="19">
                  <c:v>-0.75052484650129792</c:v>
                </c:pt>
                <c:pt idx="20">
                  <c:v>-0.71140205651678556</c:v>
                </c:pt>
                <c:pt idx="21">
                  <c:v>-0.67339998702698622</c:v>
                </c:pt>
                <c:pt idx="22">
                  <c:v>-0.63641048820661972</c:v>
                </c:pt>
                <c:pt idx="23">
                  <c:v>-0.60033840114766157</c:v>
                </c:pt>
                <c:pt idx="24">
                  <c:v>-0.56509942760193965</c:v>
                </c:pt>
                <c:pt idx="25">
                  <c:v>-0.53061841354287331</c:v>
                </c:pt>
                <c:pt idx="26">
                  <c:v>-0.49682795268472191</c:v>
                </c:pt>
                <c:pt idx="27">
                  <c:v>-0.44730560576160627</c:v>
                </c:pt>
                <c:pt idx="28">
                  <c:v>-0.44730560576160627</c:v>
                </c:pt>
                <c:pt idx="29">
                  <c:v>-0.39901930727133461</c:v>
                </c:pt>
                <c:pt idx="30">
                  <c:v>-0.36743569448424829</c:v>
                </c:pt>
                <c:pt idx="31">
                  <c:v>-0.33628781363250582</c:v>
                </c:pt>
                <c:pt idx="32">
                  <c:v>-0.30553634130926</c:v>
                </c:pt>
                <c:pt idx="33">
                  <c:v>-0.26007301544123251</c:v>
                </c:pt>
                <c:pt idx="34">
                  <c:v>-0.26007301544123251</c:v>
                </c:pt>
                <c:pt idx="35">
                  <c:v>-0.2153060310888204</c:v>
                </c:pt>
                <c:pt idx="36">
                  <c:v>-0.1857965074514123</c:v>
                </c:pt>
                <c:pt idx="37">
                  <c:v>-0.15652124003042722</c:v>
                </c:pt>
                <c:pt idx="38">
                  <c:v>-0.12745273035526239</c:v>
                </c:pt>
                <c:pt idx="39">
                  <c:v>-8.4180219444341731E-2</c:v>
                </c:pt>
                <c:pt idx="40">
                  <c:v>-8.4180219444341731E-2</c:v>
                </c:pt>
                <c:pt idx="41">
                  <c:v>-4.1228651021636864E-2</c:v>
                </c:pt>
                <c:pt idx="42">
                  <c:v>1.483528348341423E-3</c:v>
                </c:pt>
                <c:pt idx="43">
                  <c:v>1.483528348341423E-3</c:v>
                </c:pt>
                <c:pt idx="44">
                  <c:v>4.4035381775874072E-2</c:v>
                </c:pt>
                <c:pt idx="45">
                  <c:v>7.2352568658187622E-2</c:v>
                </c:pt>
                <c:pt idx="46">
                  <c:v>0.10065584185279697</c:v>
                </c:pt>
                <c:pt idx="47">
                  <c:v>0.14313475309514168</c:v>
                </c:pt>
                <c:pt idx="48">
                  <c:v>0.14313475309514168</c:v>
                </c:pt>
                <c:pt idx="49">
                  <c:v>0.1857119428993812</c:v>
                </c:pt>
                <c:pt idx="50">
                  <c:v>0.2141907076327243</c:v>
                </c:pt>
                <c:pt idx="51">
                  <c:v>0.24277300253367784</c:v>
                </c:pt>
                <c:pt idx="52">
                  <c:v>0.28589576074698364</c:v>
                </c:pt>
                <c:pt idx="53">
                  <c:v>0.28589576074698364</c:v>
                </c:pt>
                <c:pt idx="54">
                  <c:v>0.34399775272242827</c:v>
                </c:pt>
                <c:pt idx="55">
                  <c:v>0.34399775272242827</c:v>
                </c:pt>
                <c:pt idx="56">
                  <c:v>0.38815259810948533</c:v>
                </c:pt>
                <c:pt idx="57">
                  <c:v>0.41792242769311017</c:v>
                </c:pt>
                <c:pt idx="58">
                  <c:v>0.46316168758440313</c:v>
                </c:pt>
                <c:pt idx="59">
                  <c:v>0.46316168758440313</c:v>
                </c:pt>
                <c:pt idx="60">
                  <c:v>0.5092141811066746</c:v>
                </c:pt>
                <c:pt idx="61">
                  <c:v>0.55621995331062024</c:v>
                </c:pt>
                <c:pt idx="62">
                  <c:v>0.55621995331062024</c:v>
                </c:pt>
                <c:pt idx="63">
                  <c:v>0.60433828119678523</c:v>
                </c:pt>
                <c:pt idx="64">
                  <c:v>0.63712470468995619</c:v>
                </c:pt>
                <c:pt idx="65">
                  <c:v>0.67054821316111024</c:v>
                </c:pt>
                <c:pt idx="66">
                  <c:v>0.70467763386239035</c:v>
                </c:pt>
                <c:pt idx="67">
                  <c:v>0.73959029210638505</c:v>
                </c:pt>
                <c:pt idx="68">
                  <c:v>0.77537367462329065</c:v>
                </c:pt>
                <c:pt idx="69">
                  <c:v>0.81212751058198229</c:v>
                </c:pt>
                <c:pt idx="70">
                  <c:v>0.84996640520162003</c:v>
                </c:pt>
                <c:pt idx="71">
                  <c:v>0.88902321479254276</c:v>
                </c:pt>
                <c:pt idx="72">
                  <c:v>0.92945343222742416</c:v>
                </c:pt>
                <c:pt idx="73">
                  <c:v>0.9714409736227374</c:v>
                </c:pt>
                <c:pt idx="74">
                  <c:v>1.0152059465035901</c:v>
                </c:pt>
                <c:pt idx="75">
                  <c:v>1.0847863491256913</c:v>
                </c:pt>
                <c:pt idx="76">
                  <c:v>1.0847863491256913</c:v>
                </c:pt>
                <c:pt idx="77">
                  <c:v>1.1601646542339523</c:v>
                </c:pt>
                <c:pt idx="78">
                  <c:v>1.214442750514241</c:v>
                </c:pt>
                <c:pt idx="79">
                  <c:v>1.272721314142256</c:v>
                </c:pt>
                <c:pt idx="80">
                  <c:v>1.3359301148396359</c:v>
                </c:pt>
                <c:pt idx="81">
                  <c:v>1.4053693560245577</c:v>
                </c:pt>
                <c:pt idx="82">
                  <c:v>1.4829431646914397</c:v>
                </c:pt>
                <c:pt idx="83">
                  <c:v>1.5716155302367891</c:v>
                </c:pt>
                <c:pt idx="84">
                  <c:v>1.6764083947100197</c:v>
                </c:pt>
                <c:pt idx="85">
                  <c:v>1.8069808255863116</c:v>
                </c:pt>
                <c:pt idx="86">
                  <c:v>1.9863593450863934</c:v>
                </c:pt>
                <c:pt idx="87">
                  <c:v>2.30323783585097</c:v>
                </c:pt>
              </c:numCache>
            </c:numRef>
          </c:xVal>
          <c:yVal>
            <c:numRef>
              <c:f>p2_lp3!$D$9:$D$96</c:f>
              <c:numCache>
                <c:formatCode>0.0000</c:formatCode>
                <c:ptCount val="88"/>
                <c:pt idx="0">
                  <c:v>5.8488047010518036</c:v>
                </c:pt>
                <c:pt idx="1">
                  <c:v>5.8518696007297661</c:v>
                </c:pt>
                <c:pt idx="2">
                  <c:v>5.8959747323590648</c:v>
                </c:pt>
                <c:pt idx="3">
                  <c:v>5.9106244048892016</c:v>
                </c:pt>
                <c:pt idx="4">
                  <c:v>5.9429995933660402</c:v>
                </c:pt>
                <c:pt idx="5">
                  <c:v>5.9804578922761005</c:v>
                </c:pt>
                <c:pt idx="6">
                  <c:v>5.9804578922761005</c:v>
                </c:pt>
                <c:pt idx="7">
                  <c:v>5.9898945637187735</c:v>
                </c:pt>
                <c:pt idx="8">
                  <c:v>5.9912260756924951</c:v>
                </c:pt>
                <c:pt idx="9">
                  <c:v>5.9925535178321354</c:v>
                </c:pt>
                <c:pt idx="10">
                  <c:v>6.008600171761918</c:v>
                </c:pt>
                <c:pt idx="11">
                  <c:v>6.0170333392987807</c:v>
                </c:pt>
                <c:pt idx="12">
                  <c:v>6.0170333392987807</c:v>
                </c:pt>
                <c:pt idx="13">
                  <c:v>6.0314084642516246</c:v>
                </c:pt>
                <c:pt idx="14">
                  <c:v>6.0413926851582254</c:v>
                </c:pt>
                <c:pt idx="15">
                  <c:v>6.0413926851582254</c:v>
                </c:pt>
                <c:pt idx="16">
                  <c:v>6.0453229787866576</c:v>
                </c:pt>
                <c:pt idx="17">
                  <c:v>6.0453229787866576</c:v>
                </c:pt>
                <c:pt idx="18">
                  <c:v>6.0569048513364727</c:v>
                </c:pt>
                <c:pt idx="19">
                  <c:v>6.0595634179012681</c:v>
                </c:pt>
                <c:pt idx="20">
                  <c:v>6.0599418880619549</c:v>
                </c:pt>
                <c:pt idx="21">
                  <c:v>6.0606978403536118</c:v>
                </c:pt>
                <c:pt idx="22">
                  <c:v>6.0618293072946994</c:v>
                </c:pt>
                <c:pt idx="23">
                  <c:v>6.0644579892269181</c:v>
                </c:pt>
                <c:pt idx="24">
                  <c:v>6.0711452904510832</c:v>
                </c:pt>
                <c:pt idx="25">
                  <c:v>6.0726174765452363</c:v>
                </c:pt>
                <c:pt idx="26">
                  <c:v>6.0744507189545915</c:v>
                </c:pt>
                <c:pt idx="27">
                  <c:v>6.075546961392531</c:v>
                </c:pt>
                <c:pt idx="28">
                  <c:v>6.075546961392531</c:v>
                </c:pt>
                <c:pt idx="29">
                  <c:v>6.0759117614827778</c:v>
                </c:pt>
                <c:pt idx="30">
                  <c:v>6.0867156639448821</c:v>
                </c:pt>
                <c:pt idx="31">
                  <c:v>6.0899051114393981</c:v>
                </c:pt>
                <c:pt idx="32">
                  <c:v>6.1038037209559572</c:v>
                </c:pt>
                <c:pt idx="33">
                  <c:v>6.1072099696478688</c:v>
                </c:pt>
                <c:pt idx="34">
                  <c:v>6.1072099696478688</c:v>
                </c:pt>
                <c:pt idx="35">
                  <c:v>6.1078880251827989</c:v>
                </c:pt>
                <c:pt idx="36">
                  <c:v>6.1085650237328348</c:v>
                </c:pt>
                <c:pt idx="37">
                  <c:v>6.1142772965615864</c:v>
                </c:pt>
                <c:pt idx="38">
                  <c:v>6.115277591395901</c:v>
                </c:pt>
                <c:pt idx="39">
                  <c:v>6.1179338350396417</c:v>
                </c:pt>
                <c:pt idx="40">
                  <c:v>6.1179338350396417</c:v>
                </c:pt>
                <c:pt idx="41">
                  <c:v>6.1189257528257768</c:v>
                </c:pt>
                <c:pt idx="42">
                  <c:v>6.1205739312058496</c:v>
                </c:pt>
                <c:pt idx="43">
                  <c:v>6.1205739312058496</c:v>
                </c:pt>
                <c:pt idx="44">
                  <c:v>6.1222158782728267</c:v>
                </c:pt>
                <c:pt idx="45">
                  <c:v>6.1248301494138593</c:v>
                </c:pt>
                <c:pt idx="46">
                  <c:v>6.12515582958053</c:v>
                </c:pt>
                <c:pt idx="47">
                  <c:v>6.1303337684950066</c:v>
                </c:pt>
                <c:pt idx="48">
                  <c:v>6.1303337684950066</c:v>
                </c:pt>
                <c:pt idx="49">
                  <c:v>6.1322596895310442</c:v>
                </c:pt>
                <c:pt idx="50">
                  <c:v>6.1335389083702179</c:v>
                </c:pt>
                <c:pt idx="51">
                  <c:v>6.1360860973840978</c:v>
                </c:pt>
                <c:pt idx="52">
                  <c:v>6.1367205671564067</c:v>
                </c:pt>
                <c:pt idx="53">
                  <c:v>6.1367205671564067</c:v>
                </c:pt>
                <c:pt idx="54">
                  <c:v>6.1398790864012369</c:v>
                </c:pt>
                <c:pt idx="55">
                  <c:v>6.1398790864012369</c:v>
                </c:pt>
                <c:pt idx="56">
                  <c:v>6.1464381352857744</c:v>
                </c:pt>
                <c:pt idx="57">
                  <c:v>6.1473671077937864</c:v>
                </c:pt>
                <c:pt idx="58">
                  <c:v>6.1492191126553797</c:v>
                </c:pt>
                <c:pt idx="59">
                  <c:v>6.1492191126553797</c:v>
                </c:pt>
                <c:pt idx="60">
                  <c:v>6.1522883443830567</c:v>
                </c:pt>
                <c:pt idx="61">
                  <c:v>6.1553360374650614</c:v>
                </c:pt>
                <c:pt idx="62">
                  <c:v>6.1553360374650614</c:v>
                </c:pt>
                <c:pt idx="63">
                  <c:v>6.1583624920952493</c:v>
                </c:pt>
                <c:pt idx="64">
                  <c:v>6.1705550585212086</c:v>
                </c:pt>
                <c:pt idx="65">
                  <c:v>6.1846914308175984</c:v>
                </c:pt>
                <c:pt idx="66">
                  <c:v>6.1866738674997448</c:v>
                </c:pt>
                <c:pt idx="67">
                  <c:v>6.188084373714938</c:v>
                </c:pt>
                <c:pt idx="68">
                  <c:v>6.1903316981702918</c:v>
                </c:pt>
                <c:pt idx="69">
                  <c:v>6.1931245983544612</c:v>
                </c:pt>
                <c:pt idx="70">
                  <c:v>6.197004728023046</c:v>
                </c:pt>
                <c:pt idx="71">
                  <c:v>6.1986570869544222</c:v>
                </c:pt>
                <c:pt idx="72">
                  <c:v>6.204119982655925</c:v>
                </c:pt>
                <c:pt idx="73">
                  <c:v>6.20682587603185</c:v>
                </c:pt>
                <c:pt idx="74">
                  <c:v>6.216957207361097</c:v>
                </c:pt>
                <c:pt idx="75">
                  <c:v>6.2278867046136739</c:v>
                </c:pt>
                <c:pt idx="76">
                  <c:v>6.2278867046136739</c:v>
                </c:pt>
                <c:pt idx="77">
                  <c:v>6.238046103128795</c:v>
                </c:pt>
                <c:pt idx="78">
                  <c:v>6.2504200023088936</c:v>
                </c:pt>
                <c:pt idx="79">
                  <c:v>6.2528530309798933</c:v>
                </c:pt>
                <c:pt idx="80">
                  <c:v>6.2600713879850751</c:v>
                </c:pt>
                <c:pt idx="81">
                  <c:v>6.2648178230095368</c:v>
                </c:pt>
                <c:pt idx="82">
                  <c:v>6.2741578492636796</c:v>
                </c:pt>
                <c:pt idx="83">
                  <c:v>6.2837533833325265</c:v>
                </c:pt>
                <c:pt idx="84">
                  <c:v>6.2926990030439294</c:v>
                </c:pt>
                <c:pt idx="85">
                  <c:v>6.318063334962762</c:v>
                </c:pt>
                <c:pt idx="86">
                  <c:v>6.3575537197430814</c:v>
                </c:pt>
                <c:pt idx="87">
                  <c:v>6.363611979892144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5512"/>
        <c:axId val="540675904"/>
      </c:scatterChart>
      <c:valAx>
        <c:axId val="5406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5904"/>
        <c:crosses val="autoZero"/>
        <c:crossBetween val="midCat"/>
      </c:valAx>
      <c:valAx>
        <c:axId val="540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log(max</a:t>
                </a:r>
                <a:r>
                  <a:rPr lang="en-US" baseline="0"/>
                  <a:t> annual flow) ~ log(cfs)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91440</xdr:colOff>
      <xdr:row>15</xdr:row>
      <xdr:rowOff>110490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18</xdr:row>
      <xdr:rowOff>3810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7"/>
  <sheetViews>
    <sheetView tabSelected="1" topLeftCell="B1" workbookViewId="0">
      <selection activeCell="G22" sqref="G22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12.26171875" style="2" bestFit="1" customWidth="1"/>
    <col min="4" max="4" width="12.26171875" style="2" customWidth="1"/>
    <col min="5" max="5" width="8.1015625" style="2" customWidth="1"/>
    <col min="6" max="6" width="6.68359375" style="2" bestFit="1" customWidth="1"/>
    <col min="7" max="7" width="9.47265625" bestFit="1" customWidth="1"/>
    <col min="8" max="8" width="7.89453125" bestFit="1" customWidth="1"/>
    <col min="9" max="9" width="6.83984375" bestFit="1" customWidth="1"/>
    <col min="10" max="10" width="8.734375" bestFit="1" customWidth="1"/>
    <col min="11" max="11" width="7.62890625" bestFit="1" customWidth="1"/>
    <col min="12" max="12" width="7.26171875" bestFit="1" customWidth="1"/>
    <col min="13" max="13" width="6.83984375" bestFit="1" customWidth="1"/>
    <col min="14" max="14" width="8.734375" bestFit="1" customWidth="1"/>
    <col min="15" max="15" width="7.62890625" bestFit="1" customWidth="1"/>
    <col min="16" max="16" width="7.26171875" bestFit="1" customWidth="1"/>
  </cols>
  <sheetData>
    <row r="1" spans="1:16" x14ac:dyDescent="0.55000000000000004">
      <c r="A1" s="2" t="s">
        <v>3</v>
      </c>
      <c r="G1" s="17"/>
      <c r="O1" s="10"/>
    </row>
    <row r="2" spans="1:16" x14ac:dyDescent="0.55000000000000004">
      <c r="G2" s="17"/>
      <c r="O2" s="10"/>
    </row>
    <row r="3" spans="1:16" x14ac:dyDescent="0.55000000000000004">
      <c r="A3" t="s">
        <v>23</v>
      </c>
      <c r="B3">
        <v>3.76</v>
      </c>
      <c r="C3"/>
      <c r="D3"/>
    </row>
    <row r="4" spans="1:16" x14ac:dyDescent="0.55000000000000004">
      <c r="A4" t="s">
        <v>24</v>
      </c>
      <c r="B4">
        <v>1.923</v>
      </c>
      <c r="C4" t="s">
        <v>6</v>
      </c>
      <c r="D4"/>
    </row>
    <row r="5" spans="1:16" x14ac:dyDescent="0.55000000000000004">
      <c r="A5" t="s">
        <v>7</v>
      </c>
      <c r="B5">
        <v>1.96</v>
      </c>
      <c r="C5" t="s">
        <v>9</v>
      </c>
      <c r="D5"/>
    </row>
    <row r="6" spans="1:16" x14ac:dyDescent="0.55000000000000004">
      <c r="A6" t="s">
        <v>8</v>
      </c>
      <c r="B6">
        <v>1.1200000000000001</v>
      </c>
      <c r="C6" t="s">
        <v>9</v>
      </c>
      <c r="D6"/>
    </row>
    <row r="7" spans="1:16" x14ac:dyDescent="0.55000000000000004">
      <c r="A7"/>
      <c r="B7"/>
      <c r="C7"/>
      <c r="D7"/>
    </row>
    <row r="8" spans="1:16" x14ac:dyDescent="0.55000000000000004">
      <c r="A8"/>
      <c r="B8"/>
      <c r="C8"/>
      <c r="D8"/>
      <c r="E8" s="43" t="s">
        <v>19</v>
      </c>
      <c r="F8" s="43"/>
      <c r="G8" s="43"/>
      <c r="H8" s="9" t="s">
        <v>5</v>
      </c>
      <c r="I8" s="9">
        <v>6</v>
      </c>
      <c r="J8" s="9"/>
      <c r="K8" s="9" t="s">
        <v>25</v>
      </c>
      <c r="L8" s="9">
        <v>2</v>
      </c>
      <c r="M8" s="9" t="s">
        <v>26</v>
      </c>
      <c r="N8" s="30">
        <v>0.05</v>
      </c>
    </row>
    <row r="9" spans="1:16" x14ac:dyDescent="0.55000000000000004">
      <c r="A9"/>
      <c r="B9"/>
      <c r="C9"/>
      <c r="D9"/>
      <c r="E9" s="15" t="s">
        <v>30</v>
      </c>
      <c r="N9" s="16"/>
    </row>
    <row r="10" spans="1:16" x14ac:dyDescent="0.55000000000000004">
      <c r="E10" s="13"/>
      <c r="I10" s="44" t="s">
        <v>17</v>
      </c>
      <c r="J10" s="44"/>
      <c r="K10" s="44"/>
      <c r="L10" s="44"/>
      <c r="M10" s="44" t="s">
        <v>18</v>
      </c>
      <c r="N10" s="44"/>
      <c r="O10" s="44"/>
      <c r="P10" s="44"/>
    </row>
    <row r="11" spans="1:16" ht="16.5" x14ac:dyDescent="0.55000000000000004">
      <c r="A11" s="3" t="s">
        <v>0</v>
      </c>
      <c r="B11" s="3" t="s">
        <v>1</v>
      </c>
      <c r="C11" s="8" t="s">
        <v>29</v>
      </c>
      <c r="D11" s="8"/>
      <c r="E11" s="8" t="s">
        <v>4</v>
      </c>
      <c r="F11" s="8" t="s">
        <v>14</v>
      </c>
      <c r="G11" s="9" t="s">
        <v>16</v>
      </c>
      <c r="H11" s="9" t="s">
        <v>10</v>
      </c>
      <c r="I11" s="9" t="s">
        <v>12</v>
      </c>
      <c r="J11" s="9" t="s">
        <v>13</v>
      </c>
      <c r="K11" s="9" t="s">
        <v>11</v>
      </c>
      <c r="L11" s="9" t="s">
        <v>15</v>
      </c>
      <c r="M11" s="9" t="s">
        <v>12</v>
      </c>
      <c r="N11" s="9" t="s">
        <v>13</v>
      </c>
      <c r="O11" s="9" t="s">
        <v>11</v>
      </c>
      <c r="P11" s="9" t="s">
        <v>15</v>
      </c>
    </row>
    <row r="12" spans="1:16" x14ac:dyDescent="0.55000000000000004">
      <c r="A12" s="1">
        <v>1933</v>
      </c>
      <c r="B12" s="4">
        <v>0.44</v>
      </c>
      <c r="C12" s="2">
        <v>1</v>
      </c>
      <c r="E12" s="2">
        <v>1</v>
      </c>
      <c r="F12" s="2">
        <v>1</v>
      </c>
      <c r="G12" s="12">
        <f>COUNTIF($B$12:$B$61,"&lt;1")</f>
        <v>5</v>
      </c>
      <c r="H12" s="12">
        <f>G12</f>
        <v>5</v>
      </c>
      <c r="I12" s="11">
        <f>NORMDIST(F12,$B$5,$B$6,TRUE)</f>
        <v>0.195682969153776</v>
      </c>
      <c r="J12" s="11">
        <f>I12-NORMDIST(0,B5,B6,TRUE)</f>
        <v>0.15562381228995892</v>
      </c>
      <c r="K12" s="11">
        <f>J12*$G$17</f>
        <v>7.7811906144979464</v>
      </c>
      <c r="L12" s="11">
        <f>(H12-K12)^2/K12</f>
        <v>0.99406654037745079</v>
      </c>
      <c r="M12" s="11">
        <f>GAMMADIST(F12,$B$3,1/$B$4,TRUE)</f>
        <v>0.16135451265888309</v>
      </c>
      <c r="N12" s="11">
        <f>M12-GAMMADIST(0,$B$3,1/$B$4,TRUE)</f>
        <v>0.16135451265888309</v>
      </c>
      <c r="O12" s="11">
        <f>N12*$G$17</f>
        <v>8.0677256329441551</v>
      </c>
      <c r="P12" s="11">
        <f>(H12-O12)^2/O12</f>
        <v>1.1664923904444036</v>
      </c>
    </row>
    <row r="13" spans="1:16" x14ac:dyDescent="0.55000000000000004">
      <c r="A13" s="1">
        <v>1980</v>
      </c>
      <c r="B13" s="4">
        <v>0.52</v>
      </c>
      <c r="C13" s="2">
        <v>2</v>
      </c>
      <c r="E13" s="2">
        <v>2</v>
      </c>
      <c r="F13" s="2">
        <v>1.5</v>
      </c>
      <c r="G13" s="12">
        <f>COUNTIF($B$12:$B$61,"&lt;1.5")</f>
        <v>21</v>
      </c>
      <c r="H13" s="12">
        <f>G13-G12</f>
        <v>16</v>
      </c>
      <c r="I13" s="11">
        <f>NORMDIST(F13,$B$5,$B$6,TRUE)</f>
        <v>0.34064102525147771</v>
      </c>
      <c r="J13" s="11">
        <f>I13-I12</f>
        <v>0.14495805609770171</v>
      </c>
      <c r="K13" s="11">
        <f t="shared" ref="K13:K17" si="0">J13*$G$17</f>
        <v>7.2479028048850855</v>
      </c>
      <c r="L13" s="11">
        <f t="shared" ref="L13:L17" si="1">(H13-K13)^2/K13</f>
        <v>10.568464751087788</v>
      </c>
      <c r="M13" s="11">
        <f t="shared" ref="M13:M17" si="2">GAMMADIST(F13,$B$3,1/$B$4,TRUE)</f>
        <v>0.37603428748082518</v>
      </c>
      <c r="N13" s="11">
        <f>M13-M12</f>
        <v>0.21467977482194209</v>
      </c>
      <c r="O13" s="11">
        <f t="shared" ref="O13:O17" si="3">N13*$G$17</f>
        <v>10.733988741097104</v>
      </c>
      <c r="P13" s="11">
        <f t="shared" ref="P13:P17" si="4">(H13-O13)^2/O13</f>
        <v>2.5834641015337731</v>
      </c>
    </row>
    <row r="14" spans="1:16" x14ac:dyDescent="0.55000000000000004">
      <c r="A14" s="1">
        <v>1944</v>
      </c>
      <c r="B14" s="4">
        <v>0.54</v>
      </c>
      <c r="C14" s="2">
        <v>3</v>
      </c>
      <c r="E14" s="2">
        <v>3</v>
      </c>
      <c r="F14" s="2">
        <v>2</v>
      </c>
      <c r="G14" s="12">
        <f>COUNTIF($B$12:$B$61,"&lt;2")</f>
        <v>31</v>
      </c>
      <c r="H14" s="12">
        <f t="shared" ref="H14:H17" si="5">G14-G13</f>
        <v>10</v>
      </c>
      <c r="I14" s="11">
        <f>NORMDIST(F14,$B$5,$B$6,TRUE)</f>
        <v>0.51424491026667729</v>
      </c>
      <c r="J14" s="11">
        <f t="shared" ref="J14:J17" si="6">I14-I13</f>
        <v>0.17360388501519958</v>
      </c>
      <c r="K14" s="11">
        <f t="shared" si="0"/>
        <v>8.6801942507599783</v>
      </c>
      <c r="L14" s="11">
        <f t="shared" si="1"/>
        <v>0.2006737597576814</v>
      </c>
      <c r="M14" s="11">
        <f t="shared" si="2"/>
        <v>0.58572531275795092</v>
      </c>
      <c r="N14" s="11">
        <f t="shared" ref="N14:N17" si="7">M14-M13</f>
        <v>0.20969102527712574</v>
      </c>
      <c r="O14" s="11">
        <f t="shared" si="3"/>
        <v>10.484551263856288</v>
      </c>
      <c r="P14" s="11">
        <f t="shared" si="4"/>
        <v>2.2393893777230521E-2</v>
      </c>
    </row>
    <row r="15" spans="1:16" x14ac:dyDescent="0.55000000000000004">
      <c r="A15" s="1">
        <v>1940</v>
      </c>
      <c r="B15" s="4">
        <v>0.72</v>
      </c>
      <c r="C15" s="2">
        <v>4</v>
      </c>
      <c r="E15" s="2">
        <v>4</v>
      </c>
      <c r="F15" s="2">
        <v>2.5</v>
      </c>
      <c r="G15" s="12">
        <f>COUNTIF($B$12:$B$61,"&lt;2.5")</f>
        <v>38</v>
      </c>
      <c r="H15" s="12">
        <f t="shared" si="5"/>
        <v>7</v>
      </c>
      <c r="I15" s="11">
        <f t="shared" ref="I15:I16" si="8">NORMDIST(F15,$B$5,$B$6,TRUE)</f>
        <v>0.68514776664234478</v>
      </c>
      <c r="J15" s="11">
        <f t="shared" si="6"/>
        <v>0.17090285637566749</v>
      </c>
      <c r="K15" s="11">
        <f t="shared" si="0"/>
        <v>8.5451428187833738</v>
      </c>
      <c r="L15" s="11">
        <f t="shared" si="1"/>
        <v>0.27939454975402606</v>
      </c>
      <c r="M15" s="11">
        <f t="shared" si="2"/>
        <v>0.74734958388951989</v>
      </c>
      <c r="N15" s="11">
        <f t="shared" si="7"/>
        <v>0.16162427113156896</v>
      </c>
      <c r="O15" s="11">
        <f t="shared" si="3"/>
        <v>8.0812135565784473</v>
      </c>
      <c r="P15" s="11">
        <f t="shared" si="4"/>
        <v>0.14465930726176413</v>
      </c>
    </row>
    <row r="16" spans="1:16" x14ac:dyDescent="0.55000000000000004">
      <c r="A16" s="1">
        <v>1981</v>
      </c>
      <c r="B16" s="4">
        <v>0.87</v>
      </c>
      <c r="C16" s="2">
        <v>5</v>
      </c>
      <c r="E16" s="2">
        <v>5</v>
      </c>
      <c r="F16" s="2">
        <v>3</v>
      </c>
      <c r="G16" s="12">
        <f>COUNTIF($B$12:$B$61,"&lt;3")</f>
        <v>45</v>
      </c>
      <c r="H16" s="12">
        <f t="shared" si="5"/>
        <v>7</v>
      </c>
      <c r="I16" s="11">
        <f t="shared" si="8"/>
        <v>0.82344438274699727</v>
      </c>
      <c r="J16" s="11">
        <f t="shared" si="6"/>
        <v>0.13829661610465249</v>
      </c>
      <c r="K16" s="11">
        <f t="shared" si="0"/>
        <v>6.9148308052326248</v>
      </c>
      <c r="L16" s="11">
        <f t="shared" si="1"/>
        <v>1.0490194108341683E-3</v>
      </c>
      <c r="M16" s="11">
        <f t="shared" si="2"/>
        <v>0.85547144181681123</v>
      </c>
      <c r="N16" s="11">
        <f t="shared" si="7"/>
        <v>0.10812185792729134</v>
      </c>
      <c r="O16" s="11">
        <f t="shared" si="3"/>
        <v>5.4060928963645676</v>
      </c>
      <c r="P16" s="11">
        <f t="shared" si="4"/>
        <v>0.46994010345769843</v>
      </c>
    </row>
    <row r="17" spans="1:16" x14ac:dyDescent="0.55000000000000004">
      <c r="A17" s="1">
        <v>1970</v>
      </c>
      <c r="B17" s="4">
        <v>1.03</v>
      </c>
      <c r="C17" s="2">
        <v>6</v>
      </c>
      <c r="E17" s="2">
        <v>6</v>
      </c>
      <c r="F17" s="2">
        <v>7</v>
      </c>
      <c r="G17" s="12">
        <f>COUNTIF($B$12:$B$61,"&lt;7")</f>
        <v>50</v>
      </c>
      <c r="H17" s="12">
        <f t="shared" si="5"/>
        <v>5</v>
      </c>
      <c r="I17" s="11">
        <f>NORMDIST(F17,$B$5,$B$6,TRUE)</f>
        <v>0.99999660232687526</v>
      </c>
      <c r="J17" s="11">
        <f t="shared" si="6"/>
        <v>0.17655221957987799</v>
      </c>
      <c r="K17" s="11">
        <f t="shared" si="0"/>
        <v>8.8276109789938992</v>
      </c>
      <c r="L17" s="11">
        <f t="shared" si="1"/>
        <v>1.6596342817300265</v>
      </c>
      <c r="M17" s="11">
        <f t="shared" si="2"/>
        <v>0.999486621278733</v>
      </c>
      <c r="N17" s="11">
        <f t="shared" si="7"/>
        <v>0.14401517946192177</v>
      </c>
      <c r="O17" s="11">
        <f t="shared" si="3"/>
        <v>7.2007589730960886</v>
      </c>
      <c r="P17" s="11">
        <f t="shared" si="4"/>
        <v>0.67261521677908265</v>
      </c>
    </row>
    <row r="18" spans="1:16" ht="17.7" x14ac:dyDescent="0.75">
      <c r="A18" s="1">
        <v>1971</v>
      </c>
      <c r="B18" s="4">
        <v>1.1100000000000001</v>
      </c>
      <c r="C18" s="2">
        <v>7</v>
      </c>
      <c r="E18" s="1"/>
      <c r="F18" s="1"/>
      <c r="K18" s="8" t="s">
        <v>39</v>
      </c>
      <c r="L18" s="11">
        <f>SUM(L12:L17)</f>
        <v>13.703282902117806</v>
      </c>
      <c r="M18" s="4"/>
      <c r="O18" s="8" t="s">
        <v>39</v>
      </c>
      <c r="P18" s="11">
        <f>SUM(P12:P17)</f>
        <v>5.0595650132539518</v>
      </c>
    </row>
    <row r="19" spans="1:16" ht="17.7" x14ac:dyDescent="0.75">
      <c r="A19" s="1">
        <v>1955</v>
      </c>
      <c r="B19" s="4">
        <v>1.1200000000000001</v>
      </c>
      <c r="C19" s="2">
        <v>8</v>
      </c>
      <c r="G19" s="8" t="s">
        <v>21</v>
      </c>
      <c r="H19" s="3" t="s">
        <v>22</v>
      </c>
      <c r="I19" s="9">
        <f>I8-1-L8</f>
        <v>3</v>
      </c>
      <c r="K19" s="8" t="s">
        <v>70</v>
      </c>
      <c r="L19" s="1">
        <v>7.81</v>
      </c>
      <c r="M19" s="4"/>
      <c r="O19" s="8" t="s">
        <v>70</v>
      </c>
      <c r="P19" s="1">
        <v>7.81</v>
      </c>
    </row>
    <row r="20" spans="1:16" x14ac:dyDescent="0.55000000000000004">
      <c r="A20" s="1">
        <v>1946</v>
      </c>
      <c r="B20" s="4">
        <v>1.1299999999999999</v>
      </c>
      <c r="C20" s="2">
        <v>9</v>
      </c>
      <c r="G20" s="8" t="s">
        <v>40</v>
      </c>
      <c r="H20" s="31">
        <f>1-N8</f>
        <v>0.95</v>
      </c>
      <c r="I20" s="9"/>
      <c r="K20" s="9" t="s">
        <v>28</v>
      </c>
      <c r="M20" s="4"/>
      <c r="O20" s="9" t="s">
        <v>28</v>
      </c>
    </row>
    <row r="21" spans="1:16" x14ac:dyDescent="0.55000000000000004">
      <c r="A21" s="1">
        <v>1967</v>
      </c>
      <c r="B21" s="4">
        <v>1.1599999999999999</v>
      </c>
      <c r="C21" s="2">
        <v>10</v>
      </c>
      <c r="K21" s="45" t="str">
        <f>IF(L18&gt;L19,"Reject","Do not reject")</f>
        <v>Reject</v>
      </c>
      <c r="L21" s="45"/>
      <c r="M21" s="4"/>
      <c r="O21" s="42" t="str">
        <f>IF(P18&gt;P19,"Reject","Do not reject")</f>
        <v>Do not reject</v>
      </c>
      <c r="P21" s="42"/>
    </row>
    <row r="22" spans="1:16" x14ac:dyDescent="0.55000000000000004">
      <c r="A22" s="1">
        <v>1934</v>
      </c>
      <c r="B22" s="4">
        <v>1.18</v>
      </c>
      <c r="C22" s="2">
        <v>11</v>
      </c>
      <c r="E22" s="1"/>
      <c r="F22" s="1"/>
      <c r="K22" s="9" t="s">
        <v>97</v>
      </c>
      <c r="L22">
        <f>_xlfn.CHISQ.DIST.RT(L18,I19)</f>
        <v>3.3381610357974896E-3</v>
      </c>
      <c r="M22" s="4"/>
      <c r="O22" s="9" t="s">
        <v>98</v>
      </c>
      <c r="P22">
        <f>_xlfn.CHISQ.DIST.RT(P18,I19)</f>
        <v>0.16748710180671458</v>
      </c>
    </row>
    <row r="23" spans="1:16" x14ac:dyDescent="0.55000000000000004">
      <c r="A23" s="1">
        <v>1942</v>
      </c>
      <c r="B23" s="4">
        <v>1.3</v>
      </c>
      <c r="C23" s="2">
        <v>12</v>
      </c>
      <c r="E23" s="13"/>
      <c r="F23" s="1"/>
      <c r="M23" s="4"/>
    </row>
    <row r="24" spans="1:16" x14ac:dyDescent="0.55000000000000004">
      <c r="A24" s="1">
        <v>1963</v>
      </c>
      <c r="B24" s="4">
        <v>1.31</v>
      </c>
      <c r="C24" s="2">
        <v>13</v>
      </c>
      <c r="E24" s="13"/>
      <c r="I24" s="14"/>
      <c r="J24" s="14"/>
      <c r="K24" s="14"/>
      <c r="L24" s="14"/>
      <c r="O24" s="14"/>
      <c r="P24" s="14"/>
    </row>
    <row r="25" spans="1:16" x14ac:dyDescent="0.55000000000000004">
      <c r="A25" s="1">
        <v>1943</v>
      </c>
      <c r="B25" s="4">
        <v>1.35</v>
      </c>
      <c r="C25" s="2">
        <v>14.5</v>
      </c>
      <c r="E25" s="8"/>
      <c r="F25" s="8"/>
      <c r="G25" s="9"/>
      <c r="H25" s="9"/>
      <c r="I25" s="9"/>
      <c r="J25" s="9"/>
      <c r="K25" s="9"/>
      <c r="L25" s="9"/>
      <c r="O25" s="9"/>
      <c r="P25" s="9"/>
    </row>
    <row r="26" spans="1:16" x14ac:dyDescent="0.55000000000000004">
      <c r="A26" s="1">
        <v>1972</v>
      </c>
      <c r="B26" s="4">
        <v>1.35</v>
      </c>
      <c r="C26" s="2">
        <v>14.5</v>
      </c>
      <c r="G26" s="12"/>
      <c r="H26" s="12"/>
      <c r="I26" s="11"/>
      <c r="J26" s="11"/>
      <c r="K26" s="11"/>
      <c r="L26" s="11"/>
      <c r="O26" s="11"/>
      <c r="P26" s="11"/>
    </row>
    <row r="27" spans="1:16" x14ac:dyDescent="0.55000000000000004">
      <c r="A27" s="1">
        <v>1957</v>
      </c>
      <c r="B27" s="4">
        <v>1.36</v>
      </c>
      <c r="C27" s="2">
        <v>17</v>
      </c>
      <c r="G27" s="12"/>
      <c r="H27" s="12"/>
      <c r="I27" s="11"/>
      <c r="J27" s="11"/>
      <c r="K27" s="11"/>
      <c r="L27" s="11"/>
      <c r="O27" s="11"/>
      <c r="P27" s="11"/>
    </row>
    <row r="28" spans="1:16" x14ac:dyDescent="0.55000000000000004">
      <c r="A28" s="1">
        <v>1969</v>
      </c>
      <c r="B28" s="4">
        <v>1.36</v>
      </c>
      <c r="C28" s="2">
        <v>17</v>
      </c>
      <c r="G28" s="12"/>
      <c r="H28" s="12"/>
      <c r="I28" s="11"/>
      <c r="J28" s="11"/>
      <c r="K28" s="11"/>
      <c r="L28" s="11"/>
      <c r="O28" s="11"/>
      <c r="P28" s="11"/>
    </row>
    <row r="29" spans="1:16" x14ac:dyDescent="0.55000000000000004">
      <c r="A29" s="1">
        <v>1977</v>
      </c>
      <c r="B29" s="4">
        <v>1.36</v>
      </c>
      <c r="C29" s="2">
        <v>17</v>
      </c>
      <c r="G29" s="12"/>
      <c r="H29" s="12"/>
      <c r="I29" s="11"/>
      <c r="J29" s="11"/>
      <c r="K29" s="11"/>
      <c r="L29" s="11"/>
      <c r="O29" s="11"/>
      <c r="P29" s="11"/>
    </row>
    <row r="30" spans="1:16" x14ac:dyDescent="0.55000000000000004">
      <c r="A30" s="1">
        <v>1968</v>
      </c>
      <c r="B30" s="4">
        <v>1.39</v>
      </c>
      <c r="C30" s="2">
        <v>19</v>
      </c>
      <c r="G30" s="12"/>
      <c r="H30" s="12"/>
      <c r="I30" s="11"/>
      <c r="J30" s="11"/>
      <c r="K30" s="11"/>
      <c r="L30" s="11"/>
      <c r="O30" s="11"/>
      <c r="P30" s="11"/>
    </row>
    <row r="31" spans="1:16" x14ac:dyDescent="0.55000000000000004">
      <c r="A31" s="1">
        <v>1973</v>
      </c>
      <c r="B31" s="4">
        <v>1.44</v>
      </c>
      <c r="C31" s="2">
        <v>20</v>
      </c>
      <c r="G31" s="12"/>
      <c r="H31" s="12"/>
      <c r="I31" s="11"/>
      <c r="J31" s="11"/>
      <c r="K31" s="11"/>
      <c r="L31" s="11"/>
      <c r="O31" s="11"/>
      <c r="P31" s="11"/>
    </row>
    <row r="32" spans="1:16" x14ac:dyDescent="0.55000000000000004">
      <c r="A32" s="1">
        <v>1941</v>
      </c>
      <c r="B32" s="4">
        <v>1.46</v>
      </c>
      <c r="C32" s="2">
        <v>21</v>
      </c>
      <c r="E32" s="1"/>
      <c r="F32" s="1"/>
      <c r="M32" s="4"/>
    </row>
    <row r="33" spans="1:14" x14ac:dyDescent="0.55000000000000004">
      <c r="A33" s="1">
        <v>1982</v>
      </c>
      <c r="B33" s="4">
        <v>1.51</v>
      </c>
      <c r="C33" s="2">
        <v>22</v>
      </c>
      <c r="E33" s="1"/>
      <c r="F33" s="1"/>
      <c r="M33" s="4"/>
    </row>
    <row r="34" spans="1:14" x14ac:dyDescent="0.55000000000000004">
      <c r="A34" s="1">
        <v>1961</v>
      </c>
      <c r="B34" s="4">
        <v>1.69</v>
      </c>
      <c r="C34" s="2">
        <v>23.5</v>
      </c>
      <c r="E34" s="1"/>
      <c r="F34" s="1"/>
      <c r="M34" s="5"/>
    </row>
    <row r="35" spans="1:14" x14ac:dyDescent="0.55000000000000004">
      <c r="A35" s="1">
        <v>1975</v>
      </c>
      <c r="B35" s="4">
        <v>1.69</v>
      </c>
      <c r="C35" s="2">
        <v>23.5</v>
      </c>
      <c r="E35" s="1"/>
      <c r="F35" s="1"/>
      <c r="M35" s="4"/>
    </row>
    <row r="36" spans="1:14" x14ac:dyDescent="0.55000000000000004">
      <c r="A36" s="1">
        <v>1938</v>
      </c>
      <c r="B36" s="4">
        <v>1.72</v>
      </c>
      <c r="C36" s="2">
        <v>25.5</v>
      </c>
      <c r="E36" s="1"/>
      <c r="F36" s="1"/>
      <c r="M36" s="4"/>
      <c r="N36" s="6"/>
    </row>
    <row r="37" spans="1:14" x14ac:dyDescent="0.55000000000000004">
      <c r="A37" s="1">
        <v>1948</v>
      </c>
      <c r="B37" s="4">
        <v>1.72</v>
      </c>
      <c r="C37" s="2">
        <v>25.5</v>
      </c>
      <c r="E37" s="1"/>
      <c r="F37" s="1"/>
      <c r="M37" s="4"/>
    </row>
    <row r="38" spans="1:14" x14ac:dyDescent="0.55000000000000004">
      <c r="A38" s="1">
        <v>1960</v>
      </c>
      <c r="B38" s="4">
        <v>1.75</v>
      </c>
      <c r="C38" s="2">
        <v>27</v>
      </c>
      <c r="E38" s="1"/>
      <c r="F38" s="1"/>
      <c r="M38" s="4"/>
    </row>
    <row r="39" spans="1:14" x14ac:dyDescent="0.55000000000000004">
      <c r="A39" s="1">
        <v>1964</v>
      </c>
      <c r="B39" s="4">
        <v>1.76</v>
      </c>
      <c r="C39" s="2">
        <v>28</v>
      </c>
      <c r="E39" s="1"/>
      <c r="F39" s="1"/>
      <c r="M39" s="4"/>
    </row>
    <row r="40" spans="1:14" x14ac:dyDescent="0.55000000000000004">
      <c r="A40" s="1">
        <v>1974</v>
      </c>
      <c r="B40" s="4">
        <v>1.84</v>
      </c>
      <c r="C40" s="2">
        <v>29</v>
      </c>
      <c r="E40" s="1"/>
      <c r="F40" s="1"/>
      <c r="M40" s="4"/>
    </row>
    <row r="41" spans="1:14" x14ac:dyDescent="0.55000000000000004">
      <c r="A41" s="1">
        <v>1962</v>
      </c>
      <c r="B41" s="4">
        <v>1.88</v>
      </c>
      <c r="C41" s="2">
        <v>30</v>
      </c>
      <c r="E41" s="1"/>
      <c r="F41" s="1"/>
      <c r="M41" s="4"/>
    </row>
    <row r="42" spans="1:14" x14ac:dyDescent="0.55000000000000004">
      <c r="A42" s="1">
        <v>1951</v>
      </c>
      <c r="B42" s="4">
        <v>1.98</v>
      </c>
      <c r="C42" s="2">
        <v>31</v>
      </c>
      <c r="E42" s="1"/>
      <c r="F42" s="1"/>
      <c r="M42" s="4"/>
    </row>
    <row r="43" spans="1:14" x14ac:dyDescent="0.55000000000000004">
      <c r="A43" s="1">
        <v>1954</v>
      </c>
      <c r="B43" s="4">
        <v>2</v>
      </c>
      <c r="C43" s="2">
        <v>32</v>
      </c>
      <c r="E43" s="1"/>
      <c r="F43" s="1"/>
      <c r="M43" s="4"/>
    </row>
    <row r="44" spans="1:14" x14ac:dyDescent="0.55000000000000004">
      <c r="A44" s="1">
        <v>1936</v>
      </c>
      <c r="B44" s="4">
        <v>2.08</v>
      </c>
      <c r="C44" s="2">
        <v>33</v>
      </c>
      <c r="E44" s="1"/>
      <c r="F44" s="1"/>
      <c r="M44" s="4"/>
    </row>
    <row r="45" spans="1:14" x14ac:dyDescent="0.55000000000000004">
      <c r="A45" s="1">
        <v>1956</v>
      </c>
      <c r="B45" s="4">
        <v>2.13</v>
      </c>
      <c r="C45" s="2">
        <v>34</v>
      </c>
      <c r="E45" s="1"/>
      <c r="F45" s="1"/>
      <c r="M45" s="4"/>
    </row>
    <row r="46" spans="1:14" x14ac:dyDescent="0.55000000000000004">
      <c r="A46" s="1">
        <v>1965</v>
      </c>
      <c r="B46" s="4">
        <v>2.17</v>
      </c>
      <c r="C46" s="2">
        <v>35</v>
      </c>
      <c r="E46" s="1"/>
      <c r="F46" s="1"/>
      <c r="M46" s="4"/>
    </row>
    <row r="47" spans="1:14" x14ac:dyDescent="0.55000000000000004">
      <c r="A47" s="1">
        <v>1949</v>
      </c>
      <c r="B47" s="4">
        <v>2.27</v>
      </c>
      <c r="C47" s="2">
        <v>36</v>
      </c>
      <c r="E47" s="1"/>
      <c r="F47" s="1"/>
      <c r="M47" s="4"/>
    </row>
    <row r="48" spans="1:14" x14ac:dyDescent="0.55000000000000004">
      <c r="A48" s="1">
        <v>1966</v>
      </c>
      <c r="B48" s="4">
        <v>2.38</v>
      </c>
      <c r="C48" s="2">
        <v>37</v>
      </c>
      <c r="E48" s="1"/>
      <c r="F48" s="1"/>
      <c r="M48" s="4"/>
    </row>
    <row r="49" spans="1:13" x14ac:dyDescent="0.55000000000000004">
      <c r="A49" s="1">
        <v>1952</v>
      </c>
      <c r="B49" s="4">
        <v>2.44</v>
      </c>
      <c r="C49" s="2">
        <v>38</v>
      </c>
      <c r="E49" s="1"/>
      <c r="F49" s="1"/>
      <c r="M49" s="4"/>
    </row>
    <row r="50" spans="1:13" x14ac:dyDescent="0.55000000000000004">
      <c r="A50" s="1">
        <v>1947</v>
      </c>
      <c r="B50" s="4">
        <v>2.5</v>
      </c>
      <c r="C50" s="2">
        <v>39</v>
      </c>
      <c r="E50" s="1"/>
      <c r="F50" s="1"/>
      <c r="M50" s="4"/>
    </row>
    <row r="51" spans="1:13" x14ac:dyDescent="0.55000000000000004">
      <c r="A51" s="1">
        <v>1953</v>
      </c>
      <c r="B51" s="4">
        <v>2.5299999999999998</v>
      </c>
      <c r="C51" s="2">
        <v>40</v>
      </c>
      <c r="E51" s="1"/>
      <c r="F51" s="1"/>
      <c r="M51" s="4"/>
    </row>
    <row r="52" spans="1:13" x14ac:dyDescent="0.55000000000000004">
      <c r="A52" s="1">
        <v>1935</v>
      </c>
      <c r="B52" s="4">
        <v>2.69</v>
      </c>
      <c r="C52" s="2">
        <v>41</v>
      </c>
      <c r="E52" s="1"/>
      <c r="F52" s="1"/>
      <c r="M52" s="4"/>
    </row>
    <row r="53" spans="1:13" x14ac:dyDescent="0.55000000000000004">
      <c r="A53" s="1">
        <v>1945</v>
      </c>
      <c r="B53" s="4">
        <v>2.74</v>
      </c>
      <c r="C53" s="2">
        <v>42</v>
      </c>
      <c r="E53" s="1"/>
      <c r="F53" s="1"/>
      <c r="M53" s="4"/>
    </row>
    <row r="54" spans="1:13" x14ac:dyDescent="0.55000000000000004">
      <c r="A54" s="1">
        <v>1939</v>
      </c>
      <c r="B54" s="4">
        <v>2.82</v>
      </c>
      <c r="C54" s="2">
        <v>43.5</v>
      </c>
      <c r="E54" s="1"/>
      <c r="F54" s="1"/>
      <c r="M54" s="4"/>
    </row>
    <row r="55" spans="1:13" x14ac:dyDescent="0.55000000000000004">
      <c r="A55" s="1">
        <v>1950</v>
      </c>
      <c r="B55" s="4">
        <v>2.82</v>
      </c>
      <c r="C55" s="2">
        <v>43.5</v>
      </c>
      <c r="E55" s="1"/>
      <c r="F55" s="1"/>
      <c r="M55" s="4"/>
    </row>
    <row r="56" spans="1:13" x14ac:dyDescent="0.55000000000000004">
      <c r="A56" s="1">
        <v>1959</v>
      </c>
      <c r="B56" s="4">
        <v>2.94</v>
      </c>
      <c r="C56" s="2">
        <v>45</v>
      </c>
      <c r="E56" s="1"/>
      <c r="F56" s="1"/>
      <c r="M56" s="4"/>
    </row>
    <row r="57" spans="1:13" x14ac:dyDescent="0.55000000000000004">
      <c r="A57" s="1">
        <v>1976</v>
      </c>
      <c r="B57" s="4">
        <v>3</v>
      </c>
      <c r="C57" s="2">
        <v>46</v>
      </c>
      <c r="E57" s="1"/>
      <c r="F57" s="1"/>
      <c r="M57" s="4"/>
    </row>
    <row r="58" spans="1:13" x14ac:dyDescent="0.55000000000000004">
      <c r="A58" s="1">
        <v>1937</v>
      </c>
      <c r="B58" s="4">
        <v>3.66</v>
      </c>
      <c r="C58" s="2">
        <v>47</v>
      </c>
      <c r="E58" s="1"/>
      <c r="F58" s="1"/>
      <c r="M58" s="4"/>
    </row>
    <row r="59" spans="1:13" x14ac:dyDescent="0.55000000000000004">
      <c r="A59" s="1">
        <v>1979</v>
      </c>
      <c r="B59" s="4">
        <v>4.55</v>
      </c>
      <c r="C59" s="2">
        <v>48</v>
      </c>
      <c r="E59" s="1"/>
      <c r="F59" s="1"/>
      <c r="M59" s="4"/>
    </row>
    <row r="60" spans="1:13" x14ac:dyDescent="0.55000000000000004">
      <c r="A60" s="1">
        <v>1958</v>
      </c>
      <c r="B60" s="4">
        <v>4.9000000000000004</v>
      </c>
      <c r="C60" s="2">
        <v>49</v>
      </c>
      <c r="E60" s="1"/>
      <c r="F60" s="1"/>
      <c r="M60" s="4"/>
    </row>
    <row r="61" spans="1:13" x14ac:dyDescent="0.55000000000000004">
      <c r="A61" s="1">
        <v>1978</v>
      </c>
      <c r="B61" s="4">
        <v>6.37</v>
      </c>
      <c r="C61" s="2">
        <v>50</v>
      </c>
      <c r="E61" s="1"/>
      <c r="F61" s="1"/>
      <c r="M61" s="4"/>
    </row>
    <row r="62" spans="1:13" x14ac:dyDescent="0.55000000000000004">
      <c r="E62" s="1"/>
      <c r="F62" s="1"/>
      <c r="M62" s="4"/>
    </row>
    <row r="63" spans="1:13" x14ac:dyDescent="0.55000000000000004">
      <c r="B63" s="1"/>
      <c r="C63" s="1"/>
      <c r="D63" s="1"/>
      <c r="E63" s="1"/>
      <c r="F63" s="1"/>
    </row>
    <row r="64" spans="1:13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  <row r="557" spans="2:6" x14ac:dyDescent="0.55000000000000004">
      <c r="B557" s="1"/>
      <c r="C557" s="1"/>
      <c r="D557" s="1"/>
      <c r="E557" s="1"/>
      <c r="F557" s="1"/>
    </row>
  </sheetData>
  <mergeCells count="5">
    <mergeCell ref="O21:P21"/>
    <mergeCell ref="E8:G8"/>
    <mergeCell ref="I10:L10"/>
    <mergeCell ref="M10:P10"/>
    <mergeCell ref="K2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6"/>
  <sheetViews>
    <sheetView workbookViewId="0">
      <selection activeCell="F5" sqref="F5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12.26171875" style="2" bestFit="1" customWidth="1"/>
    <col min="4" max="4" width="12.26171875" style="2" customWidth="1"/>
    <col min="5" max="5" width="8.1015625" style="2" customWidth="1"/>
    <col min="6" max="6" width="6.68359375" style="2" bestFit="1" customWidth="1"/>
    <col min="7" max="7" width="6.5234375" customWidth="1"/>
    <col min="8" max="8" width="7.89453125" bestFit="1" customWidth="1"/>
    <col min="9" max="9" width="11.578125" bestFit="1" customWidth="1"/>
    <col min="10" max="10" width="8.734375" bestFit="1" customWidth="1"/>
    <col min="11" max="11" width="6.734375" customWidth="1"/>
    <col min="12" max="12" width="7.26171875" bestFit="1" customWidth="1"/>
    <col min="13" max="13" width="6.83984375" bestFit="1" customWidth="1"/>
    <col min="14" max="14" width="8.734375" bestFit="1" customWidth="1"/>
    <col min="15" max="15" width="7.62890625" bestFit="1" customWidth="1"/>
    <col min="16" max="16" width="7.26171875" bestFit="1" customWidth="1"/>
  </cols>
  <sheetData>
    <row r="1" spans="1:18" x14ac:dyDescent="0.55000000000000004">
      <c r="A1" s="2" t="s">
        <v>3</v>
      </c>
      <c r="G1" s="17"/>
      <c r="O1" s="10"/>
    </row>
    <row r="2" spans="1:18" x14ac:dyDescent="0.55000000000000004">
      <c r="G2" s="17"/>
      <c r="O2" s="10"/>
    </row>
    <row r="3" spans="1:18" x14ac:dyDescent="0.55000000000000004">
      <c r="A3" t="s">
        <v>23</v>
      </c>
      <c r="B3">
        <v>3.76</v>
      </c>
      <c r="C3"/>
      <c r="D3"/>
    </row>
    <row r="4" spans="1:18" x14ac:dyDescent="0.55000000000000004">
      <c r="A4" t="s">
        <v>24</v>
      </c>
      <c r="B4">
        <v>1.923</v>
      </c>
      <c r="C4" t="s">
        <v>6</v>
      </c>
      <c r="D4"/>
    </row>
    <row r="5" spans="1:18" x14ac:dyDescent="0.55000000000000004">
      <c r="A5" t="s">
        <v>7</v>
      </c>
      <c r="B5">
        <v>1.96</v>
      </c>
      <c r="C5" t="s">
        <v>9</v>
      </c>
      <c r="D5"/>
    </row>
    <row r="6" spans="1:18" x14ac:dyDescent="0.55000000000000004">
      <c r="A6" t="s">
        <v>8</v>
      </c>
      <c r="B6">
        <v>1.1200000000000001</v>
      </c>
      <c r="C6" t="s">
        <v>9</v>
      </c>
      <c r="D6"/>
      <c r="I6" s="22"/>
    </row>
    <row r="7" spans="1:18" x14ac:dyDescent="0.55000000000000004">
      <c r="A7" t="s">
        <v>31</v>
      </c>
      <c r="B7">
        <f>COUNT(B11:B60)</f>
        <v>50</v>
      </c>
      <c r="C7"/>
      <c r="D7"/>
    </row>
    <row r="8" spans="1:18" x14ac:dyDescent="0.55000000000000004">
      <c r="A8"/>
      <c r="B8"/>
      <c r="C8"/>
      <c r="D8"/>
      <c r="E8" s="43" t="s">
        <v>20</v>
      </c>
      <c r="F8" s="43"/>
      <c r="G8" s="43"/>
      <c r="H8" s="43"/>
      <c r="Q8" s="21"/>
      <c r="R8" s="21"/>
    </row>
    <row r="9" spans="1:18" x14ac:dyDescent="0.55000000000000004">
      <c r="E9" s="25" t="s">
        <v>18</v>
      </c>
      <c r="F9" s="41"/>
      <c r="G9" s="41"/>
      <c r="H9" s="41"/>
      <c r="I9" s="19" t="s">
        <v>17</v>
      </c>
      <c r="J9" s="20"/>
      <c r="L9" s="21"/>
      <c r="Q9" s="21"/>
      <c r="R9" s="21"/>
    </row>
    <row r="10" spans="1:18" ht="16.8" x14ac:dyDescent="0.75">
      <c r="A10" s="3" t="s">
        <v>0</v>
      </c>
      <c r="B10" s="3" t="s">
        <v>1</v>
      </c>
      <c r="C10" s="8" t="s">
        <v>29</v>
      </c>
      <c r="D10" s="8" t="s">
        <v>32</v>
      </c>
      <c r="E10" s="22" t="s">
        <v>33</v>
      </c>
      <c r="F10" s="22" t="s">
        <v>34</v>
      </c>
      <c r="G10" s="9" t="s">
        <v>35</v>
      </c>
      <c r="H10" s="28">
        <f>MAX(F11:F60)</f>
        <v>7.0460721549083116E-2</v>
      </c>
      <c r="I10" s="22" t="s">
        <v>33</v>
      </c>
      <c r="J10" s="22" t="s">
        <v>34</v>
      </c>
      <c r="K10" s="9" t="s">
        <v>35</v>
      </c>
      <c r="L10" s="28">
        <f>MAX(J11:J60)</f>
        <v>0.13086288472627178</v>
      </c>
      <c r="Q10" s="21"/>
      <c r="R10" s="21"/>
    </row>
    <row r="11" spans="1:18" x14ac:dyDescent="0.55000000000000004">
      <c r="A11" s="1">
        <v>1933</v>
      </c>
      <c r="B11" s="4">
        <v>0.44</v>
      </c>
      <c r="C11" s="2">
        <v>1</v>
      </c>
      <c r="D11" s="2">
        <f>C11/$B$7</f>
        <v>0.02</v>
      </c>
      <c r="E11" s="49">
        <f>GAMMADIST(B11,$B$3,1/$B$4,TRUE)</f>
        <v>1.6425968476925665E-2</v>
      </c>
      <c r="F11" s="20">
        <f>ABS(D11-E11)</f>
        <v>3.5740315230743357E-3</v>
      </c>
      <c r="G11" s="9" t="s">
        <v>27</v>
      </c>
      <c r="H11" s="29">
        <v>0.05</v>
      </c>
      <c r="I11" s="20">
        <f>NORMDIST(B11,$B$5,$B$6,TRUE)</f>
        <v>8.7367911607623583E-2</v>
      </c>
      <c r="J11" s="20">
        <f>ABS(D11-I11)</f>
        <v>6.7367911607623579E-2</v>
      </c>
      <c r="K11" s="9" t="s">
        <v>27</v>
      </c>
      <c r="L11" s="29">
        <v>0.05</v>
      </c>
      <c r="Q11" s="21"/>
      <c r="R11" s="21"/>
    </row>
    <row r="12" spans="1:18" ht="16.8" x14ac:dyDescent="0.75">
      <c r="A12" s="1">
        <v>1980</v>
      </c>
      <c r="B12" s="4">
        <v>0.52</v>
      </c>
      <c r="C12" s="2">
        <v>2</v>
      </c>
      <c r="D12" s="2">
        <f t="shared" ref="D12:D60" si="0">C12/$B$7</f>
        <v>0.04</v>
      </c>
      <c r="E12" s="49">
        <f>GAMMADIST(B12,$B$3,1/$B$4,TRUE)</f>
        <v>2.7382113090173393E-2</v>
      </c>
      <c r="F12" s="20">
        <f>ABS(D12-E12)</f>
        <v>1.2617886909826608E-2</v>
      </c>
      <c r="G12" s="9" t="s">
        <v>37</v>
      </c>
      <c r="H12" s="27">
        <v>1.3580000000000001</v>
      </c>
      <c r="I12" s="20">
        <f>NORMDIST(B12,$B$5,$B$6,TRUE)</f>
        <v>9.9271396843331E-2</v>
      </c>
      <c r="J12" s="20">
        <f>ABS(D12-I12)</f>
        <v>5.9271396843330999E-2</v>
      </c>
      <c r="K12" s="9" t="s">
        <v>37</v>
      </c>
      <c r="L12" s="27">
        <v>1.3580000000000001</v>
      </c>
      <c r="Q12" s="21"/>
      <c r="R12" s="21"/>
    </row>
    <row r="13" spans="1:18" ht="16.8" x14ac:dyDescent="0.75">
      <c r="A13" s="1">
        <v>1944</v>
      </c>
      <c r="B13" s="4">
        <v>0.54</v>
      </c>
      <c r="C13" s="2">
        <v>3</v>
      </c>
      <c r="D13" s="2">
        <f t="shared" si="0"/>
        <v>0.06</v>
      </c>
      <c r="E13" s="49">
        <f>GAMMADIST(B13,$B$3,1/$B$4,TRUE)</f>
        <v>3.0650351740130279E-2</v>
      </c>
      <c r="F13" s="20">
        <f>ABS(D13-E13)</f>
        <v>2.9349648259869719E-2</v>
      </c>
      <c r="G13" s="26" t="s">
        <v>36</v>
      </c>
      <c r="H13" s="28">
        <f>H12/(SQRT(B7)+0.12+0.11/SQRT(B7))</f>
        <v>0.18843774417144613</v>
      </c>
      <c r="I13" s="20">
        <f>NORMDIST(B13,$B$5,$B$6,TRUE)</f>
        <v>0.10242448565536802</v>
      </c>
      <c r="J13" s="20">
        <f>ABS(D13-I13)</f>
        <v>4.2424485655368022E-2</v>
      </c>
      <c r="K13" s="26" t="s">
        <v>36</v>
      </c>
      <c r="L13" s="28">
        <f>L12/(SQRT(B7)+0.12+0.11/SQRT(B7))</f>
        <v>0.18843774417144613</v>
      </c>
      <c r="Q13" s="21"/>
      <c r="R13" s="21"/>
    </row>
    <row r="14" spans="1:18" x14ac:dyDescent="0.55000000000000004">
      <c r="A14" s="1">
        <v>1940</v>
      </c>
      <c r="B14" s="4">
        <v>0.72</v>
      </c>
      <c r="C14" s="2">
        <v>4</v>
      </c>
      <c r="D14" s="2">
        <f t="shared" si="0"/>
        <v>0.08</v>
      </c>
      <c r="E14" s="49">
        <f>GAMMADIST(B14,$B$3,1/$B$4,TRUE)</f>
        <v>6.970633333911562E-2</v>
      </c>
      <c r="F14" s="20">
        <f>ABS(D14-E14)</f>
        <v>1.0293666660884382E-2</v>
      </c>
      <c r="G14" s="26" t="s">
        <v>38</v>
      </c>
      <c r="I14" s="20">
        <f>NORMDIST(B14,$B$5,$B$6,TRUE)</f>
        <v>0.13411608434126712</v>
      </c>
      <c r="J14" s="20">
        <f>ABS(D14-I14)</f>
        <v>5.4116084341267121E-2</v>
      </c>
      <c r="K14" s="26" t="s">
        <v>38</v>
      </c>
      <c r="Q14" s="21"/>
      <c r="R14" s="21"/>
    </row>
    <row r="15" spans="1:18" x14ac:dyDescent="0.55000000000000004">
      <c r="A15" s="1">
        <v>1981</v>
      </c>
      <c r="B15" s="4">
        <v>0.87</v>
      </c>
      <c r="C15" s="2">
        <v>5</v>
      </c>
      <c r="D15" s="2">
        <f t="shared" si="0"/>
        <v>0.1</v>
      </c>
      <c r="E15" s="49">
        <f>GAMMADIST(B15,$B$3,1/$B$4,TRUE)</f>
        <v>0.11471192751700739</v>
      </c>
      <c r="F15" s="20">
        <f>ABS(D15-E15)</f>
        <v>1.4711927517007381E-2</v>
      </c>
      <c r="G15" s="47" t="str">
        <f>IF(H10&gt;=H13,"Reject","Do not reject")</f>
        <v>Do not reject</v>
      </c>
      <c r="H15" s="47"/>
      <c r="I15" s="20">
        <f>NORMDIST(B15,$B$5,$B$6,TRUE)</f>
        <v>0.16522340610020764</v>
      </c>
      <c r="J15" s="20">
        <f>ABS(D15-I15)</f>
        <v>6.5223406100207632E-2</v>
      </c>
      <c r="K15" s="46" t="str">
        <f>IF(L10&gt;=L13,"Reject","Do not reject")</f>
        <v>Do not reject</v>
      </c>
      <c r="L15" s="46"/>
      <c r="Q15" s="21"/>
      <c r="R15" s="21"/>
    </row>
    <row r="16" spans="1:18" x14ac:dyDescent="0.55000000000000004">
      <c r="A16" s="1">
        <v>1970</v>
      </c>
      <c r="B16" s="4">
        <v>1.03</v>
      </c>
      <c r="C16" s="2">
        <v>6</v>
      </c>
      <c r="D16" s="2">
        <f t="shared" si="0"/>
        <v>0.12</v>
      </c>
      <c r="E16" s="49">
        <f>GAMMADIST(B16,$B$3,1/$B$4,TRUE)</f>
        <v>0.17294662822911713</v>
      </c>
      <c r="F16" s="20">
        <f>ABS(D16-E16)</f>
        <v>5.2946628229117138E-2</v>
      </c>
      <c r="G16" s="24"/>
      <c r="H16" s="24"/>
      <c r="I16" s="20">
        <f>NORMDIST(B16,$B$5,$B$6,TRUE)</f>
        <v>0.20316844447777366</v>
      </c>
      <c r="J16" s="20">
        <f>ABS(D16-I16)</f>
        <v>8.3168444477773662E-2</v>
      </c>
      <c r="K16" s="24"/>
      <c r="L16" s="24"/>
      <c r="Q16" s="21"/>
      <c r="R16" s="21"/>
    </row>
    <row r="17" spans="1:18" x14ac:dyDescent="0.55000000000000004">
      <c r="A17" s="1">
        <v>1971</v>
      </c>
      <c r="B17" s="4">
        <v>1.1100000000000001</v>
      </c>
      <c r="C17" s="2">
        <v>7</v>
      </c>
      <c r="D17" s="2">
        <f t="shared" si="0"/>
        <v>0.14000000000000001</v>
      </c>
      <c r="E17" s="49">
        <f>GAMMADIST(B17,$B$3,1/$B$4,TRUE)</f>
        <v>0.20510212987984766</v>
      </c>
      <c r="F17" s="20">
        <f>ABS(D17-E17)</f>
        <v>6.5102129879847648E-2</v>
      </c>
      <c r="G17" s="21"/>
      <c r="H17" s="21"/>
      <c r="I17" s="20">
        <f>NORMDIST(B17,$B$5,$B$6,TRUE)</f>
        <v>0.22394764322191285</v>
      </c>
      <c r="J17" s="20">
        <f>ABS(D17-I17)</f>
        <v>8.3947643221912838E-2</v>
      </c>
      <c r="K17" s="21"/>
      <c r="L17" s="21"/>
      <c r="Q17" s="21"/>
      <c r="R17" s="21"/>
    </row>
    <row r="18" spans="1:18" x14ac:dyDescent="0.55000000000000004">
      <c r="A18" s="1">
        <v>1955</v>
      </c>
      <c r="B18" s="4">
        <v>1.1200000000000001</v>
      </c>
      <c r="C18" s="2">
        <v>8</v>
      </c>
      <c r="D18" s="2">
        <f t="shared" si="0"/>
        <v>0.16</v>
      </c>
      <c r="E18" s="49">
        <f>GAMMADIST(B18,$B$3,1/$B$4,TRUE)</f>
        <v>0.20923440107475946</v>
      </c>
      <c r="F18" s="20">
        <f>ABS(D18-E18)</f>
        <v>4.923440107475946E-2</v>
      </c>
      <c r="G18" s="21"/>
      <c r="H18" s="21"/>
      <c r="I18" s="20">
        <f>NORMDIST(B18,$B$5,$B$6,TRUE)</f>
        <v>0.22662735237686826</v>
      </c>
      <c r="J18" s="20">
        <f>ABS(D18-I18)</f>
        <v>6.662735237686826E-2</v>
      </c>
      <c r="K18" s="21"/>
      <c r="L18" s="21"/>
      <c r="Q18" s="21"/>
      <c r="R18" s="21"/>
    </row>
    <row r="19" spans="1:18" x14ac:dyDescent="0.55000000000000004">
      <c r="A19" s="1">
        <v>1946</v>
      </c>
      <c r="B19" s="4">
        <v>1.1299999999999999</v>
      </c>
      <c r="C19" s="2">
        <v>9</v>
      </c>
      <c r="D19" s="2">
        <f t="shared" si="0"/>
        <v>0.18</v>
      </c>
      <c r="E19" s="49">
        <f>GAMMADIST(B19,$B$3,1/$B$4,TRUE)</f>
        <v>0.21338910125641908</v>
      </c>
      <c r="F19" s="20">
        <f>ABS(D19-E19)</f>
        <v>3.3389101256419085E-2</v>
      </c>
      <c r="G19" s="21"/>
      <c r="H19" s="21"/>
      <c r="I19" s="20">
        <f>NORMDIST(B19,$B$5,$B$6,TRUE)</f>
        <v>0.22932506610906489</v>
      </c>
      <c r="J19" s="20">
        <f>ABS(D19-I19)</f>
        <v>4.9325066109064897E-2</v>
      </c>
      <c r="K19" s="21"/>
      <c r="L19" s="21"/>
      <c r="Q19" s="21"/>
      <c r="R19" s="21"/>
    </row>
    <row r="20" spans="1:18" x14ac:dyDescent="0.55000000000000004">
      <c r="A20" s="1">
        <v>1967</v>
      </c>
      <c r="B20" s="4">
        <v>1.1599999999999999</v>
      </c>
      <c r="C20" s="2">
        <v>10</v>
      </c>
      <c r="D20" s="2">
        <f t="shared" si="0"/>
        <v>0.2</v>
      </c>
      <c r="E20" s="49">
        <f>GAMMADIST(B20,$B$3,1/$B$4,TRUE)</f>
        <v>0.22597989707678454</v>
      </c>
      <c r="F20" s="20">
        <f>ABS(D20-E20)</f>
        <v>2.5979897076784525E-2</v>
      </c>
      <c r="I20" s="20">
        <f>NORMDIST(B20,$B$5,$B$6,TRUE)</f>
        <v>0.23752526202697649</v>
      </c>
      <c r="J20" s="20">
        <f>ABS(D20-I20)</f>
        <v>3.752526202697648E-2</v>
      </c>
    </row>
    <row r="21" spans="1:18" x14ac:dyDescent="0.55000000000000004">
      <c r="A21" s="1">
        <v>1934</v>
      </c>
      <c r="B21" s="4">
        <v>1.18</v>
      </c>
      <c r="C21" s="2">
        <v>11</v>
      </c>
      <c r="D21" s="2">
        <f t="shared" si="0"/>
        <v>0.22</v>
      </c>
      <c r="E21" s="49">
        <f>GAMMADIST(B21,$B$3,1/$B$4,TRUE)</f>
        <v>0.23447151113432255</v>
      </c>
      <c r="F21" s="20">
        <f>ABS(D21-E21)</f>
        <v>1.4471511134322546E-2</v>
      </c>
      <c r="I21" s="20">
        <f>NORMDIST(B21,$B$5,$B$6,TRUE)</f>
        <v>0.24308023762022168</v>
      </c>
      <c r="J21" s="20">
        <f>ABS(D21-I21)</f>
        <v>2.3080237620221683E-2</v>
      </c>
    </row>
    <row r="22" spans="1:18" x14ac:dyDescent="0.55000000000000004">
      <c r="A22" s="1">
        <v>1942</v>
      </c>
      <c r="B22" s="4">
        <v>1.3</v>
      </c>
      <c r="C22" s="2">
        <v>12</v>
      </c>
      <c r="D22" s="2">
        <f t="shared" si="0"/>
        <v>0.24</v>
      </c>
      <c r="E22" s="49">
        <f>GAMMADIST(B22,$B$3,1/$B$4,TRUE)</f>
        <v>0.28669926890836289</v>
      </c>
      <c r="F22" s="20">
        <f>ABS(D22-E22)</f>
        <v>4.6699268908362901E-2</v>
      </c>
      <c r="I22" s="20">
        <f>NORMDIST(B22,$B$5,$B$6,TRUE)</f>
        <v>0.27783481319282699</v>
      </c>
      <c r="J22" s="20">
        <f>ABS(D22-I22)</f>
        <v>3.7834813192826999E-2</v>
      </c>
    </row>
    <row r="23" spans="1:18" x14ac:dyDescent="0.55000000000000004">
      <c r="A23" s="1">
        <v>1963</v>
      </c>
      <c r="B23" s="4">
        <v>1.31</v>
      </c>
      <c r="C23" s="2">
        <v>13</v>
      </c>
      <c r="D23" s="2">
        <f t="shared" si="0"/>
        <v>0.26</v>
      </c>
      <c r="E23" s="49">
        <f>GAMMADIST(B23,$B$3,1/$B$4,TRUE)</f>
        <v>0.29112635144155025</v>
      </c>
      <c r="F23" s="20">
        <f>ABS(D23-E23)</f>
        <v>3.1126351441550237E-2</v>
      </c>
      <c r="I23" s="20">
        <f>NORMDIST(B23,$B$5,$B$6,TRUE)</f>
        <v>0.2808368999639721</v>
      </c>
      <c r="J23" s="20">
        <f>ABS(D23-I23)</f>
        <v>2.0836899963972089E-2</v>
      </c>
    </row>
    <row r="24" spans="1:18" x14ac:dyDescent="0.55000000000000004">
      <c r="A24" s="1">
        <v>1943</v>
      </c>
      <c r="B24" s="4">
        <v>1.35</v>
      </c>
      <c r="C24" s="2">
        <v>14.5</v>
      </c>
      <c r="D24" s="2">
        <f t="shared" si="0"/>
        <v>0.28999999999999998</v>
      </c>
      <c r="E24" s="49">
        <f>GAMMADIST(B24,$B$3,1/$B$4,TRUE)</f>
        <v>0.30890925939638192</v>
      </c>
      <c r="F24" s="20">
        <f>ABS(D24-E24)</f>
        <v>1.8909259396381939E-2</v>
      </c>
      <c r="G24" s="9"/>
      <c r="H24" s="9"/>
      <c r="I24" s="20">
        <f>NORMDIST(B24,$B$5,$B$6,TRUE)</f>
        <v>0.29299958645299362</v>
      </c>
      <c r="J24" s="20">
        <f>ABS(D24-I24)</f>
        <v>2.9995864529936411E-3</v>
      </c>
      <c r="K24" s="9"/>
      <c r="L24" s="9"/>
    </row>
    <row r="25" spans="1:18" x14ac:dyDescent="0.55000000000000004">
      <c r="A25" s="1">
        <v>1972</v>
      </c>
      <c r="B25" s="4">
        <v>1.35</v>
      </c>
      <c r="C25" s="2">
        <v>14.5</v>
      </c>
      <c r="D25" s="2">
        <f t="shared" si="0"/>
        <v>0.28999999999999998</v>
      </c>
      <c r="E25" s="49">
        <f>GAMMADIST(B25,$B$3,1/$B$4,TRUE)</f>
        <v>0.30890925939638192</v>
      </c>
      <c r="F25" s="20">
        <f>ABS(D25-E25)</f>
        <v>1.8909259396381939E-2</v>
      </c>
      <c r="G25" s="12"/>
      <c r="H25" s="12"/>
      <c r="I25" s="20">
        <f>NORMDIST(B25,$B$5,$B$6,TRUE)</f>
        <v>0.29299958645299362</v>
      </c>
      <c r="J25" s="20">
        <f>ABS(D25-I25)</f>
        <v>2.9995864529936411E-3</v>
      </c>
      <c r="K25" s="12"/>
      <c r="L25" s="12"/>
    </row>
    <row r="26" spans="1:18" x14ac:dyDescent="0.55000000000000004">
      <c r="A26" s="1">
        <v>1957</v>
      </c>
      <c r="B26" s="4">
        <v>1.36</v>
      </c>
      <c r="C26" s="2">
        <v>17</v>
      </c>
      <c r="D26" s="2">
        <f t="shared" si="0"/>
        <v>0.34</v>
      </c>
      <c r="E26" s="49">
        <f>GAMMADIST(B26,$B$3,1/$B$4,TRUE)</f>
        <v>0.31337021412501204</v>
      </c>
      <c r="F26" s="20">
        <f>ABS(D26-E26)</f>
        <v>2.6629785874987988E-2</v>
      </c>
      <c r="G26" s="12"/>
      <c r="H26" s="12"/>
      <c r="I26" s="20">
        <f>NORMDIST(B26,$B$5,$B$6,TRUE)</f>
        <v>0.29607801445446147</v>
      </c>
      <c r="J26" s="20">
        <f>ABS(D26-I26)</f>
        <v>4.3921985545538555E-2</v>
      </c>
      <c r="K26" s="12"/>
      <c r="L26" s="12"/>
    </row>
    <row r="27" spans="1:18" x14ac:dyDescent="0.55000000000000004">
      <c r="A27" s="1">
        <v>1969</v>
      </c>
      <c r="B27" s="4">
        <v>1.36</v>
      </c>
      <c r="C27" s="2">
        <v>17</v>
      </c>
      <c r="D27" s="2">
        <f t="shared" si="0"/>
        <v>0.34</v>
      </c>
      <c r="E27" s="49">
        <f>GAMMADIST(B27,$B$3,1/$B$4,TRUE)</f>
        <v>0.31337021412501204</v>
      </c>
      <c r="F27" s="20">
        <f>ABS(D27-E27)</f>
        <v>2.6629785874987988E-2</v>
      </c>
      <c r="G27" s="12"/>
      <c r="H27" s="12"/>
      <c r="I27" s="20">
        <f>NORMDIST(B27,$B$5,$B$6,TRUE)</f>
        <v>0.29607801445446147</v>
      </c>
      <c r="J27" s="20">
        <f>ABS(D27-I27)</f>
        <v>4.3921985545538555E-2</v>
      </c>
      <c r="K27" s="12"/>
      <c r="L27" s="12"/>
    </row>
    <row r="28" spans="1:18" x14ac:dyDescent="0.55000000000000004">
      <c r="A28" s="1">
        <v>1977</v>
      </c>
      <c r="B28" s="4">
        <v>1.36</v>
      </c>
      <c r="C28" s="2">
        <v>17</v>
      </c>
      <c r="D28" s="2">
        <f t="shared" si="0"/>
        <v>0.34</v>
      </c>
      <c r="E28" s="49">
        <f>GAMMADIST(B28,$B$3,1/$B$4,TRUE)</f>
        <v>0.31337021412501204</v>
      </c>
      <c r="F28" s="20">
        <f>ABS(D28-E28)</f>
        <v>2.6629785874987988E-2</v>
      </c>
      <c r="G28" s="12"/>
      <c r="H28" s="12"/>
      <c r="I28" s="20">
        <f>NORMDIST(B28,$B$5,$B$6,TRUE)</f>
        <v>0.29607801445446147</v>
      </c>
      <c r="J28" s="20">
        <f>ABS(D28-I28)</f>
        <v>4.3921985545538555E-2</v>
      </c>
      <c r="K28" s="12"/>
      <c r="L28" s="12"/>
    </row>
    <row r="29" spans="1:18" x14ac:dyDescent="0.55000000000000004">
      <c r="A29" s="1">
        <v>1968</v>
      </c>
      <c r="B29" s="4">
        <v>1.39</v>
      </c>
      <c r="C29" s="2">
        <v>19</v>
      </c>
      <c r="D29" s="2">
        <f t="shared" si="0"/>
        <v>0.38</v>
      </c>
      <c r="E29" s="49">
        <f>GAMMADIST(B29,$B$3,1/$B$4,TRUE)</f>
        <v>0.32677895920458916</v>
      </c>
      <c r="F29" s="20">
        <f>ABS(D29-E29)</f>
        <v>5.3221040795410846E-2</v>
      </c>
      <c r="G29" s="12"/>
      <c r="H29" s="12"/>
      <c r="I29" s="20">
        <f>NORMDIST(B29,$B$5,$B$6,TRUE)</f>
        <v>0.30540114611222136</v>
      </c>
      <c r="J29" s="20">
        <f>ABS(D29-I29)</f>
        <v>7.4598853887778649E-2</v>
      </c>
      <c r="K29" s="12"/>
      <c r="L29" s="12"/>
    </row>
    <row r="30" spans="1:18" x14ac:dyDescent="0.55000000000000004">
      <c r="A30" s="1">
        <v>1973</v>
      </c>
      <c r="B30" s="4">
        <v>1.44</v>
      </c>
      <c r="C30" s="2">
        <v>20</v>
      </c>
      <c r="D30" s="2">
        <f t="shared" si="0"/>
        <v>0.4</v>
      </c>
      <c r="E30" s="49">
        <f>GAMMADIST(B30,$B$3,1/$B$4,TRUE)</f>
        <v>0.34917465762921523</v>
      </c>
      <c r="F30" s="20">
        <f>ABS(D30-E30)</f>
        <v>5.0825342370784787E-2</v>
      </c>
      <c r="G30" s="12"/>
      <c r="H30" s="12"/>
      <c r="I30" s="20">
        <f>NORMDIST(B30,$B$5,$B$6,TRUE)</f>
        <v>0.32122152883711519</v>
      </c>
      <c r="J30" s="20">
        <f>ABS(D30-I30)</f>
        <v>7.8778471162884833E-2</v>
      </c>
      <c r="K30" s="12"/>
      <c r="L30" s="12"/>
    </row>
    <row r="31" spans="1:18" x14ac:dyDescent="0.55000000000000004">
      <c r="A31" s="1">
        <v>1941</v>
      </c>
      <c r="B31" s="4">
        <v>1.46</v>
      </c>
      <c r="C31" s="2">
        <v>21</v>
      </c>
      <c r="D31" s="2">
        <f t="shared" si="0"/>
        <v>0.42</v>
      </c>
      <c r="E31" s="49">
        <f>GAMMADIST(B31,$B$3,1/$B$4,TRUE)</f>
        <v>0.35813521764862949</v>
      </c>
      <c r="F31" s="20">
        <f>ABS(D31-E31)</f>
        <v>6.1864782351370495E-2</v>
      </c>
      <c r="I31" s="20">
        <f>NORMDIST(B31,$B$5,$B$6,TRUE)</f>
        <v>0.32764384907199973</v>
      </c>
      <c r="J31" s="20">
        <f>ABS(D31-I31)</f>
        <v>9.2356150928000258E-2</v>
      </c>
    </row>
    <row r="32" spans="1:18" x14ac:dyDescent="0.55000000000000004">
      <c r="A32" s="1">
        <v>1982</v>
      </c>
      <c r="B32" s="4">
        <v>1.51</v>
      </c>
      <c r="C32" s="2">
        <v>22</v>
      </c>
      <c r="D32" s="2">
        <f t="shared" si="0"/>
        <v>0.44</v>
      </c>
      <c r="E32" s="49">
        <f>GAMMADIST(B32,$B$3,1/$B$4,TRUE)</f>
        <v>0.38050116828454111</v>
      </c>
      <c r="F32" s="20">
        <f>ABS(D32-E32)</f>
        <v>5.9498831715458889E-2</v>
      </c>
      <c r="I32" s="20">
        <f>NORMDIST(B32,$B$5,$B$6,TRUE)</f>
        <v>0.34392086829870039</v>
      </c>
      <c r="J32" s="20">
        <f>ABS(D32-I32)</f>
        <v>9.6079131701299614E-2</v>
      </c>
    </row>
    <row r="33" spans="1:10" x14ac:dyDescent="0.55000000000000004">
      <c r="A33" s="1">
        <v>1961</v>
      </c>
      <c r="B33" s="4">
        <v>1.69</v>
      </c>
      <c r="C33" s="2">
        <v>23.5</v>
      </c>
      <c r="D33" s="2">
        <f t="shared" si="0"/>
        <v>0.47</v>
      </c>
      <c r="E33" s="49">
        <f>GAMMADIST(B33,$B$3,1/$B$4,TRUE)</f>
        <v>0.45969671403407186</v>
      </c>
      <c r="F33" s="20">
        <f>ABS(D33-E33)</f>
        <v>1.0303285965928111E-2</v>
      </c>
      <c r="I33" s="20">
        <f>NORMDIST(B33,$B$5,$B$6,TRUE)</f>
        <v>0.40474987825703185</v>
      </c>
      <c r="J33" s="20">
        <f>ABS(D33-I33)</f>
        <v>6.5250121742968126E-2</v>
      </c>
    </row>
    <row r="34" spans="1:10" x14ac:dyDescent="0.55000000000000004">
      <c r="A34" s="1">
        <v>1975</v>
      </c>
      <c r="B34" s="4">
        <v>1.69</v>
      </c>
      <c r="C34" s="2">
        <v>23.5</v>
      </c>
      <c r="D34" s="2">
        <f t="shared" si="0"/>
        <v>0.47</v>
      </c>
      <c r="E34" s="49">
        <f>GAMMADIST(B34,$B$3,1/$B$4,TRUE)</f>
        <v>0.45969671403407186</v>
      </c>
      <c r="F34" s="20">
        <f>ABS(D34-E34)</f>
        <v>1.0303285965928111E-2</v>
      </c>
      <c r="I34" s="20">
        <f>NORMDIST(B34,$B$5,$B$6,TRUE)</f>
        <v>0.40474987825703185</v>
      </c>
      <c r="J34" s="20">
        <f>ABS(D34-I34)</f>
        <v>6.5250121742968126E-2</v>
      </c>
    </row>
    <row r="35" spans="1:10" x14ac:dyDescent="0.55000000000000004">
      <c r="A35" s="1">
        <v>1938</v>
      </c>
      <c r="B35" s="4">
        <v>1.72</v>
      </c>
      <c r="C35" s="2">
        <v>25.5</v>
      </c>
      <c r="D35" s="2">
        <f t="shared" si="0"/>
        <v>0.51</v>
      </c>
      <c r="E35" s="49">
        <f>GAMMADIST(B35,$B$3,1/$B$4,TRUE)</f>
        <v>0.47256861690817659</v>
      </c>
      <c r="F35" s="20">
        <f>ABS(D35-E35)</f>
        <v>3.7431383091823422E-2</v>
      </c>
      <c r="I35" s="20">
        <f>NORMDIST(B35,$B$5,$B$6,TRUE)</f>
        <v>0.41516212882789766</v>
      </c>
      <c r="J35" s="20">
        <f>ABS(D35-I35)</f>
        <v>9.483787117210235E-2</v>
      </c>
    </row>
    <row r="36" spans="1:10" x14ac:dyDescent="0.55000000000000004">
      <c r="A36" s="1">
        <v>1948</v>
      </c>
      <c r="B36" s="4">
        <v>1.72</v>
      </c>
      <c r="C36" s="2">
        <v>25.5</v>
      </c>
      <c r="D36" s="2">
        <f t="shared" si="0"/>
        <v>0.51</v>
      </c>
      <c r="E36" s="49">
        <f>GAMMADIST(B36,$B$3,1/$B$4,TRUE)</f>
        <v>0.47256861690817659</v>
      </c>
      <c r="F36" s="20">
        <f>ABS(D36-E36)</f>
        <v>3.7431383091823422E-2</v>
      </c>
      <c r="I36" s="20">
        <f>NORMDIST(B36,$B$5,$B$6,TRUE)</f>
        <v>0.41516212882789766</v>
      </c>
      <c r="J36" s="20">
        <f>ABS(D36-I36)</f>
        <v>9.483787117210235E-2</v>
      </c>
    </row>
    <row r="37" spans="1:10" x14ac:dyDescent="0.55000000000000004">
      <c r="A37" s="1">
        <v>1960</v>
      </c>
      <c r="B37" s="4">
        <v>1.75</v>
      </c>
      <c r="C37" s="2">
        <v>27</v>
      </c>
      <c r="D37" s="2">
        <f t="shared" si="0"/>
        <v>0.54</v>
      </c>
      <c r="E37" s="49">
        <f>GAMMADIST(B37,$B$3,1/$B$4,TRUE)</f>
        <v>0.48531821193018626</v>
      </c>
      <c r="F37" s="20">
        <f>ABS(D37-E37)</f>
        <v>5.4681788069813775E-2</v>
      </c>
      <c r="I37" s="20">
        <f>NORMDIST(B37,$B$5,$B$6,TRUE)</f>
        <v>0.42563431184410283</v>
      </c>
      <c r="J37" s="20">
        <f>ABS(D37-I37)</f>
        <v>0.1143656881558972</v>
      </c>
    </row>
    <row r="38" spans="1:10" x14ac:dyDescent="0.55000000000000004">
      <c r="A38" s="1">
        <v>1964</v>
      </c>
      <c r="B38" s="4">
        <v>1.76</v>
      </c>
      <c r="C38" s="2">
        <v>28</v>
      </c>
      <c r="D38" s="2">
        <f t="shared" si="0"/>
        <v>0.56000000000000005</v>
      </c>
      <c r="E38" s="49">
        <f>GAMMADIST(B38,$B$3,1/$B$4,TRUE)</f>
        <v>0.48953927845091694</v>
      </c>
      <c r="F38" s="20">
        <f>ABS(D38-E38)</f>
        <v>7.0460721549083116E-2</v>
      </c>
      <c r="I38" s="20">
        <f>NORMDIST(B38,$B$5,$B$6,TRUE)</f>
        <v>0.42913711527372828</v>
      </c>
      <c r="J38" s="20">
        <f>ABS(D38-I38)</f>
        <v>0.13086288472627178</v>
      </c>
    </row>
    <row r="39" spans="1:10" x14ac:dyDescent="0.55000000000000004">
      <c r="A39" s="1">
        <v>1974</v>
      </c>
      <c r="B39" s="4">
        <v>1.84</v>
      </c>
      <c r="C39" s="2">
        <v>29</v>
      </c>
      <c r="D39" s="2">
        <f t="shared" si="0"/>
        <v>0.57999999999999996</v>
      </c>
      <c r="E39" s="49">
        <f>GAMMADIST(B39,$B$3,1/$B$4,TRUE)</f>
        <v>0.52274386509175697</v>
      </c>
      <c r="F39" s="20">
        <f>ABS(D39-E39)</f>
        <v>5.7256134908242995E-2</v>
      </c>
      <c r="I39" s="20">
        <f>NORMDIST(B39,$B$5,$B$6,TRUE)</f>
        <v>0.45733782387407651</v>
      </c>
      <c r="J39" s="20">
        <f>ABS(D39-I39)</f>
        <v>0.12266217612592345</v>
      </c>
    </row>
    <row r="40" spans="1:10" x14ac:dyDescent="0.55000000000000004">
      <c r="A40" s="1">
        <v>1962</v>
      </c>
      <c r="B40" s="4">
        <v>1.88</v>
      </c>
      <c r="C40" s="2">
        <v>30</v>
      </c>
      <c r="D40" s="2">
        <f t="shared" si="0"/>
        <v>0.6</v>
      </c>
      <c r="E40" s="49">
        <f>GAMMADIST(B40,$B$3,1/$B$4,TRUE)</f>
        <v>0.53894055893377069</v>
      </c>
      <c r="F40" s="20">
        <f>ABS(D40-E40)</f>
        <v>6.1059441066229292E-2</v>
      </c>
      <c r="I40" s="20">
        <f>NORMDIST(B40,$B$5,$B$6,TRUE)</f>
        <v>0.47152833548352147</v>
      </c>
      <c r="J40" s="20">
        <f>ABS(D40-I40)</f>
        <v>0.12847166451647851</v>
      </c>
    </row>
    <row r="41" spans="1:10" x14ac:dyDescent="0.55000000000000004">
      <c r="A41" s="1">
        <v>1951</v>
      </c>
      <c r="B41" s="4">
        <v>1.98</v>
      </c>
      <c r="C41" s="2">
        <v>31</v>
      </c>
      <c r="D41" s="2">
        <f t="shared" si="0"/>
        <v>0.62</v>
      </c>
      <c r="E41" s="49">
        <f>GAMMADIST(B41,$B$3,1/$B$4,TRUE)</f>
        <v>0.57812519333896084</v>
      </c>
      <c r="F41" s="20">
        <f>ABS(D41-E41)</f>
        <v>4.1874806661039154E-2</v>
      </c>
      <c r="I41" s="20">
        <f>NORMDIST(B41,$B$5,$B$6,TRUE)</f>
        <v>0.50712359069867807</v>
      </c>
      <c r="J41" s="20">
        <f>ABS(D41-I41)</f>
        <v>0.11287640930132192</v>
      </c>
    </row>
    <row r="42" spans="1:10" x14ac:dyDescent="0.55000000000000004">
      <c r="A42" s="1">
        <v>1954</v>
      </c>
      <c r="B42" s="4">
        <v>2</v>
      </c>
      <c r="C42" s="2">
        <v>32</v>
      </c>
      <c r="D42" s="2">
        <f t="shared" si="0"/>
        <v>0.64</v>
      </c>
      <c r="E42" s="49">
        <f>GAMMADIST(B42,$B$3,1/$B$4,TRUE)</f>
        <v>0.58572531275795092</v>
      </c>
      <c r="F42" s="20">
        <f>ABS(D42-E42)</f>
        <v>5.4274687242049091E-2</v>
      </c>
      <c r="I42" s="20">
        <f>NORMDIST(B42,$B$5,$B$6,TRUE)</f>
        <v>0.51424491026667729</v>
      </c>
      <c r="J42" s="20">
        <f>ABS(D42-I42)</f>
        <v>0.12575508973332272</v>
      </c>
    </row>
    <row r="43" spans="1:10" x14ac:dyDescent="0.55000000000000004">
      <c r="A43" s="1">
        <v>1936</v>
      </c>
      <c r="B43" s="4">
        <v>2.08</v>
      </c>
      <c r="C43" s="2">
        <v>33</v>
      </c>
      <c r="D43" s="2">
        <f t="shared" si="0"/>
        <v>0.66</v>
      </c>
      <c r="E43" s="49">
        <f>GAMMADIST(B43,$B$3,1/$B$4,TRUE)</f>
        <v>0.61529396529603686</v>
      </c>
      <c r="F43" s="20">
        <f>ABS(D43-E43)</f>
        <v>4.4706034703963171E-2</v>
      </c>
      <c r="I43" s="20">
        <f>NORMDIST(B43,$B$5,$B$6,TRUE)</f>
        <v>0.5426621761259236</v>
      </c>
      <c r="J43" s="20">
        <f>ABS(D43-I43)</f>
        <v>0.11733782387407643</v>
      </c>
    </row>
    <row r="44" spans="1:10" x14ac:dyDescent="0.55000000000000004">
      <c r="A44" s="1">
        <v>1956</v>
      </c>
      <c r="B44" s="4">
        <v>2.13</v>
      </c>
      <c r="C44" s="2">
        <v>34</v>
      </c>
      <c r="D44" s="2">
        <f t="shared" si="0"/>
        <v>0.68</v>
      </c>
      <c r="E44" s="49">
        <f>GAMMADIST(B44,$B$3,1/$B$4,TRUE)</f>
        <v>0.63307886396242974</v>
      </c>
      <c r="F44" s="20">
        <f>ABS(D44-E44)</f>
        <v>4.692113603757031E-2</v>
      </c>
      <c r="I44" s="20">
        <f>NORMDIST(B44,$B$5,$B$6,TRUE)</f>
        <v>0.56032202503803297</v>
      </c>
      <c r="J44" s="20">
        <f>ABS(D44-I44)</f>
        <v>0.11967797496196708</v>
      </c>
    </row>
    <row r="45" spans="1:10" x14ac:dyDescent="0.55000000000000004">
      <c r="A45" s="1">
        <v>1965</v>
      </c>
      <c r="B45" s="4">
        <v>2.17</v>
      </c>
      <c r="C45" s="2">
        <v>35</v>
      </c>
      <c r="D45" s="2">
        <f t="shared" si="0"/>
        <v>0.7</v>
      </c>
      <c r="E45" s="49">
        <f>GAMMADIST(B45,$B$3,1/$B$4,TRUE)</f>
        <v>0.6469119746748595</v>
      </c>
      <c r="F45" s="20">
        <f>ABS(D45-E45)</f>
        <v>5.3088025325140453E-2</v>
      </c>
      <c r="I45" s="20">
        <f>NORMDIST(B45,$B$5,$B$6,TRUE)</f>
        <v>0.57436568815589717</v>
      </c>
      <c r="J45" s="20">
        <f>ABS(D45-I45)</f>
        <v>0.12563431184410279</v>
      </c>
    </row>
    <row r="46" spans="1:10" x14ac:dyDescent="0.55000000000000004">
      <c r="A46" s="1">
        <v>1949</v>
      </c>
      <c r="B46" s="4">
        <v>2.27</v>
      </c>
      <c r="C46" s="2">
        <v>36</v>
      </c>
      <c r="D46" s="2">
        <f t="shared" si="0"/>
        <v>0.72</v>
      </c>
      <c r="E46" s="49">
        <f>GAMMADIST(B46,$B$3,1/$B$4,TRUE)</f>
        <v>0.67993305039788243</v>
      </c>
      <c r="F46" s="20">
        <f>ABS(D46-E46)</f>
        <v>4.0066949602117541E-2</v>
      </c>
      <c r="I46" s="20">
        <f>NORMDIST(B46,$B$5,$B$6,TRUE)</f>
        <v>0.60902767443003758</v>
      </c>
      <c r="J46" s="20">
        <f>ABS(D46-I46)</f>
        <v>0.11097232556996239</v>
      </c>
    </row>
    <row r="47" spans="1:10" x14ac:dyDescent="0.55000000000000004">
      <c r="A47" s="1">
        <v>1966</v>
      </c>
      <c r="B47" s="4">
        <v>2.38</v>
      </c>
      <c r="C47" s="2">
        <v>37</v>
      </c>
      <c r="D47" s="2">
        <f t="shared" si="0"/>
        <v>0.74</v>
      </c>
      <c r="E47" s="49">
        <f>GAMMADIST(B47,$B$3,1/$B$4,TRUE)</f>
        <v>0.71365486729992522</v>
      </c>
      <c r="F47" s="20">
        <f>ABS(D47-E47)</f>
        <v>2.6345132700074769E-2</v>
      </c>
      <c r="I47" s="20">
        <f>NORMDIST(B47,$B$5,$B$6,TRUE)</f>
        <v>0.64616976667272374</v>
      </c>
      <c r="J47" s="20">
        <f>ABS(D47-I47)</f>
        <v>9.3830233327276247E-2</v>
      </c>
    </row>
    <row r="48" spans="1:10" x14ac:dyDescent="0.55000000000000004">
      <c r="A48" s="1">
        <v>1952</v>
      </c>
      <c r="B48" s="4">
        <v>2.44</v>
      </c>
      <c r="C48" s="2">
        <v>38</v>
      </c>
      <c r="D48" s="2">
        <f t="shared" si="0"/>
        <v>0.76</v>
      </c>
      <c r="E48" s="49">
        <f>GAMMADIST(B48,$B$3,1/$B$4,TRUE)</f>
        <v>0.73090225576856549</v>
      </c>
      <c r="F48" s="20">
        <f>ABS(D48-E48)</f>
        <v>2.9097744231434519E-2</v>
      </c>
      <c r="I48" s="20">
        <f>NORMDIST(B48,$B$5,$B$6,TRUE)</f>
        <v>0.66588242910237527</v>
      </c>
      <c r="J48" s="20">
        <f>ABS(D48-I48)</f>
        <v>9.4117570897624736E-2</v>
      </c>
    </row>
    <row r="49" spans="1:13" x14ac:dyDescent="0.55000000000000004">
      <c r="A49" s="1">
        <v>1947</v>
      </c>
      <c r="B49" s="4">
        <v>2.5</v>
      </c>
      <c r="C49" s="2">
        <v>39</v>
      </c>
      <c r="D49" s="2">
        <f t="shared" si="0"/>
        <v>0.78</v>
      </c>
      <c r="E49" s="49">
        <f>GAMMADIST(B49,$B$3,1/$B$4,TRUE)</f>
        <v>0.74734958388951989</v>
      </c>
      <c r="F49" s="20">
        <f>ABS(D49-E49)</f>
        <v>3.265041611048014E-2</v>
      </c>
      <c r="I49" s="20">
        <f>NORMDIST(B49,$B$5,$B$6,TRUE)</f>
        <v>0.68514776664234478</v>
      </c>
      <c r="J49" s="20">
        <f>ABS(D49-I49)</f>
        <v>9.4852233357655247E-2</v>
      </c>
    </row>
    <row r="50" spans="1:13" x14ac:dyDescent="0.55000000000000004">
      <c r="A50" s="1">
        <v>1953</v>
      </c>
      <c r="B50" s="4">
        <v>2.5299999999999998</v>
      </c>
      <c r="C50" s="2">
        <v>40</v>
      </c>
      <c r="D50" s="2">
        <f t="shared" si="0"/>
        <v>0.8</v>
      </c>
      <c r="E50" s="49">
        <f>GAMMADIST(B50,$B$3,1/$B$4,TRUE)</f>
        <v>0.75527671683851461</v>
      </c>
      <c r="F50" s="20">
        <f>ABS(D50-E50)</f>
        <v>4.4723283161485439E-2</v>
      </c>
      <c r="I50" s="20">
        <f>NORMDIST(B50,$B$5,$B$6,TRUE)</f>
        <v>0.69459885388777853</v>
      </c>
      <c r="J50" s="20">
        <f>ABS(D50-I50)</f>
        <v>0.10540114611222151</v>
      </c>
    </row>
    <row r="51" spans="1:13" x14ac:dyDescent="0.55000000000000004">
      <c r="A51" s="1">
        <v>1935</v>
      </c>
      <c r="B51" s="4">
        <v>2.69</v>
      </c>
      <c r="C51" s="2">
        <v>41</v>
      </c>
      <c r="D51" s="2">
        <f t="shared" si="0"/>
        <v>0.82</v>
      </c>
      <c r="E51" s="49">
        <f>GAMMADIST(B51,$B$3,1/$B$4,TRUE)</f>
        <v>0.79430448626255101</v>
      </c>
      <c r="F51" s="20">
        <f>ABS(D51-E51)</f>
        <v>2.5695513737448938E-2</v>
      </c>
      <c r="I51" s="20">
        <f>NORMDIST(B51,$B$5,$B$6,TRUE)</f>
        <v>0.74273029066083862</v>
      </c>
      <c r="J51" s="20">
        <f>ABS(D51-I51)</f>
        <v>7.726970933916133E-2</v>
      </c>
    </row>
    <row r="52" spans="1:13" x14ac:dyDescent="0.55000000000000004">
      <c r="A52" s="1">
        <v>1945</v>
      </c>
      <c r="B52" s="4">
        <v>2.74</v>
      </c>
      <c r="C52" s="2">
        <v>42</v>
      </c>
      <c r="D52" s="2">
        <f t="shared" si="0"/>
        <v>0.84</v>
      </c>
      <c r="E52" s="49">
        <f>GAMMADIST(B52,$B$3,1/$B$4,TRUE)</f>
        <v>0.80541339394514866</v>
      </c>
      <c r="F52" s="20">
        <f>ABS(D52-E52)</f>
        <v>3.458660605485131E-2</v>
      </c>
      <c r="I52" s="20">
        <f>NORMDIST(B52,$B$5,$B$6,TRUE)</f>
        <v>0.75691976237977832</v>
      </c>
      <c r="J52" s="20">
        <f>ABS(D52-I52)</f>
        <v>8.3080237620221653E-2</v>
      </c>
    </row>
    <row r="53" spans="1:13" x14ac:dyDescent="0.55000000000000004">
      <c r="A53" s="1">
        <v>1939</v>
      </c>
      <c r="B53" s="4">
        <v>2.82</v>
      </c>
      <c r="C53" s="2">
        <v>43.5</v>
      </c>
      <c r="D53" s="2">
        <f t="shared" si="0"/>
        <v>0.87</v>
      </c>
      <c r="E53" s="49">
        <f>GAMMADIST(B53,$B$3,1/$B$4,TRUE)</f>
        <v>0.82215912825533577</v>
      </c>
      <c r="F53" s="20">
        <f>ABS(D53-E53)</f>
        <v>4.7840871744664226E-2</v>
      </c>
      <c r="I53" s="20">
        <f>NORMDIST(B53,$B$5,$B$6,TRUE)</f>
        <v>0.77871396932941739</v>
      </c>
      <c r="J53" s="20">
        <f>ABS(D53-I53)</f>
        <v>9.1286030670582607E-2</v>
      </c>
    </row>
    <row r="54" spans="1:13" x14ac:dyDescent="0.55000000000000004">
      <c r="A54" s="1">
        <v>1950</v>
      </c>
      <c r="B54" s="4">
        <v>2.82</v>
      </c>
      <c r="C54" s="2">
        <v>43.5</v>
      </c>
      <c r="D54" s="2">
        <f t="shared" si="0"/>
        <v>0.87</v>
      </c>
      <c r="E54" s="49">
        <f>GAMMADIST(B54,$B$3,1/$B$4,TRUE)</f>
        <v>0.82215912825533577</v>
      </c>
      <c r="F54" s="20">
        <f>ABS(D54-E54)</f>
        <v>4.7840871744664226E-2</v>
      </c>
      <c r="I54" s="20">
        <f>NORMDIST(B54,$B$5,$B$6,TRUE)</f>
        <v>0.77871396932941739</v>
      </c>
      <c r="J54" s="20">
        <f>ABS(D54-I54)</f>
        <v>9.1286030670582607E-2</v>
      </c>
    </row>
    <row r="55" spans="1:13" x14ac:dyDescent="0.55000000000000004">
      <c r="A55" s="1">
        <v>1959</v>
      </c>
      <c r="B55" s="4">
        <v>2.94</v>
      </c>
      <c r="C55" s="2">
        <v>45</v>
      </c>
      <c r="D55" s="2">
        <f t="shared" si="0"/>
        <v>0.9</v>
      </c>
      <c r="E55" s="49">
        <f>GAMMADIST(B55,$B$3,1/$B$4,TRUE)</f>
        <v>0.84501180611509463</v>
      </c>
      <c r="F55" s="20">
        <f>ABS(D55-E55)</f>
        <v>5.498819388490539E-2</v>
      </c>
      <c r="I55" s="20">
        <f>NORMDIST(B55,$B$5,$B$6,TRUE)</f>
        <v>0.80921304714748943</v>
      </c>
      <c r="J55" s="20">
        <f>ABS(D55-I55)</f>
        <v>9.0786952852510594E-2</v>
      </c>
    </row>
    <row r="56" spans="1:13" x14ac:dyDescent="0.55000000000000004">
      <c r="A56" s="1">
        <v>1976</v>
      </c>
      <c r="B56" s="4">
        <v>3</v>
      </c>
      <c r="C56" s="2">
        <v>46</v>
      </c>
      <c r="D56" s="2">
        <f t="shared" si="0"/>
        <v>0.92</v>
      </c>
      <c r="E56" s="49">
        <f>GAMMADIST(B56,$B$3,1/$B$4,TRUE)</f>
        <v>0.85547144181681123</v>
      </c>
      <c r="F56" s="20">
        <f>ABS(D56-E56)</f>
        <v>6.4528558183188811E-2</v>
      </c>
      <c r="I56" s="20">
        <f>NORMDIST(B56,$B$5,$B$6,TRUE)</f>
        <v>0.82344438274699727</v>
      </c>
      <c r="J56" s="20">
        <f>ABS(D56-I56)</f>
        <v>9.6555617253002768E-2</v>
      </c>
    </row>
    <row r="57" spans="1:13" x14ac:dyDescent="0.55000000000000004">
      <c r="A57" s="1">
        <v>1937</v>
      </c>
      <c r="B57" s="4">
        <v>3.66</v>
      </c>
      <c r="C57" s="2">
        <v>47</v>
      </c>
      <c r="D57" s="2">
        <f t="shared" si="0"/>
        <v>0.94</v>
      </c>
      <c r="E57" s="49">
        <f>GAMMADIST(B57,$B$3,1/$B$4,TRUE)</f>
        <v>0.93577239056313921</v>
      </c>
      <c r="F57" s="20">
        <f>ABS(D57-E57)</f>
        <v>4.2276094368607353E-3</v>
      </c>
      <c r="I57" s="20">
        <f>NORMDIST(B57,$B$5,$B$6,TRUE)</f>
        <v>0.93547479200264483</v>
      </c>
      <c r="J57" s="20">
        <f>ABS(D57-I57)</f>
        <v>4.5252079973551185E-3</v>
      </c>
    </row>
    <row r="58" spans="1:13" x14ac:dyDescent="0.55000000000000004">
      <c r="A58" s="1">
        <v>1979</v>
      </c>
      <c r="B58" s="4">
        <v>4.55</v>
      </c>
      <c r="C58" s="2">
        <v>48</v>
      </c>
      <c r="D58" s="2">
        <f t="shared" si="0"/>
        <v>0.96</v>
      </c>
      <c r="E58" s="49">
        <f>GAMMADIST(B58,$B$3,1/$B$4,TRUE)</f>
        <v>0.98048663048772178</v>
      </c>
      <c r="F58" s="20">
        <f>ABS(D58-E58)</f>
        <v>2.0486630487721813E-2</v>
      </c>
      <c r="I58" s="20">
        <f>NORMDIST(B58,$B$5,$B$6,TRUE)</f>
        <v>0.98962492734194196</v>
      </c>
      <c r="J58" s="20">
        <f>ABS(D58-I58)</f>
        <v>2.9624927341941998E-2</v>
      </c>
    </row>
    <row r="59" spans="1:13" x14ac:dyDescent="0.55000000000000004">
      <c r="A59" s="1">
        <v>1958</v>
      </c>
      <c r="B59" s="4">
        <v>4.9000000000000004</v>
      </c>
      <c r="C59" s="2">
        <v>49</v>
      </c>
      <c r="D59" s="2">
        <f t="shared" si="0"/>
        <v>0.98</v>
      </c>
      <c r="E59" s="49">
        <f>GAMMADIST(B59,$B$3,1/$B$4,TRUE)</f>
        <v>0.98807126629980924</v>
      </c>
      <c r="F59" s="20">
        <f>ABS(D59-E59)</f>
        <v>8.0712662998092544E-3</v>
      </c>
      <c r="I59" s="20">
        <f>NORMDIST(B59,$B$5,$B$6,TRUE)</f>
        <v>0.99566755163698739</v>
      </c>
      <c r="J59" s="20">
        <f>ABS(D59-I59)</f>
        <v>1.5667551636987409E-2</v>
      </c>
    </row>
    <row r="60" spans="1:13" x14ac:dyDescent="0.55000000000000004">
      <c r="A60" s="1">
        <v>1978</v>
      </c>
      <c r="B60" s="4">
        <v>6.37</v>
      </c>
      <c r="C60" s="2">
        <v>50</v>
      </c>
      <c r="D60" s="2">
        <f t="shared" si="0"/>
        <v>1</v>
      </c>
      <c r="E60" s="49">
        <f>GAMMADIST(B60,$B$3,1/$B$4,TRUE)</f>
        <v>0.99864259776434239</v>
      </c>
      <c r="F60" s="20">
        <f>ABS(D60-E60)</f>
        <v>1.3574022356576121E-3</v>
      </c>
      <c r="I60" s="20">
        <f>NORMDIST(B60,$B$5,$B$6,TRUE)</f>
        <v>0.9999588325340284</v>
      </c>
      <c r="J60" s="20">
        <f>ABS(D60-I60)</f>
        <v>4.1167465971603256E-5</v>
      </c>
    </row>
    <row r="61" spans="1:13" x14ac:dyDescent="0.55000000000000004">
      <c r="E61" s="1"/>
      <c r="F61" s="1"/>
      <c r="M61" s="4"/>
    </row>
    <row r="62" spans="1:13" x14ac:dyDescent="0.55000000000000004">
      <c r="B62" s="1"/>
      <c r="C62" s="1"/>
      <c r="D62" s="1"/>
      <c r="E62" s="1"/>
      <c r="F62" s="1"/>
    </row>
    <row r="63" spans="1:13" x14ac:dyDescent="0.55000000000000004">
      <c r="B63" s="1"/>
      <c r="C63" s="1"/>
      <c r="D63" s="1"/>
      <c r="E63" s="1"/>
      <c r="F63" s="1"/>
    </row>
    <row r="64" spans="1:13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</sheetData>
  <mergeCells count="3">
    <mergeCell ref="K15:L15"/>
    <mergeCell ref="E8:H8"/>
    <mergeCell ref="G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selection activeCell="L33" sqref="L33"/>
    </sheetView>
  </sheetViews>
  <sheetFormatPr defaultRowHeight="14.4" x14ac:dyDescent="0.55000000000000004"/>
  <cols>
    <col min="1" max="1" width="8.83984375" style="18"/>
    <col min="2" max="2" width="18.47265625" style="18" bestFit="1" customWidth="1"/>
    <col min="3" max="5" width="8.41796875" style="18" customWidth="1"/>
    <col min="6" max="7" width="0" style="18" hidden="1" customWidth="1"/>
    <col min="8" max="8" width="11.68359375" style="18" bestFit="1" customWidth="1"/>
    <col min="9" max="9" width="12.26171875" style="18" bestFit="1" customWidth="1"/>
    <col min="10" max="10" width="16.41796875" style="18" bestFit="1" customWidth="1"/>
    <col min="11" max="16384" width="8.83984375" style="18"/>
  </cols>
  <sheetData>
    <row r="1" spans="1:10" x14ac:dyDescent="0.55000000000000004">
      <c r="A1" s="18" t="s">
        <v>41</v>
      </c>
      <c r="B1" s="35">
        <f>AVERAGE(B10:B97)</f>
        <v>1352204.5454545454</v>
      </c>
      <c r="C1" s="18" t="s">
        <v>80</v>
      </c>
    </row>
    <row r="2" spans="1:10" ht="17.7" x14ac:dyDescent="0.75">
      <c r="A2" s="18" t="s">
        <v>44</v>
      </c>
      <c r="B2" s="18">
        <f>VAR(B10:B97)</f>
        <v>98171291013.584045</v>
      </c>
      <c r="C2" s="18" t="s">
        <v>81</v>
      </c>
    </row>
    <row r="3" spans="1:10" x14ac:dyDescent="0.55000000000000004">
      <c r="A3" s="18" t="s">
        <v>42</v>
      </c>
      <c r="B3" s="18">
        <f>SQRT(PI()^2/(6*B2))</f>
        <v>4.0933793691381389E-6</v>
      </c>
    </row>
    <row r="4" spans="1:10" x14ac:dyDescent="0.55000000000000004">
      <c r="A4" s="18" t="s">
        <v>43</v>
      </c>
      <c r="B4" s="18">
        <f>B1-0.5772/B3</f>
        <v>1211196.359320669</v>
      </c>
    </row>
    <row r="5" spans="1:10" x14ac:dyDescent="0.55000000000000004">
      <c r="A5" s="18" t="s">
        <v>46</v>
      </c>
      <c r="B5" s="18">
        <f>COUNT(B10:B97)</f>
        <v>88</v>
      </c>
      <c r="C5" s="18" t="s">
        <v>82</v>
      </c>
    </row>
    <row r="6" spans="1:10" x14ac:dyDescent="0.55000000000000004">
      <c r="A6" s="18" t="s">
        <v>51</v>
      </c>
      <c r="B6" s="18">
        <f>AVERAGE(E10:E97)</f>
        <v>1350841.711737805</v>
      </c>
      <c r="C6" s="18" t="s">
        <v>80</v>
      </c>
    </row>
    <row r="8" spans="1:10" x14ac:dyDescent="0.55000000000000004">
      <c r="B8" s="18" t="s">
        <v>2</v>
      </c>
    </row>
    <row r="9" spans="1:10" ht="16.8" x14ac:dyDescent="0.75">
      <c r="A9" s="32" t="s">
        <v>0</v>
      </c>
      <c r="B9" s="23" t="s">
        <v>48</v>
      </c>
      <c r="C9" s="23" t="s">
        <v>29</v>
      </c>
      <c r="D9" s="23" t="s">
        <v>49</v>
      </c>
      <c r="E9" s="23" t="s">
        <v>52</v>
      </c>
      <c r="F9" s="36" t="s">
        <v>33</v>
      </c>
      <c r="G9" s="36" t="s">
        <v>45</v>
      </c>
      <c r="H9" s="36" t="s">
        <v>55</v>
      </c>
      <c r="I9" s="36" t="s">
        <v>56</v>
      </c>
      <c r="J9" s="36" t="s">
        <v>54</v>
      </c>
    </row>
    <row r="10" spans="1:10" x14ac:dyDescent="0.55000000000000004">
      <c r="A10" s="33">
        <v>1954</v>
      </c>
      <c r="B10" s="34">
        <v>706000</v>
      </c>
      <c r="C10" s="18">
        <v>1</v>
      </c>
      <c r="D10" s="18">
        <f>(C10-0.44)/($B$5+0.12)</f>
        <v>6.3549704947798462E-3</v>
      </c>
      <c r="E10" s="18">
        <f t="shared" ref="E10:E41" si="0">$B$4-1/$B$3*LN(-LN(D10))</f>
        <v>815173.07092373958</v>
      </c>
      <c r="F10" s="37">
        <f t="shared" ref="F10:F41" si="1">EXP(-EXP(-$B$3*(B10-$B$4)))</f>
        <v>3.6754097022335735E-4</v>
      </c>
      <c r="G10" s="38">
        <f>F10</f>
        <v>3.6754097022335735E-4</v>
      </c>
      <c r="H10" s="50">
        <f>(B10-$B$1)^2</f>
        <v>417580314566.11566</v>
      </c>
      <c r="I10" s="18">
        <f>(E10-$B$6)^2</f>
        <v>286940892751.58826</v>
      </c>
      <c r="J10" s="18">
        <f>(B10-$B$1)*(E10-$B$6)</f>
        <v>346151510551.50732</v>
      </c>
    </row>
    <row r="11" spans="1:10" x14ac:dyDescent="0.55000000000000004">
      <c r="A11" s="33">
        <v>1931</v>
      </c>
      <c r="B11" s="34">
        <v>711000</v>
      </c>
      <c r="C11" s="18">
        <v>2</v>
      </c>
      <c r="D11" s="18">
        <f t="shared" ref="D11:D74" si="2">(C11-0.44)/($B$5+0.12)</f>
        <v>1.7703132092601E-2</v>
      </c>
      <c r="E11" s="18">
        <f t="shared" si="0"/>
        <v>870460.32924692892</v>
      </c>
      <c r="F11" s="37">
        <f t="shared" si="1"/>
        <v>4.3140858856988954E-4</v>
      </c>
      <c r="G11" s="38">
        <f>F11-F10</f>
        <v>6.3867618346532184E-5</v>
      </c>
      <c r="H11" s="50">
        <f t="shared" ref="H11:H74" si="3">(B11-$B$1)^2</f>
        <v>411143269111.57019</v>
      </c>
      <c r="I11" s="18">
        <f>(E11-$B$6)^2</f>
        <v>230766272643.84543</v>
      </c>
      <c r="J11" s="18">
        <f>(B11-$B$1)*(E11-$B$6)</f>
        <v>308022726004.88837</v>
      </c>
    </row>
    <row r="12" spans="1:10" x14ac:dyDescent="0.55000000000000004">
      <c r="A12" s="33">
        <v>2000</v>
      </c>
      <c r="B12" s="7">
        <v>787000</v>
      </c>
      <c r="C12" s="18">
        <v>3</v>
      </c>
      <c r="D12" s="18">
        <f t="shared" si="2"/>
        <v>2.9051293690422152E-2</v>
      </c>
      <c r="E12" s="18">
        <f t="shared" si="0"/>
        <v>902464.34896369372</v>
      </c>
      <c r="F12" s="37">
        <f t="shared" si="1"/>
        <v>3.4243256900055256E-3</v>
      </c>
      <c r="G12" s="38">
        <f>F12-F11</f>
        <v>2.9929171014356363E-3</v>
      </c>
      <c r="H12" s="50">
        <f t="shared" si="3"/>
        <v>319456178202.47931</v>
      </c>
      <c r="I12" s="18">
        <f>(E12-$B$6)^2</f>
        <v>201042259448.26703</v>
      </c>
      <c r="J12" s="18">
        <f>(B12-$B$1)*(E12-$B$6)</f>
        <v>253424923518.8494</v>
      </c>
    </row>
    <row r="13" spans="1:10" x14ac:dyDescent="0.55000000000000004">
      <c r="A13" s="33">
        <v>1941</v>
      </c>
      <c r="B13" s="34">
        <v>814000</v>
      </c>
      <c r="C13" s="18">
        <v>4</v>
      </c>
      <c r="D13" s="18">
        <f t="shared" si="2"/>
        <v>4.0399455288243305E-2</v>
      </c>
      <c r="E13" s="18">
        <f t="shared" si="0"/>
        <v>926360.71604877489</v>
      </c>
      <c r="F13" s="37">
        <f t="shared" si="1"/>
        <v>6.2021049040011673E-3</v>
      </c>
      <c r="G13" s="38">
        <f t="shared" ref="G13:G76" si="4">F13-F12</f>
        <v>2.7777792139956417E-3</v>
      </c>
      <c r="H13" s="50">
        <f t="shared" si="3"/>
        <v>289664132747.93384</v>
      </c>
      <c r="I13" s="18">
        <f>(E13-$B$6)^2</f>
        <v>180184115701.15045</v>
      </c>
      <c r="J13" s="18">
        <f>(B13-$B$1)*(E13-$B$6)</f>
        <v>228457601338.90732</v>
      </c>
    </row>
    <row r="14" spans="1:10" x14ac:dyDescent="0.55000000000000004">
      <c r="A14" s="33">
        <v>1934</v>
      </c>
      <c r="B14" s="34">
        <v>877000</v>
      </c>
      <c r="C14" s="18">
        <v>5</v>
      </c>
      <c r="D14" s="18">
        <f t="shared" si="2"/>
        <v>5.1747616886064447E-2</v>
      </c>
      <c r="E14" s="18">
        <f t="shared" si="0"/>
        <v>945974.34331478109</v>
      </c>
      <c r="F14" s="37">
        <f t="shared" si="1"/>
        <v>1.969366369750792E-2</v>
      </c>
      <c r="G14" s="38">
        <f t="shared" si="4"/>
        <v>1.3491558793506752E-2</v>
      </c>
      <c r="H14" s="50">
        <f t="shared" si="3"/>
        <v>225819360020.6611</v>
      </c>
      <c r="I14" s="18">
        <f>(E14-$B$6)^2</f>
        <v>163917586013.78461</v>
      </c>
      <c r="J14" s="18">
        <f>(B14-$B$1)*(E14-$B$6)</f>
        <v>192394813780.84106</v>
      </c>
    </row>
    <row r="15" spans="1:10" x14ac:dyDescent="0.55000000000000004">
      <c r="A15" s="33">
        <v>1981</v>
      </c>
      <c r="B15" s="34">
        <v>956000</v>
      </c>
      <c r="C15" s="18">
        <v>6.5</v>
      </c>
      <c r="D15" s="18">
        <f t="shared" si="2"/>
        <v>6.8769859282796178E-2</v>
      </c>
      <c r="E15" s="18">
        <f t="shared" si="0"/>
        <v>970638.90390192089</v>
      </c>
      <c r="F15" s="37">
        <f t="shared" si="1"/>
        <v>5.8291121791574758E-2</v>
      </c>
      <c r="G15" s="38">
        <f t="shared" si="4"/>
        <v>3.8597458094066839E-2</v>
      </c>
      <c r="H15" s="50">
        <f t="shared" si="3"/>
        <v>156978041838.84296</v>
      </c>
      <c r="I15" s="18">
        <f>(E15-$B$6)^2</f>
        <v>144554175086.29025</v>
      </c>
      <c r="J15" s="18">
        <f>(B15-$B$1)*(E15-$B$6)</f>
        <v>150638080659.15836</v>
      </c>
    </row>
    <row r="16" spans="1:10" x14ac:dyDescent="0.55000000000000004">
      <c r="A16" s="33">
        <v>2006</v>
      </c>
      <c r="B16" s="7">
        <v>956000</v>
      </c>
      <c r="C16" s="18">
        <v>6.5</v>
      </c>
      <c r="D16" s="18">
        <f t="shared" si="2"/>
        <v>6.8769859282796178E-2</v>
      </c>
      <c r="E16" s="18">
        <f t="shared" si="0"/>
        <v>970638.90390192089</v>
      </c>
      <c r="F16" s="37">
        <f t="shared" si="1"/>
        <v>5.8291121791574758E-2</v>
      </c>
      <c r="G16" s="38">
        <f t="shared" si="4"/>
        <v>0</v>
      </c>
      <c r="H16" s="50">
        <f t="shared" si="3"/>
        <v>156978041838.84296</v>
      </c>
      <c r="I16" s="18">
        <f>(E16-$B$6)^2</f>
        <v>144554175086.29025</v>
      </c>
      <c r="J16" s="18">
        <f>(B16-$B$1)*(E16-$B$6)</f>
        <v>150638080659.15836</v>
      </c>
    </row>
    <row r="17" spans="1:15" x14ac:dyDescent="0.55000000000000004">
      <c r="A17" s="33">
        <v>1959</v>
      </c>
      <c r="B17" s="34">
        <v>977000</v>
      </c>
      <c r="C17" s="18">
        <v>8</v>
      </c>
      <c r="D17" s="18">
        <f t="shared" si="2"/>
        <v>8.5792101679527902E-2</v>
      </c>
      <c r="E17" s="18">
        <f t="shared" si="0"/>
        <v>991704.33834724443</v>
      </c>
      <c r="F17" s="37">
        <f t="shared" si="1"/>
        <v>7.3668136217084762E-2</v>
      </c>
      <c r="G17" s="38">
        <f t="shared" si="4"/>
        <v>1.5377014425510004E-2</v>
      </c>
      <c r="H17" s="50">
        <f t="shared" si="3"/>
        <v>140778450929.75204</v>
      </c>
      <c r="I17" s="18">
        <f>(E17-$B$6)^2</f>
        <v>128979652965.87096</v>
      </c>
      <c r="J17" s="18">
        <f>(B17-$B$1)*(E17-$B$6)</f>
        <v>134749974938.74464</v>
      </c>
    </row>
    <row r="18" spans="1:15" x14ac:dyDescent="0.55000000000000004">
      <c r="A18" s="33">
        <v>1977</v>
      </c>
      <c r="B18" s="34">
        <v>980000</v>
      </c>
      <c r="C18" s="18">
        <v>9</v>
      </c>
      <c r="D18" s="18">
        <f t="shared" si="2"/>
        <v>9.7140263277349065E-2</v>
      </c>
      <c r="E18" s="18">
        <f t="shared" si="0"/>
        <v>1004385.7111361661</v>
      </c>
      <c r="F18" s="37">
        <f t="shared" si="1"/>
        <v>7.6050939728984454E-2</v>
      </c>
      <c r="G18" s="38">
        <f t="shared" si="4"/>
        <v>2.3828035118996921E-3</v>
      </c>
      <c r="H18" s="50">
        <f t="shared" si="3"/>
        <v>138536223657.02475</v>
      </c>
      <c r="I18" s="18">
        <f>(E18-$B$6)^2</f>
        <v>120031760352.88283</v>
      </c>
      <c r="J18" s="18">
        <f>(B18-$B$1)*(E18-$B$6)</f>
        <v>128952498223.93272</v>
      </c>
      <c r="L18" s="25" t="s">
        <v>84</v>
      </c>
    </row>
    <row r="19" spans="1:15" x14ac:dyDescent="0.55000000000000004">
      <c r="A19" s="33">
        <v>1953</v>
      </c>
      <c r="B19" s="34">
        <v>983000</v>
      </c>
      <c r="C19" s="18">
        <v>10</v>
      </c>
      <c r="D19" s="18">
        <f t="shared" si="2"/>
        <v>0.10848842487517023</v>
      </c>
      <c r="E19" s="18">
        <f t="shared" si="0"/>
        <v>1016245.4869343013</v>
      </c>
      <c r="F19" s="37">
        <f t="shared" si="1"/>
        <v>7.8480317906407887E-2</v>
      </c>
      <c r="G19" s="38">
        <f t="shared" si="4"/>
        <v>2.429378177423433E-3</v>
      </c>
      <c r="H19" s="50">
        <f t="shared" si="3"/>
        <v>136311996384.29749</v>
      </c>
      <c r="I19" s="18">
        <f>(E19-$B$6)^2</f>
        <v>111954633652.75679</v>
      </c>
      <c r="J19" s="18">
        <f>(B19-$B$1)*(E19-$B$6)</f>
        <v>123534447089.38449</v>
      </c>
      <c r="L19" s="18" t="s">
        <v>50</v>
      </c>
    </row>
    <row r="20" spans="1:15" x14ac:dyDescent="0.55000000000000004">
      <c r="A20" s="33">
        <v>1976</v>
      </c>
      <c r="B20" s="34">
        <v>1020000</v>
      </c>
      <c r="C20" s="18">
        <v>11</v>
      </c>
      <c r="D20" s="18">
        <f t="shared" si="2"/>
        <v>0.11983658647299138</v>
      </c>
      <c r="E20" s="18">
        <f t="shared" si="0"/>
        <v>1027440.3907555939</v>
      </c>
      <c r="F20" s="37">
        <f t="shared" si="1"/>
        <v>0.11222637045736314</v>
      </c>
      <c r="G20" s="38">
        <f t="shared" si="4"/>
        <v>3.3746052550955252E-2</v>
      </c>
      <c r="H20" s="50">
        <f t="shared" si="3"/>
        <v>110359860020.66113</v>
      </c>
      <c r="I20" s="18">
        <f>(E20-$B$6)^2</f>
        <v>104588414413.03917</v>
      </c>
      <c r="J20" s="18">
        <f>(B20-$B$1)*(E20-$B$6)</f>
        <v>107435388836.295</v>
      </c>
    </row>
    <row r="21" spans="1:15" x14ac:dyDescent="0.55000000000000004">
      <c r="A21" s="33">
        <v>1967</v>
      </c>
      <c r="B21" s="34">
        <v>1040000</v>
      </c>
      <c r="C21" s="18">
        <v>12.5</v>
      </c>
      <c r="D21" s="18">
        <f t="shared" si="2"/>
        <v>0.13685882886972311</v>
      </c>
      <c r="E21" s="18">
        <f t="shared" si="0"/>
        <v>1043233.8862399335</v>
      </c>
      <c r="F21" s="37">
        <f t="shared" si="1"/>
        <v>0.13327945229577634</v>
      </c>
      <c r="G21" s="38">
        <f t="shared" si="4"/>
        <v>2.1053081838413201E-2</v>
      </c>
      <c r="H21" s="50">
        <f t="shared" si="3"/>
        <v>97471678202.479309</v>
      </c>
      <c r="I21" s="18">
        <f>(E21-$B$6)^2</f>
        <v>94622574307.528961</v>
      </c>
      <c r="J21" s="18">
        <f>(B21-$B$1)*(E21-$B$6)</f>
        <v>96036561337.824097</v>
      </c>
      <c r="L21" s="18" t="s">
        <v>58</v>
      </c>
      <c r="M21" s="18" t="s">
        <v>59</v>
      </c>
    </row>
    <row r="22" spans="1:15" x14ac:dyDescent="0.55000000000000004">
      <c r="A22" s="33">
        <v>2014</v>
      </c>
      <c r="B22" s="7">
        <v>1040000</v>
      </c>
      <c r="C22" s="18">
        <v>12.5</v>
      </c>
      <c r="D22" s="18">
        <f t="shared" si="2"/>
        <v>0.13685882886972311</v>
      </c>
      <c r="E22" s="18">
        <f t="shared" si="0"/>
        <v>1043233.8862399335</v>
      </c>
      <c r="F22" s="37">
        <f t="shared" si="1"/>
        <v>0.13327945229577634</v>
      </c>
      <c r="G22" s="38">
        <f t="shared" si="4"/>
        <v>0</v>
      </c>
      <c r="H22" s="50">
        <f t="shared" si="3"/>
        <v>97471678202.479309</v>
      </c>
      <c r="I22" s="18">
        <f>(E22-$B$6)^2</f>
        <v>94622574307.528961</v>
      </c>
      <c r="J22" s="18">
        <f>(B22-$B$1)*(E22-$B$6)</f>
        <v>96036561337.824097</v>
      </c>
      <c r="L22" s="18">
        <v>80</v>
      </c>
      <c r="M22" s="18">
        <v>0.97789999999999999</v>
      </c>
    </row>
    <row r="23" spans="1:15" x14ac:dyDescent="0.55000000000000004">
      <c r="A23" s="33">
        <v>1940</v>
      </c>
      <c r="B23" s="34">
        <v>1075000</v>
      </c>
      <c r="C23" s="18">
        <v>14</v>
      </c>
      <c r="D23" s="18">
        <f t="shared" si="2"/>
        <v>0.15388107126645484</v>
      </c>
      <c r="E23" s="18">
        <f t="shared" si="0"/>
        <v>1058075.8215526312</v>
      </c>
      <c r="F23" s="37">
        <f t="shared" si="1"/>
        <v>0.17441684814510089</v>
      </c>
      <c r="G23" s="38">
        <f t="shared" si="4"/>
        <v>4.1137395849324548E-2</v>
      </c>
      <c r="H23" s="50">
        <f t="shared" si="3"/>
        <v>76842360020.661133</v>
      </c>
      <c r="I23" s="18">
        <f>(E23-$B$6)^2</f>
        <v>85711866455.917267</v>
      </c>
      <c r="J23" s="18">
        <f>(B23-$B$1)*(E23-$B$6)</f>
        <v>81156035513.376465</v>
      </c>
      <c r="L23" s="18">
        <v>100</v>
      </c>
      <c r="M23" s="18">
        <v>0.97470000000000001</v>
      </c>
    </row>
    <row r="24" spans="1:15" x14ac:dyDescent="0.55000000000000004">
      <c r="A24" s="33">
        <v>1960</v>
      </c>
      <c r="B24" s="34">
        <v>1100000</v>
      </c>
      <c r="C24" s="18">
        <v>15.5</v>
      </c>
      <c r="D24" s="18">
        <f t="shared" si="2"/>
        <v>0.17090331366318656</v>
      </c>
      <c r="E24" s="18">
        <f t="shared" si="0"/>
        <v>1072169.6094347334</v>
      </c>
      <c r="F24" s="37">
        <f t="shared" si="1"/>
        <v>0.20670976011451256</v>
      </c>
      <c r="G24" s="38">
        <f t="shared" si="4"/>
        <v>3.229291196941167E-2</v>
      </c>
      <c r="H24" s="50">
        <f t="shared" si="3"/>
        <v>63607132747.933861</v>
      </c>
      <c r="I24" s="18">
        <f>(E24-$B$6)^2</f>
        <v>77658140602.013626</v>
      </c>
      <c r="J24" s="18">
        <f>(B24-$B$1)*(E24-$B$6)</f>
        <v>70282370892.208755</v>
      </c>
      <c r="L24" s="18">
        <v>88</v>
      </c>
      <c r="M24" s="39">
        <f>M22+(M23-M22)/(L23-L22)*8</f>
        <v>0.97662000000000004</v>
      </c>
      <c r="N24" s="18" t="s">
        <v>74</v>
      </c>
    </row>
    <row r="25" spans="1:15" x14ac:dyDescent="0.55000000000000004">
      <c r="A25" s="33">
        <v>1992</v>
      </c>
      <c r="B25" s="34">
        <v>1100000</v>
      </c>
      <c r="C25" s="18">
        <v>15.5</v>
      </c>
      <c r="D25" s="18">
        <f t="shared" si="2"/>
        <v>0.17090331366318656</v>
      </c>
      <c r="E25" s="18">
        <f t="shared" si="0"/>
        <v>1072169.6094347334</v>
      </c>
      <c r="F25" s="37">
        <f t="shared" si="1"/>
        <v>0.20670976011451256</v>
      </c>
      <c r="G25" s="38">
        <f t="shared" si="4"/>
        <v>0</v>
      </c>
      <c r="H25" s="50">
        <f t="shared" si="3"/>
        <v>63607132747.933861</v>
      </c>
      <c r="I25" s="18">
        <f>(E25-$B$6)^2</f>
        <v>77658140602.013626</v>
      </c>
      <c r="J25" s="18">
        <f>(B25-$B$1)*(E25-$B$6)</f>
        <v>70282370892.208755</v>
      </c>
    </row>
    <row r="26" spans="1:15" x14ac:dyDescent="0.55000000000000004">
      <c r="A26" s="33">
        <v>1956</v>
      </c>
      <c r="B26" s="34">
        <v>1110000</v>
      </c>
      <c r="C26" s="18">
        <v>17.5</v>
      </c>
      <c r="D26" s="18">
        <f>(C26-0.44)/($B$5+0.12)</f>
        <v>0.19359963685882883</v>
      </c>
      <c r="E26" s="18">
        <f t="shared" si="0"/>
        <v>1090051.3541056546</v>
      </c>
      <c r="F26" s="37">
        <f t="shared" si="1"/>
        <v>0.22020137167684659</v>
      </c>
      <c r="G26" s="38">
        <f t="shared" si="4"/>
        <v>1.3491611562334027E-2</v>
      </c>
      <c r="H26" s="50">
        <f t="shared" si="3"/>
        <v>58663041838.842957</v>
      </c>
      <c r="I26" s="18">
        <f>(E26-$B$6)^2</f>
        <v>68011610633.904907</v>
      </c>
      <c r="J26" s="18">
        <f>(B26-$B$1)*(E26-$B$6)</f>
        <v>63164610029.223328</v>
      </c>
      <c r="L26" s="18" t="s">
        <v>57</v>
      </c>
      <c r="M26" s="39">
        <f>M24</f>
        <v>0.97662000000000004</v>
      </c>
    </row>
    <row r="27" spans="1:15" ht="16.5" x14ac:dyDescent="0.55000000000000004">
      <c r="A27" s="33">
        <v>1966</v>
      </c>
      <c r="B27" s="34">
        <v>1110000</v>
      </c>
      <c r="C27" s="18">
        <v>17.5</v>
      </c>
      <c r="D27" s="18">
        <f t="shared" si="2"/>
        <v>0.19359963685882883</v>
      </c>
      <c r="E27" s="18">
        <f t="shared" si="0"/>
        <v>1090051.3541056546</v>
      </c>
      <c r="F27" s="37">
        <f t="shared" si="1"/>
        <v>0.22020137167684659</v>
      </c>
      <c r="G27" s="38">
        <f t="shared" si="4"/>
        <v>0</v>
      </c>
      <c r="H27" s="50">
        <f t="shared" si="3"/>
        <v>58663041838.842957</v>
      </c>
      <c r="I27" s="18">
        <f>(E27-$B$6)^2</f>
        <v>68011610633.904907</v>
      </c>
      <c r="J27" s="18">
        <f>(B27-$B$1)*(E27-$B$6)</f>
        <v>63164610029.223328</v>
      </c>
      <c r="L27" s="18" t="s">
        <v>53</v>
      </c>
      <c r="M27" s="39">
        <f>SUM(J10:J97)/SQRT(ABS(SUM(H10:H97)*SUM(I10:I97)))</f>
        <v>0.99146215105982816</v>
      </c>
      <c r="N27" s="39">
        <f>SQRT(0.983)</f>
        <v>0.99146356463563501</v>
      </c>
      <c r="O27" s="18" t="s">
        <v>71</v>
      </c>
    </row>
    <row r="28" spans="1:15" x14ac:dyDescent="0.55000000000000004">
      <c r="A28" s="33">
        <v>1988</v>
      </c>
      <c r="B28" s="34">
        <v>1140000</v>
      </c>
      <c r="C28" s="18">
        <v>19</v>
      </c>
      <c r="D28" s="18">
        <f t="shared" si="2"/>
        <v>0.21062187925556058</v>
      </c>
      <c r="E28" s="18">
        <f t="shared" si="0"/>
        <v>1102922.8706602217</v>
      </c>
      <c r="F28" s="37">
        <f t="shared" si="1"/>
        <v>0.26227940569023417</v>
      </c>
      <c r="G28" s="38">
        <f t="shared" si="4"/>
        <v>4.2078034013387583E-2</v>
      </c>
      <c r="H28" s="50">
        <f t="shared" si="3"/>
        <v>45030769111.570229</v>
      </c>
      <c r="I28" s="18">
        <f>(E28-$B$6)^2</f>
        <v>61463751761.252045</v>
      </c>
      <c r="J28" s="18">
        <f>(B28-$B$1)*(E28-$B$6)</f>
        <v>52609504980.486259</v>
      </c>
      <c r="L28" s="18" t="s">
        <v>38</v>
      </c>
    </row>
    <row r="29" spans="1:15" x14ac:dyDescent="0.55000000000000004">
      <c r="A29" s="33">
        <v>1972</v>
      </c>
      <c r="B29" s="34">
        <v>1147000</v>
      </c>
      <c r="C29" s="18">
        <v>20</v>
      </c>
      <c r="D29" s="18">
        <f t="shared" si="2"/>
        <v>0.22197004085338173</v>
      </c>
      <c r="E29" s="18">
        <f t="shared" si="0"/>
        <v>1111294.9612915989</v>
      </c>
      <c r="F29" s="37">
        <f t="shared" si="1"/>
        <v>0.27238449201888826</v>
      </c>
      <c r="G29" s="38">
        <f t="shared" si="4"/>
        <v>1.0105086328654089E-2</v>
      </c>
      <c r="H29" s="50">
        <f t="shared" si="3"/>
        <v>42108905475.206596</v>
      </c>
      <c r="I29" s="18">
        <f>(E29-$B$6)^2</f>
        <v>57382645649.336983</v>
      </c>
      <c r="J29" s="18">
        <f>(B29-$B$1)*(E29-$B$6)</f>
        <v>49156082040.427162</v>
      </c>
      <c r="L29" s="48" t="str">
        <f>IF(M27&lt;=M26,"Reject","Do not Reject")</f>
        <v>Do not Reject</v>
      </c>
      <c r="M29" s="48"/>
    </row>
    <row r="30" spans="1:15" x14ac:dyDescent="0.55000000000000004">
      <c r="A30" s="33">
        <v>1930</v>
      </c>
      <c r="B30" s="34">
        <v>1148000</v>
      </c>
      <c r="C30" s="18">
        <v>21</v>
      </c>
      <c r="D30" s="18">
        <f t="shared" si="2"/>
        <v>0.23331820245120288</v>
      </c>
      <c r="E30" s="18">
        <f t="shared" si="0"/>
        <v>1119524.4623820544</v>
      </c>
      <c r="F30" s="37">
        <f t="shared" si="1"/>
        <v>0.27383544684902622</v>
      </c>
      <c r="G30" s="38">
        <f t="shared" si="4"/>
        <v>1.4509548301379627E-3</v>
      </c>
      <c r="H30" s="50">
        <f t="shared" si="3"/>
        <v>41699496384.297501</v>
      </c>
      <c r="I30" s="18">
        <f>(E30-$B$6)^2</f>
        <v>53507669849.510513</v>
      </c>
      <c r="J30" s="18">
        <f>(B30-$B$1)*(E30-$B$6)</f>
        <v>47236033760.486794</v>
      </c>
      <c r="L30" s="51" t="s">
        <v>99</v>
      </c>
      <c r="M30" s="18" t="s">
        <v>102</v>
      </c>
      <c r="N30" s="18" t="s">
        <v>103</v>
      </c>
    </row>
    <row r="31" spans="1:15" x14ac:dyDescent="0.55000000000000004">
      <c r="A31" s="33">
        <v>1996</v>
      </c>
      <c r="B31" s="34">
        <v>1150000</v>
      </c>
      <c r="C31" s="18">
        <v>22</v>
      </c>
      <c r="D31" s="18">
        <f t="shared" si="2"/>
        <v>0.24466636404902403</v>
      </c>
      <c r="E31" s="18">
        <f t="shared" si="0"/>
        <v>1127629.5479055026</v>
      </c>
      <c r="F31" s="37">
        <f t="shared" si="1"/>
        <v>0.27674259068172863</v>
      </c>
      <c r="G31" s="38">
        <f t="shared" si="4"/>
        <v>2.9071438327024079E-3</v>
      </c>
      <c r="H31" s="50">
        <f t="shared" si="3"/>
        <v>40886678202.479324</v>
      </c>
      <c r="I31" s="18">
        <f>(E31-$B$6)^2</f>
        <v>49823670082.698624</v>
      </c>
      <c r="J31" s="18">
        <f>(B31-$B$1)*(E31-$B$6)</f>
        <v>45134514127.636238</v>
      </c>
      <c r="L31" s="51" t="s">
        <v>104</v>
      </c>
    </row>
    <row r="32" spans="1:15" x14ac:dyDescent="0.55000000000000004">
      <c r="A32" s="33">
        <v>2004</v>
      </c>
      <c r="B32" s="7">
        <v>1153000</v>
      </c>
      <c r="C32" s="18">
        <v>23</v>
      </c>
      <c r="D32" s="18">
        <f t="shared" si="2"/>
        <v>0.25601452564684518</v>
      </c>
      <c r="E32" s="18">
        <f t="shared" si="0"/>
        <v>1135626.346787804</v>
      </c>
      <c r="F32" s="37">
        <f t="shared" si="1"/>
        <v>0.28111595147390783</v>
      </c>
      <c r="G32" s="38">
        <f t="shared" si="4"/>
        <v>4.3733607921792039E-3</v>
      </c>
      <c r="H32" s="50">
        <f t="shared" si="3"/>
        <v>39682450929.752052</v>
      </c>
      <c r="I32" s="18">
        <f>(E32-$B$6)^2</f>
        <v>46317653310.562119</v>
      </c>
      <c r="J32" s="18">
        <f>(B32-$B$1)*(E32-$B$6)</f>
        <v>42871878949.699059</v>
      </c>
      <c r="L32" s="51" t="s">
        <v>105</v>
      </c>
    </row>
    <row r="33" spans="1:16" x14ac:dyDescent="0.55000000000000004">
      <c r="A33" s="33">
        <v>1968</v>
      </c>
      <c r="B33" s="34">
        <v>1160000</v>
      </c>
      <c r="C33" s="18">
        <v>24</v>
      </c>
      <c r="D33" s="18">
        <f t="shared" si="2"/>
        <v>0.26736268724466633</v>
      </c>
      <c r="E33" s="18">
        <f t="shared" si="0"/>
        <v>1143529.2973597753</v>
      </c>
      <c r="F33" s="37">
        <f t="shared" si="1"/>
        <v>0.29137537078839365</v>
      </c>
      <c r="G33" s="38">
        <f t="shared" si="4"/>
        <v>1.0259419314485818E-2</v>
      </c>
      <c r="H33" s="50">
        <f t="shared" si="3"/>
        <v>36942587293.388412</v>
      </c>
      <c r="I33" s="18">
        <f>(E33-$B$6)^2</f>
        <v>42978437155.247917</v>
      </c>
      <c r="J33" s="18">
        <f>(B33-$B$1)*(E33-$B$6)</f>
        <v>39846388372.613571</v>
      </c>
    </row>
    <row r="34" spans="1:16" x14ac:dyDescent="0.55000000000000004">
      <c r="A34" s="33">
        <v>1942</v>
      </c>
      <c r="B34" s="34">
        <v>1178000</v>
      </c>
      <c r="C34" s="18">
        <v>25</v>
      </c>
      <c r="D34" s="18">
        <f t="shared" si="2"/>
        <v>0.27871084884248748</v>
      </c>
      <c r="E34" s="18">
        <f t="shared" si="0"/>
        <v>1151351.4319276647</v>
      </c>
      <c r="F34" s="37">
        <f t="shared" si="1"/>
        <v>0.31804878924189445</v>
      </c>
      <c r="G34" s="38">
        <f t="shared" si="4"/>
        <v>2.6673418453500797E-2</v>
      </c>
      <c r="H34" s="50">
        <f t="shared" si="3"/>
        <v>30347223657.02478</v>
      </c>
      <c r="I34" s="18">
        <f>(E34-$B$6)^2</f>
        <v>39796371738.728104</v>
      </c>
      <c r="J34" s="18">
        <f>(B34-$B$1)*(E34-$B$6)</f>
        <v>34752113516.925583</v>
      </c>
      <c r="L34" s="25" t="s">
        <v>79</v>
      </c>
      <c r="O34" s="18" t="s">
        <v>100</v>
      </c>
    </row>
    <row r="35" spans="1:16" x14ac:dyDescent="0.55000000000000004">
      <c r="A35" s="33">
        <v>1982</v>
      </c>
      <c r="B35" s="34">
        <v>1182000</v>
      </c>
      <c r="C35" s="18">
        <v>26</v>
      </c>
      <c r="D35" s="18">
        <f t="shared" si="2"/>
        <v>0.29005901044030863</v>
      </c>
      <c r="E35" s="18">
        <f t="shared" si="0"/>
        <v>1159104.6078395164</v>
      </c>
      <c r="F35" s="37">
        <f t="shared" si="1"/>
        <v>0.32402114153466721</v>
      </c>
      <c r="G35" s="38">
        <f t="shared" si="4"/>
        <v>5.9723522927727646E-3</v>
      </c>
      <c r="H35" s="50">
        <f t="shared" si="3"/>
        <v>28969587293.388416</v>
      </c>
      <c r="I35" s="18">
        <f>(E35-$B$6)^2</f>
        <v>36763117011.303146</v>
      </c>
      <c r="J35" s="18">
        <f>(B35-$B$1)*(E35-$B$6)</f>
        <v>32634526615.779171</v>
      </c>
      <c r="L35" s="18" t="s">
        <v>76</v>
      </c>
      <c r="M35" s="18">
        <v>100</v>
      </c>
      <c r="N35" s="18" t="s">
        <v>75</v>
      </c>
      <c r="O35" s="18" t="s">
        <v>58</v>
      </c>
      <c r="P35" s="18" t="s">
        <v>77</v>
      </c>
    </row>
    <row r="36" spans="1:16" ht="16.8" x14ac:dyDescent="0.75">
      <c r="A36" s="33">
        <v>2007</v>
      </c>
      <c r="B36" s="7">
        <v>1187000</v>
      </c>
      <c r="C36" s="18">
        <v>27</v>
      </c>
      <c r="D36" s="18">
        <f t="shared" si="2"/>
        <v>0.30140717203812978</v>
      </c>
      <c r="E36" s="18">
        <f t="shared" si="0"/>
        <v>1166799.6971383768</v>
      </c>
      <c r="F36" s="37">
        <f t="shared" si="1"/>
        <v>0.33150385216551476</v>
      </c>
      <c r="G36" s="38">
        <f t="shared" si="4"/>
        <v>7.4827106308475444E-3</v>
      </c>
      <c r="H36" s="50">
        <f t="shared" si="3"/>
        <v>27292541838.84296</v>
      </c>
      <c r="I36" s="18">
        <f>(E36-$B$6)^2</f>
        <v>33871463137.816174</v>
      </c>
      <c r="J36" s="18">
        <f>(B36-$B$1)*(E36-$B$6)</f>
        <v>30404577366.437359</v>
      </c>
      <c r="L36" s="18" t="s">
        <v>78</v>
      </c>
      <c r="M36" s="18">
        <f>B4-1/B3*LN(-LN(1-(1/M35)))</f>
        <v>2334998.6781233703</v>
      </c>
      <c r="N36" s="18" t="s">
        <v>80</v>
      </c>
      <c r="O36" s="18">
        <v>85</v>
      </c>
      <c r="P36" s="18">
        <v>4.1692999999999998</v>
      </c>
    </row>
    <row r="37" spans="1:16" ht="14.7" x14ac:dyDescent="0.55000000000000004">
      <c r="A37" s="33">
        <v>1938</v>
      </c>
      <c r="B37" s="34">
        <v>1190000</v>
      </c>
      <c r="C37" s="18">
        <v>28.5</v>
      </c>
      <c r="D37" s="18">
        <f t="shared" si="2"/>
        <v>0.3184294144348615</v>
      </c>
      <c r="E37" s="18">
        <f t="shared" si="0"/>
        <v>1178255.1964499156</v>
      </c>
      <c r="F37" s="37">
        <f t="shared" si="1"/>
        <v>0.3360013619881087</v>
      </c>
      <c r="G37" s="38">
        <f t="shared" si="4"/>
        <v>4.497509822593948E-3</v>
      </c>
      <c r="H37" s="50">
        <f t="shared" si="3"/>
        <v>26310314566.115688</v>
      </c>
      <c r="I37" s="18">
        <f>(E37-$B$6)^2</f>
        <v>29786105259.216881</v>
      </c>
      <c r="J37" s="18">
        <f>(B37-$B$1)*(E37-$B$6)</f>
        <v>27994317263.856052</v>
      </c>
      <c r="L37" s="18" t="s">
        <v>86</v>
      </c>
      <c r="M37" s="39">
        <f>P38</f>
        <v>4.1631799999999997</v>
      </c>
      <c r="O37" s="18">
        <v>90</v>
      </c>
      <c r="P37" s="18">
        <v>4.1590999999999996</v>
      </c>
    </row>
    <row r="38" spans="1:16" ht="16.8" x14ac:dyDescent="0.75">
      <c r="A38" s="33">
        <v>2012</v>
      </c>
      <c r="B38" s="7">
        <v>1190000</v>
      </c>
      <c r="C38" s="18">
        <v>28.5</v>
      </c>
      <c r="D38" s="18">
        <f t="shared" si="2"/>
        <v>0.3184294144348615</v>
      </c>
      <c r="E38" s="18">
        <f t="shared" si="0"/>
        <v>1178255.1964499156</v>
      </c>
      <c r="F38" s="37">
        <f t="shared" si="1"/>
        <v>0.3360013619881087</v>
      </c>
      <c r="G38" s="38">
        <f t="shared" si="4"/>
        <v>0</v>
      </c>
      <c r="H38" s="50">
        <f t="shared" si="3"/>
        <v>26310314566.115688</v>
      </c>
      <c r="I38" s="18">
        <f>(E38-$B$6)^2</f>
        <v>29786105259.216881</v>
      </c>
      <c r="J38" s="18">
        <f>(B38-$B$1)*(E38-$B$6)</f>
        <v>27994317263.856052</v>
      </c>
      <c r="L38" s="18" t="s">
        <v>85</v>
      </c>
      <c r="M38" s="18">
        <f>M37/SQRT(B5)*SQRT(B2)</f>
        <v>139051.63622575134</v>
      </c>
      <c r="O38" s="18">
        <v>88</v>
      </c>
      <c r="P38" s="39">
        <f>P36+(P37-P36)/(O37-O36)*3</f>
        <v>4.1631799999999997</v>
      </c>
    </row>
    <row r="39" spans="1:16" ht="17.100000000000001" x14ac:dyDescent="0.75">
      <c r="A39" s="33">
        <v>1958</v>
      </c>
      <c r="B39" s="34">
        <v>1191000</v>
      </c>
      <c r="C39" s="18">
        <v>30</v>
      </c>
      <c r="D39" s="18">
        <f t="shared" si="2"/>
        <v>0.33545165683159323</v>
      </c>
      <c r="E39" s="18">
        <f t="shared" si="0"/>
        <v>1189633.5159882938</v>
      </c>
      <c r="F39" s="37">
        <f t="shared" si="1"/>
        <v>0.33750168140477343</v>
      </c>
      <c r="G39" s="38">
        <f t="shared" si="4"/>
        <v>1.5003194166647305E-3</v>
      </c>
      <c r="H39" s="50">
        <f t="shared" si="3"/>
        <v>25986905475.206596</v>
      </c>
      <c r="I39" s="18">
        <f>(E39-$B$6)^2</f>
        <v>25988082376.812737</v>
      </c>
      <c r="J39" s="18">
        <f>(B39-$B$1)*(E39-$B$6)</f>
        <v>25987493919.34734</v>
      </c>
      <c r="L39" s="18" t="s">
        <v>95</v>
      </c>
      <c r="M39" s="39">
        <f>_xlfn.NORM.INV(0.95,0,1)</f>
        <v>1.6448536269514715</v>
      </c>
      <c r="N39" s="18" t="s">
        <v>96</v>
      </c>
    </row>
    <row r="40" spans="1:16" ht="17.7" x14ac:dyDescent="0.75">
      <c r="A40" s="33">
        <v>2001</v>
      </c>
      <c r="B40" s="7">
        <v>1221000</v>
      </c>
      <c r="C40" s="18">
        <v>31</v>
      </c>
      <c r="D40" s="18">
        <f t="shared" si="2"/>
        <v>0.34679981842941437</v>
      </c>
      <c r="E40" s="18">
        <f t="shared" si="0"/>
        <v>1197190.2782806866</v>
      </c>
      <c r="F40" s="37">
        <f t="shared" si="1"/>
        <v>0.38263852862170716</v>
      </c>
      <c r="G40" s="38">
        <f t="shared" si="4"/>
        <v>4.5136847216933729E-2</v>
      </c>
      <c r="H40" s="50">
        <f t="shared" si="3"/>
        <v>17214632747.933872</v>
      </c>
      <c r="I40" s="18">
        <f>(E40-$B$6)^2</f>
        <v>23608763003.427303</v>
      </c>
      <c r="J40" s="18">
        <f>(B40-$B$1)*(E40-$B$6)</f>
        <v>20159766485.180557</v>
      </c>
      <c r="L40" s="18" t="s">
        <v>87</v>
      </c>
      <c r="M40" s="18">
        <f>M36+M38*M39</f>
        <v>2563718.2663028338</v>
      </c>
    </row>
    <row r="41" spans="1:16" ht="17.7" x14ac:dyDescent="0.75">
      <c r="A41" s="33">
        <v>1987</v>
      </c>
      <c r="B41" s="34">
        <v>1230000</v>
      </c>
      <c r="C41" s="18">
        <v>32</v>
      </c>
      <c r="D41" s="18">
        <f t="shared" si="2"/>
        <v>0.35814798002723558</v>
      </c>
      <c r="E41" s="18">
        <f t="shared" si="0"/>
        <v>1204733.2495121546</v>
      </c>
      <c r="F41" s="37">
        <f t="shared" si="1"/>
        <v>0.3961678760623461</v>
      </c>
      <c r="G41" s="38">
        <f t="shared" si="4"/>
        <v>1.3529347440638939E-2</v>
      </c>
      <c r="H41" s="50">
        <f t="shared" si="3"/>
        <v>14933950929.752056</v>
      </c>
      <c r="I41" s="18">
        <f>(E41-$B$6)^2</f>
        <v>21347682733.944321</v>
      </c>
      <c r="J41" s="18">
        <f>(B41-$B$1)*(E41-$B$6)</f>
        <v>17855118213.348228</v>
      </c>
      <c r="L41" s="18" t="s">
        <v>88</v>
      </c>
      <c r="M41" s="18">
        <f>M36-M38*M39</f>
        <v>2106279.0899439068</v>
      </c>
    </row>
    <row r="42" spans="1:16" x14ac:dyDescent="0.55000000000000004">
      <c r="A42" s="33">
        <v>1964</v>
      </c>
      <c r="B42" s="34">
        <v>1270000</v>
      </c>
      <c r="C42" s="18">
        <v>33</v>
      </c>
      <c r="D42" s="18">
        <f t="shared" si="2"/>
        <v>0.36949614162505673</v>
      </c>
      <c r="E42" s="18">
        <f t="shared" ref="E42:E73" si="5">$B$4-1/$B$3*LN(-LN(D42))</f>
        <v>1212269.9616426053</v>
      </c>
      <c r="F42" s="37">
        <f t="shared" ref="F42:F73" si="6">EXP(-EXP(-$B$3*(B42-$B$4)))</f>
        <v>0.45563054568884076</v>
      </c>
      <c r="G42" s="38">
        <f t="shared" si="4"/>
        <v>5.9462669626494657E-2</v>
      </c>
      <c r="H42" s="50">
        <f t="shared" si="3"/>
        <v>6757587293.388423</v>
      </c>
      <c r="I42" s="18">
        <f>(E42-$B$6)^2</f>
        <v>19202129924.446503</v>
      </c>
      <c r="J42" s="18">
        <f>(B42-$B$1)*(E42-$B$6)</f>
        <v>11391227729.416759</v>
      </c>
    </row>
    <row r="43" spans="1:16" x14ac:dyDescent="0.55000000000000004">
      <c r="A43" s="33">
        <v>1936</v>
      </c>
      <c r="B43" s="34">
        <v>1280000</v>
      </c>
      <c r="C43" s="18">
        <v>34.5</v>
      </c>
      <c r="D43" s="18">
        <f t="shared" si="2"/>
        <v>0.38651838402178845</v>
      </c>
      <c r="E43" s="18">
        <f t="shared" si="5"/>
        <v>1223579.1167035932</v>
      </c>
      <c r="F43" s="37">
        <f t="shared" si="6"/>
        <v>0.47022417862547738</v>
      </c>
      <c r="G43" s="38">
        <f t="shared" si="4"/>
        <v>1.4593632936636625E-2</v>
      </c>
      <c r="H43" s="50">
        <f t="shared" si="3"/>
        <v>5213496384.2975149</v>
      </c>
      <c r="I43" s="18">
        <f>(E43-$B$6)^2</f>
        <v>16195768094.841808</v>
      </c>
      <c r="J43" s="18">
        <f>(B43-$B$1)*(E43-$B$6)</f>
        <v>9188937827.8111572</v>
      </c>
    </row>
    <row r="44" spans="1:16" x14ac:dyDescent="0.55000000000000004">
      <c r="A44" s="33">
        <v>1995</v>
      </c>
      <c r="B44" s="34">
        <v>1280000</v>
      </c>
      <c r="C44" s="18">
        <v>34.5</v>
      </c>
      <c r="D44" s="18">
        <f t="shared" si="2"/>
        <v>0.38651838402178845</v>
      </c>
      <c r="E44" s="18">
        <f t="shared" si="5"/>
        <v>1223579.1167035932</v>
      </c>
      <c r="F44" s="37">
        <f t="shared" si="6"/>
        <v>0.47022417862547738</v>
      </c>
      <c r="G44" s="38">
        <f t="shared" si="4"/>
        <v>0</v>
      </c>
      <c r="H44" s="50">
        <f t="shared" si="3"/>
        <v>5213496384.2975149</v>
      </c>
      <c r="I44" s="18">
        <f>(E44-$B$6)^2</f>
        <v>16195768094.841808</v>
      </c>
      <c r="J44" s="18">
        <f>(B44-$B$1)*(E44-$B$6)</f>
        <v>9188937827.8111572</v>
      </c>
    </row>
    <row r="45" spans="1:16" x14ac:dyDescent="0.55000000000000004">
      <c r="A45" s="33">
        <v>1955</v>
      </c>
      <c r="B45" s="34">
        <v>1282000</v>
      </c>
      <c r="C45" s="18">
        <v>36</v>
      </c>
      <c r="D45" s="18">
        <f t="shared" si="2"/>
        <v>0.40354062641852023</v>
      </c>
      <c r="E45" s="18">
        <f t="shared" si="5"/>
        <v>1234914.129937863</v>
      </c>
      <c r="F45" s="37">
        <f t="shared" si="6"/>
        <v>0.47312594590815088</v>
      </c>
      <c r="G45" s="38">
        <f t="shared" si="4"/>
        <v>2.9017672826734953E-3</v>
      </c>
      <c r="H45" s="50">
        <f t="shared" si="3"/>
        <v>4928678202.4793329</v>
      </c>
      <c r="I45" s="18">
        <f>(E45-$B$6)^2</f>
        <v>13439204221.98226</v>
      </c>
      <c r="J45" s="18">
        <f>(B45-$B$1)*(E45-$B$6)</f>
        <v>8138643185.909564</v>
      </c>
    </row>
    <row r="46" spans="1:16" x14ac:dyDescent="0.55000000000000004">
      <c r="A46" s="33">
        <v>1965</v>
      </c>
      <c r="B46" s="34">
        <v>1284000</v>
      </c>
      <c r="C46" s="18">
        <v>37</v>
      </c>
      <c r="D46" s="18">
        <f t="shared" si="2"/>
        <v>0.41488878801634138</v>
      </c>
      <c r="E46" s="18">
        <f t="shared" si="5"/>
        <v>1242496.5223486896</v>
      </c>
      <c r="F46" s="37">
        <f t="shared" si="6"/>
        <v>0.47602174228904914</v>
      </c>
      <c r="G46" s="38">
        <f t="shared" si="4"/>
        <v>2.8957963808982634E-3</v>
      </c>
      <c r="H46" s="50">
        <f t="shared" si="3"/>
        <v>4651860020.6611509</v>
      </c>
      <c r="I46" s="18">
        <f>(E46-$B$6)^2</f>
        <v>11738680063.76329</v>
      </c>
      <c r="J46" s="18">
        <f>(B46-$B$1)*(E46-$B$6)</f>
        <v>7389634394.4712543</v>
      </c>
    </row>
    <row r="47" spans="1:16" x14ac:dyDescent="0.55000000000000004">
      <c r="A47" s="33">
        <v>1947</v>
      </c>
      <c r="B47" s="34">
        <v>1301000</v>
      </c>
      <c r="C47" s="18">
        <v>38</v>
      </c>
      <c r="D47" s="18">
        <f t="shared" si="2"/>
        <v>0.42623694961416253</v>
      </c>
      <c r="E47" s="18">
        <f t="shared" si="5"/>
        <v>1250107.3108572355</v>
      </c>
      <c r="F47" s="37">
        <f t="shared" si="6"/>
        <v>0.50037681833500891</v>
      </c>
      <c r="G47" s="38">
        <f t="shared" si="4"/>
        <v>2.4355076045959767E-2</v>
      </c>
      <c r="H47" s="50">
        <f t="shared" si="3"/>
        <v>2621905475.2066073</v>
      </c>
      <c r="I47" s="18">
        <f>(E47-$B$6)^2</f>
        <v>10147419520.7673</v>
      </c>
      <c r="J47" s="18">
        <f>(B47-$B$1)*(E47-$B$6)</f>
        <v>5158059208.7255249</v>
      </c>
    </row>
    <row r="48" spans="1:16" x14ac:dyDescent="0.55000000000000004">
      <c r="A48" s="33">
        <v>1970</v>
      </c>
      <c r="B48" s="34">
        <v>1304000</v>
      </c>
      <c r="C48" s="18">
        <v>39</v>
      </c>
      <c r="D48" s="18">
        <f t="shared" si="2"/>
        <v>0.43758511121198368</v>
      </c>
      <c r="E48" s="18">
        <f t="shared" si="5"/>
        <v>1257753.1624691291</v>
      </c>
      <c r="F48" s="37">
        <f t="shared" si="6"/>
        <v>0.50462326905895161</v>
      </c>
      <c r="G48" s="38">
        <f t="shared" si="4"/>
        <v>4.2464507239426963E-3</v>
      </c>
      <c r="H48" s="50">
        <f t="shared" si="3"/>
        <v>2323678202.4793348</v>
      </c>
      <c r="I48" s="18">
        <f>(E48-$B$6)^2</f>
        <v>8665478004.9467125</v>
      </c>
      <c r="J48" s="18">
        <f>(B48-$B$1)*(E48-$B$6)</f>
        <v>4487291204.5195808</v>
      </c>
    </row>
    <row r="49" spans="1:10" x14ac:dyDescent="0.55000000000000004">
      <c r="A49" s="33">
        <v>1957</v>
      </c>
      <c r="B49" s="34">
        <v>1312000</v>
      </c>
      <c r="C49" s="18">
        <v>40.5</v>
      </c>
      <c r="D49" s="18">
        <f t="shared" si="2"/>
        <v>0.4546073536087154</v>
      </c>
      <c r="E49" s="18">
        <f t="shared" si="5"/>
        <v>1269302.3023685096</v>
      </c>
      <c r="F49" s="37">
        <f t="shared" si="6"/>
        <v>0.51586572542095521</v>
      </c>
      <c r="G49" s="38">
        <f t="shared" si="4"/>
        <v>1.1242456362003606E-2</v>
      </c>
      <c r="H49" s="50">
        <f t="shared" si="3"/>
        <v>1616405475.2066081</v>
      </c>
      <c r="I49" s="18">
        <f>(E49-$B$6)^2</f>
        <v>6648675280.2935486</v>
      </c>
      <c r="J49" s="18">
        <f>(B49-$B$1)*(E49-$B$6)</f>
        <v>3278254890.3246255</v>
      </c>
    </row>
    <row r="50" spans="1:10" x14ac:dyDescent="0.55000000000000004">
      <c r="A50" s="33">
        <v>1986</v>
      </c>
      <c r="B50" s="34">
        <v>1312000</v>
      </c>
      <c r="C50" s="18">
        <v>40.5</v>
      </c>
      <c r="D50" s="18">
        <f t="shared" si="2"/>
        <v>0.4546073536087154</v>
      </c>
      <c r="E50" s="18">
        <f t="shared" si="5"/>
        <v>1269302.3023685096</v>
      </c>
      <c r="F50" s="37">
        <f t="shared" si="6"/>
        <v>0.51586572542095521</v>
      </c>
      <c r="G50" s="38">
        <f t="shared" si="4"/>
        <v>0</v>
      </c>
      <c r="H50" s="50">
        <f t="shared" si="3"/>
        <v>1616405475.2066081</v>
      </c>
      <c r="I50" s="18">
        <f>(E50-$B$6)^2</f>
        <v>6648675280.2935486</v>
      </c>
      <c r="J50" s="18">
        <f>(B50-$B$1)*(E50-$B$6)</f>
        <v>3278254890.3246255</v>
      </c>
    </row>
    <row r="51" spans="1:10" x14ac:dyDescent="0.55000000000000004">
      <c r="A51" s="33">
        <v>1999</v>
      </c>
      <c r="B51" s="7">
        <v>1315000</v>
      </c>
      <c r="C51" s="18">
        <v>42</v>
      </c>
      <c r="D51" s="18">
        <f t="shared" si="2"/>
        <v>0.47162959600544713</v>
      </c>
      <c r="E51" s="18">
        <f t="shared" si="5"/>
        <v>1280968.1549572004</v>
      </c>
      <c r="F51" s="37">
        <f t="shared" si="6"/>
        <v>0.52005009102117949</v>
      </c>
      <c r="G51" s="38">
        <f t="shared" si="4"/>
        <v>4.1843656002242824E-3</v>
      </c>
      <c r="H51" s="50">
        <f t="shared" si="3"/>
        <v>1384178202.4793358</v>
      </c>
      <c r="I51" s="18">
        <f>(E51-$B$6)^2</f>
        <v>4882313937.1723814</v>
      </c>
      <c r="J51" s="18">
        <f>(B51-$B$1)*(E51-$B$6)</f>
        <v>2599613919.3147655</v>
      </c>
    </row>
    <row r="52" spans="1:10" x14ac:dyDescent="0.55000000000000004">
      <c r="A52" s="33">
        <v>1971</v>
      </c>
      <c r="B52" s="34">
        <v>1320000</v>
      </c>
      <c r="C52" s="18">
        <v>43.5</v>
      </c>
      <c r="D52" s="18">
        <f t="shared" si="2"/>
        <v>0.48865183840217885</v>
      </c>
      <c r="E52" s="18">
        <f t="shared" si="5"/>
        <v>1292774.0492254484</v>
      </c>
      <c r="F52" s="37">
        <f t="shared" si="6"/>
        <v>0.52698442641109389</v>
      </c>
      <c r="G52" s="38">
        <f t="shared" si="4"/>
        <v>6.9343353899143922E-3</v>
      </c>
      <c r="H52" s="50">
        <f t="shared" si="3"/>
        <v>1037132747.9338815</v>
      </c>
      <c r="I52" s="18">
        <f>(E52-$B$6)^2</f>
        <v>3371853429.6489496</v>
      </c>
      <c r="J52" s="18">
        <f>(B52-$B$1)*(E52-$B$6)</f>
        <v>1870042676.8183923</v>
      </c>
    </row>
    <row r="53" spans="1:10" x14ac:dyDescent="0.55000000000000004">
      <c r="A53" s="33">
        <v>2010</v>
      </c>
      <c r="B53" s="7">
        <v>1320000</v>
      </c>
      <c r="C53" s="18">
        <v>43.5</v>
      </c>
      <c r="D53" s="18">
        <f t="shared" si="2"/>
        <v>0.48865183840217885</v>
      </c>
      <c r="E53" s="18">
        <f t="shared" si="5"/>
        <v>1292774.0492254484</v>
      </c>
      <c r="F53" s="37">
        <f t="shared" si="6"/>
        <v>0.52698442641109389</v>
      </c>
      <c r="G53" s="38">
        <f t="shared" si="4"/>
        <v>0</v>
      </c>
      <c r="H53" s="50">
        <f t="shared" si="3"/>
        <v>1037132747.9338815</v>
      </c>
      <c r="I53" s="18">
        <f>(E53-$B$6)^2</f>
        <v>3371853429.6489496</v>
      </c>
      <c r="J53" s="18">
        <f>(B53-$B$1)*(E53-$B$6)</f>
        <v>1870042676.8183923</v>
      </c>
    </row>
    <row r="54" spans="1:10" x14ac:dyDescent="0.55000000000000004">
      <c r="A54" s="33">
        <v>1928</v>
      </c>
      <c r="B54" s="34">
        <v>1325000</v>
      </c>
      <c r="C54" s="18">
        <v>45</v>
      </c>
      <c r="D54" s="18">
        <f t="shared" si="2"/>
        <v>0.50567408079891063</v>
      </c>
      <c r="E54" s="18">
        <f t="shared" si="5"/>
        <v>1304744.1580012022</v>
      </c>
      <c r="F54" s="37">
        <f t="shared" si="6"/>
        <v>0.53386794340784272</v>
      </c>
      <c r="G54" s="38">
        <f t="shared" si="4"/>
        <v>6.8835169967488286E-3</v>
      </c>
      <c r="H54" s="50">
        <f t="shared" si="3"/>
        <v>740087293.3884275</v>
      </c>
      <c r="I54" s="18">
        <f>(E54-$B$6)^2</f>
        <v>2124984460.4989908</v>
      </c>
      <c r="J54" s="18">
        <f>(B54-$B$1)*(E54-$B$6)</f>
        <v>1254062995.970763</v>
      </c>
    </row>
    <row r="55" spans="1:10" x14ac:dyDescent="0.55000000000000004">
      <c r="A55" s="33">
        <v>1993</v>
      </c>
      <c r="B55" s="34">
        <v>1333000</v>
      </c>
      <c r="C55" s="18">
        <v>46</v>
      </c>
      <c r="D55" s="18">
        <f t="shared" si="2"/>
        <v>0.51702224239673178</v>
      </c>
      <c r="E55" s="18">
        <f t="shared" si="5"/>
        <v>1312827.9126817072</v>
      </c>
      <c r="F55" s="37">
        <f t="shared" si="6"/>
        <v>0.54477229647850056</v>
      </c>
      <c r="G55" s="38">
        <f t="shared" si="4"/>
        <v>1.0904353070657846E-2</v>
      </c>
      <c r="H55" s="50">
        <f t="shared" si="3"/>
        <v>368814566.11570084</v>
      </c>
      <c r="I55" s="18">
        <f>(E55-$B$6)^2</f>
        <v>1445048918.677387</v>
      </c>
      <c r="J55" s="18">
        <f>(B55-$B$1)*(E55-$B$6)</f>
        <v>730037731.87278688</v>
      </c>
    </row>
    <row r="56" spans="1:10" x14ac:dyDescent="0.55000000000000004">
      <c r="A56" s="33">
        <v>1963</v>
      </c>
      <c r="B56" s="34">
        <v>1334000</v>
      </c>
      <c r="C56" s="18">
        <v>47</v>
      </c>
      <c r="D56" s="18">
        <f t="shared" si="2"/>
        <v>0.52837040399455293</v>
      </c>
      <c r="E56" s="18">
        <f t="shared" si="5"/>
        <v>1321003.740759263</v>
      </c>
      <c r="F56" s="37">
        <f t="shared" si="6"/>
        <v>0.54612565575156047</v>
      </c>
      <c r="G56" s="38">
        <f t="shared" si="4"/>
        <v>1.3533592730599064E-3</v>
      </c>
      <c r="H56" s="50">
        <f t="shared" si="3"/>
        <v>331405475.20661002</v>
      </c>
      <c r="I56" s="18">
        <f>(E56-$B$6)^2</f>
        <v>890304512.11631453</v>
      </c>
      <c r="J56" s="18">
        <f>(B56-$B$1)*(E56-$B$6)</f>
        <v>543186698.95027471</v>
      </c>
    </row>
    <row r="57" spans="1:10" x14ac:dyDescent="0.55000000000000004">
      <c r="A57" s="33">
        <v>1978</v>
      </c>
      <c r="B57" s="34">
        <v>1350000</v>
      </c>
      <c r="C57" s="18">
        <v>48.5</v>
      </c>
      <c r="D57" s="18">
        <f t="shared" si="2"/>
        <v>0.5453926463912846</v>
      </c>
      <c r="E57" s="18">
        <f t="shared" si="5"/>
        <v>1333458.1777479104</v>
      </c>
      <c r="F57" s="37">
        <f t="shared" si="6"/>
        <v>0.56747537560140349</v>
      </c>
      <c r="G57" s="38">
        <f t="shared" si="4"/>
        <v>2.1349719849843019E-2</v>
      </c>
      <c r="H57" s="50">
        <f t="shared" si="3"/>
        <v>4860020.6611568378</v>
      </c>
      <c r="I57" s="18">
        <f>(E57-$B$6)^2</f>
        <v>302187253.97782332</v>
      </c>
      <c r="J57" s="18">
        <f>(B57-$B$1)*(E57-$B$6)</f>
        <v>38322790.841357969</v>
      </c>
    </row>
    <row r="58" spans="1:10" x14ac:dyDescent="0.55000000000000004">
      <c r="A58" s="33">
        <v>1998</v>
      </c>
      <c r="B58" s="7">
        <v>1350000</v>
      </c>
      <c r="C58" s="18">
        <v>48.5</v>
      </c>
      <c r="D58" s="18">
        <f t="shared" si="2"/>
        <v>0.5453926463912846</v>
      </c>
      <c r="E58" s="18">
        <f t="shared" si="5"/>
        <v>1333458.1777479104</v>
      </c>
      <c r="F58" s="37">
        <f t="shared" si="6"/>
        <v>0.56747537560140349</v>
      </c>
      <c r="G58" s="38">
        <f t="shared" si="4"/>
        <v>0</v>
      </c>
      <c r="H58" s="50">
        <f t="shared" si="3"/>
        <v>4860020.6611568378</v>
      </c>
      <c r="I58" s="18">
        <f>(E58-$B$6)^2</f>
        <v>302187253.97782332</v>
      </c>
      <c r="J58" s="18">
        <f>(B58-$B$1)*(E58-$B$6)</f>
        <v>38322790.841357969</v>
      </c>
    </row>
    <row r="59" spans="1:10" x14ac:dyDescent="0.55000000000000004">
      <c r="A59" s="33">
        <v>1951</v>
      </c>
      <c r="B59" s="34">
        <v>1356000</v>
      </c>
      <c r="C59" s="18">
        <v>50</v>
      </c>
      <c r="D59" s="18">
        <f t="shared" si="2"/>
        <v>0.56241488878801638</v>
      </c>
      <c r="E59" s="18">
        <f t="shared" si="5"/>
        <v>1346167.7677273278</v>
      </c>
      <c r="F59" s="37">
        <f t="shared" si="6"/>
        <v>0.57532936811888791</v>
      </c>
      <c r="G59" s="38">
        <f t="shared" si="4"/>
        <v>7.8539925174844205E-3</v>
      </c>
      <c r="H59" s="50">
        <f t="shared" si="3"/>
        <v>14405475.206611892</v>
      </c>
      <c r="I59" s="18">
        <f>(E59-$B$6)^2</f>
        <v>21845752.613076441</v>
      </c>
      <c r="J59" s="18">
        <f>(B59-$B$1)*(E59-$B$6)</f>
        <v>-17739742.039766237</v>
      </c>
    </row>
    <row r="60" spans="1:10" x14ac:dyDescent="0.55000000000000004">
      <c r="A60" s="33">
        <v>1933</v>
      </c>
      <c r="B60" s="34">
        <v>1360000</v>
      </c>
      <c r="C60" s="18">
        <v>51</v>
      </c>
      <c r="D60" s="18">
        <f t="shared" si="2"/>
        <v>0.57376305038583753</v>
      </c>
      <c r="E60" s="18">
        <f t="shared" si="5"/>
        <v>1354798.215532264</v>
      </c>
      <c r="F60" s="37">
        <f t="shared" si="6"/>
        <v>0.58051780815985687</v>
      </c>
      <c r="G60" s="38">
        <f t="shared" si="4"/>
        <v>5.1884400409689668E-3</v>
      </c>
      <c r="H60" s="50">
        <f t="shared" si="3"/>
        <v>60769111.570248596</v>
      </c>
      <c r="I60" s="18">
        <f>(E60-$B$6)^2</f>
        <v>15653922.275567891</v>
      </c>
      <c r="J60" s="18">
        <f>(B60-$B$1)*(E60-$B$6)</f>
        <v>30842745.488623172</v>
      </c>
    </row>
    <row r="61" spans="1:10" x14ac:dyDescent="0.55000000000000004">
      <c r="A61" s="33">
        <v>1952</v>
      </c>
      <c r="B61" s="34">
        <v>1368000</v>
      </c>
      <c r="C61" s="18">
        <v>52</v>
      </c>
      <c r="D61" s="18">
        <f t="shared" si="2"/>
        <v>0.58511121198365867</v>
      </c>
      <c r="E61" s="18">
        <f t="shared" si="5"/>
        <v>1363566.3476569129</v>
      </c>
      <c r="F61" s="37">
        <f t="shared" si="6"/>
        <v>0.59077841610808668</v>
      </c>
      <c r="G61" s="38">
        <f t="shared" si="4"/>
        <v>1.0260607948229805E-2</v>
      </c>
      <c r="H61" s="50">
        <f t="shared" si="3"/>
        <v>249496384.29752201</v>
      </c>
      <c r="I61" s="18">
        <f>(E61-$B$6)^2</f>
        <v>161916359.27384898</v>
      </c>
      <c r="J61" s="18">
        <f>(B61-$B$1)*(E61-$B$6)</f>
        <v>200991408.26772636</v>
      </c>
    </row>
    <row r="62" spans="1:10" x14ac:dyDescent="0.55000000000000004">
      <c r="A62" s="33">
        <v>1980</v>
      </c>
      <c r="B62" s="34">
        <v>1370000</v>
      </c>
      <c r="C62" s="18">
        <v>53.5</v>
      </c>
      <c r="D62" s="18">
        <f t="shared" si="2"/>
        <v>0.60213345438039034</v>
      </c>
      <c r="E62" s="18">
        <f t="shared" si="5"/>
        <v>1377000.611047314</v>
      </c>
      <c r="F62" s="37">
        <f t="shared" si="6"/>
        <v>0.59331902252839896</v>
      </c>
      <c r="G62" s="38">
        <f t="shared" si="4"/>
        <v>2.5406064203122858E-3</v>
      </c>
      <c r="H62" s="50">
        <f t="shared" si="3"/>
        <v>316678202.47934037</v>
      </c>
      <c r="I62" s="18">
        <f>(E62-$B$6)^2</f>
        <v>684288013.08502877</v>
      </c>
      <c r="J62" s="18">
        <f>(B62-$B$1)*(E62-$B$6)</f>
        <v>465509503.62149024</v>
      </c>
    </row>
    <row r="63" spans="1:10" x14ac:dyDescent="0.55000000000000004">
      <c r="A63" s="33">
        <v>2003</v>
      </c>
      <c r="B63" s="7">
        <v>1370000</v>
      </c>
      <c r="C63" s="18">
        <v>53.5</v>
      </c>
      <c r="D63" s="18">
        <f t="shared" si="2"/>
        <v>0.60213345438039034</v>
      </c>
      <c r="E63" s="18">
        <f t="shared" si="5"/>
        <v>1377000.611047314</v>
      </c>
      <c r="F63" s="37">
        <f t="shared" si="6"/>
        <v>0.59331902252839896</v>
      </c>
      <c r="G63" s="38">
        <f t="shared" si="4"/>
        <v>0</v>
      </c>
      <c r="H63" s="50">
        <f t="shared" si="3"/>
        <v>316678202.47934037</v>
      </c>
      <c r="I63" s="18">
        <f>(E63-$B$6)^2</f>
        <v>684288013.08502877</v>
      </c>
      <c r="J63" s="18">
        <f>(B63-$B$1)*(E63-$B$6)</f>
        <v>465509503.62149024</v>
      </c>
    </row>
    <row r="64" spans="1:10" x14ac:dyDescent="0.55000000000000004">
      <c r="A64" s="33">
        <v>1990</v>
      </c>
      <c r="B64" s="34">
        <v>1380000</v>
      </c>
      <c r="C64" s="18">
        <v>55.5</v>
      </c>
      <c r="D64" s="18">
        <f t="shared" si="2"/>
        <v>0.62482977757603264</v>
      </c>
      <c r="E64" s="18">
        <f t="shared" si="5"/>
        <v>1395502.6273958399</v>
      </c>
      <c r="F64" s="37">
        <f t="shared" si="6"/>
        <v>0.60587226552816986</v>
      </c>
      <c r="G64" s="38">
        <f t="shared" si="4"/>
        <v>1.2553242999770897E-2</v>
      </c>
      <c r="H64" s="50">
        <f t="shared" si="3"/>
        <v>772587293.38843215</v>
      </c>
      <c r="I64" s="18">
        <f>(E64-$B$6)^2</f>
        <v>1994597387.4141023</v>
      </c>
      <c r="J64" s="18">
        <f>(B64-$B$1)*(E64-$B$6)</f>
        <v>1241370451.1312888</v>
      </c>
    </row>
    <row r="65" spans="1:10" x14ac:dyDescent="0.55000000000000004">
      <c r="A65" s="33">
        <v>2013</v>
      </c>
      <c r="B65" s="7">
        <v>1380000</v>
      </c>
      <c r="C65" s="18">
        <v>55.5</v>
      </c>
      <c r="D65" s="18">
        <f t="shared" si="2"/>
        <v>0.62482977757603264</v>
      </c>
      <c r="E65" s="18">
        <f t="shared" si="5"/>
        <v>1395502.6273958399</v>
      </c>
      <c r="F65" s="37">
        <f t="shared" si="6"/>
        <v>0.60587226552816986</v>
      </c>
      <c r="G65" s="38">
        <f t="shared" si="4"/>
        <v>0</v>
      </c>
      <c r="H65" s="50">
        <f t="shared" si="3"/>
        <v>772587293.38843215</v>
      </c>
      <c r="I65" s="18">
        <f>(E65-$B$6)^2</f>
        <v>1994597387.4141023</v>
      </c>
      <c r="J65" s="18">
        <f>(B65-$B$1)*(E65-$B$6)</f>
        <v>1241370451.1312888</v>
      </c>
    </row>
    <row r="66" spans="1:10" x14ac:dyDescent="0.55000000000000004">
      <c r="A66" s="33">
        <v>1948</v>
      </c>
      <c r="B66" s="34">
        <v>1401000</v>
      </c>
      <c r="C66" s="18">
        <v>57</v>
      </c>
      <c r="D66" s="18">
        <f t="shared" si="2"/>
        <v>0.64185201997276442</v>
      </c>
      <c r="E66" s="18">
        <f t="shared" si="5"/>
        <v>1409880.2695923431</v>
      </c>
      <c r="F66" s="37">
        <f t="shared" si="6"/>
        <v>0.63140255232361131</v>
      </c>
      <c r="G66" s="38">
        <f t="shared" si="4"/>
        <v>2.5530286795441448E-2</v>
      </c>
      <c r="H66" s="50">
        <f t="shared" si="3"/>
        <v>2380996384.2975249</v>
      </c>
      <c r="I66" s="18">
        <f>(E66-$B$6)^2</f>
        <v>3485551313.5436406</v>
      </c>
      <c r="J66" s="18">
        <f>(B66-$B$1)*(E66-$B$6)</f>
        <v>2880813266.220304</v>
      </c>
    </row>
    <row r="67" spans="1:10" x14ac:dyDescent="0.55000000000000004">
      <c r="A67" s="33">
        <v>1969</v>
      </c>
      <c r="B67" s="34">
        <v>1404000</v>
      </c>
      <c r="C67" s="18">
        <v>58</v>
      </c>
      <c r="D67" s="18">
        <f t="shared" si="2"/>
        <v>0.65320018157058557</v>
      </c>
      <c r="E67" s="18">
        <f t="shared" si="5"/>
        <v>1419732.4406100234</v>
      </c>
      <c r="F67" s="37">
        <f t="shared" si="6"/>
        <v>0.63495595888921585</v>
      </c>
      <c r="G67" s="38">
        <f t="shared" si="4"/>
        <v>3.5534065656045444E-3</v>
      </c>
      <c r="H67" s="50">
        <f t="shared" si="3"/>
        <v>2682769111.5702524</v>
      </c>
      <c r="I67" s="18">
        <f>(E67-$B$6)^2</f>
        <v>4745932524.5455065</v>
      </c>
      <c r="J67" s="18">
        <f>(B67-$B$1)*(E67-$B$6)</f>
        <v>3568226615.9042244</v>
      </c>
    </row>
    <row r="68" spans="1:10" x14ac:dyDescent="0.55000000000000004">
      <c r="A68" s="33">
        <v>1932</v>
      </c>
      <c r="B68" s="34">
        <v>1410000</v>
      </c>
      <c r="C68" s="18">
        <v>59.5</v>
      </c>
      <c r="D68" s="18">
        <f t="shared" si="2"/>
        <v>0.67022242396731724</v>
      </c>
      <c r="E68" s="18">
        <f t="shared" si="5"/>
        <v>1434954.4333968866</v>
      </c>
      <c r="F68" s="37">
        <f t="shared" si="6"/>
        <v>0.64199148180541732</v>
      </c>
      <c r="G68" s="38">
        <f t="shared" si="4"/>
        <v>7.0355229162014643E-3</v>
      </c>
      <c r="H68" s="50">
        <f t="shared" si="3"/>
        <v>3340314566.1157074</v>
      </c>
      <c r="I68" s="18">
        <f>(E68-$B$6)^2</f>
        <v>7074949944.8981218</v>
      </c>
      <c r="J68" s="18">
        <f>(B68-$B$1)*(E68-$B$6)</f>
        <v>4861332981.3419199</v>
      </c>
    </row>
    <row r="69" spans="1:10" x14ac:dyDescent="0.55000000000000004">
      <c r="A69" s="33">
        <v>1939</v>
      </c>
      <c r="B69" s="34">
        <v>1410000</v>
      </c>
      <c r="C69" s="18">
        <v>59.5</v>
      </c>
      <c r="D69" s="18">
        <f t="shared" si="2"/>
        <v>0.67022242396731724</v>
      </c>
      <c r="E69" s="18">
        <f t="shared" si="5"/>
        <v>1434954.4333968866</v>
      </c>
      <c r="F69" s="37">
        <f t="shared" si="6"/>
        <v>0.64199148180541732</v>
      </c>
      <c r="G69" s="38">
        <f t="shared" si="4"/>
        <v>0</v>
      </c>
      <c r="H69" s="50">
        <f t="shared" si="3"/>
        <v>3340314566.1157074</v>
      </c>
      <c r="I69" s="18">
        <f>(E69-$B$6)^2</f>
        <v>7074949944.8981218</v>
      </c>
      <c r="J69" s="18">
        <f>(B69-$B$1)*(E69-$B$6)</f>
        <v>4861332981.3419199</v>
      </c>
    </row>
    <row r="70" spans="1:10" x14ac:dyDescent="0.55000000000000004">
      <c r="A70" s="33">
        <v>1935</v>
      </c>
      <c r="B70" s="34">
        <v>1420000</v>
      </c>
      <c r="C70" s="18">
        <v>61</v>
      </c>
      <c r="D70" s="18">
        <f t="shared" si="2"/>
        <v>0.68724466636404902</v>
      </c>
      <c r="E70" s="18">
        <f t="shared" si="5"/>
        <v>1450767.6471842767</v>
      </c>
      <c r="F70" s="37">
        <f t="shared" si="6"/>
        <v>0.65350475403596342</v>
      </c>
      <c r="G70" s="38">
        <f t="shared" si="4"/>
        <v>1.1513272230546101E-2</v>
      </c>
      <c r="H70" s="50">
        <f t="shared" si="3"/>
        <v>4596223657.0247993</v>
      </c>
      <c r="I70" s="18">
        <f>(E70-$B$6)^2</f>
        <v>9985192574.8524246</v>
      </c>
      <c r="J70" s="18">
        <f>(B70-$B$1)*(E70-$B$6)</f>
        <v>6774524214.4733</v>
      </c>
    </row>
    <row r="71" spans="1:10" x14ac:dyDescent="0.55000000000000004">
      <c r="A71" s="33">
        <v>1985</v>
      </c>
      <c r="B71" s="34">
        <v>1430000</v>
      </c>
      <c r="C71" s="18">
        <v>62.5</v>
      </c>
      <c r="D71" s="18">
        <f t="shared" si="2"/>
        <v>0.7042669087607808</v>
      </c>
      <c r="E71" s="18">
        <f t="shared" si="5"/>
        <v>1467247.7309395855</v>
      </c>
      <c r="F71" s="37">
        <f t="shared" si="6"/>
        <v>0.66475043309865378</v>
      </c>
      <c r="G71" s="38">
        <f t="shared" si="4"/>
        <v>1.1245679062690361E-2</v>
      </c>
      <c r="H71" s="50">
        <f t="shared" si="3"/>
        <v>6052132747.9338913</v>
      </c>
      <c r="I71" s="18">
        <f>(E71-$B$6)^2</f>
        <v>13550361306.405275</v>
      </c>
      <c r="J71" s="18">
        <f>(B71-$B$1)*(E71-$B$6)</f>
        <v>9055859175.6294231</v>
      </c>
    </row>
    <row r="72" spans="1:10" x14ac:dyDescent="0.55000000000000004">
      <c r="A72" s="33">
        <v>1989</v>
      </c>
      <c r="B72" s="34">
        <v>1430000</v>
      </c>
      <c r="C72" s="18">
        <v>62.5</v>
      </c>
      <c r="D72" s="18">
        <f t="shared" si="2"/>
        <v>0.7042669087607808</v>
      </c>
      <c r="E72" s="18">
        <f t="shared" si="5"/>
        <v>1467247.7309395855</v>
      </c>
      <c r="F72" s="37">
        <f t="shared" si="6"/>
        <v>0.66475043309865378</v>
      </c>
      <c r="G72" s="38">
        <f t="shared" si="4"/>
        <v>0</v>
      </c>
      <c r="H72" s="50">
        <f t="shared" si="3"/>
        <v>6052132747.9338913</v>
      </c>
      <c r="I72" s="18">
        <f>(E72-$B$6)^2</f>
        <v>13550361306.405275</v>
      </c>
      <c r="J72" s="18">
        <f>(B72-$B$1)*(E72-$B$6)</f>
        <v>9055859175.6294231</v>
      </c>
    </row>
    <row r="73" spans="1:10" x14ac:dyDescent="0.55000000000000004">
      <c r="A73" s="33">
        <v>1962</v>
      </c>
      <c r="B73" s="34">
        <v>1440000</v>
      </c>
      <c r="C73" s="18">
        <v>64</v>
      </c>
      <c r="D73" s="18">
        <f t="shared" si="2"/>
        <v>0.72128915115751246</v>
      </c>
      <c r="E73" s="18">
        <f t="shared" si="5"/>
        <v>1484483.1463771563</v>
      </c>
      <c r="F73" s="37">
        <f t="shared" si="6"/>
        <v>0.67572706834516094</v>
      </c>
      <c r="G73" s="38">
        <f t="shared" si="4"/>
        <v>1.097663524650716E-2</v>
      </c>
      <c r="H73" s="50">
        <f t="shared" si="3"/>
        <v>7708041838.8429823</v>
      </c>
      <c r="I73" s="18">
        <f>(E73-$B$6)^2</f>
        <v>17860033052.463982</v>
      </c>
      <c r="J73" s="18">
        <f>(B73-$B$1)*(E73-$B$6)</f>
        <v>11733110500.268499</v>
      </c>
    </row>
    <row r="74" spans="1:10" x14ac:dyDescent="0.55000000000000004">
      <c r="A74" s="33">
        <v>1946</v>
      </c>
      <c r="B74" s="34">
        <v>1481000</v>
      </c>
      <c r="C74" s="18">
        <v>65</v>
      </c>
      <c r="D74" s="18">
        <f t="shared" si="2"/>
        <v>0.73263731275533361</v>
      </c>
      <c r="E74" s="18">
        <f t="shared" ref="E74:E97" si="7">$B$4-1/$B$3*LN(-LN(D74))</f>
        <v>1496443.9045888605</v>
      </c>
      <c r="F74" s="37">
        <f t="shared" ref="F74:F97" si="8">EXP(-EXP(-$B$3*(B74-$B$4)))</f>
        <v>0.71791306290206158</v>
      </c>
      <c r="G74" s="38">
        <f t="shared" si="4"/>
        <v>4.2185994556900641E-2</v>
      </c>
      <c r="H74" s="50">
        <f t="shared" si="3"/>
        <v>16588269111.570259</v>
      </c>
      <c r="I74" s="18">
        <f>(E74-$B$6)^2</f>
        <v>21199998563.035931</v>
      </c>
      <c r="J74" s="18">
        <f>(B74-$B$1)*(E74-$B$6)</f>
        <v>18752900611.06662</v>
      </c>
    </row>
    <row r="75" spans="1:10" x14ac:dyDescent="0.55000000000000004">
      <c r="A75" s="33">
        <v>1974</v>
      </c>
      <c r="B75" s="34">
        <v>1530000</v>
      </c>
      <c r="C75" s="18">
        <v>66</v>
      </c>
      <c r="D75" s="18">
        <f t="shared" ref="D75:D97" si="9">(C75-0.44)/($B$5+0.12)</f>
        <v>0.74398547435315476</v>
      </c>
      <c r="E75" s="18">
        <f t="shared" si="7"/>
        <v>1508822.2453575199</v>
      </c>
      <c r="F75" s="37">
        <f t="shared" si="8"/>
        <v>0.76248167219890817</v>
      </c>
      <c r="G75" s="38">
        <f t="shared" si="4"/>
        <v>4.4568609296846584E-2</v>
      </c>
      <c r="H75" s="50">
        <f t="shared" ref="H75:H97" si="10">(B75-$B$1)^2</f>
        <v>31611223657.024807</v>
      </c>
      <c r="I75" s="18">
        <f>(E75-$B$6)^2</f>
        <v>24957849002.769871</v>
      </c>
      <c r="J75" s="18">
        <f>(B75-$B$1)*(E75-$B$6)</f>
        <v>28088220784.250683</v>
      </c>
    </row>
    <row r="76" spans="1:10" x14ac:dyDescent="0.55000000000000004">
      <c r="A76" s="33">
        <v>2002</v>
      </c>
      <c r="B76" s="7">
        <v>1537000</v>
      </c>
      <c r="C76" s="18">
        <v>67</v>
      </c>
      <c r="D76" s="18">
        <f t="shared" si="9"/>
        <v>0.75533363595097591</v>
      </c>
      <c r="E76" s="18">
        <f t="shared" si="7"/>
        <v>1521658.7500583786</v>
      </c>
      <c r="F76" s="37">
        <f t="shared" si="8"/>
        <v>0.76834466255577005</v>
      </c>
      <c r="G76" s="38">
        <f t="shared" si="4"/>
        <v>5.8629903568618857E-3</v>
      </c>
      <c r="H76" s="50">
        <f t="shared" si="10"/>
        <v>34149360020.661171</v>
      </c>
      <c r="I76" s="18">
        <f>(E76-$B$6)^2</f>
        <v>29178460580.612278</v>
      </c>
      <c r="J76" s="18">
        <f>(B76-$B$1)*(E76-$B$6)</f>
        <v>31566212240.558716</v>
      </c>
    </row>
    <row r="77" spans="1:10" x14ac:dyDescent="0.55000000000000004">
      <c r="A77" s="33">
        <v>2005</v>
      </c>
      <c r="B77" s="7">
        <v>1542000</v>
      </c>
      <c r="C77" s="18">
        <v>68</v>
      </c>
      <c r="D77" s="18">
        <f t="shared" si="9"/>
        <v>0.76668179754879706</v>
      </c>
      <c r="E77" s="18">
        <f t="shared" si="7"/>
        <v>1534999.670038142</v>
      </c>
      <c r="F77" s="37">
        <f t="shared" si="8"/>
        <v>0.77245748078795728</v>
      </c>
      <c r="G77" s="38">
        <f t="shared" ref="G77:G97" si="11">F77-F76</f>
        <v>4.112818232187232E-3</v>
      </c>
      <c r="H77" s="50">
        <f t="shared" si="10"/>
        <v>36022314566.115715</v>
      </c>
      <c r="I77" s="18">
        <f>(E77-$B$6)^2</f>
        <v>33914153605.348648</v>
      </c>
      <c r="J77" s="18">
        <f>(B77-$B$1)*(E77-$B$6)</f>
        <v>34952343403.775322</v>
      </c>
    </row>
    <row r="78" spans="1:10" x14ac:dyDescent="0.55000000000000004">
      <c r="A78" s="33">
        <v>2009</v>
      </c>
      <c r="B78" s="7">
        <v>1550000</v>
      </c>
      <c r="C78" s="18">
        <v>69</v>
      </c>
      <c r="D78" s="18">
        <f t="shared" si="9"/>
        <v>0.77802995914661821</v>
      </c>
      <c r="E78" s="18">
        <f t="shared" si="7"/>
        <v>1548898.0649169786</v>
      </c>
      <c r="F78" s="37">
        <f t="shared" si="8"/>
        <v>0.77890930025630478</v>
      </c>
      <c r="G78" s="38">
        <f t="shared" si="11"/>
        <v>6.4518194683474972E-3</v>
      </c>
      <c r="H78" s="50">
        <f t="shared" si="10"/>
        <v>39123041838.842995</v>
      </c>
      <c r="I78" s="18">
        <f>(E78-$B$6)^2</f>
        <v>39226319034.63353</v>
      </c>
      <c r="J78" s="18">
        <f>(B78-$B$1)*(E78-$B$6)</f>
        <v>39174646402.68972</v>
      </c>
    </row>
    <row r="79" spans="1:10" x14ac:dyDescent="0.55000000000000004">
      <c r="A79" s="33">
        <v>1994</v>
      </c>
      <c r="B79" s="34">
        <v>1560000</v>
      </c>
      <c r="C79" s="18">
        <v>70</v>
      </c>
      <c r="D79" s="18">
        <f t="shared" si="9"/>
        <v>0.78937812074443936</v>
      </c>
      <c r="E79" s="18">
        <f t="shared" si="7"/>
        <v>1563415.2393861851</v>
      </c>
      <c r="F79" s="37">
        <f t="shared" si="8"/>
        <v>0.78675418106655182</v>
      </c>
      <c r="G79" s="38">
        <f t="shared" si="11"/>
        <v>7.8448808102470347E-3</v>
      </c>
      <c r="H79" s="50">
        <f t="shared" si="10"/>
        <v>43178950929.752083</v>
      </c>
      <c r="I79" s="18">
        <f>(E79-$B$6)^2</f>
        <v>45187504656.876587</v>
      </c>
      <c r="J79" s="18">
        <f>(B79-$B$1)*(E79-$B$6)</f>
        <v>44171812802.025887</v>
      </c>
    </row>
    <row r="80" spans="1:10" x14ac:dyDescent="0.55000000000000004">
      <c r="A80" s="33">
        <v>1949</v>
      </c>
      <c r="B80" s="34">
        <v>1574000</v>
      </c>
      <c r="C80" s="18">
        <v>71</v>
      </c>
      <c r="D80" s="18">
        <f t="shared" si="9"/>
        <v>0.80072628234226051</v>
      </c>
      <c r="E80" s="18">
        <f t="shared" si="7"/>
        <v>1578622.5778647645</v>
      </c>
      <c r="F80" s="37">
        <f t="shared" si="8"/>
        <v>0.79733425948075121</v>
      </c>
      <c r="G80" s="38">
        <f t="shared" si="11"/>
        <v>1.058007841419939E-2</v>
      </c>
      <c r="H80" s="50">
        <f t="shared" si="10"/>
        <v>49193223657.024811</v>
      </c>
      <c r="I80" s="18">
        <f>(E80-$B$6)^2</f>
        <v>51884122973.547821</v>
      </c>
      <c r="J80" s="18">
        <f>(B80-$B$1)*(E80-$B$6)</f>
        <v>50520760739.386307</v>
      </c>
    </row>
    <row r="81" spans="1:10" x14ac:dyDescent="0.55000000000000004">
      <c r="A81" s="33">
        <v>1961</v>
      </c>
      <c r="B81" s="34">
        <v>1580000</v>
      </c>
      <c r="C81" s="18">
        <v>72</v>
      </c>
      <c r="D81" s="18">
        <f t="shared" si="9"/>
        <v>0.81207444394008166</v>
      </c>
      <c r="E81" s="18">
        <f t="shared" si="7"/>
        <v>1594603.917222816</v>
      </c>
      <c r="F81" s="37">
        <f t="shared" si="8"/>
        <v>0.80172742358413751</v>
      </c>
      <c r="G81" s="38">
        <f t="shared" si="11"/>
        <v>4.3931641033863045E-3</v>
      </c>
      <c r="H81" s="50">
        <f t="shared" si="10"/>
        <v>51890769111.570267</v>
      </c>
      <c r="I81" s="18">
        <f>(E81-$B$6)^2</f>
        <v>59420012822.916718</v>
      </c>
      <c r="J81" s="18">
        <f>(B81-$B$1)*(E81-$B$6)</f>
        <v>55527922399.460579</v>
      </c>
    </row>
    <row r="82" spans="1:10" x14ac:dyDescent="0.55000000000000004">
      <c r="A82" s="33">
        <v>1984</v>
      </c>
      <c r="B82" s="34">
        <v>1600000</v>
      </c>
      <c r="C82" s="18">
        <v>73</v>
      </c>
      <c r="D82" s="18">
        <f t="shared" si="9"/>
        <v>0.82342260553790281</v>
      </c>
      <c r="E82" s="18">
        <f t="shared" si="7"/>
        <v>1611458.6590189675</v>
      </c>
      <c r="F82" s="37">
        <f t="shared" si="8"/>
        <v>0.81577579966579894</v>
      </c>
      <c r="G82" s="38">
        <f t="shared" si="11"/>
        <v>1.4048376081661429E-2</v>
      </c>
      <c r="H82" s="50">
        <f t="shared" si="10"/>
        <v>61402587293.388451</v>
      </c>
      <c r="I82" s="18">
        <f>(E82-$B$6)^2</f>
        <v>67921193210.152229</v>
      </c>
      <c r="J82" s="18">
        <f>(B82-$B$1)*(E82-$B$6)</f>
        <v>64579694913.784431</v>
      </c>
    </row>
    <row r="83" spans="1:10" x14ac:dyDescent="0.55000000000000004">
      <c r="A83" s="33">
        <v>1944</v>
      </c>
      <c r="B83" s="34">
        <v>1610000</v>
      </c>
      <c r="C83" s="18">
        <v>74</v>
      </c>
      <c r="D83" s="18">
        <f t="shared" si="9"/>
        <v>0.83477076713572396</v>
      </c>
      <c r="E83" s="18">
        <f t="shared" si="7"/>
        <v>1629305.9165563297</v>
      </c>
      <c r="F83" s="37">
        <f t="shared" si="8"/>
        <v>0.82246509402846402</v>
      </c>
      <c r="G83" s="38">
        <f t="shared" si="11"/>
        <v>6.6892943626650769E-3</v>
      </c>
      <c r="H83" s="50">
        <f t="shared" si="10"/>
        <v>66458496384.297539</v>
      </c>
      <c r="I83" s="18">
        <f>(E83-$B$6)^2</f>
        <v>77542313365.213242</v>
      </c>
      <c r="J83" s="18">
        <f>(B83-$B$1)*(E83-$B$6)</f>
        <v>71786806255.830124</v>
      </c>
    </row>
    <row r="84" spans="1:10" x14ac:dyDescent="0.55000000000000004">
      <c r="A84" s="33">
        <v>1943</v>
      </c>
      <c r="B84" s="34">
        <v>1648000</v>
      </c>
      <c r="C84" s="18">
        <v>75</v>
      </c>
      <c r="D84" s="18">
        <f t="shared" si="9"/>
        <v>0.84611892873354511</v>
      </c>
      <c r="E84" s="18">
        <f t="shared" si="7"/>
        <v>1648290.1394840106</v>
      </c>
      <c r="F84" s="37">
        <f t="shared" si="8"/>
        <v>0.84595093255119536</v>
      </c>
      <c r="G84" s="38">
        <f t="shared" si="11"/>
        <v>2.3485838522731339E-2</v>
      </c>
      <c r="H84" s="50">
        <f t="shared" si="10"/>
        <v>87494950929.75209</v>
      </c>
      <c r="I84" s="18">
        <f>(E84-$B$6)^2</f>
        <v>88475567168.689682</v>
      </c>
      <c r="J84" s="18">
        <f>(B84-$B$1)*(E84-$B$6)</f>
        <v>87983892889.019684</v>
      </c>
    </row>
    <row r="85" spans="1:10" x14ac:dyDescent="0.55000000000000004">
      <c r="A85" s="33">
        <v>1979</v>
      </c>
      <c r="B85" s="34">
        <v>1690000</v>
      </c>
      <c r="C85" s="18">
        <v>76.5</v>
      </c>
      <c r="D85" s="18">
        <f t="shared" si="9"/>
        <v>0.86314117113027689</v>
      </c>
      <c r="E85" s="18">
        <f t="shared" si="7"/>
        <v>1679298.3919094119</v>
      </c>
      <c r="F85" s="37">
        <f t="shared" si="8"/>
        <v>0.86860309689633253</v>
      </c>
      <c r="G85" s="38">
        <f t="shared" si="11"/>
        <v>2.2652164345137171E-2</v>
      </c>
      <c r="H85" s="50">
        <f t="shared" si="10"/>
        <v>114105769111.57028</v>
      </c>
      <c r="I85" s="18">
        <f>(E85-$B$6)^2</f>
        <v>107883790749.35323</v>
      </c>
      <c r="J85" s="18">
        <f>(B85-$B$1)*(E85-$B$6)</f>
        <v>110951173577.05893</v>
      </c>
    </row>
    <row r="86" spans="1:10" x14ac:dyDescent="0.55000000000000004">
      <c r="A86" s="33">
        <v>1991</v>
      </c>
      <c r="B86" s="34">
        <v>1690000</v>
      </c>
      <c r="C86" s="18">
        <v>76.5</v>
      </c>
      <c r="D86" s="18">
        <f t="shared" si="9"/>
        <v>0.86314117113027689</v>
      </c>
      <c r="E86" s="18">
        <f t="shared" si="7"/>
        <v>1679298.3919094119</v>
      </c>
      <c r="F86" s="37">
        <f t="shared" si="8"/>
        <v>0.86860309689633253</v>
      </c>
      <c r="G86" s="38">
        <f t="shared" si="11"/>
        <v>0</v>
      </c>
      <c r="H86" s="50">
        <f t="shared" si="10"/>
        <v>114105769111.57028</v>
      </c>
      <c r="I86" s="18">
        <f>(E86-$B$6)^2</f>
        <v>107883790749.35323</v>
      </c>
      <c r="J86" s="18">
        <f>(B86-$B$1)*(E86-$B$6)</f>
        <v>110951173577.05893</v>
      </c>
    </row>
    <row r="87" spans="1:10" x14ac:dyDescent="0.55000000000000004">
      <c r="A87" s="33">
        <v>1929</v>
      </c>
      <c r="B87" s="34">
        <v>1730000</v>
      </c>
      <c r="C87" s="18">
        <v>78</v>
      </c>
      <c r="D87" s="18">
        <f t="shared" si="9"/>
        <v>0.88016341352700855</v>
      </c>
      <c r="E87" s="18">
        <f t="shared" si="7"/>
        <v>1714076.9950899123</v>
      </c>
      <c r="F87" s="37">
        <f t="shared" si="8"/>
        <v>0.88728139679712215</v>
      </c>
      <c r="G87" s="38">
        <f t="shared" si="11"/>
        <v>1.8678299900789619E-2</v>
      </c>
      <c r="H87" s="50">
        <f t="shared" si="10"/>
        <v>142729405475.20663</v>
      </c>
      <c r="I87" s="18">
        <f>(E87-$B$6)^2</f>
        <v>131939871071.88567</v>
      </c>
      <c r="J87" s="18">
        <f>(B87-$B$1)*(E87-$B$6)</f>
        <v>137228638980.95636</v>
      </c>
    </row>
    <row r="88" spans="1:10" x14ac:dyDescent="0.55000000000000004">
      <c r="A88" s="33">
        <v>1997</v>
      </c>
      <c r="B88" s="7">
        <v>1780000</v>
      </c>
      <c r="C88" s="18">
        <v>79</v>
      </c>
      <c r="D88" s="18">
        <f t="shared" si="9"/>
        <v>0.8915115751248297</v>
      </c>
      <c r="E88" s="18">
        <f t="shared" si="7"/>
        <v>1739914.2204604433</v>
      </c>
      <c r="F88" s="37">
        <f t="shared" si="8"/>
        <v>0.90714002733054022</v>
      </c>
      <c r="G88" s="38">
        <f t="shared" si="11"/>
        <v>1.9858630533418076E-2</v>
      </c>
      <c r="H88" s="50">
        <f t="shared" si="10"/>
        <v>183008950929.75211</v>
      </c>
      <c r="I88" s="18">
        <f>(E88-$B$6)^2</f>
        <v>151377417043.72742</v>
      </c>
      <c r="J88" s="18">
        <f>(B88-$B$1)*(E88-$B$6)</f>
        <v>166443450720.14139</v>
      </c>
    </row>
    <row r="89" spans="1:10" x14ac:dyDescent="0.55000000000000004">
      <c r="A89" s="33">
        <v>1983</v>
      </c>
      <c r="B89" s="34">
        <v>1790000</v>
      </c>
      <c r="C89" s="18">
        <v>80</v>
      </c>
      <c r="D89" s="18">
        <f t="shared" si="9"/>
        <v>0.90285973672265096</v>
      </c>
      <c r="E89" s="18">
        <f t="shared" si="7"/>
        <v>1768423.0794235053</v>
      </c>
      <c r="F89" s="37">
        <f t="shared" si="8"/>
        <v>0.91069279307555029</v>
      </c>
      <c r="G89" s="38">
        <f t="shared" si="11"/>
        <v>3.5527657450100669E-3</v>
      </c>
      <c r="H89" s="50">
        <f t="shared" si="10"/>
        <v>191664860020.66119</v>
      </c>
      <c r="I89" s="18">
        <f>(E89-$B$6)^2</f>
        <v>174374198638.26004</v>
      </c>
      <c r="J89" s="18">
        <f>(B89-$B$1)*(E89-$B$6)</f>
        <v>182815224675.67377</v>
      </c>
    </row>
    <row r="90" spans="1:10" x14ac:dyDescent="0.55000000000000004">
      <c r="A90" s="33">
        <v>2008</v>
      </c>
      <c r="B90" s="7">
        <v>1820000</v>
      </c>
      <c r="C90" s="18">
        <v>81</v>
      </c>
      <c r="D90" s="18">
        <f t="shared" si="9"/>
        <v>0.91420789832047211</v>
      </c>
      <c r="E90" s="18">
        <f t="shared" si="7"/>
        <v>1800273.180310504</v>
      </c>
      <c r="F90" s="37">
        <f t="shared" si="8"/>
        <v>0.92059139467869389</v>
      </c>
      <c r="G90" s="38">
        <f t="shared" si="11"/>
        <v>9.8986016031435975E-3</v>
      </c>
      <c r="H90" s="50">
        <f t="shared" si="10"/>
        <v>218832587293.38846</v>
      </c>
      <c r="I90" s="18">
        <f>(E90-$B$6)^2</f>
        <v>201988644943.41293</v>
      </c>
      <c r="J90" s="18">
        <f>(B90-$B$1)*(E90-$B$6)</f>
        <v>210241998127.99692</v>
      </c>
    </row>
    <row r="91" spans="1:10" x14ac:dyDescent="0.55000000000000004">
      <c r="A91" s="33">
        <v>1975</v>
      </c>
      <c r="B91" s="34">
        <v>1840000</v>
      </c>
      <c r="C91" s="18">
        <v>82</v>
      </c>
      <c r="D91" s="18">
        <f t="shared" si="9"/>
        <v>0.92555605991829326</v>
      </c>
      <c r="E91" s="18">
        <f t="shared" si="7"/>
        <v>1836420.1044018653</v>
      </c>
      <c r="F91" s="37">
        <f t="shared" si="8"/>
        <v>0.9265982357883763</v>
      </c>
      <c r="G91" s="38">
        <f t="shared" si="11"/>
        <v>6.0068411096824148E-3</v>
      </c>
      <c r="H91" s="50">
        <f t="shared" si="10"/>
        <v>237944405475.20667</v>
      </c>
      <c r="I91" s="18">
        <f>(E91-$B$6)^2</f>
        <v>235786375422.21225</v>
      </c>
      <c r="J91" s="18">
        <f>(B91-$B$1)*(E91-$B$6)</f>
        <v>236862932767.01648</v>
      </c>
    </row>
    <row r="92" spans="1:10" x14ac:dyDescent="0.55000000000000004">
      <c r="A92" s="33">
        <v>1950</v>
      </c>
      <c r="B92" s="34">
        <v>1880000</v>
      </c>
      <c r="C92" s="18">
        <v>83</v>
      </c>
      <c r="D92" s="18">
        <f t="shared" si="9"/>
        <v>0.93690422151611441</v>
      </c>
      <c r="E92" s="18">
        <f t="shared" si="7"/>
        <v>1878295.8479531724</v>
      </c>
      <c r="F92" s="37">
        <f t="shared" si="8"/>
        <v>0.93732878816669807</v>
      </c>
      <c r="G92" s="38">
        <f t="shared" si="11"/>
        <v>1.0730552378321767E-2</v>
      </c>
      <c r="H92" s="50">
        <f t="shared" si="10"/>
        <v>278568041838.84302</v>
      </c>
      <c r="I92" s="18">
        <f>(E92-$B$6)^2</f>
        <v>278207865810.69928</v>
      </c>
      <c r="J92" s="18">
        <f>(B92-$B$1)*(E92-$B$6)</f>
        <v>278387895575.66992</v>
      </c>
    </row>
    <row r="93" spans="1:10" x14ac:dyDescent="0.55000000000000004">
      <c r="A93" s="33">
        <v>1945</v>
      </c>
      <c r="B93" s="34">
        <v>1922000</v>
      </c>
      <c r="C93" s="18">
        <v>84</v>
      </c>
      <c r="D93" s="18">
        <f t="shared" si="9"/>
        <v>0.94825238311393556</v>
      </c>
      <c r="E93" s="18">
        <f t="shared" si="7"/>
        <v>1928190.0643226313</v>
      </c>
      <c r="F93" s="37">
        <f t="shared" si="8"/>
        <v>0.94696028320375081</v>
      </c>
      <c r="G93" s="38">
        <f t="shared" si="11"/>
        <v>9.6314950370527397E-3</v>
      </c>
      <c r="H93" s="50">
        <f t="shared" si="10"/>
        <v>324666860020.66119</v>
      </c>
      <c r="I93" s="18">
        <f>(E93-$B$6)^2</f>
        <v>333331120232.4129</v>
      </c>
      <c r="J93" s="18">
        <f>(B93-$B$1)*(E93-$B$6)</f>
        <v>328970466992.1405</v>
      </c>
    </row>
    <row r="94" spans="1:10" x14ac:dyDescent="0.55000000000000004">
      <c r="A94" s="33">
        <v>1973</v>
      </c>
      <c r="B94" s="34">
        <v>1962000</v>
      </c>
      <c r="C94" s="18">
        <v>85</v>
      </c>
      <c r="D94" s="18">
        <f t="shared" si="9"/>
        <v>0.95960054471175671</v>
      </c>
      <c r="E94" s="18">
        <f t="shared" si="7"/>
        <v>1990110.4193591967</v>
      </c>
      <c r="F94" s="37">
        <f t="shared" si="8"/>
        <v>0.9547869036372193</v>
      </c>
      <c r="G94" s="38">
        <f t="shared" si="11"/>
        <v>7.8266204334684897E-3</v>
      </c>
      <c r="H94" s="50">
        <f t="shared" si="10"/>
        <v>371850496384.29755</v>
      </c>
      <c r="I94" s="18">
        <f>(E94-$B$6)^2</f>
        <v>408664480543.92432</v>
      </c>
      <c r="J94" s="18">
        <f>(B94-$B$1)*(E94-$B$6)</f>
        <v>389823152140.67181</v>
      </c>
    </row>
    <row r="95" spans="1:10" x14ac:dyDescent="0.55000000000000004">
      <c r="A95" s="33">
        <v>1937</v>
      </c>
      <c r="B95" s="34">
        <v>2080000</v>
      </c>
      <c r="C95" s="18">
        <v>86</v>
      </c>
      <c r="D95" s="18">
        <f t="shared" si="9"/>
        <v>0.97094870630957786</v>
      </c>
      <c r="E95" s="18">
        <f t="shared" si="7"/>
        <v>2072095.7145525501</v>
      </c>
      <c r="F95" s="37">
        <f t="shared" si="8"/>
        <v>0.97186048498649236</v>
      </c>
      <c r="G95" s="38">
        <f t="shared" si="11"/>
        <v>1.7073581349273059E-2</v>
      </c>
      <c r="H95" s="50">
        <f t="shared" si="10"/>
        <v>529686223657.02484</v>
      </c>
      <c r="I95" s="18">
        <f>(E95-$B$6)^2</f>
        <v>520207336576.2923</v>
      </c>
      <c r="J95" s="18">
        <f>(B95-$B$1)*(E95-$B$6)</f>
        <v>524925384821.28595</v>
      </c>
    </row>
    <row r="96" spans="1:10" x14ac:dyDescent="0.55000000000000004">
      <c r="A96" s="33">
        <v>1927</v>
      </c>
      <c r="B96" s="34">
        <v>2278000</v>
      </c>
      <c r="C96" s="18">
        <v>87</v>
      </c>
      <c r="D96" s="18">
        <f t="shared" si="9"/>
        <v>0.98229686790739901</v>
      </c>
      <c r="E96" s="18">
        <f t="shared" si="7"/>
        <v>2194514.9764328627</v>
      </c>
      <c r="F96" s="37">
        <f t="shared" si="8"/>
        <v>0.98738881290077107</v>
      </c>
      <c r="G96" s="38">
        <f t="shared" si="11"/>
        <v>1.5528327914278717E-2</v>
      </c>
      <c r="H96" s="50">
        <f t="shared" si="10"/>
        <v>857097223657.0249</v>
      </c>
      <c r="I96" s="18">
        <f>(E96-$B$6)^2</f>
        <v>711784577561.2168</v>
      </c>
      <c r="J96" s="18">
        <f>(B96-$B$1)*(E96-$B$6)</f>
        <v>781068873576.2085</v>
      </c>
    </row>
    <row r="97" spans="1:10" x14ac:dyDescent="0.55000000000000004">
      <c r="A97" s="33">
        <v>2011</v>
      </c>
      <c r="B97" s="7">
        <v>2310000</v>
      </c>
      <c r="C97" s="18">
        <v>88</v>
      </c>
      <c r="D97" s="18">
        <f t="shared" si="9"/>
        <v>0.99364502950522016</v>
      </c>
      <c r="E97" s="18">
        <f t="shared" si="7"/>
        <v>2446198.4517612187</v>
      </c>
      <c r="F97" s="37">
        <f t="shared" si="8"/>
        <v>0.98892850629189921</v>
      </c>
      <c r="G97" s="38">
        <f t="shared" si="11"/>
        <v>1.5396933911281385E-3</v>
      </c>
      <c r="H97" s="50">
        <f t="shared" si="10"/>
        <v>917372132747.93396</v>
      </c>
      <c r="I97" s="18">
        <f>(E97-$B$6)^2</f>
        <v>1199806387914.7202</v>
      </c>
      <c r="J97" s="18">
        <f>(B97-$B$1)*(E97-$B$6)</f>
        <v>1049127706700.1528</v>
      </c>
    </row>
  </sheetData>
  <mergeCells count="1">
    <mergeCell ref="L29:M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opLeftCell="D1" workbookViewId="0">
      <selection activeCell="R23" sqref="R23"/>
    </sheetView>
  </sheetViews>
  <sheetFormatPr defaultRowHeight="14.4" x14ac:dyDescent="0.55000000000000004"/>
  <cols>
    <col min="1" max="1" width="8.83984375" style="18"/>
    <col min="2" max="2" width="17.83984375" style="18" bestFit="1" customWidth="1"/>
    <col min="3" max="3" width="8.41796875" style="18" customWidth="1"/>
    <col min="4" max="4" width="13" style="18" bestFit="1" customWidth="1"/>
    <col min="5" max="5" width="9.5234375" style="18" bestFit="1" customWidth="1"/>
    <col min="6" max="7" width="8.41796875" style="18" customWidth="1"/>
    <col min="8" max="9" width="0" style="18" hidden="1" customWidth="1"/>
    <col min="10" max="10" width="8.83984375" style="18"/>
    <col min="11" max="11" width="11.578125" style="18" bestFit="1" customWidth="1"/>
    <col min="12" max="12" width="12.26171875" style="18" bestFit="1" customWidth="1"/>
    <col min="13" max="13" width="16.41796875" style="18" bestFit="1" customWidth="1"/>
    <col min="14" max="14" width="8.83984375" style="18"/>
    <col min="15" max="15" width="10.5234375" style="18" customWidth="1"/>
    <col min="16" max="16" width="12.15625" style="18" bestFit="1" customWidth="1"/>
    <col min="17" max="16384" width="8.83984375" style="18"/>
  </cols>
  <sheetData>
    <row r="1" spans="1:13" x14ac:dyDescent="0.55000000000000004">
      <c r="A1" s="18" t="s">
        <v>65</v>
      </c>
      <c r="B1" s="18">
        <f>COUNT(B9:B96)</f>
        <v>88</v>
      </c>
    </row>
    <row r="2" spans="1:13" x14ac:dyDescent="0.55000000000000004">
      <c r="A2" s="18" t="s">
        <v>61</v>
      </c>
      <c r="B2" s="39">
        <f>AVERAGE(D9:D96)</f>
        <v>6.1196380051176256</v>
      </c>
      <c r="C2" s="18" t="s">
        <v>80</v>
      </c>
      <c r="E2" s="18" t="s">
        <v>68</v>
      </c>
      <c r="F2" s="35">
        <f>AVERAGE(B9:B96)</f>
        <v>1352204.5454545454</v>
      </c>
      <c r="G2" s="18" t="s">
        <v>80</v>
      </c>
    </row>
    <row r="3" spans="1:13" ht="16.8" x14ac:dyDescent="0.75">
      <c r="A3" s="18" t="s">
        <v>66</v>
      </c>
      <c r="B3" s="39">
        <f>STDEV(D9:D96)</f>
        <v>0.10067199983589337</v>
      </c>
      <c r="C3" s="18" t="s">
        <v>80</v>
      </c>
      <c r="E3" s="18" t="s">
        <v>69</v>
      </c>
      <c r="F3" s="18">
        <f>STDEV(B9:B96)</f>
        <v>313322.98194288916</v>
      </c>
      <c r="G3" s="18" t="s">
        <v>80</v>
      </c>
    </row>
    <row r="4" spans="1:13" ht="17.7" x14ac:dyDescent="0.75">
      <c r="A4" s="18" t="s">
        <v>62</v>
      </c>
      <c r="B4" s="39">
        <f>B3^2</f>
        <v>1.0134851550958114E-2</v>
      </c>
      <c r="C4" s="18" t="s">
        <v>81</v>
      </c>
      <c r="E4" s="18" t="s">
        <v>63</v>
      </c>
      <c r="F4" s="39">
        <f>B1/((B1-1)*(B1-2))*SUM(E9:E96)/B5</f>
        <v>-0.1793468055696707</v>
      </c>
    </row>
    <row r="5" spans="1:13" ht="17.7" x14ac:dyDescent="0.75">
      <c r="A5" s="18" t="s">
        <v>67</v>
      </c>
      <c r="B5" s="39">
        <f>B3^3</f>
        <v>1.0202957736748588E-3</v>
      </c>
      <c r="C5" s="18" t="s">
        <v>83</v>
      </c>
      <c r="E5" s="18" t="s">
        <v>101</v>
      </c>
      <c r="F5" s="39">
        <f>AVERAGE(J9:J96)</f>
        <v>1.086437899967258E-3</v>
      </c>
    </row>
    <row r="7" spans="1:13" x14ac:dyDescent="0.55000000000000004">
      <c r="B7" s="18" t="s">
        <v>2</v>
      </c>
    </row>
    <row r="8" spans="1:13" ht="16.8" x14ac:dyDescent="0.75">
      <c r="A8" s="32" t="s">
        <v>0</v>
      </c>
      <c r="B8" s="23" t="s">
        <v>47</v>
      </c>
      <c r="C8" s="23" t="s">
        <v>29</v>
      </c>
      <c r="D8" s="23" t="s">
        <v>60</v>
      </c>
      <c r="E8" s="36" t="s">
        <v>64</v>
      </c>
      <c r="F8" s="23" t="s">
        <v>49</v>
      </c>
      <c r="G8" s="23" t="s">
        <v>72</v>
      </c>
      <c r="H8" s="36" t="s">
        <v>33</v>
      </c>
      <c r="I8" s="36" t="s">
        <v>45</v>
      </c>
      <c r="J8" s="23" t="s">
        <v>73</v>
      </c>
      <c r="K8" s="36" t="s">
        <v>55</v>
      </c>
      <c r="L8" s="36" t="s">
        <v>56</v>
      </c>
      <c r="M8" s="36" t="s">
        <v>54</v>
      </c>
    </row>
    <row r="9" spans="1:13" x14ac:dyDescent="0.55000000000000004">
      <c r="A9" s="33">
        <v>1954</v>
      </c>
      <c r="B9" s="34">
        <v>706000</v>
      </c>
      <c r="C9" s="18">
        <v>1</v>
      </c>
      <c r="D9" s="40">
        <f>LOG(B9)</f>
        <v>5.8488047010518036</v>
      </c>
      <c r="E9" s="18">
        <f>(D9-$B$2)^3</f>
        <v>-1.9865806638327547E-2</v>
      </c>
      <c r="F9" s="18">
        <f>(C9-3/8)/($B$1+1/4)</f>
        <v>7.0821529745042494E-3</v>
      </c>
      <c r="G9" s="39">
        <f>_xlfn.NORM.INV(F9,0,1)</f>
        <v>-2.453069270492287</v>
      </c>
      <c r="H9" s="37" t="e">
        <f>EXP(-EXP(-$F$4*(B9-#REF!)))</f>
        <v>#REF!</v>
      </c>
      <c r="I9" s="38" t="e">
        <f>H9</f>
        <v>#REF!</v>
      </c>
      <c r="J9" s="18">
        <f>2/$F$4*(1+$F$4*G9/6-$F$4^2/36)^3-2/$F$4</f>
        <v>-2.6029302637355194</v>
      </c>
      <c r="K9" s="50">
        <f>(D9-$B$2)^2</f>
        <v>7.3350678591209972E-2</v>
      </c>
      <c r="L9" s="50">
        <f>(J9-$F$5)^2</f>
        <v>6.780902982396559</v>
      </c>
      <c r="M9" s="18">
        <f>(D9-$B$2)*(J9-$F$5)</f>
        <v>0.70525444714652252</v>
      </c>
    </row>
    <row r="10" spans="1:13" x14ac:dyDescent="0.55000000000000004">
      <c r="A10" s="33">
        <v>1931</v>
      </c>
      <c r="B10" s="34">
        <v>711000</v>
      </c>
      <c r="C10" s="18">
        <v>2</v>
      </c>
      <c r="D10" s="40">
        <f>LOG(B10)</f>
        <v>5.8518696007297661</v>
      </c>
      <c r="E10" s="18">
        <f>(D10-$B$2)^3</f>
        <v>-1.919897274160702E-2</v>
      </c>
      <c r="F10" s="18">
        <f>(C10-3/8)/($B$1+1/4)</f>
        <v>1.8413597733711047E-2</v>
      </c>
      <c r="G10" s="39">
        <f t="shared" ref="G10:G73" si="0">_xlfn.NORM.INV(F10,0,1)</f>
        <v>-2.0876746233110124</v>
      </c>
      <c r="H10" s="37" t="e">
        <f>EXP(-EXP(-$F$4*(B10-#REF!)))</f>
        <v>#REF!</v>
      </c>
      <c r="I10" s="38" t="e">
        <f>H10-H9</f>
        <v>#REF!</v>
      </c>
      <c r="J10" s="18">
        <f>2/$F$4*(1+$F$4*G10/6-$F$4^2/36)^3-2/$F$4</f>
        <v>-2.186951837296057</v>
      </c>
      <c r="K10" s="50">
        <f>(D10-$B$2)^2</f>
        <v>7.1699918388420214E-2</v>
      </c>
      <c r="L10" s="50">
        <f>(J10-$F$5)^2</f>
        <v>4.7875114937227927</v>
      </c>
      <c r="M10" s="18">
        <f>(D10-$B$2)*(J10-$F$5)</f>
        <v>0.58588751768880354</v>
      </c>
    </row>
    <row r="11" spans="1:13" x14ac:dyDescent="0.55000000000000004">
      <c r="A11" s="33">
        <v>2000</v>
      </c>
      <c r="B11" s="7">
        <v>787000</v>
      </c>
      <c r="C11" s="18">
        <v>3</v>
      </c>
      <c r="D11" s="40">
        <f>LOG(B11)</f>
        <v>5.8959747323590648</v>
      </c>
      <c r="E11" s="18">
        <f>(D11-$B$2)^3</f>
        <v>-1.1188813278498747E-2</v>
      </c>
      <c r="F11" s="18">
        <f>(C11-3/8)/($B$1+1/4)</f>
        <v>2.9745042492917848E-2</v>
      </c>
      <c r="G11" s="39">
        <f t="shared" si="0"/>
        <v>-1.8845539464383709</v>
      </c>
      <c r="H11" s="37" t="e">
        <f>EXP(-EXP(-$F$4*(B11-#REF!)))</f>
        <v>#REF!</v>
      </c>
      <c r="I11" s="38" t="e">
        <f>H11-H10</f>
        <v>#REF!</v>
      </c>
      <c r="J11" s="18">
        <f>2/$F$4*(1+$F$4*G11/6-$F$4^2/36)^3-2/$F$4</f>
        <v>-1.9593815841480549</v>
      </c>
      <c r="K11" s="50">
        <f>(D11-$B$2)^2</f>
        <v>5.0025259581070361E-2</v>
      </c>
      <c r="L11" s="50">
        <f>(J11-$F$5)^2</f>
        <v>3.8434348654728843</v>
      </c>
      <c r="M11" s="18">
        <f>(D11-$B$2)*(J11-$F$5)</f>
        <v>0.43848469394976297</v>
      </c>
    </row>
    <row r="12" spans="1:13" x14ac:dyDescent="0.55000000000000004">
      <c r="A12" s="33">
        <v>1941</v>
      </c>
      <c r="B12" s="34">
        <v>814000</v>
      </c>
      <c r="C12" s="18">
        <v>4</v>
      </c>
      <c r="D12" s="40">
        <f>LOG(B12)</f>
        <v>5.9106244048892016</v>
      </c>
      <c r="E12" s="18">
        <f>(D12-$B$2)^3</f>
        <v>-9.1311113307096931E-3</v>
      </c>
      <c r="F12" s="18">
        <f>(C12-3/8)/($B$1+1/4)</f>
        <v>4.1076487252124649E-2</v>
      </c>
      <c r="G12" s="39">
        <f t="shared" si="0"/>
        <v>-1.7383283455849536</v>
      </c>
      <c r="H12" s="37" t="e">
        <f>EXP(-EXP(-$F$4*(B12-#REF!)))</f>
        <v>#REF!</v>
      </c>
      <c r="I12" s="38" t="e">
        <f t="shared" ref="I12:I75" si="1">H12-H11</f>
        <v>#REF!</v>
      </c>
      <c r="J12" s="18">
        <f>2/$F$4*(1+$F$4*G12/6-$F$4^2/36)^3-2/$F$4</f>
        <v>-1.7971673065323444</v>
      </c>
      <c r="K12" s="50">
        <f>(D12-$B$2)^2</f>
        <v>4.3686685080447429E-2</v>
      </c>
      <c r="L12" s="50">
        <f>(J12-$F$5)^2</f>
        <v>3.2337165293648296</v>
      </c>
      <c r="M12" s="18">
        <f>(D12-$B$2)*(J12-$F$5)</f>
        <v>0.37585948924804169</v>
      </c>
    </row>
    <row r="13" spans="1:13" x14ac:dyDescent="0.55000000000000004">
      <c r="A13" s="33">
        <v>1934</v>
      </c>
      <c r="B13" s="34">
        <v>877000</v>
      </c>
      <c r="C13" s="18">
        <v>5</v>
      </c>
      <c r="D13" s="40">
        <f>LOG(B13)</f>
        <v>5.9429995933660402</v>
      </c>
      <c r="E13" s="18">
        <f>(D13-$B$2)^3</f>
        <v>-5.5113177841786118E-3</v>
      </c>
      <c r="F13" s="18">
        <f>(C13-3/8)/($B$1+1/4)</f>
        <v>5.2407932011331447E-2</v>
      </c>
      <c r="G13" s="39">
        <f t="shared" si="0"/>
        <v>-1.621941549229303</v>
      </c>
      <c r="H13" s="37" t="e">
        <f>EXP(-EXP(-$F$4*(B13-#REF!)))</f>
        <v>#REF!</v>
      </c>
      <c r="I13" s="38" t="e">
        <f t="shared" si="1"/>
        <v>#REF!</v>
      </c>
      <c r="J13" s="18">
        <f>2/$F$4*(1+$F$4*G13/6-$F$4^2/36)^3-2/$F$4</f>
        <v>-1.6690150218509281</v>
      </c>
      <c r="K13" s="50">
        <f>(D13-$B$2)^2</f>
        <v>3.1201128506122604E-2</v>
      </c>
      <c r="L13" s="50">
        <f>(J13-$F$5)^2</f>
        <v>2.7892388858620718</v>
      </c>
      <c r="M13" s="18">
        <f>(D13-$B$2)*(J13-$F$5)</f>
        <v>0.29500406931440243</v>
      </c>
    </row>
    <row r="14" spans="1:13" x14ac:dyDescent="0.55000000000000004">
      <c r="A14" s="33">
        <v>1981</v>
      </c>
      <c r="B14" s="34">
        <v>956000</v>
      </c>
      <c r="C14" s="18">
        <v>6.5</v>
      </c>
      <c r="D14" s="40">
        <f>LOG(B14)</f>
        <v>5.9804578922761005</v>
      </c>
      <c r="E14" s="18">
        <f>(D14-$B$2)^3</f>
        <v>-2.6960724142213737E-3</v>
      </c>
      <c r="F14" s="18">
        <f>(C14-3/8)/($B$1+1/4)</f>
        <v>6.9405099150141647E-2</v>
      </c>
      <c r="G14" s="39">
        <f t="shared" si="0"/>
        <v>-1.4802362920086845</v>
      </c>
      <c r="H14" s="37" t="e">
        <f>EXP(-EXP(-$F$4*(B14-#REF!)))</f>
        <v>#REF!</v>
      </c>
      <c r="I14" s="38" t="e">
        <f t="shared" si="1"/>
        <v>#REF!</v>
      </c>
      <c r="J14" s="18">
        <f>2/$F$4*(1+$F$4*G14/6-$F$4^2/36)^3-2/$F$4</f>
        <v>-1.5141298011223085</v>
      </c>
      <c r="K14" s="50">
        <f>(D14-$B$2)^2</f>
        <v>1.937110381057966E-2</v>
      </c>
      <c r="L14" s="50">
        <f>(J14-$F$5)^2</f>
        <v>2.2958802509968108</v>
      </c>
      <c r="M14" s="18">
        <f>(D14-$B$2)*(J14-$F$5)</f>
        <v>0.21088796712643162</v>
      </c>
    </row>
    <row r="15" spans="1:13" x14ac:dyDescent="0.55000000000000004">
      <c r="A15" s="33">
        <v>2006</v>
      </c>
      <c r="B15" s="7">
        <v>956000</v>
      </c>
      <c r="C15" s="18">
        <v>6.5</v>
      </c>
      <c r="D15" s="40">
        <f>LOG(B15)</f>
        <v>5.9804578922761005</v>
      </c>
      <c r="E15" s="18">
        <f>(D15-$B$2)^3</f>
        <v>-2.6960724142213737E-3</v>
      </c>
      <c r="F15" s="18">
        <f>(C15-3/8)/($B$1+1/4)</f>
        <v>6.9405099150141647E-2</v>
      </c>
      <c r="G15" s="39">
        <f t="shared" si="0"/>
        <v>-1.4802362920086845</v>
      </c>
      <c r="H15" s="37" t="e">
        <f>EXP(-EXP(-$F$4*(B15-#REF!)))</f>
        <v>#REF!</v>
      </c>
      <c r="I15" s="38" t="e">
        <f t="shared" si="1"/>
        <v>#REF!</v>
      </c>
      <c r="J15" s="18">
        <f>2/$F$4*(1+$F$4*G15/6-$F$4^2/36)^3-2/$F$4</f>
        <v>-1.5141298011223085</v>
      </c>
      <c r="K15" s="50">
        <f>(D15-$B$2)^2</f>
        <v>1.937110381057966E-2</v>
      </c>
      <c r="L15" s="50">
        <f>(J15-$F$5)^2</f>
        <v>2.2958802509968108</v>
      </c>
      <c r="M15" s="18">
        <f>(D15-$B$2)*(J15-$F$5)</f>
        <v>0.21088796712643162</v>
      </c>
    </row>
    <row r="16" spans="1:13" x14ac:dyDescent="0.55000000000000004">
      <c r="A16" s="33">
        <v>1959</v>
      </c>
      <c r="B16" s="34">
        <v>977000</v>
      </c>
      <c r="C16" s="18">
        <v>8</v>
      </c>
      <c r="D16" s="40">
        <f>LOG(B16)</f>
        <v>5.9898945637187735</v>
      </c>
      <c r="E16" s="18">
        <f>(D16-$B$2)^3</f>
        <v>-2.18401813273769E-3</v>
      </c>
      <c r="F16" s="18">
        <f>(C16-3/8)/($B$1+1/4)</f>
        <v>8.640226628895184E-2</v>
      </c>
      <c r="G16" s="39">
        <f t="shared" si="0"/>
        <v>-1.3632474656234139</v>
      </c>
      <c r="H16" s="37" t="e">
        <f>EXP(-EXP(-$F$4*(B16-#REF!)))</f>
        <v>#REF!</v>
      </c>
      <c r="I16" s="38" t="e">
        <f t="shared" si="1"/>
        <v>#REF!</v>
      </c>
      <c r="J16" s="18">
        <f>2/$F$4*(1+$F$4*G16/6-$F$4^2/36)^3-2/$F$4</f>
        <v>-1.3872039547501718</v>
      </c>
      <c r="K16" s="50">
        <f>(D16-$B$2)^2</f>
        <v>1.6833360586017362E-2</v>
      </c>
      <c r="L16" s="50">
        <f>(J16-$F$5)^2</f>
        <v>1.9273502143246775</v>
      </c>
      <c r="M16" s="18">
        <f>(D16-$B$2)*(J16-$F$5)</f>
        <v>0.18012157320339267</v>
      </c>
    </row>
    <row r="17" spans="1:18" x14ac:dyDescent="0.55000000000000004">
      <c r="A17" s="33">
        <v>1977</v>
      </c>
      <c r="B17" s="34">
        <v>980000</v>
      </c>
      <c r="C17" s="18">
        <v>9</v>
      </c>
      <c r="D17" s="40">
        <f>LOG(B17)</f>
        <v>5.9912260756924951</v>
      </c>
      <c r="E17" s="18">
        <f>(D17-$B$2)^3</f>
        <v>-2.1174643843695027E-3</v>
      </c>
      <c r="F17" s="18">
        <f>(C17-3/8)/($B$1+1/4)</f>
        <v>9.7733711048158645E-2</v>
      </c>
      <c r="G17" s="39">
        <f t="shared" si="0"/>
        <v>-1.2945734328943461</v>
      </c>
      <c r="H17" s="37" t="e">
        <f>EXP(-EXP(-$F$4*(B17-#REF!)))</f>
        <v>#REF!</v>
      </c>
      <c r="I17" s="38" t="e">
        <f t="shared" si="1"/>
        <v>#REF!</v>
      </c>
      <c r="J17" s="18">
        <f>2/$F$4*(1+$F$4*G17/6-$F$4^2/36)^3-2/$F$4</f>
        <v>-1.3130932476987116</v>
      </c>
      <c r="K17" s="50">
        <f>(D17-$B$2)^2</f>
        <v>1.6489623618684689E-2</v>
      </c>
      <c r="L17" s="50">
        <f>(J17-$F$5)^2</f>
        <v>1.7270682460402427</v>
      </c>
      <c r="M17" s="18">
        <f>(D17-$B$2)*(J17-$F$5)</f>
        <v>0.16875634903903772</v>
      </c>
    </row>
    <row r="18" spans="1:18" x14ac:dyDescent="0.55000000000000004">
      <c r="A18" s="33">
        <v>1953</v>
      </c>
      <c r="B18" s="34">
        <v>983000</v>
      </c>
      <c r="C18" s="18">
        <v>10</v>
      </c>
      <c r="D18" s="40">
        <f>LOG(B18)</f>
        <v>5.9925535178321354</v>
      </c>
      <c r="E18" s="18">
        <f>(D18-$B$2)^3</f>
        <v>-2.0524738065027283E-3</v>
      </c>
      <c r="F18" s="18">
        <f>(C18-3/8)/($B$1+1/4)</f>
        <v>0.10906515580736544</v>
      </c>
      <c r="G18" s="39">
        <f t="shared" si="0"/>
        <v>-1.2315149957125135</v>
      </c>
      <c r="H18" s="37" t="e">
        <f>EXP(-EXP(-$F$4*(B18-#REF!)))</f>
        <v>#REF!</v>
      </c>
      <c r="I18" s="38" t="e">
        <f t="shared" si="1"/>
        <v>#REF!</v>
      </c>
      <c r="J18" s="18">
        <f>2/$F$4*(1+$F$4*G18/6-$F$4^2/36)^3-2/$F$4</f>
        <v>-1.2453004038872297</v>
      </c>
      <c r="K18" s="50">
        <f>(D18-$B$2)^2</f>
        <v>1.615046690861591E-2</v>
      </c>
      <c r="L18" s="50">
        <f>(J18-$F$5)^2</f>
        <v>1.5534801593802634</v>
      </c>
      <c r="M18" s="18">
        <f>(D18-$B$2)*(J18-$F$5)</f>
        <v>0.15839643274790727</v>
      </c>
    </row>
    <row r="19" spans="1:18" x14ac:dyDescent="0.55000000000000004">
      <c r="A19" s="33">
        <v>1976</v>
      </c>
      <c r="B19" s="34">
        <v>1020000</v>
      </c>
      <c r="C19" s="18">
        <v>11</v>
      </c>
      <c r="D19" s="40">
        <f>LOG(B19)</f>
        <v>6.008600171761918</v>
      </c>
      <c r="E19" s="18">
        <f>(D19-$B$2)^3</f>
        <v>-1.3690299110249873E-3</v>
      </c>
      <c r="F19" s="18">
        <f>(C19-3/8)/($B$1+1/4)</f>
        <v>0.12039660056657224</v>
      </c>
      <c r="G19" s="39">
        <f t="shared" si="0"/>
        <v>-1.1730064949411458</v>
      </c>
      <c r="H19" s="37" t="e">
        <f>EXP(-EXP(-$F$4*(B19-#REF!)))</f>
        <v>#REF!</v>
      </c>
      <c r="I19" s="38" t="e">
        <f t="shared" si="1"/>
        <v>#REF!</v>
      </c>
      <c r="J19" s="18">
        <f>2/$F$4*(1+$F$4*G19/6-$F$4^2/36)^3-2/$F$4</f>
        <v>-1.1826193568806378</v>
      </c>
      <c r="K19" s="50">
        <f>(D19-$B$2)^2</f>
        <v>1.2329400436329893E-2</v>
      </c>
      <c r="L19" s="50">
        <f>(J19-$F$5)^2</f>
        <v>1.4011594085971841</v>
      </c>
      <c r="M19" s="18">
        <f>(D19-$B$2)*(J19-$F$5)</f>
        <v>0.13143612678303426</v>
      </c>
    </row>
    <row r="20" spans="1:18" x14ac:dyDescent="0.55000000000000004">
      <c r="A20" s="33">
        <v>1967</v>
      </c>
      <c r="B20" s="34">
        <v>1040000</v>
      </c>
      <c r="C20" s="18">
        <v>12.5</v>
      </c>
      <c r="D20" s="40">
        <f>LOG(B20)</f>
        <v>6.0170333392987807</v>
      </c>
      <c r="E20" s="18">
        <f>(D20-$B$2)^3</f>
        <v>-1.0801929305664162E-3</v>
      </c>
      <c r="F20" s="18">
        <f>(C20-3/8)/($B$1+1/4)</f>
        <v>0.13739376770538245</v>
      </c>
      <c r="G20" s="39">
        <f t="shared" si="0"/>
        <v>-1.0921036724812101</v>
      </c>
      <c r="H20" s="37" t="e">
        <f>EXP(-EXP(-$F$4*(B20-#REF!)))</f>
        <v>#REF!</v>
      </c>
      <c r="I20" s="38" t="e">
        <f t="shared" si="1"/>
        <v>#REF!</v>
      </c>
      <c r="J20" s="18">
        <f>2/$F$4*(1+$F$4*G20/6-$F$4^2/36)^3-2/$F$4</f>
        <v>-1.0962955119161393</v>
      </c>
      <c r="K20" s="50">
        <f>(D20-$B$2)^2</f>
        <v>1.0527717447796832E-2</v>
      </c>
      <c r="L20" s="50">
        <f>(J20-$F$5)^2</f>
        <v>1.2042471437822</v>
      </c>
      <c r="M20" s="18">
        <f>(D20-$B$2)*(J20-$F$5)</f>
        <v>0.112596508236514</v>
      </c>
      <c r="O20" s="18" t="s">
        <v>50</v>
      </c>
    </row>
    <row r="21" spans="1:18" x14ac:dyDescent="0.55000000000000004">
      <c r="A21" s="33">
        <v>2014</v>
      </c>
      <c r="B21" s="7">
        <v>1040000</v>
      </c>
      <c r="C21" s="18">
        <v>12.5</v>
      </c>
      <c r="D21" s="40">
        <f>LOG(B21)</f>
        <v>6.0170333392987807</v>
      </c>
      <c r="E21" s="18">
        <f>(D21-$B$2)^3</f>
        <v>-1.0801929305664162E-3</v>
      </c>
      <c r="F21" s="18">
        <f>(C21-3/8)/($B$1+1/4)</f>
        <v>0.13739376770538245</v>
      </c>
      <c r="G21" s="39">
        <f t="shared" si="0"/>
        <v>-1.0921036724812101</v>
      </c>
      <c r="H21" s="37" t="e">
        <f>EXP(-EXP(-$F$4*(B21-#REF!)))</f>
        <v>#REF!</v>
      </c>
      <c r="I21" s="38" t="e">
        <f t="shared" si="1"/>
        <v>#REF!</v>
      </c>
      <c r="J21" s="18">
        <f>2/$F$4*(1+$F$4*G21/6-$F$4^2/36)^3-2/$F$4</f>
        <v>-1.0962955119161393</v>
      </c>
      <c r="K21" s="50">
        <f>(D21-$B$2)^2</f>
        <v>1.0527717447796832E-2</v>
      </c>
      <c r="L21" s="50">
        <f>(J21-$F$5)^2</f>
        <v>1.2042471437822</v>
      </c>
      <c r="M21" s="18">
        <f>(D21-$B$2)*(J21-$F$5)</f>
        <v>0.112596508236514</v>
      </c>
    </row>
    <row r="22" spans="1:18" x14ac:dyDescent="0.55000000000000004">
      <c r="A22" s="33">
        <v>1940</v>
      </c>
      <c r="B22" s="34">
        <v>1075000</v>
      </c>
      <c r="C22" s="18">
        <v>14</v>
      </c>
      <c r="D22" s="40">
        <f>LOG(B22)</f>
        <v>6.0314084642516246</v>
      </c>
      <c r="E22" s="18">
        <f>(D22-$B$2)^3</f>
        <v>-6.8681861539163518E-4</v>
      </c>
      <c r="F22" s="18">
        <f>(C22-3/8)/($B$1+1/4)</f>
        <v>0.15439093484419264</v>
      </c>
      <c r="G22" s="39">
        <f t="shared" si="0"/>
        <v>-1.0177813653724057</v>
      </c>
      <c r="H22" s="37" t="e">
        <f>EXP(-EXP(-$F$4*(B22-#REF!)))</f>
        <v>#REF!</v>
      </c>
      <c r="I22" s="38" t="e">
        <f t="shared" si="1"/>
        <v>#REF!</v>
      </c>
      <c r="J22" s="18">
        <f>2/$F$4*(1+$F$4*G22/6-$F$4^2/36)^3-2/$F$4</f>
        <v>-1.0173489366446535</v>
      </c>
      <c r="K22" s="50">
        <f>(D22-$B$2)^2</f>
        <v>7.7844518814253385E-3</v>
      </c>
      <c r="L22" s="50">
        <f>(J22-$F$5)^2</f>
        <v>1.0372106121238422</v>
      </c>
      <c r="M22" s="18">
        <f>(D22-$B$2)*(J22-$F$5)</f>
        <v>8.985608549776565E-2</v>
      </c>
      <c r="O22" s="18" t="s">
        <v>58</v>
      </c>
      <c r="P22" s="18" t="s">
        <v>59</v>
      </c>
    </row>
    <row r="23" spans="1:18" x14ac:dyDescent="0.55000000000000004">
      <c r="A23" s="33">
        <v>1960</v>
      </c>
      <c r="B23" s="34">
        <v>1100000</v>
      </c>
      <c r="C23" s="18">
        <v>15.5</v>
      </c>
      <c r="D23" s="40">
        <f>LOG(B23)</f>
        <v>6.0413926851582254</v>
      </c>
      <c r="E23" s="18">
        <f>(D23-$B$2)^3</f>
        <v>-4.7904367722328989E-4</v>
      </c>
      <c r="F23" s="18">
        <f>(C23-3/8)/($B$1+1/4)</f>
        <v>0.17138810198300283</v>
      </c>
      <c r="G23" s="39">
        <f t="shared" si="0"/>
        <v>-0.94869412295584754</v>
      </c>
      <c r="H23" s="37" t="e">
        <f>EXP(-EXP(-$F$4*(B23-#REF!)))</f>
        <v>#REF!</v>
      </c>
      <c r="I23" s="38" t="e">
        <f t="shared" si="1"/>
        <v>#REF!</v>
      </c>
      <c r="J23" s="18">
        <f>2/$F$4*(1+$F$4*G23/6-$F$4^2/36)^3-2/$F$4</f>
        <v>-0.94426806229033211</v>
      </c>
      <c r="K23" s="50">
        <f>(D23-$B$2)^2</f>
        <v>6.1223300955489121E-3</v>
      </c>
      <c r="L23" s="50">
        <f>(J23-$F$5)^2</f>
        <v>0.8936951310300506</v>
      </c>
      <c r="M23" s="18">
        <f>(D23-$B$2)*(J23-$F$5)</f>
        <v>7.3969565342448834E-2</v>
      </c>
      <c r="O23" s="18">
        <v>75</v>
      </c>
      <c r="P23" s="18">
        <v>0.98350000000000004</v>
      </c>
    </row>
    <row r="24" spans="1:18" x14ac:dyDescent="0.55000000000000004">
      <c r="A24" s="33">
        <v>1992</v>
      </c>
      <c r="B24" s="34">
        <v>1100000</v>
      </c>
      <c r="C24" s="18">
        <v>15.5</v>
      </c>
      <c r="D24" s="40">
        <f>LOG(B24)</f>
        <v>6.0413926851582254</v>
      </c>
      <c r="E24" s="18">
        <f>(D24-$B$2)^3</f>
        <v>-4.7904367722328989E-4</v>
      </c>
      <c r="F24" s="18">
        <f>(C24-3/8)/($B$1+1/4)</f>
        <v>0.17138810198300283</v>
      </c>
      <c r="G24" s="39">
        <f t="shared" si="0"/>
        <v>-0.94869412295584754</v>
      </c>
      <c r="H24" s="37" t="e">
        <f>EXP(-EXP(-$F$4*(B24-#REF!)))</f>
        <v>#REF!</v>
      </c>
      <c r="I24" s="38" t="e">
        <f t="shared" si="1"/>
        <v>#REF!</v>
      </c>
      <c r="J24" s="18">
        <f>2/$F$4*(1+$F$4*G24/6-$F$4^2/36)^3-2/$F$4</f>
        <v>-0.94426806229033211</v>
      </c>
      <c r="K24" s="50">
        <f>(D24-$B$2)^2</f>
        <v>6.1223300955489121E-3</v>
      </c>
      <c r="L24" s="50">
        <f>(J24-$F$5)^2</f>
        <v>0.8936951310300506</v>
      </c>
      <c r="M24" s="18">
        <f>(D24-$B$2)*(J24-$F$5)</f>
        <v>7.3969565342448834E-2</v>
      </c>
      <c r="O24" s="18">
        <v>100</v>
      </c>
      <c r="P24" s="18">
        <v>0.98699999999999999</v>
      </c>
    </row>
    <row r="25" spans="1:18" x14ac:dyDescent="0.55000000000000004">
      <c r="A25" s="33">
        <v>1956</v>
      </c>
      <c r="B25" s="34">
        <v>1110000</v>
      </c>
      <c r="C25" s="18">
        <v>17.5</v>
      </c>
      <c r="D25" s="40">
        <f>LOG(B25)</f>
        <v>6.0453229787866576</v>
      </c>
      <c r="E25" s="18">
        <f>(D25-$B$2)^3</f>
        <v>-4.1042131546165881E-4</v>
      </c>
      <c r="F25" s="18">
        <f>(C25-3/8)/($B$1+1/4)</f>
        <v>0.19405099150141644</v>
      </c>
      <c r="G25" s="39">
        <f t="shared" si="0"/>
        <v>-0.86306453992694387</v>
      </c>
      <c r="H25" s="37" t="e">
        <f>EXP(-EXP(-$F$4*(B25-#REF!)))</f>
        <v>#REF!</v>
      </c>
      <c r="I25" s="38" t="e">
        <f t="shared" si="1"/>
        <v>#REF!</v>
      </c>
      <c r="J25" s="18">
        <f>2/$F$4*(1+$F$4*G25/6-$F$4^2/36)^3-2/$F$4</f>
        <v>-0.85409542535590077</v>
      </c>
      <c r="K25" s="50">
        <f>(D25-$B$2)^2</f>
        <v>5.5227231385724645E-3</v>
      </c>
      <c r="L25" s="50">
        <f>(J25-$F$5)^2</f>
        <v>0.73133601924177805</v>
      </c>
      <c r="M25" s="18">
        <f>(D25-$B$2)*(J25-$F$5)</f>
        <v>6.3552862685626085E-2</v>
      </c>
      <c r="O25" s="18">
        <v>88</v>
      </c>
      <c r="P25" s="39">
        <f>P23+(P24-P23)/(O24-O23)*8</f>
        <v>0.98462000000000005</v>
      </c>
      <c r="Q25" s="18" t="s">
        <v>74</v>
      </c>
    </row>
    <row r="26" spans="1:18" x14ac:dyDescent="0.55000000000000004">
      <c r="A26" s="33">
        <v>1966</v>
      </c>
      <c r="B26" s="34">
        <v>1110000</v>
      </c>
      <c r="C26" s="18">
        <v>17.5</v>
      </c>
      <c r="D26" s="40">
        <f>LOG(B26)</f>
        <v>6.0453229787866576</v>
      </c>
      <c r="E26" s="18">
        <f>(D26-$B$2)^3</f>
        <v>-4.1042131546165881E-4</v>
      </c>
      <c r="F26" s="18">
        <f>(C26-3/8)/($B$1+1/4)</f>
        <v>0.19405099150141644</v>
      </c>
      <c r="G26" s="39">
        <f t="shared" si="0"/>
        <v>-0.86306453992694387</v>
      </c>
      <c r="H26" s="37" t="e">
        <f>EXP(-EXP(-$F$4*(B26-#REF!)))</f>
        <v>#REF!</v>
      </c>
      <c r="I26" s="38" t="e">
        <f t="shared" si="1"/>
        <v>#REF!</v>
      </c>
      <c r="J26" s="18">
        <f>2/$F$4*(1+$F$4*G26/6-$F$4^2/36)^3-2/$F$4</f>
        <v>-0.85409542535590077</v>
      </c>
      <c r="K26" s="50">
        <f>(D26-$B$2)^2</f>
        <v>5.5227231385724645E-3</v>
      </c>
      <c r="L26" s="50">
        <f>(J26-$F$5)^2</f>
        <v>0.73133601924177805</v>
      </c>
      <c r="M26" s="18">
        <f>(D26-$B$2)*(J26-$F$5)</f>
        <v>6.3552862685626085E-2</v>
      </c>
    </row>
    <row r="27" spans="1:18" x14ac:dyDescent="0.55000000000000004">
      <c r="A27" s="33">
        <v>1988</v>
      </c>
      <c r="B27" s="34">
        <v>1140000</v>
      </c>
      <c r="C27" s="18">
        <v>19</v>
      </c>
      <c r="D27" s="40">
        <f>LOG(B27)</f>
        <v>6.0569048513364727</v>
      </c>
      <c r="E27" s="18">
        <f>(D27-$B$2)^3</f>
        <v>-2.4688310117584671E-4</v>
      </c>
      <c r="F27" s="18">
        <f>(C27-3/8)/($B$1+1/4)</f>
        <v>0.21104815864022664</v>
      </c>
      <c r="G27" s="39">
        <f t="shared" si="0"/>
        <v>-0.80278966400436147</v>
      </c>
      <c r="H27" s="37" t="e">
        <f>EXP(-EXP(-$F$4*(B27-#REF!)))</f>
        <v>#REF!</v>
      </c>
      <c r="I27" s="38" t="e">
        <f t="shared" si="1"/>
        <v>#REF!</v>
      </c>
      <c r="J27" s="18">
        <f>2/$F$4*(1+$F$4*G27/6-$F$4^2/36)^3-2/$F$4</f>
        <v>-0.79089216945654606</v>
      </c>
      <c r="K27" s="50">
        <f>(D27-$B$2)^2</f>
        <v>3.9354485833297719E-3</v>
      </c>
      <c r="L27" s="50">
        <f>(J27-$F$5)^2</f>
        <v>0.62723011451036226</v>
      </c>
      <c r="M27" s="18">
        <f>(D27-$B$2)*(J27-$F$5)</f>
        <v>4.968331576667942E-2</v>
      </c>
      <c r="O27" s="18" t="s">
        <v>57</v>
      </c>
      <c r="P27" s="39">
        <f>P25</f>
        <v>0.98462000000000005</v>
      </c>
    </row>
    <row r="28" spans="1:18" ht="16.5" x14ac:dyDescent="0.55000000000000004">
      <c r="A28" s="33">
        <v>1972</v>
      </c>
      <c r="B28" s="34">
        <v>1147000</v>
      </c>
      <c r="C28" s="18">
        <v>20</v>
      </c>
      <c r="D28" s="40">
        <f>LOG(B28)</f>
        <v>6.0595634179012681</v>
      </c>
      <c r="E28" s="18">
        <f>(D28-$B$2)^3</f>
        <v>-2.1680654373712046E-4</v>
      </c>
      <c r="F28" s="18">
        <f>(C28-3/8)/($B$1+1/4)</f>
        <v>0.22237960339943344</v>
      </c>
      <c r="G28" s="39">
        <f t="shared" si="0"/>
        <v>-0.76418130329089151</v>
      </c>
      <c r="H28" s="37" t="e">
        <f>EXP(-EXP(-$F$4*(B28-#REF!)))</f>
        <v>#REF!</v>
      </c>
      <c r="I28" s="38" t="e">
        <f t="shared" si="1"/>
        <v>#REF!</v>
      </c>
      <c r="J28" s="18">
        <f>2/$F$4*(1+$F$4*G28/6-$F$4^2/36)^3-2/$F$4</f>
        <v>-0.75052484650129792</v>
      </c>
      <c r="K28" s="50">
        <f>(D28-$B$2)^2</f>
        <v>3.6089560292157439E-3</v>
      </c>
      <c r="L28" s="50">
        <f>(J28-$F$5)^2</f>
        <v>0.56491952283931945</v>
      </c>
      <c r="M28" s="18">
        <f>(D28-$B$2)*(J28-$F$5)</f>
        <v>4.5152737657562281E-2</v>
      </c>
      <c r="O28" s="18" t="s">
        <v>53</v>
      </c>
      <c r="P28" s="39">
        <f>SUM(M9:M96)/SQRT(ABS(SUM(K9:K96)*SUM(L9:L96)))</f>
        <v>0.99205357162360919</v>
      </c>
      <c r="Q28" s="39">
        <f>SQRT(0.9842)</f>
        <v>0.99206854601887262</v>
      </c>
      <c r="R28" s="18" t="s">
        <v>71</v>
      </c>
    </row>
    <row r="29" spans="1:18" x14ac:dyDescent="0.55000000000000004">
      <c r="A29" s="33">
        <v>1930</v>
      </c>
      <c r="B29" s="34">
        <v>1148000</v>
      </c>
      <c r="C29" s="18">
        <v>21</v>
      </c>
      <c r="D29" s="40">
        <f>LOG(B29)</f>
        <v>6.0599418880619549</v>
      </c>
      <c r="E29" s="18">
        <f>(D29-$B$2)^3</f>
        <v>-2.127346582111141E-4</v>
      </c>
      <c r="F29" s="18">
        <f>(C29-3/8)/($B$1+1/4)</f>
        <v>0.23371104815864022</v>
      </c>
      <c r="G29" s="39">
        <f t="shared" si="0"/>
        <v>-0.7266798559341906</v>
      </c>
      <c r="H29" s="37" t="e">
        <f>EXP(-EXP(-$F$4*(B29-#REF!)))</f>
        <v>#REF!</v>
      </c>
      <c r="I29" s="38" t="e">
        <f t="shared" si="1"/>
        <v>#REF!</v>
      </c>
      <c r="J29" s="18">
        <f>2/$F$4*(1+$F$4*G29/6-$F$4^2/36)^3-2/$F$4</f>
        <v>-0.71140205651678556</v>
      </c>
      <c r="K29" s="50">
        <f>(D29-$B$2)^2</f>
        <v>3.5636263915243362E-3</v>
      </c>
      <c r="L29" s="50">
        <f>(J29-$F$5)^2</f>
        <v>0.50763985467625117</v>
      </c>
      <c r="M29" s="18">
        <f>(D29-$B$2)*(J29-$F$5)</f>
        <v>4.253279656352104E-2</v>
      </c>
      <c r="O29" s="18" t="s">
        <v>38</v>
      </c>
    </row>
    <row r="30" spans="1:18" x14ac:dyDescent="0.55000000000000004">
      <c r="A30" s="33">
        <v>1996</v>
      </c>
      <c r="B30" s="34">
        <v>1150000</v>
      </c>
      <c r="C30" s="18">
        <v>22</v>
      </c>
      <c r="D30" s="40">
        <f>LOG(B30)</f>
        <v>6.0606978403536118</v>
      </c>
      <c r="E30" s="18">
        <f>(D30-$B$2)^3</f>
        <v>-2.0475477412158766E-4</v>
      </c>
      <c r="F30" s="18">
        <f>(C30-3/8)/($B$1+1/4)</f>
        <v>0.24504249291784702</v>
      </c>
      <c r="G30" s="39">
        <f t="shared" si="0"/>
        <v>-0.69017365944824649</v>
      </c>
      <c r="H30" s="37" t="e">
        <f>EXP(-EXP(-$F$4*(B30-#REF!)))</f>
        <v>#REF!</v>
      </c>
      <c r="I30" s="38" t="e">
        <f t="shared" si="1"/>
        <v>#REF!</v>
      </c>
      <c r="J30" s="18">
        <f>2/$F$4*(1+$F$4*G30/6-$F$4^2/36)^3-2/$F$4</f>
        <v>-0.67339998702698622</v>
      </c>
      <c r="K30" s="50">
        <f>(D30-$B$2)^2</f>
        <v>3.4739430224090891E-3</v>
      </c>
      <c r="L30" s="50">
        <f>(J30-$F$5)^2</f>
        <v>0.45493193741074278</v>
      </c>
      <c r="M30" s="18">
        <f>(D30-$B$2)*(J30-$F$5)</f>
        <v>3.9754341016285229E-2</v>
      </c>
      <c r="O30" s="48" t="str">
        <f>IF(P28&lt;=P27,"Reject","Do not Reject")</f>
        <v>Do not Reject</v>
      </c>
      <c r="P30" s="48"/>
    </row>
    <row r="31" spans="1:18" x14ac:dyDescent="0.55000000000000004">
      <c r="A31" s="33">
        <v>2004</v>
      </c>
      <c r="B31" s="7">
        <v>1153000</v>
      </c>
      <c r="C31" s="18">
        <v>23</v>
      </c>
      <c r="D31" s="40">
        <f>LOG(B31)</f>
        <v>6.0618293072946994</v>
      </c>
      <c r="E31" s="18">
        <f>(D31-$B$2)^3</f>
        <v>-1.9318773922297045E-4</v>
      </c>
      <c r="F31" s="18">
        <f>(C31-3/8)/($B$1+1/4)</f>
        <v>0.2563739376770538</v>
      </c>
      <c r="G31" s="39">
        <f t="shared" si="0"/>
        <v>-0.65456498343176639</v>
      </c>
      <c r="H31" s="37" t="e">
        <f>EXP(-EXP(-$F$4*(B31-#REF!)))</f>
        <v>#REF!</v>
      </c>
      <c r="I31" s="38" t="e">
        <f t="shared" si="1"/>
        <v>#REF!</v>
      </c>
      <c r="J31" s="18">
        <f>2/$F$4*(1+$F$4*G31/6-$F$4^2/36)^3-2/$F$4</f>
        <v>-0.63641048820661972</v>
      </c>
      <c r="K31" s="50">
        <f>(D31-$B$2)^2</f>
        <v>3.3418455439823912E-3</v>
      </c>
      <c r="L31" s="50">
        <f>(J31-$F$5)^2</f>
        <v>0.40640233079534716</v>
      </c>
      <c r="M31" s="18">
        <f>(D31-$B$2)*(J31-$F$5)</f>
        <v>3.685286716433999E-2</v>
      </c>
    </row>
    <row r="32" spans="1:18" x14ac:dyDescent="0.55000000000000004">
      <c r="A32" s="33">
        <v>1968</v>
      </c>
      <c r="B32" s="34">
        <v>1160000</v>
      </c>
      <c r="C32" s="18">
        <v>24</v>
      </c>
      <c r="D32" s="40">
        <f>LOG(B32)</f>
        <v>6.0644579892269181</v>
      </c>
      <c r="E32" s="18">
        <f>(D32-$B$2)^3</f>
        <v>-1.6801399698566425E-4</v>
      </c>
      <c r="F32" s="18">
        <f>(C32-3/8)/($B$1+1/4)</f>
        <v>0.26770538243626063</v>
      </c>
      <c r="G32" s="39">
        <f t="shared" si="0"/>
        <v>-0.61976765739524897</v>
      </c>
      <c r="H32" s="37" t="e">
        <f>EXP(-EXP(-$F$4*(B32-#REF!)))</f>
        <v>#REF!</v>
      </c>
      <c r="I32" s="38" t="e">
        <f t="shared" si="1"/>
        <v>#REF!</v>
      </c>
      <c r="J32" s="18">
        <f>2/$F$4*(1+$F$4*G32/6-$F$4^2/36)^3-2/$F$4</f>
        <v>-0.60033840114766157</v>
      </c>
      <c r="K32" s="50">
        <f>(D32-$B$2)^2</f>
        <v>3.0448341536987236E-3</v>
      </c>
      <c r="L32" s="50">
        <f>(J32-$F$5)^2</f>
        <v>0.36171183702346621</v>
      </c>
      <c r="M32" s="18">
        <f>(D32-$B$2)*(J32-$F$5)</f>
        <v>3.3186632175714312E-2</v>
      </c>
      <c r="O32" s="25" t="s">
        <v>79</v>
      </c>
    </row>
    <row r="33" spans="1:17" x14ac:dyDescent="0.55000000000000004">
      <c r="A33" s="33">
        <v>1942</v>
      </c>
      <c r="B33" s="34">
        <v>1178000</v>
      </c>
      <c r="C33" s="18">
        <v>25</v>
      </c>
      <c r="D33" s="40">
        <f>LOG(B33)</f>
        <v>6.0711452904510832</v>
      </c>
      <c r="E33" s="18">
        <f>(D33-$B$2)^3</f>
        <v>-1.1403272194530635E-4</v>
      </c>
      <c r="F33" s="18">
        <f>(C33-3/8)/($B$1+1/4)</f>
        <v>0.27903682719546741</v>
      </c>
      <c r="G33" s="39">
        <f t="shared" si="0"/>
        <v>-0.58570517718287463</v>
      </c>
      <c r="H33" s="37" t="e">
        <f>EXP(-EXP(-$F$4*(B33-#REF!)))</f>
        <v>#REF!</v>
      </c>
      <c r="I33" s="38" t="e">
        <f t="shared" si="1"/>
        <v>#REF!</v>
      </c>
      <c r="J33" s="18">
        <f>2/$F$4*(1+$F$4*G33/6-$F$4^2/36)^3-2/$F$4</f>
        <v>-0.56509942760193965</v>
      </c>
      <c r="K33" s="50">
        <f>(D33-$B$2)^2</f>
        <v>2.3515433757306933E-3</v>
      </c>
      <c r="L33" s="50">
        <f>(J33-$F$5)^2</f>
        <v>0.32056643429414339</v>
      </c>
      <c r="M33" s="18">
        <f>(D33-$B$2)*(J33-$F$5)</f>
        <v>2.7455889624013304E-2</v>
      </c>
      <c r="O33" s="18" t="s">
        <v>76</v>
      </c>
      <c r="P33" s="18">
        <v>100</v>
      </c>
      <c r="Q33" s="18" t="s">
        <v>75</v>
      </c>
    </row>
    <row r="34" spans="1:17" ht="16.8" x14ac:dyDescent="0.75">
      <c r="A34" s="33">
        <v>1982</v>
      </c>
      <c r="B34" s="34">
        <v>1182000</v>
      </c>
      <c r="C34" s="18">
        <v>26</v>
      </c>
      <c r="D34" s="40">
        <f>LOG(B34)</f>
        <v>6.0726174765452363</v>
      </c>
      <c r="E34" s="18">
        <f>(D34-$B$2)^3</f>
        <v>-1.0395910227841685E-4</v>
      </c>
      <c r="F34" s="18">
        <f>(C34-3/8)/($B$1+1/4)</f>
        <v>0.29036827195467424</v>
      </c>
      <c r="G34" s="39">
        <f t="shared" si="0"/>
        <v>-0.55230917743321417</v>
      </c>
      <c r="H34" s="37" t="e">
        <f>EXP(-EXP(-$F$4*(B34-#REF!)))</f>
        <v>#REF!</v>
      </c>
      <c r="I34" s="38" t="e">
        <f t="shared" si="1"/>
        <v>#REF!</v>
      </c>
      <c r="J34" s="18">
        <f>2/$F$4*(1+$F$4*G34/6-$F$4^2/36)^3-2/$F$4</f>
        <v>-0.53061841354287331</v>
      </c>
      <c r="K34" s="50">
        <f>(D34-$B$2)^2</f>
        <v>2.2109301072268739E-3</v>
      </c>
      <c r="L34" s="50">
        <f>(J34-$F$5)^2</f>
        <v>0.28271004904785313</v>
      </c>
      <c r="M34" s="18">
        <f>(D34-$B$2)*(J34-$F$5)</f>
        <v>2.5001043159346065E-2</v>
      </c>
      <c r="O34" s="18" t="s">
        <v>92</v>
      </c>
      <c r="P34" s="18">
        <v>0.99</v>
      </c>
    </row>
    <row r="35" spans="1:17" ht="16.8" x14ac:dyDescent="0.75">
      <c r="A35" s="33">
        <v>2007</v>
      </c>
      <c r="B35" s="7">
        <v>1187000</v>
      </c>
      <c r="C35" s="18">
        <v>27</v>
      </c>
      <c r="D35" s="40">
        <f>LOG(B35)</f>
        <v>6.0744507189545915</v>
      </c>
      <c r="E35" s="18">
        <f>(D35-$B$2)^3</f>
        <v>-9.2267505284127801E-5</v>
      </c>
      <c r="F35" s="18">
        <f>(C35-3/8)/($B$1+1/4)</f>
        <v>0.30169971671388102</v>
      </c>
      <c r="G35" s="39">
        <f t="shared" si="0"/>
        <v>-0.51951818724524945</v>
      </c>
      <c r="H35" s="37" t="e">
        <f>EXP(-EXP(-$F$4*(B35-#REF!)))</f>
        <v>#REF!</v>
      </c>
      <c r="I35" s="38" t="e">
        <f t="shared" si="1"/>
        <v>#REF!</v>
      </c>
      <c r="J35" s="18">
        <f>2/$F$4*(1+$F$4*G35/6-$F$4^2/36)^3-2/$F$4</f>
        <v>-0.49682795268472191</v>
      </c>
      <c r="K35" s="50">
        <f>(D35-$B$2)^2</f>
        <v>2.041890830779926E-3</v>
      </c>
      <c r="L35" s="50">
        <f>(J35-$F$5)^2</f>
        <v>0.24791874035132241</v>
      </c>
      <c r="M35" s="18">
        <f>(D35-$B$2)*(J35-$F$5)</f>
        <v>2.2499400052043043E-2</v>
      </c>
      <c r="O35" s="18" t="s">
        <v>91</v>
      </c>
      <c r="P35" s="39">
        <f>_xlfn.NORM.INV(P34,0,1)</f>
        <v>2.3263478740408408</v>
      </c>
    </row>
    <row r="36" spans="1:17" ht="16.8" x14ac:dyDescent="0.75">
      <c r="A36" s="33">
        <v>1938</v>
      </c>
      <c r="B36" s="34">
        <v>1190000</v>
      </c>
      <c r="C36" s="18">
        <v>28.5</v>
      </c>
      <c r="D36" s="40">
        <f>LOG(B36)</f>
        <v>6.075546961392531</v>
      </c>
      <c r="E36" s="18">
        <f>(D36-$B$2)^3</f>
        <v>-8.5713876852710881E-5</v>
      </c>
      <c r="F36" s="18">
        <f>(C36-3/8)/($B$1+1/4)</f>
        <v>0.31869688385269124</v>
      </c>
      <c r="G36" s="39">
        <f t="shared" si="0"/>
        <v>-0.47134586511172694</v>
      </c>
      <c r="H36" s="37" t="e">
        <f>EXP(-EXP(-$F$4*(B36-#REF!)))</f>
        <v>#REF!</v>
      </c>
      <c r="I36" s="38" t="e">
        <f t="shared" si="1"/>
        <v>#REF!</v>
      </c>
      <c r="J36" s="18">
        <f>2/$F$4*(1+$F$4*G36/6-$F$4^2/36)^3-2/$F$4</f>
        <v>-0.44730560576160627</v>
      </c>
      <c r="K36" s="50">
        <f>(D36-$B$2)^2</f>
        <v>1.9440201367681982E-3</v>
      </c>
      <c r="L36" s="50">
        <f>(J36-$F$5)^2</f>
        <v>0.20105542481900246</v>
      </c>
      <c r="M36" s="18">
        <f>(D36-$B$2)*(J36-$F$5)</f>
        <v>1.9770073203066937E-2</v>
      </c>
      <c r="O36" s="18" t="s">
        <v>90</v>
      </c>
      <c r="P36" s="39">
        <f>2/$F$4*(1+$F$4*P35/6-$F$4^2/36)^3-2/$F$4</f>
        <v>2.1941835713956621</v>
      </c>
    </row>
    <row r="37" spans="1:17" ht="16.8" x14ac:dyDescent="0.75">
      <c r="A37" s="33">
        <v>2012</v>
      </c>
      <c r="B37" s="7">
        <v>1190000</v>
      </c>
      <c r="C37" s="18">
        <v>28.5</v>
      </c>
      <c r="D37" s="40">
        <f>LOG(B37)</f>
        <v>6.075546961392531</v>
      </c>
      <c r="E37" s="18">
        <f>(D37-$B$2)^3</f>
        <v>-8.5713876852710881E-5</v>
      </c>
      <c r="F37" s="18">
        <f>(C37-3/8)/($B$1+1/4)</f>
        <v>0.31869688385269124</v>
      </c>
      <c r="G37" s="39">
        <f t="shared" si="0"/>
        <v>-0.47134586511172694</v>
      </c>
      <c r="H37" s="37" t="e">
        <f>EXP(-EXP(-$F$4*(B37-#REF!)))</f>
        <v>#REF!</v>
      </c>
      <c r="I37" s="38" t="e">
        <f t="shared" si="1"/>
        <v>#REF!</v>
      </c>
      <c r="J37" s="18">
        <f>2/$F$4*(1+$F$4*G37/6-$F$4^2/36)^3-2/$F$4</f>
        <v>-0.44730560576160627</v>
      </c>
      <c r="K37" s="50">
        <f>(D37-$B$2)^2</f>
        <v>1.9440201367681982E-3</v>
      </c>
      <c r="L37" s="50">
        <f>(J37-$F$5)^2</f>
        <v>0.20105542481900246</v>
      </c>
      <c r="M37" s="18">
        <f>(D37-$B$2)*(J37-$F$5)</f>
        <v>1.9770073203066937E-2</v>
      </c>
      <c r="O37" s="18" t="s">
        <v>89</v>
      </c>
      <c r="P37" s="39">
        <f>B2+P36*B3</f>
        <v>6.3405308532570892</v>
      </c>
    </row>
    <row r="38" spans="1:17" ht="16.8" x14ac:dyDescent="0.75">
      <c r="A38" s="33">
        <v>1958</v>
      </c>
      <c r="B38" s="34">
        <v>1191000</v>
      </c>
      <c r="C38" s="18">
        <v>30</v>
      </c>
      <c r="D38" s="40">
        <f>LOG(B38)</f>
        <v>6.0759117614827778</v>
      </c>
      <c r="E38" s="18">
        <f>(D38-$B$2)^3</f>
        <v>-8.3603894931461435E-5</v>
      </c>
      <c r="F38" s="18">
        <f>(C38-3/8)/($B$1+1/4)</f>
        <v>0.3356940509915014</v>
      </c>
      <c r="G38" s="39">
        <f t="shared" si="0"/>
        <v>-0.42424368864907602</v>
      </c>
      <c r="H38" s="37" t="e">
        <f>EXP(-EXP(-$F$4*(B38-#REF!)))</f>
        <v>#REF!</v>
      </c>
      <c r="I38" s="38" t="e">
        <f t="shared" si="1"/>
        <v>#REF!</v>
      </c>
      <c r="J38" s="18">
        <f>2/$F$4*(1+$F$4*G38/6-$F$4^2/36)^3-2/$F$4</f>
        <v>-0.39901930727133461</v>
      </c>
      <c r="K38" s="50">
        <f>(D38-$B$2)^2</f>
        <v>1.9119843824140664E-3</v>
      </c>
      <c r="L38" s="50">
        <f>(J38-$F$5)^2</f>
        <v>0.16008460731908275</v>
      </c>
      <c r="M38" s="18">
        <f>(D38-$B$2)*(J38-$F$5)</f>
        <v>1.7495121293062667E-2</v>
      </c>
      <c r="O38" s="18" t="s">
        <v>78</v>
      </c>
      <c r="P38" s="39">
        <f>10^(P37)</f>
        <v>2190437.4361446234</v>
      </c>
      <c r="Q38" s="18" t="s">
        <v>80</v>
      </c>
    </row>
    <row r="39" spans="1:17" ht="16.8" x14ac:dyDescent="0.7">
      <c r="A39" s="33">
        <v>2001</v>
      </c>
      <c r="B39" s="7">
        <v>1221000</v>
      </c>
      <c r="C39" s="18">
        <v>31</v>
      </c>
      <c r="D39" s="40">
        <f>LOG(B39)</f>
        <v>6.0867156639448821</v>
      </c>
      <c r="E39" s="18">
        <f>(D39-$B$2)^3</f>
        <v>-3.5683885201452561E-5</v>
      </c>
      <c r="F39" s="18">
        <f>(C39-3/8)/($B$1+1/4)</f>
        <v>0.34702549575070823</v>
      </c>
      <c r="G39" s="39">
        <f t="shared" si="0"/>
        <v>-0.39336354407828605</v>
      </c>
      <c r="H39" s="37" t="e">
        <f>EXP(-EXP(-$F$4*(B39-#REF!)))</f>
        <v>#REF!</v>
      </c>
      <c r="I39" s="38" t="e">
        <f t="shared" si="1"/>
        <v>#REF!</v>
      </c>
      <c r="J39" s="18">
        <f>2/$F$4*(1+$F$4*G39/6-$F$4^2/36)^3-2/$F$4</f>
        <v>-0.36743569448424829</v>
      </c>
      <c r="K39" s="50">
        <f>(D39-$B$2)^2</f>
        <v>1.0838805482945224E-3</v>
      </c>
      <c r="L39" s="50">
        <f>(J39-$F$5)^2</f>
        <v>0.13580856205700928</v>
      </c>
      <c r="M39" s="18">
        <f>(D39-$B$2)*(J39-$F$5)</f>
        <v>1.2132611372060093E-2</v>
      </c>
      <c r="O39" s="18" t="s">
        <v>93</v>
      </c>
      <c r="P39" s="39">
        <f>(P35^2-1)/6+4*(P35^3-6*P35)/6^3*F4-3*(P35^2-1)/6^3*F4^2+4*P35/6^4*F4^3-(10/6^6)*F4^4</f>
        <v>0.73784703840012533</v>
      </c>
    </row>
    <row r="40" spans="1:17" ht="14.7" x14ac:dyDescent="0.55000000000000004">
      <c r="A40" s="33">
        <v>1987</v>
      </c>
      <c r="B40" s="34">
        <v>1230000</v>
      </c>
      <c r="C40" s="18">
        <v>32</v>
      </c>
      <c r="D40" s="40">
        <f>LOG(B40)</f>
        <v>6.0899051114393981</v>
      </c>
      <c r="E40" s="18">
        <f>(D40-$B$2)^3</f>
        <v>-2.6285214995145283E-5</v>
      </c>
      <c r="F40" s="18">
        <f>(C40-3/8)/($B$1+1/4)</f>
        <v>0.35835694050991501</v>
      </c>
      <c r="G40" s="39">
        <f t="shared" si="0"/>
        <v>-0.3628540933694791</v>
      </c>
      <c r="H40" s="37" t="e">
        <f>EXP(-EXP(-$F$4*(B40-#REF!)))</f>
        <v>#REF!</v>
      </c>
      <c r="I40" s="38" t="e">
        <f t="shared" si="1"/>
        <v>#REF!</v>
      </c>
      <c r="J40" s="18">
        <f>2/$F$4*(1+$F$4*G40/6-$F$4^2/36)^3-2/$F$4</f>
        <v>-0.33628781363250582</v>
      </c>
      <c r="K40" s="50">
        <f>(D40-$B$2)^2</f>
        <v>8.8404496648078154E-4</v>
      </c>
      <c r="L40" s="50">
        <f>(J40-$F$5)^2</f>
        <v>0.11382138559709641</v>
      </c>
      <c r="M40" s="18">
        <f>(D40-$B$2)*(J40-$F$5)</f>
        <v>1.0031112750586607E-2</v>
      </c>
      <c r="O40" s="18" t="s">
        <v>86</v>
      </c>
      <c r="P40" s="39">
        <f>SQRT(1+P36*F4+P36^2/2*(3*F4^3/4+1)+3*P36*P39*(F4+F4^3/4)+3*P39^2*(2+3*F4^2+5*F4^4/8))</f>
        <v>2.3559238147620207</v>
      </c>
    </row>
    <row r="41" spans="1:17" ht="16.8" x14ac:dyDescent="0.75">
      <c r="A41" s="33">
        <v>1964</v>
      </c>
      <c r="B41" s="34">
        <v>1270000</v>
      </c>
      <c r="C41" s="18">
        <v>33</v>
      </c>
      <c r="D41" s="40">
        <f>LOG(B41)</f>
        <v>6.1038037209559572</v>
      </c>
      <c r="E41" s="18">
        <f>(D41-$B$2)^3</f>
        <v>-3.9700438487917089E-6</v>
      </c>
      <c r="F41" s="18">
        <f>(C41-3/8)/($B$1+1/4)</f>
        <v>0.36968838526912179</v>
      </c>
      <c r="G41" s="39">
        <f t="shared" si="0"/>
        <v>-0.33267877813035435</v>
      </c>
      <c r="H41" s="37" t="e">
        <f>EXP(-EXP(-$F$4*(B41-#REF!)))</f>
        <v>#REF!</v>
      </c>
      <c r="I41" s="38" t="e">
        <f t="shared" si="1"/>
        <v>#REF!</v>
      </c>
      <c r="J41" s="18">
        <f>2/$F$4*(1+$F$4*G41/6-$F$4^2/36)^3-2/$F$4</f>
        <v>-0.30553634130926</v>
      </c>
      <c r="K41" s="50">
        <f>(D41-$B$2)^2</f>
        <v>2.5072455491246024E-4</v>
      </c>
      <c r="L41" s="50">
        <f>(J41-$F$5)^2</f>
        <v>9.4017528729990529E-2</v>
      </c>
      <c r="M41" s="18">
        <f>(D41-$B$2)*(J41-$F$5)</f>
        <v>4.8551522164393896E-3</v>
      </c>
      <c r="O41" s="18" t="s">
        <v>94</v>
      </c>
      <c r="P41" s="39">
        <f>P40/SQRT(B1)*B3</f>
        <v>2.5282999848826607E-2</v>
      </c>
    </row>
    <row r="42" spans="1:17" ht="16.8" x14ac:dyDescent="0.75">
      <c r="A42" s="33">
        <v>1936</v>
      </c>
      <c r="B42" s="34">
        <v>1280000</v>
      </c>
      <c r="C42" s="18">
        <v>34.5</v>
      </c>
      <c r="D42" s="40">
        <f>LOG(B42)</f>
        <v>6.1072099696478688</v>
      </c>
      <c r="E42" s="18">
        <f>(D42-$B$2)^3</f>
        <v>-1.9195854622623428E-6</v>
      </c>
      <c r="F42" s="18">
        <f>(C42-3/8)/($B$1+1/4)</f>
        <v>0.38668555240793201</v>
      </c>
      <c r="G42" s="39">
        <f t="shared" si="0"/>
        <v>-0.28796816858829238</v>
      </c>
      <c r="H42" s="37" t="e">
        <f>EXP(-EXP(-$F$4*(B42-#REF!)))</f>
        <v>#REF!</v>
      </c>
      <c r="I42" s="38" t="e">
        <f t="shared" si="1"/>
        <v>#REF!</v>
      </c>
      <c r="J42" s="18">
        <f>2/$F$4*(1+$F$4*G42/6-$F$4^2/36)^3-2/$F$4</f>
        <v>-0.26007301544123251</v>
      </c>
      <c r="K42" s="50">
        <f>(D42-$B$2)^2</f>
        <v>1.5445606563753295E-4</v>
      </c>
      <c r="L42" s="50">
        <f>(J42-$F$5)^2</f>
        <v>6.8204260069474304E-2</v>
      </c>
      <c r="M42" s="18">
        <f>(D42-$B$2)*(J42-$F$5)</f>
        <v>3.245698949386725E-3</v>
      </c>
      <c r="O42" s="18" t="s">
        <v>85</v>
      </c>
      <c r="P42" s="18">
        <f>P38*(10^P41-10^-P41)/2</f>
        <v>127591.11418897289</v>
      </c>
      <c r="Q42" s="18" t="s">
        <v>80</v>
      </c>
    </row>
    <row r="43" spans="1:17" ht="17.100000000000001" x14ac:dyDescent="0.75">
      <c r="A43" s="33">
        <v>1995</v>
      </c>
      <c r="B43" s="34">
        <v>1280000</v>
      </c>
      <c r="C43" s="18">
        <v>34.5</v>
      </c>
      <c r="D43" s="40">
        <f>LOG(B43)</f>
        <v>6.1072099696478688</v>
      </c>
      <c r="E43" s="18">
        <f>(D43-$B$2)^3</f>
        <v>-1.9195854622623428E-6</v>
      </c>
      <c r="F43" s="18">
        <f>(C43-3/8)/($B$1+1/4)</f>
        <v>0.38668555240793201</v>
      </c>
      <c r="G43" s="39">
        <f t="shared" si="0"/>
        <v>-0.28796816858829238</v>
      </c>
      <c r="H43" s="37" t="e">
        <f>EXP(-EXP(-$F$4*(B43-#REF!)))</f>
        <v>#REF!</v>
      </c>
      <c r="I43" s="38" t="e">
        <f t="shared" si="1"/>
        <v>#REF!</v>
      </c>
      <c r="J43" s="18">
        <f>2/$F$4*(1+$F$4*G43/6-$F$4^2/36)^3-2/$F$4</f>
        <v>-0.26007301544123251</v>
      </c>
      <c r="K43" s="50">
        <f>(D43-$B$2)^2</f>
        <v>1.5445606563753295E-4</v>
      </c>
      <c r="L43" s="50">
        <f>(J43-$F$5)^2</f>
        <v>6.8204260069474304E-2</v>
      </c>
      <c r="M43" s="18">
        <f>(D43-$B$2)*(J43-$F$5)</f>
        <v>3.245698949386725E-3</v>
      </c>
      <c r="O43" s="18" t="s">
        <v>95</v>
      </c>
      <c r="P43" s="39">
        <f>_xlfn.NORM.INV(0.95,0,1)</f>
        <v>1.6448536269514715</v>
      </c>
      <c r="Q43" s="18" t="s">
        <v>96</v>
      </c>
    </row>
    <row r="44" spans="1:17" ht="17.7" x14ac:dyDescent="0.75">
      <c r="A44" s="33">
        <v>1955</v>
      </c>
      <c r="B44" s="34">
        <v>1282000</v>
      </c>
      <c r="C44" s="18">
        <v>36</v>
      </c>
      <c r="D44" s="40">
        <f>LOG(B44)</f>
        <v>6.1078880251827989</v>
      </c>
      <c r="E44" s="18">
        <f>(D44-$B$2)^3</f>
        <v>-1.6222260642701955E-6</v>
      </c>
      <c r="F44" s="18">
        <f>(C44-3/8)/($B$1+1/4)</f>
        <v>0.40368271954674223</v>
      </c>
      <c r="G44" s="39">
        <f t="shared" si="0"/>
        <v>-0.24382618560742569</v>
      </c>
      <c r="H44" s="37" t="e">
        <f>EXP(-EXP(-$F$4*(B44-#REF!)))</f>
        <v>#REF!</v>
      </c>
      <c r="I44" s="38" t="e">
        <f t="shared" si="1"/>
        <v>#REF!</v>
      </c>
      <c r="J44" s="18">
        <f>2/$F$4*(1+$F$4*G44/6-$F$4^2/36)^3-2/$F$4</f>
        <v>-0.2153060310888204</v>
      </c>
      <c r="K44" s="50">
        <f>(D44-$B$2)^2</f>
        <v>1.3806202846882834E-4</v>
      </c>
      <c r="L44" s="50">
        <f>(J44-$F$5)^2</f>
        <v>4.682570063506343E-2</v>
      </c>
      <c r="M44" s="18">
        <f>(D44-$B$2)*(J44-$F$5)</f>
        <v>2.5426071686658483E-3</v>
      </c>
      <c r="O44" s="18" t="s">
        <v>87</v>
      </c>
      <c r="P44" s="18">
        <f>P38+P42*P43</f>
        <v>2400306.1430851347</v>
      </c>
    </row>
    <row r="45" spans="1:17" ht="17.7" x14ac:dyDescent="0.75">
      <c r="A45" s="33">
        <v>1965</v>
      </c>
      <c r="B45" s="34">
        <v>1284000</v>
      </c>
      <c r="C45" s="18">
        <v>37</v>
      </c>
      <c r="D45" s="40">
        <f>LOG(B45)</f>
        <v>6.1085650237328348</v>
      </c>
      <c r="E45" s="18">
        <f>(D45-$B$2)^3</f>
        <v>-1.3576683987218689E-6</v>
      </c>
      <c r="F45" s="18">
        <f>(C45-3/8)/($B$1+1/4)</f>
        <v>0.41501416430594901</v>
      </c>
      <c r="G45" s="39">
        <f t="shared" si="0"/>
        <v>-0.21466523566554077</v>
      </c>
      <c r="H45" s="37" t="e">
        <f>EXP(-EXP(-$F$4*(B45-#REF!)))</f>
        <v>#REF!</v>
      </c>
      <c r="I45" s="38" t="e">
        <f t="shared" si="1"/>
        <v>#REF!</v>
      </c>
      <c r="J45" s="18">
        <f>2/$F$4*(1+$F$4*G45/6-$F$4^2/36)^3-2/$F$4</f>
        <v>-0.1857965074514123</v>
      </c>
      <c r="K45" s="50">
        <f>(D45-$B$2)^2</f>
        <v>1.2261091674792217E-4</v>
      </c>
      <c r="L45" s="50">
        <f>(J45-$F$5)^2</f>
        <v>3.4925235263206719E-2</v>
      </c>
      <c r="M45" s="18">
        <f>(D45-$B$2)*(J45-$F$5)</f>
        <v>2.0693513750106906E-3</v>
      </c>
      <c r="O45" s="18" t="s">
        <v>88</v>
      </c>
      <c r="P45" s="18">
        <f>P38-P42*P43</f>
        <v>1980568.729204112</v>
      </c>
    </row>
    <row r="46" spans="1:17" x14ac:dyDescent="0.55000000000000004">
      <c r="A46" s="33">
        <v>1947</v>
      </c>
      <c r="B46" s="34">
        <v>1301000</v>
      </c>
      <c r="C46" s="18">
        <v>38</v>
      </c>
      <c r="D46" s="40">
        <f>LOG(B46)</f>
        <v>6.1142772965615864</v>
      </c>
      <c r="E46" s="18">
        <f>(D46-$B$2)^3</f>
        <v>-1.5405173366809839E-7</v>
      </c>
      <c r="F46" s="18">
        <f>(C46-3/8)/($B$1+1/4)</f>
        <v>0.42634560906515578</v>
      </c>
      <c r="G46" s="39">
        <f t="shared" si="0"/>
        <v>-0.1856857317647102</v>
      </c>
      <c r="H46" s="37" t="e">
        <f>EXP(-EXP(-$F$4*(B46-#REF!)))</f>
        <v>#REF!</v>
      </c>
      <c r="I46" s="38" t="e">
        <f t="shared" si="1"/>
        <v>#REF!</v>
      </c>
      <c r="J46" s="18">
        <f>2/$F$4*(1+$F$4*G46/6-$F$4^2/36)^3-2/$F$4</f>
        <v>-0.15652124003042722</v>
      </c>
      <c r="K46" s="50">
        <f>(D46-$B$2)^2</f>
        <v>2.8737196222791955E-5</v>
      </c>
      <c r="L46" s="50">
        <f>(J46-$F$5)^2</f>
        <v>2.4840180142610958E-2</v>
      </c>
      <c r="M46" s="18">
        <f>(D46-$B$2)*(J46-$F$5)</f>
        <v>8.4488882757893736E-4</v>
      </c>
    </row>
    <row r="47" spans="1:17" x14ac:dyDescent="0.55000000000000004">
      <c r="A47" s="33">
        <v>1970</v>
      </c>
      <c r="B47" s="34">
        <v>1304000</v>
      </c>
      <c r="C47" s="18">
        <v>39</v>
      </c>
      <c r="D47" s="40">
        <f>LOG(B47)</f>
        <v>6.115277591395901</v>
      </c>
      <c r="E47" s="18">
        <f>(D47-$B$2)^3</f>
        <v>-8.2905452292404242E-8</v>
      </c>
      <c r="F47" s="18">
        <f>(C47-3/8)/($B$1+1/4)</f>
        <v>0.43767705382436262</v>
      </c>
      <c r="G47" s="39">
        <f t="shared" si="0"/>
        <v>-0.15686136685624064</v>
      </c>
      <c r="H47" s="37" t="e">
        <f>EXP(-EXP(-$F$4*(B47-#REF!)))</f>
        <v>#REF!</v>
      </c>
      <c r="I47" s="38" t="e">
        <f t="shared" si="1"/>
        <v>#REF!</v>
      </c>
      <c r="J47" s="18">
        <f>2/$F$4*(1+$F$4*G47/6-$F$4^2/36)^3-2/$F$4</f>
        <v>-0.12745273035526239</v>
      </c>
      <c r="K47" s="50">
        <f>(D47-$B$2)^2</f>
        <v>1.9013207824603971E-5</v>
      </c>
      <c r="L47" s="50">
        <f>(J47-$F$5)^2</f>
        <v>1.652231777574624E-2</v>
      </c>
      <c r="M47" s="18">
        <f>(D47-$B$2)*(J47-$F$5)</f>
        <v>5.6048395303916741E-4</v>
      </c>
    </row>
    <row r="48" spans="1:17" x14ac:dyDescent="0.55000000000000004">
      <c r="A48" s="33">
        <v>1957</v>
      </c>
      <c r="B48" s="34">
        <v>1312000</v>
      </c>
      <c r="C48" s="18">
        <v>40.5</v>
      </c>
      <c r="D48" s="40">
        <f>LOG(B48)</f>
        <v>6.1179338350396417</v>
      </c>
      <c r="E48" s="18">
        <f>(D48-$B$2)^3</f>
        <v>-4.949243335342726E-9</v>
      </c>
      <c r="F48" s="18">
        <f>(C48-3/8)/($B$1+1/4)</f>
        <v>0.45467422096317278</v>
      </c>
      <c r="G48" s="39">
        <f t="shared" si="0"/>
        <v>-0.1138604197443442</v>
      </c>
      <c r="H48" s="37" t="e">
        <f>EXP(-EXP(-$F$4*(B48-#REF!)))</f>
        <v>#REF!</v>
      </c>
      <c r="I48" s="38" t="e">
        <f t="shared" si="1"/>
        <v>#REF!</v>
      </c>
      <c r="J48" s="18">
        <f>2/$F$4*(1+$F$4*G48/6-$F$4^2/36)^3-2/$F$4</f>
        <v>-8.4180219444341731E-2</v>
      </c>
      <c r="K48" s="50">
        <f>(D48-$B$2)^2</f>
        <v>2.9041956546954693E-6</v>
      </c>
      <c r="L48" s="50">
        <f>(J48-$F$5)^2</f>
        <v>7.2704028546718025E-3</v>
      </c>
      <c r="M48" s="18">
        <f>(D48-$B$2)*(J48-$F$5)</f>
        <v>1.4530888609587297E-4</v>
      </c>
    </row>
    <row r="49" spans="1:13" x14ac:dyDescent="0.55000000000000004">
      <c r="A49" s="33">
        <v>1986</v>
      </c>
      <c r="B49" s="34">
        <v>1312000</v>
      </c>
      <c r="C49" s="18">
        <v>40.5</v>
      </c>
      <c r="D49" s="40">
        <f>LOG(B49)</f>
        <v>6.1179338350396417</v>
      </c>
      <c r="E49" s="18">
        <f>(D49-$B$2)^3</f>
        <v>-4.949243335342726E-9</v>
      </c>
      <c r="F49" s="18">
        <f>(C49-3/8)/($B$1+1/4)</f>
        <v>0.45467422096317278</v>
      </c>
      <c r="G49" s="39">
        <f t="shared" si="0"/>
        <v>-0.1138604197443442</v>
      </c>
      <c r="H49" s="37" t="e">
        <f>EXP(-EXP(-$F$4*(B49-#REF!)))</f>
        <v>#REF!</v>
      </c>
      <c r="I49" s="38" t="e">
        <f t="shared" si="1"/>
        <v>#REF!</v>
      </c>
      <c r="J49" s="18">
        <f>2/$F$4*(1+$F$4*G49/6-$F$4^2/36)^3-2/$F$4</f>
        <v>-8.4180219444341731E-2</v>
      </c>
      <c r="K49" s="50">
        <f>(D49-$B$2)^2</f>
        <v>2.9041956546954693E-6</v>
      </c>
      <c r="L49" s="50">
        <f>(J49-$F$5)^2</f>
        <v>7.2704028546718025E-3</v>
      </c>
      <c r="M49" s="18">
        <f>(D49-$B$2)*(J49-$F$5)</f>
        <v>1.4530888609587297E-4</v>
      </c>
    </row>
    <row r="50" spans="1:13" x14ac:dyDescent="0.55000000000000004">
      <c r="A50" s="33">
        <v>1999</v>
      </c>
      <c r="B50" s="7">
        <v>1315000</v>
      </c>
      <c r="C50" s="18">
        <v>42</v>
      </c>
      <c r="D50" s="40">
        <f>LOG(B50)</f>
        <v>6.1189257528257768</v>
      </c>
      <c r="E50" s="18">
        <f>(D50-$B$2)^3</f>
        <v>-3.6132795749195425E-10</v>
      </c>
      <c r="F50" s="18">
        <f>(C50-3/8)/($B$1+1/4)</f>
        <v>0.471671388101983</v>
      </c>
      <c r="G50" s="39">
        <f t="shared" si="0"/>
        <v>-7.1069080386176819E-2</v>
      </c>
      <c r="H50" s="37" t="e">
        <f>EXP(-EXP(-$F$4*(B50-#REF!)))</f>
        <v>#REF!</v>
      </c>
      <c r="I50" s="38" t="e">
        <f t="shared" si="1"/>
        <v>#REF!</v>
      </c>
      <c r="J50" s="18">
        <f>2/$F$4*(1+$F$4*G50/6-$F$4^2/36)^3-2/$F$4</f>
        <v>-4.1228651021636864E-2</v>
      </c>
      <c r="K50" s="50">
        <f>(D50-$B$2)^2</f>
        <v>5.0730332724385633E-7</v>
      </c>
      <c r="L50" s="50">
        <f>(J50-$F$5)^2</f>
        <v>1.7905667504432637E-3</v>
      </c>
      <c r="M50" s="18">
        <f>(D50-$B$2)*(J50-$F$5)</f>
        <v>3.0139019064197951E-5</v>
      </c>
    </row>
    <row r="51" spans="1:13" x14ac:dyDescent="0.55000000000000004">
      <c r="A51" s="33">
        <v>1971</v>
      </c>
      <c r="B51" s="34">
        <v>1320000</v>
      </c>
      <c r="C51" s="18">
        <v>43.5</v>
      </c>
      <c r="D51" s="40">
        <f>LOG(B51)</f>
        <v>6.1205739312058496</v>
      </c>
      <c r="E51" s="18">
        <f>(D51-$B$2)^3</f>
        <v>8.1983160990568165E-10</v>
      </c>
      <c r="F51" s="18">
        <f>(C51-3/8)/($B$1+1/4)</f>
        <v>0.48866855524079322</v>
      </c>
      <c r="G51" s="39">
        <f t="shared" si="0"/>
        <v>-2.8407540122316478E-2</v>
      </c>
      <c r="H51" s="37" t="e">
        <f>EXP(-EXP(-$F$4*(B51-#REF!)))</f>
        <v>#REF!</v>
      </c>
      <c r="I51" s="38" t="e">
        <f t="shared" si="1"/>
        <v>#REF!</v>
      </c>
      <c r="J51" s="18">
        <f>2/$F$4*(1+$F$4*G51/6-$F$4^2/36)^3-2/$F$4</f>
        <v>1.483528348341423E-3</v>
      </c>
      <c r="K51" s="50">
        <f>(D51-$B$2)^2</f>
        <v>8.7595764261830677E-7</v>
      </c>
      <c r="L51" s="50">
        <f>(J51-$F$5)^2</f>
        <v>1.5768082418999536E-7</v>
      </c>
      <c r="M51" s="18">
        <f>(D51-$B$2)*(J51-$F$5)</f>
        <v>3.7164731001795239E-7</v>
      </c>
    </row>
    <row r="52" spans="1:13" x14ac:dyDescent="0.55000000000000004">
      <c r="A52" s="33">
        <v>2010</v>
      </c>
      <c r="B52" s="7">
        <v>1320000</v>
      </c>
      <c r="C52" s="18">
        <v>43.5</v>
      </c>
      <c r="D52" s="40">
        <f>LOG(B52)</f>
        <v>6.1205739312058496</v>
      </c>
      <c r="E52" s="18">
        <f>(D52-$B$2)^3</f>
        <v>8.1983160990568165E-10</v>
      </c>
      <c r="F52" s="18">
        <f>(C52-3/8)/($B$1+1/4)</f>
        <v>0.48866855524079322</v>
      </c>
      <c r="G52" s="39">
        <f t="shared" si="0"/>
        <v>-2.8407540122316478E-2</v>
      </c>
      <c r="H52" s="37" t="e">
        <f>EXP(-EXP(-$F$4*(B52-#REF!)))</f>
        <v>#REF!</v>
      </c>
      <c r="I52" s="38" t="e">
        <f t="shared" si="1"/>
        <v>#REF!</v>
      </c>
      <c r="J52" s="18">
        <f>2/$F$4*(1+$F$4*G52/6-$F$4^2/36)^3-2/$F$4</f>
        <v>1.483528348341423E-3</v>
      </c>
      <c r="K52" s="50">
        <f>(D52-$B$2)^2</f>
        <v>8.7595764261830677E-7</v>
      </c>
      <c r="L52" s="50">
        <f>(J52-$F$5)^2</f>
        <v>1.5768082418999536E-7</v>
      </c>
      <c r="M52" s="18">
        <f>(D52-$B$2)*(J52-$F$5)</f>
        <v>3.7164731001795239E-7</v>
      </c>
    </row>
    <row r="53" spans="1:13" x14ac:dyDescent="0.55000000000000004">
      <c r="A53" s="33">
        <v>1928</v>
      </c>
      <c r="B53" s="34">
        <v>1325000</v>
      </c>
      <c r="C53" s="18">
        <v>45</v>
      </c>
      <c r="D53" s="40">
        <f>LOG(B53)</f>
        <v>6.1222158782728267</v>
      </c>
      <c r="E53" s="18">
        <f>(D53-$B$2)^3</f>
        <v>1.7131075612869243E-8</v>
      </c>
      <c r="F53" s="18">
        <f>(C53-3/8)/($B$1+1/4)</f>
        <v>0.50566572237960339</v>
      </c>
      <c r="G53" s="39">
        <f t="shared" si="0"/>
        <v>1.4202337348835083E-2</v>
      </c>
      <c r="H53" s="37" t="e">
        <f>EXP(-EXP(-$F$4*(B53-#REF!)))</f>
        <v>#REF!</v>
      </c>
      <c r="I53" s="38" t="e">
        <f t="shared" si="1"/>
        <v>#REF!</v>
      </c>
      <c r="J53" s="18">
        <f>2/$F$4*(1+$F$4*G53/6-$F$4^2/36)^3-2/$F$4</f>
        <v>4.4035381775874072E-2</v>
      </c>
      <c r="K53" s="50">
        <f>(D53-$B$2)^2</f>
        <v>6.6454300043063845E-6</v>
      </c>
      <c r="L53" s="50">
        <f>(J53-$F$5)^2</f>
        <v>1.8446117800557935E-3</v>
      </c>
      <c r="M53" s="18">
        <f>(D53-$B$2)*(J53-$F$5)</f>
        <v>1.1071692946193811E-4</v>
      </c>
    </row>
    <row r="54" spans="1:13" x14ac:dyDescent="0.55000000000000004">
      <c r="A54" s="33">
        <v>1993</v>
      </c>
      <c r="B54" s="34">
        <v>1333000</v>
      </c>
      <c r="C54" s="18">
        <v>46</v>
      </c>
      <c r="D54" s="40">
        <f>LOG(B54)</f>
        <v>6.1248301494138593</v>
      </c>
      <c r="E54" s="18">
        <f>(D54-$B$2)^3</f>
        <v>1.39971707534161E-7</v>
      </c>
      <c r="F54" s="18">
        <f>(C54-3/8)/($B$1+1/4)</f>
        <v>0.51699716713881017</v>
      </c>
      <c r="G54" s="39">
        <f t="shared" si="0"/>
        <v>4.2618477794149533E-2</v>
      </c>
      <c r="H54" s="37" t="e">
        <f>EXP(-EXP(-$F$4*(B54-#REF!)))</f>
        <v>#REF!</v>
      </c>
      <c r="I54" s="38" t="e">
        <f t="shared" si="1"/>
        <v>#REF!</v>
      </c>
      <c r="J54" s="18">
        <f>2/$F$4*(1+$F$4*G54/6-$F$4^2/36)^3-2/$F$4</f>
        <v>7.2352568658187622E-2</v>
      </c>
      <c r="K54" s="50">
        <f>(D54-$B$2)^2</f>
        <v>2.6958362392912288E-5</v>
      </c>
      <c r="L54" s="50">
        <f>(J54-$F$5)^2</f>
        <v>5.0788613932477621E-3</v>
      </c>
      <c r="M54" s="18">
        <f>(D54-$B$2)*(J54-$F$5)</f>
        <v>3.7002403433093989E-4</v>
      </c>
    </row>
    <row r="55" spans="1:13" x14ac:dyDescent="0.55000000000000004">
      <c r="A55" s="33">
        <v>1963</v>
      </c>
      <c r="B55" s="34">
        <v>1334000</v>
      </c>
      <c r="C55" s="18">
        <v>47</v>
      </c>
      <c r="D55" s="40">
        <f>LOG(B55)</f>
        <v>6.12515582958053</v>
      </c>
      <c r="E55" s="18">
        <f>(D55-$B$2)^3</f>
        <v>1.6799781791099367E-7</v>
      </c>
      <c r="F55" s="18">
        <f>(C55-3/8)/($B$1+1/4)</f>
        <v>0.52832861189801694</v>
      </c>
      <c r="G55" s="39">
        <f t="shared" si="0"/>
        <v>7.1069080386176667E-2</v>
      </c>
      <c r="H55" s="37" t="e">
        <f>EXP(-EXP(-$F$4*(B55-#REF!)))</f>
        <v>#REF!</v>
      </c>
      <c r="I55" s="38" t="e">
        <f t="shared" si="1"/>
        <v>#REF!</v>
      </c>
      <c r="J55" s="18">
        <f>2/$F$4*(1+$F$4*G55/6-$F$4^2/36)^3-2/$F$4</f>
        <v>0.10065584185279697</v>
      </c>
      <c r="K55" s="50">
        <f>(D55-$B$2)^2</f>
        <v>3.0446386803426077E-5</v>
      </c>
      <c r="L55" s="50">
        <f>(J55-$F$5)^2</f>
        <v>9.9140662035217802E-3</v>
      </c>
      <c r="M55" s="18">
        <f>(D55-$B$2)*(J55-$F$5)</f>
        <v>5.4940649288773237E-4</v>
      </c>
    </row>
    <row r="56" spans="1:13" x14ac:dyDescent="0.55000000000000004">
      <c r="A56" s="33">
        <v>1978</v>
      </c>
      <c r="B56" s="34">
        <v>1350000</v>
      </c>
      <c r="C56" s="18">
        <v>48.5</v>
      </c>
      <c r="D56" s="40">
        <f>LOG(B56)</f>
        <v>6.1303337684950066</v>
      </c>
      <c r="E56" s="18">
        <f>(D56-$B$2)^3</f>
        <v>1.2235884233149796E-6</v>
      </c>
      <c r="F56" s="18">
        <f>(C56-3/8)/($B$1+1/4)</f>
        <v>0.54532577903682722</v>
      </c>
      <c r="G56" s="39">
        <f t="shared" si="0"/>
        <v>0.1138604197443442</v>
      </c>
      <c r="H56" s="37" t="e">
        <f>EXP(-EXP(-$F$4*(B56-#REF!)))</f>
        <v>#REF!</v>
      </c>
      <c r="I56" s="38" t="e">
        <f t="shared" si="1"/>
        <v>#REF!</v>
      </c>
      <c r="J56" s="18">
        <f>2/$F$4*(1+$F$4*G56/6-$F$4^2/36)^3-2/$F$4</f>
        <v>0.14313475309514168</v>
      </c>
      <c r="K56" s="50">
        <f>(D56-$B$2)^2</f>
        <v>1.1439935422492428E-4</v>
      </c>
      <c r="L56" s="50">
        <f>(J56-$F$5)^2</f>
        <v>2.0177723849787617E-2</v>
      </c>
      <c r="M56" s="18">
        <f>(D56-$B$2)*(J56-$F$5)</f>
        <v>1.5193151674832172E-3</v>
      </c>
    </row>
    <row r="57" spans="1:13" x14ac:dyDescent="0.55000000000000004">
      <c r="A57" s="33">
        <v>1998</v>
      </c>
      <c r="B57" s="7">
        <v>1350000</v>
      </c>
      <c r="C57" s="18">
        <v>48.5</v>
      </c>
      <c r="D57" s="40">
        <f>LOG(B57)</f>
        <v>6.1303337684950066</v>
      </c>
      <c r="E57" s="18">
        <f>(D57-$B$2)^3</f>
        <v>1.2235884233149796E-6</v>
      </c>
      <c r="F57" s="18">
        <f>(C57-3/8)/($B$1+1/4)</f>
        <v>0.54532577903682722</v>
      </c>
      <c r="G57" s="39">
        <f t="shared" si="0"/>
        <v>0.1138604197443442</v>
      </c>
      <c r="H57" s="37" t="e">
        <f>EXP(-EXP(-$F$4*(B57-#REF!)))</f>
        <v>#REF!</v>
      </c>
      <c r="I57" s="38" t="e">
        <f t="shared" si="1"/>
        <v>#REF!</v>
      </c>
      <c r="J57" s="18">
        <f>2/$F$4*(1+$F$4*G57/6-$F$4^2/36)^3-2/$F$4</f>
        <v>0.14313475309514168</v>
      </c>
      <c r="K57" s="50">
        <f>(D57-$B$2)^2</f>
        <v>1.1439935422492428E-4</v>
      </c>
      <c r="L57" s="50">
        <f>(J57-$F$5)^2</f>
        <v>2.0177723849787617E-2</v>
      </c>
      <c r="M57" s="18">
        <f>(D57-$B$2)*(J57-$F$5)</f>
        <v>1.5193151674832172E-3</v>
      </c>
    </row>
    <row r="58" spans="1:13" x14ac:dyDescent="0.55000000000000004">
      <c r="A58" s="33">
        <v>1951</v>
      </c>
      <c r="B58" s="34">
        <v>1356000</v>
      </c>
      <c r="C58" s="18">
        <v>50</v>
      </c>
      <c r="D58" s="40">
        <f>LOG(B58)</f>
        <v>6.1322596895310442</v>
      </c>
      <c r="E58" s="18">
        <f>(D58-$B$2)^3</f>
        <v>2.010721636700405E-6</v>
      </c>
      <c r="F58" s="18">
        <f>(C58-3/8)/($B$1+1/4)</f>
        <v>0.56232294617563738</v>
      </c>
      <c r="G58" s="39">
        <f t="shared" si="0"/>
        <v>0.15686136685624064</v>
      </c>
      <c r="H58" s="37" t="e">
        <f>EXP(-EXP(-$F$4*(B58-#REF!)))</f>
        <v>#REF!</v>
      </c>
      <c r="I58" s="38" t="e">
        <f t="shared" si="1"/>
        <v>#REF!</v>
      </c>
      <c r="J58" s="18">
        <f>2/$F$4*(1+$F$4*G58/6-$F$4^2/36)^3-2/$F$4</f>
        <v>0.1857119428993812</v>
      </c>
      <c r="K58" s="50">
        <f>(D58-$B$2)^2</f>
        <v>1.5930691743193401E-4</v>
      </c>
      <c r="L58" s="50">
        <f>(J58-$F$5)^2</f>
        <v>3.4086577096288623E-2</v>
      </c>
      <c r="M58" s="18">
        <f>(D58-$B$2)*(J58-$F$5)</f>
        <v>2.3302848587706407E-3</v>
      </c>
    </row>
    <row r="59" spans="1:13" x14ac:dyDescent="0.55000000000000004">
      <c r="A59" s="33">
        <v>1933</v>
      </c>
      <c r="B59" s="34">
        <v>1360000</v>
      </c>
      <c r="C59" s="18">
        <v>51</v>
      </c>
      <c r="D59" s="40">
        <f>LOG(B59)</f>
        <v>6.1335389083702179</v>
      </c>
      <c r="E59" s="18">
        <f>(D59-$B$2)^3</f>
        <v>2.6861425863223931E-6</v>
      </c>
      <c r="F59" s="18">
        <f>(C59-3/8)/($B$1+1/4)</f>
        <v>0.57365439093484416</v>
      </c>
      <c r="G59" s="39">
        <f t="shared" si="0"/>
        <v>0.18568573176471007</v>
      </c>
      <c r="H59" s="37" t="e">
        <f>EXP(-EXP(-$F$4*(B59-#REF!)))</f>
        <v>#REF!</v>
      </c>
      <c r="I59" s="38" t="e">
        <f t="shared" si="1"/>
        <v>#REF!</v>
      </c>
      <c r="J59" s="18">
        <f>2/$F$4*(1+$F$4*G59/6-$F$4^2/36)^3-2/$F$4</f>
        <v>0.2141907076327243</v>
      </c>
      <c r="K59" s="50">
        <f>(D59-$B$2)^2</f>
        <v>1.9323511123793121E-4</v>
      </c>
      <c r="L59" s="50">
        <f>(J59-$F$5)^2</f>
        <v>4.5413429778331668E-2</v>
      </c>
      <c r="M59" s="18">
        <f>(D59-$B$2)*(J59-$F$5)</f>
        <v>2.9623418362693891E-3</v>
      </c>
    </row>
    <row r="60" spans="1:13" x14ac:dyDescent="0.55000000000000004">
      <c r="A60" s="33">
        <v>1952</v>
      </c>
      <c r="B60" s="34">
        <v>1368000</v>
      </c>
      <c r="C60" s="18">
        <v>52</v>
      </c>
      <c r="D60" s="40">
        <f>LOG(B60)</f>
        <v>6.1360860973840978</v>
      </c>
      <c r="E60" s="18">
        <f>(D60-$B$2)^3</f>
        <v>4.4498625922139548E-6</v>
      </c>
      <c r="F60" s="18">
        <f>(C60-3/8)/($B$1+1/4)</f>
        <v>0.58498583569405094</v>
      </c>
      <c r="G60" s="39">
        <f t="shared" si="0"/>
        <v>0.2146652356655406</v>
      </c>
      <c r="H60" s="37" t="e">
        <f>EXP(-EXP(-$F$4*(B60-#REF!)))</f>
        <v>#REF!</v>
      </c>
      <c r="I60" s="38" t="e">
        <f t="shared" si="1"/>
        <v>#REF!</v>
      </c>
      <c r="J60" s="18">
        <f>2/$F$4*(1+$F$4*G60/6-$F$4^2/36)^3-2/$F$4</f>
        <v>0.24277300253367784</v>
      </c>
      <c r="K60" s="50">
        <f>(D60-$B$2)^2</f>
        <v>2.705397392063845E-4</v>
      </c>
      <c r="L60" s="50">
        <f>(J60-$F$5)^2</f>
        <v>5.8412395524444757E-2</v>
      </c>
      <c r="M60" s="18">
        <f>(D60-$B$2)*(J60-$F$5)</f>
        <v>3.9752829146619826E-3</v>
      </c>
    </row>
    <row r="61" spans="1:13" x14ac:dyDescent="0.55000000000000004">
      <c r="A61" s="33">
        <v>1980</v>
      </c>
      <c r="B61" s="34">
        <v>1370000</v>
      </c>
      <c r="C61" s="18">
        <v>53.5</v>
      </c>
      <c r="D61" s="40">
        <f>LOG(B61)</f>
        <v>6.1367205671564067</v>
      </c>
      <c r="E61" s="18">
        <f>(D61-$B$2)^3</f>
        <v>4.9849294914091896E-6</v>
      </c>
      <c r="F61" s="18">
        <f>(C61-3/8)/($B$1+1/4)</f>
        <v>0.60198300283286121</v>
      </c>
      <c r="G61" s="39">
        <f t="shared" si="0"/>
        <v>0.25848322412897878</v>
      </c>
      <c r="H61" s="37" t="e">
        <f>EXP(-EXP(-$F$4*(B61-#REF!)))</f>
        <v>#REF!</v>
      </c>
      <c r="I61" s="38" t="e">
        <f t="shared" si="1"/>
        <v>#REF!</v>
      </c>
      <c r="J61" s="18">
        <f>2/$F$4*(1+$F$4*G61/6-$F$4^2/36)^3-2/$F$4</f>
        <v>0.28589576074698364</v>
      </c>
      <c r="K61" s="50">
        <f>(D61-$B$2)^2</f>
        <v>2.9181392580880552E-4</v>
      </c>
      <c r="L61" s="50">
        <f>(J61-$F$5)^2</f>
        <v>8.1116350380576005E-2</v>
      </c>
      <c r="M61" s="18">
        <f>(D61-$B$2)*(J61-$F$5)</f>
        <v>4.865272926757396E-3</v>
      </c>
    </row>
    <row r="62" spans="1:13" x14ac:dyDescent="0.55000000000000004">
      <c r="A62" s="33">
        <v>2003</v>
      </c>
      <c r="B62" s="7">
        <v>1370000</v>
      </c>
      <c r="C62" s="18">
        <v>53.5</v>
      </c>
      <c r="D62" s="40">
        <f>LOG(B62)</f>
        <v>6.1367205671564067</v>
      </c>
      <c r="E62" s="18">
        <f>(D62-$B$2)^3</f>
        <v>4.9849294914091896E-6</v>
      </c>
      <c r="F62" s="18">
        <f>(C62-3/8)/($B$1+1/4)</f>
        <v>0.60198300283286121</v>
      </c>
      <c r="G62" s="39">
        <f t="shared" si="0"/>
        <v>0.25848322412897878</v>
      </c>
      <c r="H62" s="37" t="e">
        <f>EXP(-EXP(-$F$4*(B62-#REF!)))</f>
        <v>#REF!</v>
      </c>
      <c r="I62" s="38" t="e">
        <f t="shared" si="1"/>
        <v>#REF!</v>
      </c>
      <c r="J62" s="18">
        <f>2/$F$4*(1+$F$4*G62/6-$F$4^2/36)^3-2/$F$4</f>
        <v>0.28589576074698364</v>
      </c>
      <c r="K62" s="50">
        <f>(D62-$B$2)^2</f>
        <v>2.9181392580880552E-4</v>
      </c>
      <c r="L62" s="50">
        <f>(J62-$F$5)^2</f>
        <v>8.1116350380576005E-2</v>
      </c>
      <c r="M62" s="18">
        <f>(D62-$B$2)*(J62-$F$5)</f>
        <v>4.865272926757396E-3</v>
      </c>
    </row>
    <row r="63" spans="1:13" x14ac:dyDescent="0.55000000000000004">
      <c r="A63" s="33">
        <v>1990</v>
      </c>
      <c r="B63" s="34">
        <v>1380000</v>
      </c>
      <c r="C63" s="18">
        <v>55.5</v>
      </c>
      <c r="D63" s="40">
        <f>LOG(B63)</f>
        <v>6.1398790864012369</v>
      </c>
      <c r="E63" s="18">
        <f>(D63-$B$2)^3</f>
        <v>8.2927987631409601E-6</v>
      </c>
      <c r="F63" s="18">
        <f>(C63-3/8)/($B$1+1/4)</f>
        <v>0.62464589235127477</v>
      </c>
      <c r="G63" s="39">
        <f t="shared" si="0"/>
        <v>0.31770566283286567</v>
      </c>
      <c r="H63" s="37" t="e">
        <f>EXP(-EXP(-$F$4*(B63-#REF!)))</f>
        <v>#REF!</v>
      </c>
      <c r="I63" s="38" t="e">
        <f t="shared" si="1"/>
        <v>#REF!</v>
      </c>
      <c r="J63" s="18">
        <f>2/$F$4*(1+$F$4*G63/6-$F$4^2/36)^3-2/$F$4</f>
        <v>0.34399775272242827</v>
      </c>
      <c r="K63" s="50">
        <f>(D63-$B$2)^2</f>
        <v>4.0970137152976171E-4</v>
      </c>
      <c r="L63" s="50">
        <f>(J63-$F$5)^2</f>
        <v>0.11758816983326897</v>
      </c>
      <c r="M63" s="18">
        <f>(D63-$B$2)*(J63-$F$5)</f>
        <v>6.9408957963914752E-3</v>
      </c>
    </row>
    <row r="64" spans="1:13" x14ac:dyDescent="0.55000000000000004">
      <c r="A64" s="33">
        <v>2013</v>
      </c>
      <c r="B64" s="7">
        <v>1380000</v>
      </c>
      <c r="C64" s="18">
        <v>55.5</v>
      </c>
      <c r="D64" s="40">
        <f>LOG(B64)</f>
        <v>6.1398790864012369</v>
      </c>
      <c r="E64" s="18">
        <f>(D64-$B$2)^3</f>
        <v>8.2927987631409601E-6</v>
      </c>
      <c r="F64" s="18">
        <f>(C64-3/8)/($B$1+1/4)</f>
        <v>0.62464589235127477</v>
      </c>
      <c r="G64" s="39">
        <f t="shared" si="0"/>
        <v>0.31770566283286567</v>
      </c>
      <c r="H64" s="37" t="e">
        <f>EXP(-EXP(-$F$4*(B64-#REF!)))</f>
        <v>#REF!</v>
      </c>
      <c r="I64" s="38" t="e">
        <f t="shared" si="1"/>
        <v>#REF!</v>
      </c>
      <c r="J64" s="18">
        <f>2/$F$4*(1+$F$4*G64/6-$F$4^2/36)^3-2/$F$4</f>
        <v>0.34399775272242827</v>
      </c>
      <c r="K64" s="50">
        <f>(D64-$B$2)^2</f>
        <v>4.0970137152976171E-4</v>
      </c>
      <c r="L64" s="50">
        <f>(J64-$F$5)^2</f>
        <v>0.11758816983326897</v>
      </c>
      <c r="M64" s="18">
        <f>(D64-$B$2)*(J64-$F$5)</f>
        <v>6.9408957963914752E-3</v>
      </c>
    </row>
    <row r="65" spans="1:13" x14ac:dyDescent="0.55000000000000004">
      <c r="A65" s="33">
        <v>1948</v>
      </c>
      <c r="B65" s="34">
        <v>1401000</v>
      </c>
      <c r="C65" s="18">
        <v>57</v>
      </c>
      <c r="D65" s="40">
        <f>LOG(B65)</f>
        <v>6.1464381352857744</v>
      </c>
      <c r="E65" s="18">
        <f>(D65-$B$2)^3</f>
        <v>1.9249112477275992E-5</v>
      </c>
      <c r="F65" s="18">
        <f>(C65-3/8)/($B$1+1/4)</f>
        <v>0.64164305949008493</v>
      </c>
      <c r="G65" s="39">
        <f t="shared" si="0"/>
        <v>0.36285409336947888</v>
      </c>
      <c r="H65" s="37" t="e">
        <f>EXP(-EXP(-$F$4*(B65-#REF!)))</f>
        <v>#REF!</v>
      </c>
      <c r="I65" s="38" t="e">
        <f t="shared" si="1"/>
        <v>#REF!</v>
      </c>
      <c r="J65" s="18">
        <f>2/$F$4*(1+$F$4*G65/6-$F$4^2/36)^3-2/$F$4</f>
        <v>0.38815259810948533</v>
      </c>
      <c r="K65" s="50">
        <f>(D65-$B$2)^2</f>
        <v>7.1824697702972272E-4</v>
      </c>
      <c r="L65" s="50">
        <f>(J65-$F$5)^2</f>
        <v>0.14982021237934032</v>
      </c>
      <c r="M65" s="18">
        <f>(D65-$B$2)*(J65-$F$5)</f>
        <v>1.0373423477300645E-2</v>
      </c>
    </row>
    <row r="66" spans="1:13" x14ac:dyDescent="0.55000000000000004">
      <c r="A66" s="33">
        <v>1969</v>
      </c>
      <c r="B66" s="34">
        <v>1404000</v>
      </c>
      <c r="C66" s="18">
        <v>58</v>
      </c>
      <c r="D66" s="40">
        <f>LOG(B66)</f>
        <v>6.1473671077937864</v>
      </c>
      <c r="E66" s="18">
        <f>(D66-$B$2)^3</f>
        <v>2.1320993984677863E-5</v>
      </c>
      <c r="F66" s="18">
        <f>(C66-3/8)/($B$1+1/4)</f>
        <v>0.65297450424929182</v>
      </c>
      <c r="G66" s="39">
        <f t="shared" si="0"/>
        <v>0.39336354407828611</v>
      </c>
      <c r="H66" s="37" t="e">
        <f>EXP(-EXP(-$F$4*(B66-#REF!)))</f>
        <v>#REF!</v>
      </c>
      <c r="I66" s="38" t="e">
        <f t="shared" si="1"/>
        <v>#REF!</v>
      </c>
      <c r="J66" s="18">
        <f>2/$F$4*(1+$F$4*G66/6-$F$4^2/36)^3-2/$F$4</f>
        <v>0.41792242769311017</v>
      </c>
      <c r="K66" s="50">
        <f>(D66-$B$2)^2</f>
        <v>7.6890313522506805E-4</v>
      </c>
      <c r="L66" s="50">
        <f>(J66-$F$5)^2</f>
        <v>0.17375224238682913</v>
      </c>
      <c r="M66" s="18">
        <f>(D66-$B$2)*(J66-$F$5)</f>
        <v>1.1558487960093174E-2</v>
      </c>
    </row>
    <row r="67" spans="1:13" x14ac:dyDescent="0.55000000000000004">
      <c r="A67" s="33">
        <v>1932</v>
      </c>
      <c r="B67" s="34">
        <v>1410000</v>
      </c>
      <c r="C67" s="18">
        <v>59.5</v>
      </c>
      <c r="D67" s="40">
        <f>LOG(B67)</f>
        <v>6.1492191126553797</v>
      </c>
      <c r="E67" s="18">
        <f>(D67-$B$2)^3</f>
        <v>2.5884709229044259E-5</v>
      </c>
      <c r="F67" s="18">
        <f>(C67-3/8)/($B$1+1/4)</f>
        <v>0.66997167138810199</v>
      </c>
      <c r="G67" s="39">
        <f t="shared" si="0"/>
        <v>0.43983494332104195</v>
      </c>
      <c r="H67" s="37" t="e">
        <f>EXP(-EXP(-$F$4*(B67-#REF!)))</f>
        <v>#REF!</v>
      </c>
      <c r="I67" s="38" t="e">
        <f t="shared" si="1"/>
        <v>#REF!</v>
      </c>
      <c r="J67" s="18">
        <f>2/$F$4*(1+$F$4*G67/6-$F$4^2/36)^3-2/$F$4</f>
        <v>0.46316168758440313</v>
      </c>
      <c r="K67" s="50">
        <f>(D67-$B$2)^2</f>
        <v>8.7504192316017332E-4</v>
      </c>
      <c r="L67" s="50">
        <f>(J67-$F$5)^2</f>
        <v>0.21351353637093373</v>
      </c>
      <c r="M67" s="18">
        <f>(D67-$B$2)*(J67-$F$5)</f>
        <v>1.3668697651449881E-2</v>
      </c>
    </row>
    <row r="68" spans="1:13" x14ac:dyDescent="0.55000000000000004">
      <c r="A68" s="33">
        <v>1939</v>
      </c>
      <c r="B68" s="34">
        <v>1410000</v>
      </c>
      <c r="C68" s="18">
        <v>59.5</v>
      </c>
      <c r="D68" s="40">
        <f>LOG(B68)</f>
        <v>6.1492191126553797</v>
      </c>
      <c r="E68" s="18">
        <f>(D68-$B$2)^3</f>
        <v>2.5884709229044259E-5</v>
      </c>
      <c r="F68" s="18">
        <f>(C68-3/8)/($B$1+1/4)</f>
        <v>0.66997167138810199</v>
      </c>
      <c r="G68" s="39">
        <f t="shared" si="0"/>
        <v>0.43983494332104195</v>
      </c>
      <c r="H68" s="37" t="e">
        <f>EXP(-EXP(-$F$4*(B68-#REF!)))</f>
        <v>#REF!</v>
      </c>
      <c r="I68" s="38" t="e">
        <f t="shared" si="1"/>
        <v>#REF!</v>
      </c>
      <c r="J68" s="18">
        <f>2/$F$4*(1+$F$4*G68/6-$F$4^2/36)^3-2/$F$4</f>
        <v>0.46316168758440313</v>
      </c>
      <c r="K68" s="50">
        <f>(D68-$B$2)^2</f>
        <v>8.7504192316017332E-4</v>
      </c>
      <c r="L68" s="50">
        <f>(J68-$F$5)^2</f>
        <v>0.21351353637093373</v>
      </c>
      <c r="M68" s="18">
        <f>(D68-$B$2)*(J68-$F$5)</f>
        <v>1.3668697651449881E-2</v>
      </c>
    </row>
    <row r="69" spans="1:13" x14ac:dyDescent="0.55000000000000004">
      <c r="A69" s="33">
        <v>1935</v>
      </c>
      <c r="B69" s="34">
        <v>1420000</v>
      </c>
      <c r="C69" s="18">
        <v>61</v>
      </c>
      <c r="D69" s="40">
        <f>LOG(B69)</f>
        <v>6.1522883443830567</v>
      </c>
      <c r="E69" s="18">
        <f>(D69-$B$2)^3</f>
        <v>3.4806719630023423E-5</v>
      </c>
      <c r="F69" s="18">
        <f>(C69-3/8)/($B$1+1/4)</f>
        <v>0.68696883852691215</v>
      </c>
      <c r="G69" s="39">
        <f t="shared" si="0"/>
        <v>0.48727660726912242</v>
      </c>
      <c r="H69" s="37" t="e">
        <f>EXP(-EXP(-$F$4*(B69-#REF!)))</f>
        <v>#REF!</v>
      </c>
      <c r="I69" s="38" t="e">
        <f t="shared" si="1"/>
        <v>#REF!</v>
      </c>
      <c r="J69" s="18">
        <f>2/$F$4*(1+$F$4*G69/6-$F$4^2/36)^3-2/$F$4</f>
        <v>0.5092141811066746</v>
      </c>
      <c r="K69" s="50">
        <f>(D69-$B$2)^2</f>
        <v>1.0660446541477552E-3</v>
      </c>
      <c r="L69" s="50">
        <f>(J69-$F$5)^2</f>
        <v>0.25819380341634157</v>
      </c>
      <c r="M69" s="18">
        <f>(D69-$B$2)*(J69-$F$5)</f>
        <v>1.6590543205876874E-2</v>
      </c>
    </row>
    <row r="70" spans="1:13" x14ac:dyDescent="0.55000000000000004">
      <c r="A70" s="33">
        <v>1985</v>
      </c>
      <c r="B70" s="34">
        <v>1430000</v>
      </c>
      <c r="C70" s="18">
        <v>62.5</v>
      </c>
      <c r="D70" s="40">
        <f>LOG(B70)</f>
        <v>6.1553360374650614</v>
      </c>
      <c r="E70" s="18">
        <f>(D70-$B$2)^3</f>
        <v>4.5491770154097352E-5</v>
      </c>
      <c r="F70" s="18">
        <f>(C70-3/8)/($B$1+1/4)</f>
        <v>0.70396600566572243</v>
      </c>
      <c r="G70" s="39">
        <f t="shared" si="0"/>
        <v>0.53584165802237338</v>
      </c>
      <c r="H70" s="37" t="e">
        <f>EXP(-EXP(-$F$4*(B70-#REF!)))</f>
        <v>#REF!</v>
      </c>
      <c r="I70" s="38" t="e">
        <f t="shared" si="1"/>
        <v>#REF!</v>
      </c>
      <c r="J70" s="18">
        <f>2/$F$4*(1+$F$4*G70/6-$F$4^2/36)^3-2/$F$4</f>
        <v>0.55621995331062024</v>
      </c>
      <c r="K70" s="50">
        <f>(D70-$B$2)^2</f>
        <v>1.2743495134785762E-3</v>
      </c>
      <c r="L70" s="50">
        <f>(J70-$F$5)^2</f>
        <v>0.30817321993218977</v>
      </c>
      <c r="M70" s="18">
        <f>(D70-$B$2)*(J70-$F$5)</f>
        <v>1.9817174190275268E-2</v>
      </c>
    </row>
    <row r="71" spans="1:13" x14ac:dyDescent="0.55000000000000004">
      <c r="A71" s="33">
        <v>1989</v>
      </c>
      <c r="B71" s="34">
        <v>1430000</v>
      </c>
      <c r="C71" s="18">
        <v>62.5</v>
      </c>
      <c r="D71" s="40">
        <f>LOG(B71)</f>
        <v>6.1553360374650614</v>
      </c>
      <c r="E71" s="18">
        <f>(D71-$B$2)^3</f>
        <v>4.5491770154097352E-5</v>
      </c>
      <c r="F71" s="18">
        <f>(C71-3/8)/($B$1+1/4)</f>
        <v>0.70396600566572243</v>
      </c>
      <c r="G71" s="39">
        <f t="shared" si="0"/>
        <v>0.53584165802237338</v>
      </c>
      <c r="H71" s="37" t="e">
        <f>EXP(-EXP(-$F$4*(B71-#REF!)))</f>
        <v>#REF!</v>
      </c>
      <c r="I71" s="38" t="e">
        <f t="shared" si="1"/>
        <v>#REF!</v>
      </c>
      <c r="J71" s="18">
        <f>2/$F$4*(1+$F$4*G71/6-$F$4^2/36)^3-2/$F$4</f>
        <v>0.55621995331062024</v>
      </c>
      <c r="K71" s="50">
        <f>(D71-$B$2)^2</f>
        <v>1.2743495134785762E-3</v>
      </c>
      <c r="L71" s="50">
        <f>(J71-$F$5)^2</f>
        <v>0.30817321993218977</v>
      </c>
      <c r="M71" s="18">
        <f>(D71-$B$2)*(J71-$F$5)</f>
        <v>1.9817174190275268E-2</v>
      </c>
    </row>
    <row r="72" spans="1:13" x14ac:dyDescent="0.55000000000000004">
      <c r="A72" s="33">
        <v>1962</v>
      </c>
      <c r="B72" s="34">
        <v>1440000</v>
      </c>
      <c r="C72" s="18">
        <v>64</v>
      </c>
      <c r="D72" s="40">
        <f>LOG(B72)</f>
        <v>6.1583624920952493</v>
      </c>
      <c r="E72" s="18">
        <f>(D72-$B$2)^3</f>
        <v>5.8070694334196378E-5</v>
      </c>
      <c r="F72" s="18">
        <f>(C72-3/8)/($B$1+1/4)</f>
        <v>0.72096317280453259</v>
      </c>
      <c r="G72" s="39">
        <f t="shared" si="0"/>
        <v>0.58570517718287463</v>
      </c>
      <c r="H72" s="37" t="e">
        <f>EXP(-EXP(-$F$4*(B72-#REF!)))</f>
        <v>#REF!</v>
      </c>
      <c r="I72" s="38" t="e">
        <f t="shared" si="1"/>
        <v>#REF!</v>
      </c>
      <c r="J72" s="18">
        <f>2/$F$4*(1+$F$4*G72/6-$F$4^2/36)^3-2/$F$4</f>
        <v>0.60433828119678523</v>
      </c>
      <c r="K72" s="50">
        <f>(D72-$B$2)^2</f>
        <v>1.4995858916801524E-3</v>
      </c>
      <c r="L72" s="50">
        <f>(J72-$F$5)^2</f>
        <v>0.36391278644100866</v>
      </c>
      <c r="M72" s="18">
        <f>(D72-$B$2)*(J72-$F$5)</f>
        <v>2.336061814997516E-2</v>
      </c>
    </row>
    <row r="73" spans="1:13" x14ac:dyDescent="0.55000000000000004">
      <c r="A73" s="33">
        <v>1946</v>
      </c>
      <c r="B73" s="34">
        <v>1481000</v>
      </c>
      <c r="C73" s="18">
        <v>65</v>
      </c>
      <c r="D73" s="40">
        <f>LOG(B73)</f>
        <v>6.1705550585212086</v>
      </c>
      <c r="E73" s="18">
        <f>(D73-$B$2)^3</f>
        <v>1.3200481979856621E-4</v>
      </c>
      <c r="F73" s="18">
        <f>(C73-3/8)/($B$1+1/4)</f>
        <v>0.73229461756373937</v>
      </c>
      <c r="G73" s="39">
        <f t="shared" si="0"/>
        <v>0.61976765739524897</v>
      </c>
      <c r="H73" s="37" t="e">
        <f>EXP(-EXP(-$F$4*(B73-#REF!)))</f>
        <v>#REF!</v>
      </c>
      <c r="I73" s="38" t="e">
        <f t="shared" si="1"/>
        <v>#REF!</v>
      </c>
      <c r="J73" s="18">
        <f>2/$F$4*(1+$F$4*G73/6-$F$4^2/36)^3-2/$F$4</f>
        <v>0.63712470468995619</v>
      </c>
      <c r="K73" s="50">
        <f>(D73-$B$2)^2</f>
        <v>2.5925463273033223E-3</v>
      </c>
      <c r="L73" s="50">
        <f>(J73-$F$5)^2</f>
        <v>0.4045446768212132</v>
      </c>
      <c r="M73" s="18">
        <f>(D73-$B$2)*(J73-$F$5)</f>
        <v>3.2385194396868232E-2</v>
      </c>
    </row>
    <row r="74" spans="1:13" x14ac:dyDescent="0.55000000000000004">
      <c r="A74" s="33">
        <v>1974</v>
      </c>
      <c r="B74" s="34">
        <v>1530000</v>
      </c>
      <c r="C74" s="18">
        <v>66</v>
      </c>
      <c r="D74" s="40">
        <f>LOG(B74)</f>
        <v>6.1846914308175984</v>
      </c>
      <c r="E74" s="18">
        <f>(D74-$B$2)^3</f>
        <v>2.753027274892056E-4</v>
      </c>
      <c r="F74" s="18">
        <f>(C74-3/8)/($B$1+1/4)</f>
        <v>0.74362606232294615</v>
      </c>
      <c r="G74" s="39">
        <f t="shared" ref="G74:G96" si="2">_xlfn.NORM.INV(F74,0,1)</f>
        <v>0.6545649834317665</v>
      </c>
      <c r="H74" s="37" t="e">
        <f>EXP(-EXP(-$F$4*(B74-#REF!)))</f>
        <v>#REF!</v>
      </c>
      <c r="I74" s="38" t="e">
        <f t="shared" si="1"/>
        <v>#REF!</v>
      </c>
      <c r="J74" s="18">
        <f>2/$F$4*(1+$F$4*G74/6-$F$4^2/36)^3-2/$F$4</f>
        <v>0.67054821316111024</v>
      </c>
      <c r="K74" s="50">
        <f>(D74-$B$2)^2</f>
        <v>4.2319481953018885E-3</v>
      </c>
      <c r="L74" s="50">
        <f>(J74-$F$5)^2</f>
        <v>0.44817906853580119</v>
      </c>
      <c r="M74" s="18">
        <f>(D74-$B$2)*(J74-$F$5)</f>
        <v>4.3550781855922698E-2</v>
      </c>
    </row>
    <row r="75" spans="1:13" x14ac:dyDescent="0.55000000000000004">
      <c r="A75" s="33">
        <v>2002</v>
      </c>
      <c r="B75" s="7">
        <v>1537000</v>
      </c>
      <c r="C75" s="18">
        <v>67</v>
      </c>
      <c r="D75" s="40">
        <f>LOG(B75)</f>
        <v>6.1866738674997448</v>
      </c>
      <c r="E75" s="18">
        <f>(D75-$B$2)^3</f>
        <v>3.0124621725432328E-4</v>
      </c>
      <c r="F75" s="18">
        <f>(C75-3/8)/($B$1+1/4)</f>
        <v>0.75495750708215292</v>
      </c>
      <c r="G75" s="39">
        <f t="shared" si="2"/>
        <v>0.69017365944824605</v>
      </c>
      <c r="H75" s="37" t="e">
        <f>EXP(-EXP(-$F$4*(B75-#REF!)))</f>
        <v>#REF!</v>
      </c>
      <c r="I75" s="38" t="e">
        <f t="shared" si="1"/>
        <v>#REF!</v>
      </c>
      <c r="J75" s="18">
        <f>2/$F$4*(1+$F$4*G75/6-$F$4^2/36)^3-2/$F$4</f>
        <v>0.70467763386239035</v>
      </c>
      <c r="K75" s="50">
        <f>(D75-$B$2)^2</f>
        <v>4.4938068453144273E-3</v>
      </c>
      <c r="L75" s="50">
        <f>(J75-$F$5)^2</f>
        <v>0.49504057103583293</v>
      </c>
      <c r="M75" s="18">
        <f>(D75-$B$2)*(J75-$F$5)</f>
        <v>4.716584258580768E-2</v>
      </c>
    </row>
    <row r="76" spans="1:13" x14ac:dyDescent="0.55000000000000004">
      <c r="A76" s="33">
        <v>2005</v>
      </c>
      <c r="B76" s="7">
        <v>1542000</v>
      </c>
      <c r="C76" s="18">
        <v>68</v>
      </c>
      <c r="D76" s="40">
        <f>LOG(B76)</f>
        <v>6.188084373714938</v>
      </c>
      <c r="E76" s="18">
        <f>(D76-$B$2)^3</f>
        <v>3.2066476008322793E-4</v>
      </c>
      <c r="F76" s="18">
        <f>(C76-3/8)/($B$1+1/4)</f>
        <v>0.76628895184135981</v>
      </c>
      <c r="G76" s="39">
        <f t="shared" si="2"/>
        <v>0.7266798559341906</v>
      </c>
      <c r="H76" s="37" t="e">
        <f>EXP(-EXP(-$F$4*(B76-#REF!)))</f>
        <v>#REF!</v>
      </c>
      <c r="I76" s="38" t="e">
        <f t="shared" ref="I76:I96" si="3">H76-H75</f>
        <v>#REF!</v>
      </c>
      <c r="J76" s="18">
        <f>2/$F$4*(1+$F$4*G76/6-$F$4^2/36)^3-2/$F$4</f>
        <v>0.73959029210638505</v>
      </c>
      <c r="K76" s="50">
        <f>(D76-$B$2)^2</f>
        <v>4.6849053741591607E-3</v>
      </c>
      <c r="L76" s="50">
        <f>(J76-$F$5)^2</f>
        <v>0.54538794267773405</v>
      </c>
      <c r="M76" s="18">
        <f>(D76-$B$2)*(J76-$F$5)</f>
        <v>5.0547907015548378E-2</v>
      </c>
    </row>
    <row r="77" spans="1:13" x14ac:dyDescent="0.55000000000000004">
      <c r="A77" s="33">
        <v>2009</v>
      </c>
      <c r="B77" s="7">
        <v>1550000</v>
      </c>
      <c r="C77" s="18">
        <v>69</v>
      </c>
      <c r="D77" s="40">
        <f>LOG(B77)</f>
        <v>6.1903316981702918</v>
      </c>
      <c r="E77" s="18">
        <f>(D77-$B$2)^3</f>
        <v>3.5329867579704023E-4</v>
      </c>
      <c r="F77" s="18">
        <f>(C77-3/8)/($B$1+1/4)</f>
        <v>0.77762039660056659</v>
      </c>
      <c r="G77" s="39">
        <f t="shared" si="2"/>
        <v>0.76418130329089151</v>
      </c>
      <c r="H77" s="37" t="e">
        <f>EXP(-EXP(-$F$4*(B77-#REF!)))</f>
        <v>#REF!</v>
      </c>
      <c r="I77" s="38" t="e">
        <f t="shared" si="3"/>
        <v>#REF!</v>
      </c>
      <c r="J77" s="18">
        <f>2/$F$4*(1+$F$4*G77/6-$F$4^2/36)^3-2/$F$4</f>
        <v>0.77537367462329065</v>
      </c>
      <c r="K77" s="50">
        <f>(D77-$B$2)^2</f>
        <v>4.9975982374245945E-3</v>
      </c>
      <c r="L77" s="50">
        <f>(J77-$F$5)^2</f>
        <v>0.59952072495263997</v>
      </c>
      <c r="M77" s="18">
        <f>(D77-$B$2)*(J77-$F$5)</f>
        <v>5.4737224247515766E-2</v>
      </c>
    </row>
    <row r="78" spans="1:13" x14ac:dyDescent="0.55000000000000004">
      <c r="A78" s="33">
        <v>1994</v>
      </c>
      <c r="B78" s="34">
        <v>1560000</v>
      </c>
      <c r="C78" s="18">
        <v>70</v>
      </c>
      <c r="D78" s="40">
        <f>LOG(B78)</f>
        <v>6.1931245983544612</v>
      </c>
      <c r="E78" s="18">
        <f>(D78-$B$2)^3</f>
        <v>3.9684813457163188E-4</v>
      </c>
      <c r="F78" s="18">
        <f>(C78-3/8)/($B$1+1/4)</f>
        <v>0.78895184135977336</v>
      </c>
      <c r="G78" s="39">
        <f t="shared" si="2"/>
        <v>0.80278966400436147</v>
      </c>
      <c r="H78" s="37" t="e">
        <f>EXP(-EXP(-$F$4*(B78-#REF!)))</f>
        <v>#REF!</v>
      </c>
      <c r="I78" s="38" t="e">
        <f t="shared" si="3"/>
        <v>#REF!</v>
      </c>
      <c r="J78" s="18">
        <f>2/$F$4*(1+$F$4*G78/6-$F$4^2/36)^3-2/$F$4</f>
        <v>0.81212751058198229</v>
      </c>
      <c r="K78" s="50">
        <f>(D78-$B$2)^2</f>
        <v>5.4002793855561313E-3</v>
      </c>
      <c r="L78" s="50">
        <f>(J78-$F$5)^2</f>
        <v>0.65778762157719373</v>
      </c>
      <c r="M78" s="18">
        <f>(D78-$B$2)*(J78-$F$5)</f>
        <v>5.9600645406550058E-2</v>
      </c>
    </row>
    <row r="79" spans="1:13" x14ac:dyDescent="0.55000000000000004">
      <c r="A79" s="33">
        <v>1949</v>
      </c>
      <c r="B79" s="34">
        <v>1574000</v>
      </c>
      <c r="C79" s="18">
        <v>71</v>
      </c>
      <c r="D79" s="40">
        <f>LOG(B79)</f>
        <v>6.197004728023046</v>
      </c>
      <c r="E79" s="18">
        <f>(D79-$B$2)^3</f>
        <v>4.6308701583193862E-4</v>
      </c>
      <c r="F79" s="18">
        <f>(C79-3/8)/($B$1+1/4)</f>
        <v>0.80028328611898014</v>
      </c>
      <c r="G79" s="39">
        <f t="shared" si="2"/>
        <v>0.84263353860634083</v>
      </c>
      <c r="H79" s="37" t="e">
        <f>EXP(-EXP(-$F$4*(B79-#REF!)))</f>
        <v>#REF!</v>
      </c>
      <c r="I79" s="38" t="e">
        <f t="shared" si="3"/>
        <v>#REF!</v>
      </c>
      <c r="J79" s="18">
        <f>2/$F$4*(1+$F$4*G79/6-$F$4^2/36)^3-2/$F$4</f>
        <v>0.84996640520162003</v>
      </c>
      <c r="K79" s="50">
        <f>(D79-$B$2)^2</f>
        <v>5.9856098131241108E-3</v>
      </c>
      <c r="L79" s="50">
        <f>(J79-$F$5)^2</f>
        <v>0.72059719888605522</v>
      </c>
      <c r="M79" s="18">
        <f>(D79-$B$2)*(J79-$F$5)</f>
        <v>6.5675061210189359E-2</v>
      </c>
    </row>
    <row r="80" spans="1:13" x14ac:dyDescent="0.55000000000000004">
      <c r="A80" s="33">
        <v>1961</v>
      </c>
      <c r="B80" s="34">
        <v>1580000</v>
      </c>
      <c r="C80" s="18">
        <v>72</v>
      </c>
      <c r="D80" s="40">
        <f>LOG(B80)</f>
        <v>6.1986570869544222</v>
      </c>
      <c r="E80" s="18">
        <f>(D80-$B$2)^3</f>
        <v>4.9339635553290065E-4</v>
      </c>
      <c r="F80" s="18">
        <f>(C80-3/8)/($B$1+1/4)</f>
        <v>0.81161473087818692</v>
      </c>
      <c r="G80" s="39">
        <f t="shared" si="2"/>
        <v>0.88386232286338462</v>
      </c>
      <c r="H80" s="37" t="e">
        <f>EXP(-EXP(-$F$4*(B80-#REF!)))</f>
        <v>#REF!</v>
      </c>
      <c r="I80" s="38" t="e">
        <f t="shared" si="3"/>
        <v>#REF!</v>
      </c>
      <c r="J80" s="18">
        <f>2/$F$4*(1+$F$4*G80/6-$F$4^2/36)^3-2/$F$4</f>
        <v>0.88902321479254276</v>
      </c>
      <c r="K80" s="50">
        <f>(D80-$B$2)^2</f>
        <v>6.2440152943303616E-3</v>
      </c>
      <c r="L80" s="50">
        <f>(J80-$F$5)^2</f>
        <v>0.78843171975837545</v>
      </c>
      <c r="M80" s="18">
        <f>(D80-$B$2)*(J80-$F$5)</f>
        <v>7.0163948839175858E-2</v>
      </c>
    </row>
    <row r="81" spans="1:13" x14ac:dyDescent="0.55000000000000004">
      <c r="A81" s="33">
        <v>1984</v>
      </c>
      <c r="B81" s="34">
        <v>1600000</v>
      </c>
      <c r="C81" s="18">
        <v>73</v>
      </c>
      <c r="D81" s="40">
        <f>LOG(B81)</f>
        <v>6.204119982655925</v>
      </c>
      <c r="E81" s="18">
        <f>(D81-$B$2)^3</f>
        <v>6.0296515268678738E-4</v>
      </c>
      <c r="F81" s="18">
        <f>(C81-3/8)/($B$1+1/4)</f>
        <v>0.82294617563739381</v>
      </c>
      <c r="G81" s="39">
        <f t="shared" si="2"/>
        <v>0.92665122628816643</v>
      </c>
      <c r="H81" s="37" t="e">
        <f>EXP(-EXP(-$F$4*(B81-#REF!)))</f>
        <v>#REF!</v>
      </c>
      <c r="I81" s="38" t="e">
        <f t="shared" si="3"/>
        <v>#REF!</v>
      </c>
      <c r="J81" s="18">
        <f>2/$F$4*(1+$F$4*G81/6-$F$4^2/36)^3-2/$F$4</f>
        <v>0.92945343222742416</v>
      </c>
      <c r="K81" s="50">
        <f>(D81-$B$2)^2</f>
        <v>7.1372045287817322E-3</v>
      </c>
      <c r="L81" s="50">
        <f>(J81-$F$5)^2</f>
        <v>0.86186527615659647</v>
      </c>
      <c r="M81" s="18">
        <f>(D81-$B$2)*(J81-$F$5)</f>
        <v>7.8430279562070784E-2</v>
      </c>
    </row>
    <row r="82" spans="1:13" x14ac:dyDescent="0.55000000000000004">
      <c r="A82" s="33">
        <v>1944</v>
      </c>
      <c r="B82" s="34">
        <v>1610000</v>
      </c>
      <c r="C82" s="18">
        <v>74</v>
      </c>
      <c r="D82" s="40">
        <f>LOG(B82)</f>
        <v>6.20682587603185</v>
      </c>
      <c r="E82" s="18">
        <f>(D82-$B$2)^3</f>
        <v>6.6277820360067542E-4</v>
      </c>
      <c r="F82" s="18">
        <f>(C82-3/8)/($B$1+1/4)</f>
        <v>0.83427762039660058</v>
      </c>
      <c r="G82" s="39">
        <f t="shared" si="2"/>
        <v>0.97120790298435278</v>
      </c>
      <c r="H82" s="37" t="e">
        <f>EXP(-EXP(-$F$4*(B82-#REF!)))</f>
        <v>#REF!</v>
      </c>
      <c r="I82" s="38" t="e">
        <f t="shared" si="3"/>
        <v>#REF!</v>
      </c>
      <c r="J82" s="18">
        <f>2/$F$4*(1+$F$4*G82/6-$F$4^2/36)^3-2/$F$4</f>
        <v>0.9714409736227374</v>
      </c>
      <c r="K82" s="50">
        <f>(D82-$B$2)^2</f>
        <v>7.6017248345554601E-3</v>
      </c>
      <c r="L82" s="50">
        <f>(J82-$F$5)^2</f>
        <v>0.9415879249977529</v>
      </c>
      <c r="M82" s="18">
        <f>(D82-$B$2)*(J82-$F$5)</f>
        <v>8.4603146001629062E-2</v>
      </c>
    </row>
    <row r="83" spans="1:13" x14ac:dyDescent="0.55000000000000004">
      <c r="A83" s="33">
        <v>1943</v>
      </c>
      <c r="B83" s="34">
        <v>1648000</v>
      </c>
      <c r="C83" s="18">
        <v>75</v>
      </c>
      <c r="D83" s="40">
        <f>LOG(B83)</f>
        <v>6.216957207361097</v>
      </c>
      <c r="E83" s="18">
        <f>(D83-$B$2)^3</f>
        <v>9.2171280426102951E-4</v>
      </c>
      <c r="F83" s="18">
        <f>(C83-3/8)/($B$1+1/4)</f>
        <v>0.84560906515580736</v>
      </c>
      <c r="G83" s="39">
        <f t="shared" si="2"/>
        <v>1.0177813653724057</v>
      </c>
      <c r="H83" s="37" t="e">
        <f>EXP(-EXP(-$F$4*(B83-#REF!)))</f>
        <v>#REF!</v>
      </c>
      <c r="I83" s="38" t="e">
        <f t="shared" si="3"/>
        <v>#REF!</v>
      </c>
      <c r="J83" s="18">
        <f>2/$F$4*(1+$F$4*G83/6-$F$4^2/36)^3-2/$F$4</f>
        <v>1.0152059465035901</v>
      </c>
      <c r="K83" s="50">
        <f>(D83-$B$2)^2</f>
        <v>9.4710271253056998E-3</v>
      </c>
      <c r="L83" s="50">
        <f>(J83-$F$5)^2</f>
        <v>1.0284383777304533</v>
      </c>
      <c r="M83" s="18">
        <f>(D83-$B$2)*(J83-$F$5)</f>
        <v>9.8693301556845858E-2</v>
      </c>
    </row>
    <row r="84" spans="1:13" x14ac:dyDescent="0.55000000000000004">
      <c r="A84" s="33">
        <v>1979</v>
      </c>
      <c r="B84" s="34">
        <v>1690000</v>
      </c>
      <c r="C84" s="18">
        <v>76.5</v>
      </c>
      <c r="D84" s="40">
        <f>LOG(B84)</f>
        <v>6.2278867046136739</v>
      </c>
      <c r="E84" s="18">
        <f>(D84-$B$2)^3</f>
        <v>1.268434548014489E-3</v>
      </c>
      <c r="F84" s="18">
        <f>(C84-3/8)/($B$1+1/4)</f>
        <v>0.86260623229461753</v>
      </c>
      <c r="G84" s="39">
        <f t="shared" si="2"/>
        <v>1.0921036724812101</v>
      </c>
      <c r="H84" s="37" t="e">
        <f>EXP(-EXP(-$F$4*(B84-#REF!)))</f>
        <v>#REF!</v>
      </c>
      <c r="I84" s="38" t="e">
        <f t="shared" si="3"/>
        <v>#REF!</v>
      </c>
      <c r="J84" s="18">
        <f>2/$F$4*(1+$F$4*G84/6-$F$4^2/36)^3-2/$F$4</f>
        <v>1.0847863491256913</v>
      </c>
      <c r="K84" s="50">
        <f>(D84-$B$2)^2</f>
        <v>1.171778094258577E-2</v>
      </c>
      <c r="L84" s="50">
        <f>(J84-$F$5)^2</f>
        <v>1.1744054975906419</v>
      </c>
      <c r="M84" s="18">
        <f>(D84-$B$2)*(J84-$F$5)</f>
        <v>0.11730910603416764</v>
      </c>
    </row>
    <row r="85" spans="1:13" x14ac:dyDescent="0.55000000000000004">
      <c r="A85" s="33">
        <v>1991</v>
      </c>
      <c r="B85" s="34">
        <v>1690000</v>
      </c>
      <c r="C85" s="18">
        <v>76.5</v>
      </c>
      <c r="D85" s="40">
        <f>LOG(B85)</f>
        <v>6.2278867046136739</v>
      </c>
      <c r="E85" s="18">
        <f>(D85-$B$2)^3</f>
        <v>1.268434548014489E-3</v>
      </c>
      <c r="F85" s="18">
        <f>(C85-3/8)/($B$1+1/4)</f>
        <v>0.86260623229461753</v>
      </c>
      <c r="G85" s="39">
        <f t="shared" si="2"/>
        <v>1.0921036724812101</v>
      </c>
      <c r="H85" s="37" t="e">
        <f>EXP(-EXP(-$F$4*(B85-#REF!)))</f>
        <v>#REF!</v>
      </c>
      <c r="I85" s="38" t="e">
        <f t="shared" si="3"/>
        <v>#REF!</v>
      </c>
      <c r="J85" s="18">
        <f>2/$F$4*(1+$F$4*G85/6-$F$4^2/36)^3-2/$F$4</f>
        <v>1.0847863491256913</v>
      </c>
      <c r="K85" s="50">
        <f>(D85-$B$2)^2</f>
        <v>1.171778094258577E-2</v>
      </c>
      <c r="L85" s="50">
        <f>(J85-$F$5)^2</f>
        <v>1.1744054975906419</v>
      </c>
      <c r="M85" s="18">
        <f>(D85-$B$2)*(J85-$F$5)</f>
        <v>0.11730910603416764</v>
      </c>
    </row>
    <row r="86" spans="1:13" x14ac:dyDescent="0.55000000000000004">
      <c r="A86" s="33">
        <v>1929</v>
      </c>
      <c r="B86" s="34">
        <v>1730000</v>
      </c>
      <c r="C86" s="18">
        <v>78</v>
      </c>
      <c r="D86" s="40">
        <f>LOG(B86)</f>
        <v>6.238046103128795</v>
      </c>
      <c r="E86" s="18">
        <f>(D86-$B$2)^3</f>
        <v>1.66013809466014E-3</v>
      </c>
      <c r="F86" s="18">
        <f>(C86-3/8)/($B$1+1/4)</f>
        <v>0.8796033994334278</v>
      </c>
      <c r="G86" s="39">
        <f t="shared" si="2"/>
        <v>1.1730064949411463</v>
      </c>
      <c r="H86" s="37" t="e">
        <f>EXP(-EXP(-$F$4*(B86-#REF!)))</f>
        <v>#REF!</v>
      </c>
      <c r="I86" s="38" t="e">
        <f t="shared" si="3"/>
        <v>#REF!</v>
      </c>
      <c r="J86" s="18">
        <f>2/$F$4*(1+$F$4*G86/6-$F$4^2/36)^3-2/$F$4</f>
        <v>1.1601646542339523</v>
      </c>
      <c r="K86" s="50">
        <f>(D86-$B$2)^2</f>
        <v>1.4020477674622715E-2</v>
      </c>
      <c r="L86" s="50">
        <f>(J86-$F$5)^2</f>
        <v>1.3434623115799722</v>
      </c>
      <c r="M86" s="18">
        <f>(D86-$B$2)*(J86-$F$5)</f>
        <v>0.13724424704228599</v>
      </c>
    </row>
    <row r="87" spans="1:13" x14ac:dyDescent="0.55000000000000004">
      <c r="A87" s="33">
        <v>1997</v>
      </c>
      <c r="B87" s="7">
        <v>1780000</v>
      </c>
      <c r="C87" s="18">
        <v>79</v>
      </c>
      <c r="D87" s="40">
        <f>LOG(B87)</f>
        <v>6.2504200023088936</v>
      </c>
      <c r="E87" s="18">
        <f>(D87-$B$2)^3</f>
        <v>2.2368862284506937E-3</v>
      </c>
      <c r="F87" s="18">
        <f>(C87-3/8)/($B$1+1/4)</f>
        <v>0.89093484419263458</v>
      </c>
      <c r="G87" s="39">
        <f t="shared" si="2"/>
        <v>1.2315149957125135</v>
      </c>
      <c r="H87" s="37" t="e">
        <f>EXP(-EXP(-$F$4*(B87-#REF!)))</f>
        <v>#REF!</v>
      </c>
      <c r="I87" s="38" t="e">
        <f t="shared" si="3"/>
        <v>#REF!</v>
      </c>
      <c r="J87" s="18">
        <f>2/$F$4*(1+$F$4*G87/6-$F$4^2/36)^3-2/$F$4</f>
        <v>1.214442750514241</v>
      </c>
      <c r="K87" s="50">
        <f>(D87-$B$2)^2</f>
        <v>1.7103930789336842E-2</v>
      </c>
      <c r="L87" s="50">
        <f>(J87-$F$5)^2</f>
        <v>1.4722335413609071</v>
      </c>
      <c r="M87" s="18">
        <f>(D87-$B$2)*(J87-$F$5)</f>
        <v>0.15868516186832729</v>
      </c>
    </row>
    <row r="88" spans="1:13" x14ac:dyDescent="0.55000000000000004">
      <c r="A88" s="33">
        <v>1983</v>
      </c>
      <c r="B88" s="34">
        <v>1790000</v>
      </c>
      <c r="C88" s="18">
        <v>80</v>
      </c>
      <c r="D88" s="40">
        <f>LOG(B88)</f>
        <v>6.2528530309798933</v>
      </c>
      <c r="E88" s="18">
        <f>(D88-$B$2)^3</f>
        <v>2.3640662355873805E-3</v>
      </c>
      <c r="F88" s="18">
        <f>(C88-3/8)/($B$1+1/4)</f>
        <v>0.90226628895184136</v>
      </c>
      <c r="G88" s="39">
        <f t="shared" si="2"/>
        <v>1.2945734328943461</v>
      </c>
      <c r="H88" s="37" t="e">
        <f>EXP(-EXP(-$F$4*(B88-#REF!)))</f>
        <v>#REF!</v>
      </c>
      <c r="I88" s="38" t="e">
        <f t="shared" si="3"/>
        <v>#REF!</v>
      </c>
      <c r="J88" s="18">
        <f>2/$F$4*(1+$F$4*G88/6-$F$4^2/36)^3-2/$F$4</f>
        <v>1.272721314142256</v>
      </c>
      <c r="K88" s="50">
        <f>(D88-$B$2)^2</f>
        <v>1.7746243115484665E-2</v>
      </c>
      <c r="L88" s="50">
        <f>(J88-$F$5)^2</f>
        <v>1.6170552584757407</v>
      </c>
      <c r="M88" s="18">
        <f>(D88-$B$2)*(J88-$F$5)</f>
        <v>0.16940087292597814</v>
      </c>
    </row>
    <row r="89" spans="1:13" x14ac:dyDescent="0.55000000000000004">
      <c r="A89" s="33">
        <v>2008</v>
      </c>
      <c r="B89" s="7">
        <v>1820000</v>
      </c>
      <c r="C89" s="18">
        <v>81</v>
      </c>
      <c r="D89" s="40">
        <f>LOG(B89)</f>
        <v>6.2600713879850751</v>
      </c>
      <c r="E89" s="18">
        <f>(D89-$B$2)^3</f>
        <v>2.7695618787024266E-3</v>
      </c>
      <c r="F89" s="18">
        <f>(C89-3/8)/($B$1+1/4)</f>
        <v>0.91359773371104813</v>
      </c>
      <c r="G89" s="39">
        <f t="shared" si="2"/>
        <v>1.3632474656234139</v>
      </c>
      <c r="H89" s="37" t="e">
        <f>EXP(-EXP(-$F$4*(B89-#REF!)))</f>
        <v>#REF!</v>
      </c>
      <c r="I89" s="38" t="e">
        <f t="shared" si="3"/>
        <v>#REF!</v>
      </c>
      <c r="J89" s="18">
        <f>2/$F$4*(1+$F$4*G89/6-$F$4^2/36)^3-2/$F$4</f>
        <v>1.3359301148396359</v>
      </c>
      <c r="K89" s="50">
        <f>(D89-$B$2)^2</f>
        <v>1.9721535023595672E-2</v>
      </c>
      <c r="L89" s="50">
        <f>(J89-$F$5)^2</f>
        <v>1.7818076418658142</v>
      </c>
      <c r="M89" s="18">
        <f>(D89-$B$2)*(J89-$F$5)</f>
        <v>0.1874566131518626</v>
      </c>
    </row>
    <row r="90" spans="1:13" x14ac:dyDescent="0.55000000000000004">
      <c r="A90" s="33">
        <v>1975</v>
      </c>
      <c r="B90" s="34">
        <v>1840000</v>
      </c>
      <c r="C90" s="18">
        <v>82</v>
      </c>
      <c r="D90" s="40">
        <f>LOG(B90)</f>
        <v>6.2648178230095368</v>
      </c>
      <c r="E90" s="18">
        <f>(D90-$B$2)^3</f>
        <v>3.0599810848429185E-3</v>
      </c>
      <c r="F90" s="18">
        <f>(C90-3/8)/($B$1+1/4)</f>
        <v>0.92492917847025491</v>
      </c>
      <c r="G90" s="39">
        <f t="shared" si="2"/>
        <v>1.4390313414448697</v>
      </c>
      <c r="H90" s="37" t="e">
        <f>EXP(-EXP(-$F$4*(B90-#REF!)))</f>
        <v>#REF!</v>
      </c>
      <c r="I90" s="38" t="e">
        <f t="shared" si="3"/>
        <v>#REF!</v>
      </c>
      <c r="J90" s="18">
        <f>2/$F$4*(1+$F$4*G90/6-$F$4^2/36)^3-2/$F$4</f>
        <v>1.4053693560245577</v>
      </c>
      <c r="K90" s="50">
        <f>(D90-$B$2)^2</f>
        <v>2.1077179523128514E-2</v>
      </c>
      <c r="L90" s="50">
        <f>(J90-$F$5)^2</f>
        <v>1.972010514136515</v>
      </c>
      <c r="M90" s="18">
        <f>(D90-$B$2)*(J90-$F$5)</f>
        <v>0.20387353832204977</v>
      </c>
    </row>
    <row r="91" spans="1:13" x14ac:dyDescent="0.55000000000000004">
      <c r="A91" s="33">
        <v>1950</v>
      </c>
      <c r="B91" s="34">
        <v>1880000</v>
      </c>
      <c r="C91" s="18">
        <v>83</v>
      </c>
      <c r="D91" s="40">
        <f>LOG(B91)</f>
        <v>6.2741578492636796</v>
      </c>
      <c r="E91" s="18">
        <f>(D91-$B$2)^3</f>
        <v>3.6893748617115789E-3</v>
      </c>
      <c r="F91" s="18">
        <f>(C91-3/8)/($B$1+1/4)</f>
        <v>0.9362606232294618</v>
      </c>
      <c r="G91" s="39">
        <f t="shared" si="2"/>
        <v>1.5241199356662796</v>
      </c>
      <c r="H91" s="37" t="e">
        <f>EXP(-EXP(-$F$4*(B91-#REF!)))</f>
        <v>#REF!</v>
      </c>
      <c r="I91" s="38" t="e">
        <f t="shared" si="3"/>
        <v>#REF!</v>
      </c>
      <c r="J91" s="18">
        <f>2/$F$4*(1+$F$4*G91/6-$F$4^2/36)^3-2/$F$4</f>
        <v>1.4829431646914397</v>
      </c>
      <c r="K91" s="50">
        <f>(D91-$B$2)^2</f>
        <v>2.3876382234920824E-2</v>
      </c>
      <c r="L91" s="50">
        <f>(J91-$F$5)^2</f>
        <v>2.1958993587371363</v>
      </c>
      <c r="M91" s="18">
        <f>(D91-$B$2)*(J91-$F$5)</f>
        <v>0.22897627047060007</v>
      </c>
    </row>
    <row r="92" spans="1:13" x14ac:dyDescent="0.55000000000000004">
      <c r="A92" s="33">
        <v>1945</v>
      </c>
      <c r="B92" s="34">
        <v>1922000</v>
      </c>
      <c r="C92" s="18">
        <v>84</v>
      </c>
      <c r="D92" s="40">
        <f>LOG(B92)</f>
        <v>6.2837533833325265</v>
      </c>
      <c r="E92" s="18">
        <f>(D92-$B$2)^3</f>
        <v>4.4202601885090361E-3</v>
      </c>
      <c r="F92" s="18">
        <f>(C92-3/8)/($B$1+1/4)</f>
        <v>0.94759206798866857</v>
      </c>
      <c r="G92" s="39">
        <f t="shared" si="2"/>
        <v>1.621941549229303</v>
      </c>
      <c r="H92" s="37" t="e">
        <f>EXP(-EXP(-$F$4*(B92-#REF!)))</f>
        <v>#REF!</v>
      </c>
      <c r="I92" s="38" t="e">
        <f t="shared" si="3"/>
        <v>#REF!</v>
      </c>
      <c r="J92" s="18">
        <f>2/$F$4*(1+$F$4*G92/6-$F$4^2/36)^3-2/$F$4</f>
        <v>1.5716155302367891</v>
      </c>
      <c r="K92" s="50">
        <f>(D92-$B$2)^2</f>
        <v>2.693385736661999E-2</v>
      </c>
      <c r="L92" s="50">
        <f>(J92-$F$5)^2</f>
        <v>2.4665616298763213</v>
      </c>
      <c r="M92" s="18">
        <f>(D92-$B$2)*(J92-$F$5)</f>
        <v>0.25774797598636262</v>
      </c>
    </row>
    <row r="93" spans="1:13" x14ac:dyDescent="0.55000000000000004">
      <c r="A93" s="33">
        <v>1973</v>
      </c>
      <c r="B93" s="34">
        <v>1962000</v>
      </c>
      <c r="C93" s="18">
        <v>85</v>
      </c>
      <c r="D93" s="40">
        <f>LOG(B93)</f>
        <v>6.2926990030439294</v>
      </c>
      <c r="E93" s="18">
        <f>(D93-$B$2)^3</f>
        <v>5.1831957521036977E-3</v>
      </c>
      <c r="F93" s="18">
        <f>(C93-3/8)/($B$1+1/4)</f>
        <v>0.95892351274787535</v>
      </c>
      <c r="G93" s="39">
        <f t="shared" si="2"/>
        <v>1.7383283455849536</v>
      </c>
      <c r="H93" s="37" t="e">
        <f>EXP(-EXP(-$F$4*(B93-#REF!)))</f>
        <v>#REF!</v>
      </c>
      <c r="I93" s="38" t="e">
        <f t="shared" si="3"/>
        <v>#REF!</v>
      </c>
      <c r="J93" s="18">
        <f>2/$F$4*(1+$F$4*G93/6-$F$4^2/36)^3-2/$F$4</f>
        <v>1.6764083947100197</v>
      </c>
      <c r="K93" s="50">
        <f>(D93-$B$2)^2</f>
        <v>2.995010900324813E-2</v>
      </c>
      <c r="L93" s="50">
        <f>(J93-$F$5)^2</f>
        <v>2.8067036589698628</v>
      </c>
      <c r="M93" s="18">
        <f>(D93-$B$2)*(J93-$F$5)</f>
        <v>0.2899328896933957</v>
      </c>
    </row>
    <row r="94" spans="1:13" x14ac:dyDescent="0.55000000000000004">
      <c r="A94" s="33">
        <v>1937</v>
      </c>
      <c r="B94" s="34">
        <v>2080000</v>
      </c>
      <c r="C94" s="18">
        <v>86</v>
      </c>
      <c r="D94" s="40">
        <f>LOG(B94)</f>
        <v>6.318063334962762</v>
      </c>
      <c r="E94" s="18">
        <f>(D94-$B$2)^3</f>
        <v>7.8125234285441152E-3</v>
      </c>
      <c r="F94" s="18">
        <f>(C94-3/8)/($B$1+1/4)</f>
        <v>0.97025495750708213</v>
      </c>
      <c r="G94" s="39">
        <f t="shared" si="2"/>
        <v>1.8845539464383703</v>
      </c>
      <c r="H94" s="37" t="e">
        <f>EXP(-EXP(-$F$4*(B94-#REF!)))</f>
        <v>#REF!</v>
      </c>
      <c r="I94" s="38" t="e">
        <f t="shared" si="3"/>
        <v>#REF!</v>
      </c>
      <c r="J94" s="18">
        <f>2/$F$4*(1+$F$4*G94/6-$F$4^2/36)^3-2/$F$4</f>
        <v>1.8069808255863116</v>
      </c>
      <c r="K94" s="50">
        <f>(D94-$B$2)^2</f>
        <v>3.9372611524151176E-2</v>
      </c>
      <c r="L94" s="50">
        <f>(J94-$F$5)^2</f>
        <v>3.261254539477036</v>
      </c>
      <c r="M94" s="18">
        <f>(D94-$B$2)*(J94-$F$5)</f>
        <v>0.3583351895421435</v>
      </c>
    </row>
    <row r="95" spans="1:13" x14ac:dyDescent="0.55000000000000004">
      <c r="A95" s="33">
        <v>1927</v>
      </c>
      <c r="B95" s="34">
        <v>2278000</v>
      </c>
      <c r="C95" s="18">
        <v>87</v>
      </c>
      <c r="D95" s="40">
        <f>LOG(B95)</f>
        <v>6.3575537197430814</v>
      </c>
      <c r="E95" s="18">
        <f>(D95-$B$2)^3</f>
        <v>1.3466954289407584E-2</v>
      </c>
      <c r="F95" s="18">
        <f>(C95-3/8)/($B$1+1/4)</f>
        <v>0.9815864022662889</v>
      </c>
      <c r="G95" s="39">
        <f t="shared" si="2"/>
        <v>2.0876746233110111</v>
      </c>
      <c r="H95" s="37" t="e">
        <f>EXP(-EXP(-$F$4*(B95-#REF!)))</f>
        <v>#REF!</v>
      </c>
      <c r="I95" s="38" t="e">
        <f t="shared" si="3"/>
        <v>#REF!</v>
      </c>
      <c r="J95" s="18">
        <f>2/$F$4*(1+$F$4*G95/6-$F$4^2/36)^3-2/$F$4</f>
        <v>1.9863593450863934</v>
      </c>
      <c r="K95" s="50">
        <f>(D95-$B$2)^2</f>
        <v>5.6603887265741323E-2</v>
      </c>
      <c r="L95" s="50">
        <f>(J95-$F$5)^2</f>
        <v>3.9413085160084442</v>
      </c>
      <c r="M95" s="18">
        <f>(D95-$B$2)*(J95-$F$5)</f>
        <v>0.47232762243981474</v>
      </c>
    </row>
    <row r="96" spans="1:13" x14ac:dyDescent="0.55000000000000004">
      <c r="A96" s="33">
        <v>2011</v>
      </c>
      <c r="B96" s="7">
        <v>2310000</v>
      </c>
      <c r="C96" s="18">
        <v>88</v>
      </c>
      <c r="D96" s="40">
        <f>LOG(B96)</f>
        <v>6.363611979892144</v>
      </c>
      <c r="E96" s="18">
        <f>(D96-$B$2)^3</f>
        <v>1.452213618230221E-2</v>
      </c>
      <c r="F96" s="18">
        <f>(C96-3/8)/($B$1+1/4)</f>
        <v>0.99291784702549579</v>
      </c>
      <c r="G96" s="39">
        <f t="shared" si="2"/>
        <v>2.4530692704922892</v>
      </c>
      <c r="H96" s="37" t="e">
        <f>EXP(-EXP(-$F$4*(B96-#REF!)))</f>
        <v>#REF!</v>
      </c>
      <c r="I96" s="38" t="e">
        <f t="shared" si="3"/>
        <v>#REF!</v>
      </c>
      <c r="J96" s="18">
        <f>2/$F$4*(1+$F$4*G96/6-$F$4^2/36)^3-2/$F$4</f>
        <v>2.30323783585097</v>
      </c>
      <c r="K96" s="50">
        <f>(D96-$B$2)^2</f>
        <v>5.9523300367277356E-2</v>
      </c>
      <c r="L96" s="50">
        <f>(J96-$F$5)^2</f>
        <v>5.2999010590877562</v>
      </c>
      <c r="M96" s="18">
        <f>(D96-$B$2)*(J96-$F$5)</f>
        <v>0.56166502709082022</v>
      </c>
    </row>
  </sheetData>
  <mergeCells count="1">
    <mergeCell ref="O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p1_chisq</vt:lpstr>
      <vt:lpstr>p1_ks</vt:lpstr>
      <vt:lpstr>p2_ev1</vt:lpstr>
      <vt:lpstr>p2_lp3</vt:lpstr>
    </vt:vector>
  </TitlesOfParts>
  <Company>Cockrell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Passalacqua, Paola</dc:creator>
  <cp:lastModifiedBy>Paul</cp:lastModifiedBy>
  <dcterms:created xsi:type="dcterms:W3CDTF">2016-09-27T16:58:44Z</dcterms:created>
  <dcterms:modified xsi:type="dcterms:W3CDTF">2016-10-05T23:42:40Z</dcterms:modified>
</cp:coreProperties>
</file>