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stuff\school\fall2016\stoch_hydro\hw2\"/>
    </mc:Choice>
  </mc:AlternateContent>
  <bookViews>
    <workbookView xWindow="0" yWindow="0" windowWidth="23040" windowHeight="10254" activeTab="4"/>
  </bookViews>
  <sheets>
    <sheet name="prob1d" sheetId="1" r:id="rId1"/>
    <sheet name="prob1e" sheetId="4" r:id="rId2"/>
    <sheet name="prob2a" sheetId="2" r:id="rId3"/>
    <sheet name="prob2b" sheetId="5" r:id="rId4"/>
    <sheet name="prob3b" sheetId="6" r:id="rId5"/>
    <sheet name="prob3c" sheetId="7" r:id="rId6"/>
  </sheets>
  <definedNames>
    <definedName name="_xlnm._FilterDatabase" localSheetId="0" hidden="1">prob1d!$B$2:$F$2</definedName>
    <definedName name="_xlnm._FilterDatabase" localSheetId="2" hidden="1">prob2a!$E$2:$E$27</definedName>
    <definedName name="_xlnm._FilterDatabase" localSheetId="5" hidden="1">prob3c!$G$2:$H$20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C19" i="2"/>
  <c r="C21" i="2"/>
  <c r="C20" i="2"/>
  <c r="H10" i="6" l="1"/>
  <c r="C20" i="7" l="1"/>
  <c r="C4" i="7"/>
  <c r="E15" i="7"/>
  <c r="D15" i="7"/>
  <c r="C15" i="7"/>
  <c r="C3" i="7"/>
  <c r="E14" i="7"/>
  <c r="D14" i="7"/>
  <c r="C14" i="7"/>
  <c r="C21" i="6"/>
  <c r="C20" i="6"/>
  <c r="J9" i="6"/>
  <c r="J14" i="6" s="1"/>
  <c r="I9" i="6"/>
  <c r="I10" i="6" s="1"/>
  <c r="H9" i="6"/>
  <c r="H13" i="6" s="1"/>
  <c r="C15" i="6"/>
  <c r="E14" i="6"/>
  <c r="E16" i="6" s="1"/>
  <c r="D14" i="6"/>
  <c r="C14" i="6"/>
  <c r="C4" i="6"/>
  <c r="C22" i="6" s="1"/>
  <c r="C16" i="6" l="1"/>
  <c r="D16" i="6"/>
  <c r="C16" i="7"/>
  <c r="C18" i="7" s="1"/>
  <c r="H15" i="6"/>
  <c r="I15" i="6"/>
  <c r="I14" i="6"/>
  <c r="I13" i="6"/>
  <c r="J11" i="6"/>
  <c r="H14" i="6"/>
  <c r="I12" i="6"/>
  <c r="H12" i="6"/>
  <c r="I11" i="6"/>
  <c r="H11" i="6"/>
  <c r="J10" i="6"/>
  <c r="J12" i="6"/>
  <c r="J15" i="6"/>
  <c r="J13" i="6"/>
  <c r="C22" i="5"/>
  <c r="C21" i="5"/>
  <c r="C20" i="5"/>
  <c r="C19" i="5"/>
  <c r="C18" i="5"/>
  <c r="C17" i="5"/>
  <c r="C24" i="2"/>
  <c r="C26" i="2" s="1"/>
  <c r="C25" i="2"/>
  <c r="C22" i="2"/>
  <c r="C18" i="2"/>
  <c r="I6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J13" i="1"/>
  <c r="J8" i="1"/>
  <c r="J9" i="1" s="1"/>
  <c r="J7" i="1"/>
  <c r="J6" i="1"/>
  <c r="G20" i="1"/>
  <c r="G19" i="1"/>
  <c r="G17" i="1"/>
  <c r="G16" i="1"/>
  <c r="G14" i="1"/>
  <c r="G13" i="1"/>
  <c r="G12" i="1"/>
  <c r="G11" i="1"/>
  <c r="G10" i="1"/>
  <c r="G8" i="1"/>
  <c r="G7" i="1"/>
  <c r="G6" i="1"/>
  <c r="G5" i="1"/>
  <c r="J4" i="1"/>
  <c r="F19" i="1"/>
  <c r="F23" i="1"/>
  <c r="F20" i="1"/>
  <c r="F18" i="1"/>
  <c r="F5" i="1"/>
  <c r="F16" i="1"/>
  <c r="F10" i="1"/>
  <c r="F17" i="1"/>
  <c r="F13" i="1"/>
  <c r="F4" i="1"/>
  <c r="F6" i="1"/>
  <c r="F11" i="1"/>
  <c r="F7" i="1"/>
  <c r="F9" i="1"/>
  <c r="F3" i="1"/>
  <c r="F12" i="1"/>
  <c r="F21" i="1"/>
  <c r="F14" i="1"/>
  <c r="F8" i="1"/>
  <c r="F15" i="1"/>
  <c r="F22" i="1"/>
  <c r="E19" i="1"/>
  <c r="E23" i="1"/>
  <c r="E20" i="1"/>
  <c r="E18" i="1"/>
  <c r="E5" i="1"/>
  <c r="E16" i="1"/>
  <c r="E10" i="1"/>
  <c r="E17" i="1"/>
  <c r="E13" i="1"/>
  <c r="E4" i="1"/>
  <c r="E6" i="1"/>
  <c r="E11" i="1"/>
  <c r="E7" i="1"/>
  <c r="E9" i="1"/>
  <c r="E3" i="1"/>
  <c r="E12" i="1"/>
  <c r="E21" i="1"/>
  <c r="E14" i="1"/>
  <c r="E8" i="1"/>
  <c r="E15" i="1"/>
  <c r="E22" i="1"/>
  <c r="J5" i="1"/>
  <c r="C17" i="6" l="1"/>
  <c r="C18" i="6" s="1"/>
  <c r="C23" i="5"/>
  <c r="C24" i="5" s="1"/>
  <c r="C25" i="5" s="1"/>
  <c r="C27" i="5" s="1"/>
  <c r="J12" i="1"/>
  <c r="J14" i="1" s="1"/>
  <c r="I5" i="4"/>
  <c r="F20" i="4" s="1"/>
  <c r="H16" i="6"/>
  <c r="I16" i="6"/>
  <c r="J16" i="6"/>
  <c r="F19" i="4" l="1"/>
  <c r="F8" i="4"/>
  <c r="F11" i="4"/>
  <c r="F18" i="4"/>
  <c r="F10" i="4"/>
  <c r="F9" i="4"/>
  <c r="F7" i="4"/>
  <c r="F23" i="4"/>
  <c r="F22" i="4"/>
  <c r="F15" i="4"/>
  <c r="F13" i="4"/>
  <c r="F12" i="4"/>
  <c r="F6" i="4"/>
  <c r="F16" i="4"/>
  <c r="F21" i="4"/>
  <c r="F5" i="4"/>
  <c r="F14" i="4"/>
  <c r="F3" i="4"/>
  <c r="F17" i="4"/>
  <c r="F4" i="4"/>
  <c r="H17" i="6"/>
  <c r="H18" i="6" s="1"/>
  <c r="H20" i="6" s="1"/>
  <c r="H22" i="6" s="1"/>
  <c r="I7" i="4" l="1"/>
  <c r="I9" i="4" s="1"/>
  <c r="I11" i="4" s="1"/>
</calcChain>
</file>

<file path=xl/sharedStrings.xml><?xml version="1.0" encoding="utf-8"?>
<sst xmlns="http://schemas.openxmlformats.org/spreadsheetml/2006/main" count="118" uniqueCount="79">
  <si>
    <t>Year</t>
  </si>
  <si>
    <t>x</t>
  </si>
  <si>
    <t>y</t>
  </si>
  <si>
    <t>Yields with fracturing</t>
  </si>
  <si>
    <t>Yields without</t>
  </si>
  <si>
    <t>BP-1</t>
  </si>
  <si>
    <t>BP-2</t>
  </si>
  <si>
    <t>BP-3</t>
  </si>
  <si>
    <t>Di</t>
  </si>
  <si>
    <t>Di(abs)</t>
  </si>
  <si>
    <t>Rank</t>
  </si>
  <si>
    <t xml:space="preserve">R+ = </t>
  </si>
  <si>
    <t xml:space="preserve">R- = </t>
  </si>
  <si>
    <t>w+ =</t>
  </si>
  <si>
    <t xml:space="preserve">n = </t>
  </si>
  <si>
    <t>w+ &lt; muw+, so…</t>
  </si>
  <si>
    <t xml:space="preserve">Zsr+ = </t>
  </si>
  <si>
    <t xml:space="preserve">alpha = </t>
  </si>
  <si>
    <t>Z0.975 =</t>
  </si>
  <si>
    <t>Reject?</t>
  </si>
  <si>
    <t xml:space="preserve">Dbar = </t>
  </si>
  <si>
    <t xml:space="preserve">s^2 = </t>
  </si>
  <si>
    <t xml:space="preserve">tp = </t>
  </si>
  <si>
    <t>var</t>
  </si>
  <si>
    <t xml:space="preserve">t0.975 = </t>
  </si>
  <si>
    <t>Yields,all</t>
  </si>
  <si>
    <t xml:space="preserve">m = </t>
  </si>
  <si>
    <t xml:space="preserve">W = </t>
  </si>
  <si>
    <t xml:space="preserve">Mean = </t>
  </si>
  <si>
    <t xml:space="preserve">N = </t>
  </si>
  <si>
    <t xml:space="preserve">stdev = </t>
  </si>
  <si>
    <t>W &lt; Mean, so …</t>
  </si>
  <si>
    <t xml:space="preserve">Zrs = </t>
  </si>
  <si>
    <t xml:space="preserve">mean,w/o = </t>
  </si>
  <si>
    <t>mean,w/ =</t>
  </si>
  <si>
    <t xml:space="preserve">stdev,w/o = </t>
  </si>
  <si>
    <t xml:space="preserve">stdev,w/ = </t>
  </si>
  <si>
    <t xml:space="preserve">df = </t>
  </si>
  <si>
    <t xml:space="preserve">t = </t>
  </si>
  <si>
    <t xml:space="preserve">s = </t>
  </si>
  <si>
    <t xml:space="preserve">n,w/o = </t>
  </si>
  <si>
    <t xml:space="preserve">m,w/ = </t>
  </si>
  <si>
    <t xml:space="preserve">k = </t>
  </si>
  <si>
    <t xml:space="preserve">n1 = n2 = n3 = </t>
  </si>
  <si>
    <t>ybar</t>
  </si>
  <si>
    <t>SST</t>
  </si>
  <si>
    <t>MST</t>
  </si>
  <si>
    <t>nj(yjbar-ybar)^2</t>
  </si>
  <si>
    <t>yjbar</t>
  </si>
  <si>
    <t>(y1j - yjbar)^2</t>
  </si>
  <si>
    <t>(y2j - yjbar)^2</t>
  </si>
  <si>
    <t>(y3j - yjbar)^2</t>
  </si>
  <si>
    <t>(y4j - yjbar)^2</t>
  </si>
  <si>
    <t>(y5j - yjbar)^2</t>
  </si>
  <si>
    <t>(y6j - yjbar)^2</t>
  </si>
  <si>
    <t>sum,nj( (yij - ybar)^2 )</t>
  </si>
  <si>
    <t>SSE</t>
  </si>
  <si>
    <t>MSE</t>
  </si>
  <si>
    <t xml:space="preserve">f = </t>
  </si>
  <si>
    <t xml:space="preserve">1 - alpha = </t>
  </si>
  <si>
    <t xml:space="preserve">k - 1 = </t>
  </si>
  <si>
    <t xml:space="preserve">N - k = </t>
  </si>
  <si>
    <t xml:space="preserve">F (table) = </t>
  </si>
  <si>
    <t>All values</t>
  </si>
  <si>
    <t>Rjbar</t>
  </si>
  <si>
    <t>nj*(Rjbar-(N+1)/2)^2</t>
  </si>
  <si>
    <t>sum(prev)</t>
  </si>
  <si>
    <t xml:space="preserve">KW = </t>
  </si>
  <si>
    <t xml:space="preserve">x^2 (table) = </t>
  </si>
  <si>
    <t xml:space="preserve">Mu,w+ = </t>
  </si>
  <si>
    <t>stdev,w+ =</t>
  </si>
  <si>
    <t># t-storms</t>
  </si>
  <si>
    <t xml:space="preserve">s^2 units: </t>
  </si>
  <si>
    <t># t-storms^2</t>
  </si>
  <si>
    <t>Mean units:</t>
  </si>
  <si>
    <t>StDev units:</t>
  </si>
  <si>
    <t xml:space="preserve">Mu units: </t>
  </si>
  <si>
    <t>Yield (gpm/ft)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</si>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</sst>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2" fontId="0" fillId="0" borderId="0" xfId="0" applyNumberFormat="1" applyAlignment="1"/>
    <xf numFmtId="0" fontId="0" fillId="0" borderId="0" xfId="0" applyAlignment="1"/>
    <xf numFmtId="0" fontId="1" fillId="0" borderId="0" xfId="0" applyFon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" fontId="1" fillId="2" borderId="4" xfId="0" applyNumberFormat="1" applyFont="1" applyFill="1" applyBorder="1"/>
    <xf numFmtId="0" fontId="1" fillId="2" borderId="6" xfId="0" applyFont="1" applyFill="1" applyBorder="1"/>
    <xf numFmtId="0" fontId="1" fillId="2" borderId="9" xfId="0" applyFont="1" applyFill="1" applyBorder="1" applyAlignment="1">
      <alignment horizontal="left" vertical="top"/>
    </xf>
    <xf numFmtId="0" fontId="0" fillId="0" borderId="4" xfId="0" applyBorder="1" applyAlignment="1"/>
    <xf numFmtId="0" fontId="0" fillId="0" borderId="6" xfId="0" applyBorder="1" applyAlignment="1"/>
    <xf numFmtId="2" fontId="0" fillId="0" borderId="6" xfId="0" applyNumberFormat="1" applyBorder="1" applyAlignment="1"/>
    <xf numFmtId="0" fontId="0" fillId="0" borderId="5" xfId="0" applyBorder="1" applyAlignment="1">
      <alignment horizontal="left" vertical="top"/>
    </xf>
    <xf numFmtId="2" fontId="1" fillId="2" borderId="6" xfId="0" applyNumberFormat="1" applyFont="1" applyFill="1" applyBorder="1" applyAlignment="1">
      <alignment vertical="top"/>
    </xf>
    <xf numFmtId="2" fontId="1" fillId="2" borderId="6" xfId="0" applyNumberFormat="1" applyFont="1" applyFill="1" applyBorder="1" applyAlignment="1"/>
    <xf numFmtId="0" fontId="1" fillId="2" borderId="9" xfId="0" applyFont="1" applyFill="1" applyBorder="1" applyAlignment="1">
      <alignment vertical="top"/>
    </xf>
    <xf numFmtId="0" fontId="1" fillId="2" borderId="2" xfId="0" applyFont="1" applyFill="1" applyBorder="1"/>
    <xf numFmtId="0" fontId="1" fillId="4" borderId="4" xfId="0" applyFont="1" applyFill="1" applyBorder="1"/>
    <xf numFmtId="2" fontId="0" fillId="0" borderId="7" xfId="0" applyNumberFormat="1" applyBorder="1"/>
    <xf numFmtId="2" fontId="0" fillId="0" borderId="9" xfId="0" applyNumberFormat="1" applyBorder="1"/>
    <xf numFmtId="0" fontId="1" fillId="0" borderId="2" xfId="0" applyFont="1" applyBorder="1"/>
    <xf numFmtId="0" fontId="1" fillId="0" borderId="4" xfId="0" applyFont="1" applyBorder="1"/>
    <xf numFmtId="164" fontId="0" fillId="4" borderId="5" xfId="0" applyNumberFormat="1" applyFill="1" applyBorder="1"/>
    <xf numFmtId="164" fontId="0" fillId="2" borderId="5" xfId="0" applyNumberFormat="1" applyFill="1" applyBorder="1"/>
    <xf numFmtId="164" fontId="0" fillId="4" borderId="7" xfId="0" applyNumberFormat="1" applyFill="1" applyBorder="1"/>
    <xf numFmtId="2" fontId="1" fillId="2" borderId="6" xfId="0" applyNumberFormat="1" applyFont="1" applyFill="1" applyBorder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2" fontId="0" fillId="0" borderId="4" xfId="0" applyNumberFormat="1" applyBorder="1" applyAlignment="1">
      <alignment vertical="top"/>
    </xf>
    <xf numFmtId="0" fontId="0" fillId="0" borderId="5" xfId="0" applyFill="1" applyBorder="1"/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0" borderId="6" xfId="0" applyNumberForma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2" borderId="2" xfId="0" applyFill="1" applyBorder="1"/>
    <xf numFmtId="0" fontId="0" fillId="4" borderId="3" xfId="0" applyFill="1" applyBorder="1"/>
    <xf numFmtId="0" fontId="0" fillId="3" borderId="4" xfId="0" applyFill="1" applyBorder="1"/>
    <xf numFmtId="2" fontId="0" fillId="4" borderId="5" xfId="0" applyNumberFormat="1" applyFill="1" applyBorder="1"/>
    <xf numFmtId="2" fontId="0" fillId="2" borderId="5" xfId="0" applyNumberFormat="1" applyFill="1" applyBorder="1"/>
    <xf numFmtId="2" fontId="0" fillId="3" borderId="5" xfId="0" applyNumberFormat="1" applyFill="1" applyBorder="1"/>
    <xf numFmtId="2" fontId="0" fillId="3" borderId="7" xfId="0" applyNumberFormat="1" applyFill="1" applyBorder="1"/>
    <xf numFmtId="0" fontId="0" fillId="0" borderId="2" xfId="0" applyBorder="1" applyAlignment="1"/>
    <xf numFmtId="0" fontId="0" fillId="0" borderId="5" xfId="0" applyBorder="1" applyAlignment="1"/>
    <xf numFmtId="0" fontId="0" fillId="0" borderId="7" xfId="0" applyBorder="1" applyAlignment="1"/>
    <xf numFmtId="2" fontId="1" fillId="2" borderId="6" xfId="0" applyNumberFormat="1" applyFont="1" applyFill="1" applyBorder="1" applyAlignment="1">
      <alignment horizontal="left" vertical="top"/>
    </xf>
    <xf numFmtId="2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opLeftCell="C1" workbookViewId="0">
      <selection activeCell="I18" sqref="I18"/>
    </sheetView>
  </sheetViews>
  <sheetFormatPr defaultRowHeight="14.4" x14ac:dyDescent="0.55000000000000004"/>
  <cols>
    <col min="1" max="2" width="8.83984375" style="1"/>
    <col min="3" max="5" width="9.15625" style="1"/>
    <col min="6" max="8" width="8.83984375" style="1"/>
    <col min="9" max="9" width="13.7890625" style="1" bestFit="1" customWidth="1"/>
    <col min="10" max="10" width="10.20703125" style="1" bestFit="1" customWidth="1"/>
    <col min="11" max="16384" width="8.83984375" style="1"/>
  </cols>
  <sheetData>
    <row r="1" spans="2:10" ht="14.7" thickBot="1" x14ac:dyDescent="0.6"/>
    <row r="2" spans="2:10" x14ac:dyDescent="0.55000000000000004">
      <c r="B2" s="39" t="s">
        <v>0</v>
      </c>
      <c r="C2" s="40" t="s">
        <v>1</v>
      </c>
      <c r="D2" s="40" t="s">
        <v>2</v>
      </c>
      <c r="E2" s="40" t="s">
        <v>8</v>
      </c>
      <c r="F2" s="40" t="s">
        <v>9</v>
      </c>
      <c r="G2" s="41" t="s">
        <v>10</v>
      </c>
    </row>
    <row r="3" spans="2:10" ht="14.7" thickBot="1" x14ac:dyDescent="0.6">
      <c r="B3" s="25">
        <v>1900</v>
      </c>
      <c r="C3" s="16">
        <v>74</v>
      </c>
      <c r="D3" s="16">
        <v>73</v>
      </c>
      <c r="E3" s="16">
        <f t="shared" ref="E3:E23" si="0">C3-D3</f>
        <v>1</v>
      </c>
      <c r="F3" s="16">
        <f t="shared" ref="F3:F23" si="1">ABS(C3-D3)</f>
        <v>1</v>
      </c>
      <c r="G3" s="45">
        <v>1</v>
      </c>
    </row>
    <row r="4" spans="2:10" x14ac:dyDescent="0.55000000000000004">
      <c r="B4" s="25">
        <v>1895</v>
      </c>
      <c r="C4" s="16">
        <v>75</v>
      </c>
      <c r="D4" s="16">
        <v>77</v>
      </c>
      <c r="E4" s="16">
        <f t="shared" si="0"/>
        <v>-2</v>
      </c>
      <c r="F4" s="16">
        <f t="shared" si="1"/>
        <v>2</v>
      </c>
      <c r="G4" s="45">
        <v>2</v>
      </c>
      <c r="I4" s="46" t="s">
        <v>11</v>
      </c>
      <c r="J4" s="47">
        <f>SUMIF(E3:E23,"&gt;0",G3:G23)</f>
        <v>78.5</v>
      </c>
    </row>
    <row r="5" spans="2:10" x14ac:dyDescent="0.55000000000000004">
      <c r="B5" s="25">
        <v>1890</v>
      </c>
      <c r="C5" s="16">
        <v>75</v>
      </c>
      <c r="D5" s="16">
        <v>78</v>
      </c>
      <c r="E5" s="16">
        <f t="shared" si="0"/>
        <v>-3</v>
      </c>
      <c r="F5" s="16">
        <f t="shared" si="1"/>
        <v>3</v>
      </c>
      <c r="G5" s="45">
        <f>MEDIAN(3,4,5,6)</f>
        <v>4.5</v>
      </c>
      <c r="I5" s="25" t="s">
        <v>12</v>
      </c>
      <c r="J5" s="45">
        <f>SUMIF(E3:E23,"&lt;0",G3:G23)</f>
        <v>152.5</v>
      </c>
    </row>
    <row r="6" spans="2:10" x14ac:dyDescent="0.55000000000000004">
      <c r="B6" s="25">
        <v>1896</v>
      </c>
      <c r="C6" s="16">
        <v>62</v>
      </c>
      <c r="D6" s="16">
        <v>65</v>
      </c>
      <c r="E6" s="16">
        <f t="shared" si="0"/>
        <v>-3</v>
      </c>
      <c r="F6" s="16">
        <f t="shared" si="1"/>
        <v>3</v>
      </c>
      <c r="G6" s="45">
        <f>MEDIAN(3,4,5,6)</f>
        <v>4.5</v>
      </c>
      <c r="I6" s="25" t="s">
        <v>13</v>
      </c>
      <c r="J6" s="45">
        <f>MIN(J4:J5)</f>
        <v>78.5</v>
      </c>
    </row>
    <row r="7" spans="2:10" x14ac:dyDescent="0.55000000000000004">
      <c r="B7" s="25">
        <v>1898</v>
      </c>
      <c r="C7" s="16">
        <v>78</v>
      </c>
      <c r="D7" s="16">
        <v>81</v>
      </c>
      <c r="E7" s="16">
        <f t="shared" si="0"/>
        <v>-3</v>
      </c>
      <c r="F7" s="16">
        <f t="shared" si="1"/>
        <v>3</v>
      </c>
      <c r="G7" s="45">
        <f>MEDIAN(3,4,5,6)</f>
        <v>4.5</v>
      </c>
      <c r="I7" s="25" t="s">
        <v>14</v>
      </c>
      <c r="J7" s="45">
        <f>COUNT(C3:C23)</f>
        <v>21</v>
      </c>
    </row>
    <row r="8" spans="2:10" x14ac:dyDescent="0.55000000000000004">
      <c r="B8" s="25">
        <v>1904</v>
      </c>
      <c r="C8" s="16">
        <v>99</v>
      </c>
      <c r="D8" s="16">
        <v>96</v>
      </c>
      <c r="E8" s="16">
        <f t="shared" si="0"/>
        <v>3</v>
      </c>
      <c r="F8" s="16">
        <f t="shared" si="1"/>
        <v>3</v>
      </c>
      <c r="G8" s="45">
        <f>MEDIAN(3,4,5,6)</f>
        <v>4.5</v>
      </c>
      <c r="I8" s="25" t="s">
        <v>69</v>
      </c>
      <c r="J8" s="45">
        <f>J7*(J7+1)/4</f>
        <v>115.5</v>
      </c>
    </row>
    <row r="9" spans="2:10" x14ac:dyDescent="0.55000000000000004">
      <c r="B9" s="25">
        <v>1899</v>
      </c>
      <c r="C9" s="16">
        <v>92</v>
      </c>
      <c r="D9" s="16">
        <v>96</v>
      </c>
      <c r="E9" s="16">
        <f t="shared" si="0"/>
        <v>-4</v>
      </c>
      <c r="F9" s="16">
        <f t="shared" si="1"/>
        <v>4</v>
      </c>
      <c r="G9" s="45">
        <v>7</v>
      </c>
      <c r="I9" s="25" t="s">
        <v>70</v>
      </c>
      <c r="J9" s="48">
        <f>SQRT(J8*(2*J7+1)/6)</f>
        <v>28.770644761631605</v>
      </c>
    </row>
    <row r="10" spans="2:10" x14ac:dyDescent="0.55000000000000004">
      <c r="B10" s="25">
        <v>1892</v>
      </c>
      <c r="C10" s="16">
        <v>76</v>
      </c>
      <c r="D10" s="16">
        <v>70</v>
      </c>
      <c r="E10" s="16">
        <f t="shared" si="0"/>
        <v>6</v>
      </c>
      <c r="F10" s="16">
        <f t="shared" si="1"/>
        <v>6</v>
      </c>
      <c r="G10" s="45">
        <f>MEDIAN(8,9,10)</f>
        <v>9</v>
      </c>
      <c r="I10" s="49" t="s">
        <v>15</v>
      </c>
      <c r="J10" s="50"/>
    </row>
    <row r="11" spans="2:10" x14ac:dyDescent="0.55000000000000004">
      <c r="B11" s="25">
        <v>1897</v>
      </c>
      <c r="C11" s="16">
        <v>92</v>
      </c>
      <c r="D11" s="16">
        <v>86</v>
      </c>
      <c r="E11" s="16">
        <f t="shared" si="0"/>
        <v>6</v>
      </c>
      <c r="F11" s="16">
        <f t="shared" si="1"/>
        <v>6</v>
      </c>
      <c r="G11" s="45">
        <f>MEDIAN(8,9,10)</f>
        <v>9</v>
      </c>
      <c r="I11" s="25" t="s">
        <v>17</v>
      </c>
      <c r="J11" s="45">
        <v>0.05</v>
      </c>
    </row>
    <row r="12" spans="2:10" x14ac:dyDescent="0.55000000000000004">
      <c r="B12" s="25">
        <v>1901</v>
      </c>
      <c r="C12" s="16">
        <v>91</v>
      </c>
      <c r="D12" s="16">
        <v>97</v>
      </c>
      <c r="E12" s="16">
        <f t="shared" si="0"/>
        <v>-6</v>
      </c>
      <c r="F12" s="16">
        <f t="shared" si="1"/>
        <v>6</v>
      </c>
      <c r="G12" s="45">
        <f>MEDIAN(8,9,10)</f>
        <v>9</v>
      </c>
      <c r="I12" s="25" t="s">
        <v>16</v>
      </c>
      <c r="J12" s="61">
        <f>(J6+0.5-J8)/J9</f>
        <v>-1.2686542238593217</v>
      </c>
    </row>
    <row r="13" spans="2:10" x14ac:dyDescent="0.55000000000000004">
      <c r="B13" s="25">
        <v>1894</v>
      </c>
      <c r="C13" s="16">
        <v>67</v>
      </c>
      <c r="D13" s="16">
        <v>59</v>
      </c>
      <c r="E13" s="16">
        <f t="shared" si="0"/>
        <v>8</v>
      </c>
      <c r="F13" s="16">
        <f t="shared" si="1"/>
        <v>8</v>
      </c>
      <c r="G13" s="45">
        <f>MEDIAN(11,12)</f>
        <v>11.5</v>
      </c>
      <c r="I13" s="25" t="s">
        <v>18</v>
      </c>
      <c r="J13" s="61">
        <f>NORMSINV(0.975)</f>
        <v>1.9599639845400536</v>
      </c>
    </row>
    <row r="14" spans="2:10" ht="14.7" thickBot="1" x14ac:dyDescent="0.6">
      <c r="B14" s="25">
        <v>1903</v>
      </c>
      <c r="C14" s="16">
        <v>100</v>
      </c>
      <c r="D14" s="16">
        <v>92</v>
      </c>
      <c r="E14" s="16">
        <f t="shared" si="0"/>
        <v>8</v>
      </c>
      <c r="F14" s="16">
        <f t="shared" si="1"/>
        <v>8</v>
      </c>
      <c r="G14" s="45">
        <f>MEDIAN(11,12)</f>
        <v>11.5</v>
      </c>
      <c r="I14" s="17" t="s">
        <v>19</v>
      </c>
      <c r="J14" s="21" t="str">
        <f>IF(ABS(J12)&gt;J13,"Reject","Don't reject")</f>
        <v>Don't reject</v>
      </c>
    </row>
    <row r="15" spans="2:10" x14ac:dyDescent="0.55000000000000004">
      <c r="B15" s="25">
        <v>1905</v>
      </c>
      <c r="C15" s="16">
        <v>107</v>
      </c>
      <c r="D15" s="16">
        <v>98</v>
      </c>
      <c r="E15" s="16">
        <f t="shared" si="0"/>
        <v>9</v>
      </c>
      <c r="F15" s="16">
        <f t="shared" si="1"/>
        <v>9</v>
      </c>
      <c r="G15" s="45">
        <v>13</v>
      </c>
    </row>
    <row r="16" spans="2:10" x14ac:dyDescent="0.55000000000000004">
      <c r="B16" s="25">
        <v>1891</v>
      </c>
      <c r="C16" s="16">
        <v>66</v>
      </c>
      <c r="D16" s="16">
        <v>76</v>
      </c>
      <c r="E16" s="16">
        <f t="shared" si="0"/>
        <v>-10</v>
      </c>
      <c r="F16" s="16">
        <f t="shared" si="1"/>
        <v>10</v>
      </c>
      <c r="G16" s="45">
        <f>MEDIAN(14,15)</f>
        <v>14.5</v>
      </c>
      <c r="I16" s="1" t="s">
        <v>76</v>
      </c>
      <c r="J16" s="1" t="s">
        <v>71</v>
      </c>
    </row>
    <row r="17" spans="2:10" x14ac:dyDescent="0.55000000000000004">
      <c r="B17" s="25">
        <v>1893</v>
      </c>
      <c r="C17" s="16">
        <v>63</v>
      </c>
      <c r="D17" s="16">
        <v>73</v>
      </c>
      <c r="E17" s="16">
        <f t="shared" si="0"/>
        <v>-10</v>
      </c>
      <c r="F17" s="16">
        <f t="shared" si="1"/>
        <v>10</v>
      </c>
      <c r="G17" s="45">
        <f>MEDIAN(14,15)</f>
        <v>14.5</v>
      </c>
      <c r="I17" s="1" t="s">
        <v>75</v>
      </c>
      <c r="J17" s="1" t="s">
        <v>71</v>
      </c>
    </row>
    <row r="18" spans="2:10" x14ac:dyDescent="0.55000000000000004">
      <c r="B18" s="25">
        <v>1889</v>
      </c>
      <c r="C18" s="16">
        <v>67</v>
      </c>
      <c r="D18" s="16">
        <v>78</v>
      </c>
      <c r="E18" s="16">
        <f t="shared" si="0"/>
        <v>-11</v>
      </c>
      <c r="F18" s="16">
        <f t="shared" si="1"/>
        <v>11</v>
      </c>
      <c r="G18" s="45">
        <v>16</v>
      </c>
    </row>
    <row r="19" spans="2:10" x14ac:dyDescent="0.55000000000000004">
      <c r="B19" s="25">
        <v>1886</v>
      </c>
      <c r="C19" s="16">
        <v>54</v>
      </c>
      <c r="D19" s="16">
        <v>66</v>
      </c>
      <c r="E19" s="16">
        <f t="shared" si="0"/>
        <v>-12</v>
      </c>
      <c r="F19" s="16">
        <f t="shared" si="1"/>
        <v>12</v>
      </c>
      <c r="G19" s="45">
        <f>MEDIAN(17,18)</f>
        <v>17.5</v>
      </c>
    </row>
    <row r="20" spans="2:10" x14ac:dyDescent="0.55000000000000004">
      <c r="B20" s="25">
        <v>1888</v>
      </c>
      <c r="C20" s="16">
        <v>46</v>
      </c>
      <c r="D20" s="16">
        <v>58</v>
      </c>
      <c r="E20" s="16">
        <f t="shared" si="0"/>
        <v>-12</v>
      </c>
      <c r="F20" s="16">
        <f t="shared" si="1"/>
        <v>12</v>
      </c>
      <c r="G20" s="45">
        <f>MEDIAN(17,18)</f>
        <v>17.5</v>
      </c>
    </row>
    <row r="21" spans="2:10" x14ac:dyDescent="0.55000000000000004">
      <c r="B21" s="25">
        <v>1902</v>
      </c>
      <c r="C21" s="16">
        <v>88</v>
      </c>
      <c r="D21" s="16">
        <v>75</v>
      </c>
      <c r="E21" s="16">
        <f t="shared" si="0"/>
        <v>13</v>
      </c>
      <c r="F21" s="16">
        <f t="shared" si="1"/>
        <v>13</v>
      </c>
      <c r="G21" s="45">
        <v>19</v>
      </c>
    </row>
    <row r="22" spans="2:10" x14ac:dyDescent="0.55000000000000004">
      <c r="B22" s="25">
        <v>1885</v>
      </c>
      <c r="C22" s="16">
        <v>53</v>
      </c>
      <c r="D22" s="16">
        <v>70</v>
      </c>
      <c r="E22" s="16">
        <f t="shared" si="0"/>
        <v>-17</v>
      </c>
      <c r="F22" s="16">
        <f t="shared" si="1"/>
        <v>17</v>
      </c>
      <c r="G22" s="45">
        <v>20</v>
      </c>
    </row>
    <row r="23" spans="2:10" ht="14.7" thickBot="1" x14ac:dyDescent="0.6">
      <c r="B23" s="17">
        <v>1887</v>
      </c>
      <c r="C23" s="42">
        <v>48</v>
      </c>
      <c r="D23" s="42">
        <v>82</v>
      </c>
      <c r="E23" s="42">
        <f t="shared" si="0"/>
        <v>-34</v>
      </c>
      <c r="F23" s="42">
        <f t="shared" si="1"/>
        <v>34</v>
      </c>
      <c r="G23" s="18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workbookViewId="0">
      <selection activeCell="H14" sqref="H14"/>
    </sheetView>
  </sheetViews>
  <sheetFormatPr defaultRowHeight="14.4" x14ac:dyDescent="0.55000000000000004"/>
  <cols>
    <col min="8" max="8" width="8.83984375" customWidth="1"/>
    <col min="9" max="9" width="10.20703125" bestFit="1" customWidth="1"/>
  </cols>
  <sheetData>
    <row r="1" spans="2:9" ht="14.7" thickBot="1" x14ac:dyDescent="0.6"/>
    <row r="2" spans="2:9" x14ac:dyDescent="0.55000000000000004">
      <c r="B2" s="39" t="s">
        <v>0</v>
      </c>
      <c r="C2" s="40" t="s">
        <v>1</v>
      </c>
      <c r="D2" s="40" t="s">
        <v>2</v>
      </c>
      <c r="E2" s="40" t="s">
        <v>8</v>
      </c>
      <c r="F2" s="41" t="s">
        <v>23</v>
      </c>
    </row>
    <row r="3" spans="2:9" x14ac:dyDescent="0.55000000000000004">
      <c r="B3" s="25">
        <v>1900</v>
      </c>
      <c r="C3" s="16">
        <v>74</v>
      </c>
      <c r="D3" s="16">
        <v>73</v>
      </c>
      <c r="E3" s="16">
        <f t="shared" ref="E3:E23" si="0">C3-D3</f>
        <v>1</v>
      </c>
      <c r="F3" s="11">
        <f t="shared" ref="F3:F23" si="1">(E3-$I$5)^2/($I$6-1)</f>
        <v>1.0018140589569162</v>
      </c>
    </row>
    <row r="4" spans="2:9" ht="14.7" thickBot="1" x14ac:dyDescent="0.6">
      <c r="B4" s="25">
        <v>1895</v>
      </c>
      <c r="C4" s="16">
        <v>75</v>
      </c>
      <c r="D4" s="16">
        <v>77</v>
      </c>
      <c r="E4" s="16">
        <f t="shared" si="0"/>
        <v>-2</v>
      </c>
      <c r="F4" s="11">
        <f t="shared" si="1"/>
        <v>0.10895691609977325</v>
      </c>
    </row>
    <row r="5" spans="2:9" x14ac:dyDescent="0.55000000000000004">
      <c r="B5" s="25">
        <v>1890</v>
      </c>
      <c r="C5" s="16">
        <v>75</v>
      </c>
      <c r="D5" s="16">
        <v>78</v>
      </c>
      <c r="E5" s="16">
        <f t="shared" si="0"/>
        <v>-3</v>
      </c>
      <c r="F5" s="11">
        <f t="shared" si="1"/>
        <v>1.1337868480725627E-2</v>
      </c>
      <c r="H5" s="7" t="s">
        <v>20</v>
      </c>
      <c r="I5" s="43">
        <f>AVERAGE(E3:E23)</f>
        <v>-3.4761904761904763</v>
      </c>
    </row>
    <row r="6" spans="2:9" x14ac:dyDescent="0.55000000000000004">
      <c r="B6" s="25">
        <v>1896</v>
      </c>
      <c r="C6" s="16">
        <v>62</v>
      </c>
      <c r="D6" s="16">
        <v>65</v>
      </c>
      <c r="E6" s="16">
        <f t="shared" si="0"/>
        <v>-3</v>
      </c>
      <c r="F6" s="11">
        <f t="shared" si="1"/>
        <v>1.1337868480725627E-2</v>
      </c>
      <c r="H6" s="12" t="s">
        <v>14</v>
      </c>
      <c r="I6" s="23">
        <f>COUNT(C3:C23)</f>
        <v>21</v>
      </c>
    </row>
    <row r="7" spans="2:9" x14ac:dyDescent="0.55000000000000004">
      <c r="B7" s="25">
        <v>1898</v>
      </c>
      <c r="C7" s="16">
        <v>78</v>
      </c>
      <c r="D7" s="16">
        <v>81</v>
      </c>
      <c r="E7" s="16">
        <f t="shared" si="0"/>
        <v>-3</v>
      </c>
      <c r="F7" s="11">
        <f t="shared" si="1"/>
        <v>1.1337868480725627E-2</v>
      </c>
      <c r="H7" s="12" t="s">
        <v>21</v>
      </c>
      <c r="I7" s="24">
        <f>SUM(F3:F23)</f>
        <v>117.16190476190476</v>
      </c>
    </row>
    <row r="8" spans="2:9" x14ac:dyDescent="0.55000000000000004">
      <c r="B8" s="25">
        <v>1904</v>
      </c>
      <c r="C8" s="16">
        <v>99</v>
      </c>
      <c r="D8" s="16">
        <v>96</v>
      </c>
      <c r="E8" s="16">
        <f t="shared" si="0"/>
        <v>3</v>
      </c>
      <c r="F8" s="11">
        <f t="shared" si="1"/>
        <v>2.0970521541950111</v>
      </c>
      <c r="H8" s="44" t="s">
        <v>17</v>
      </c>
      <c r="I8" s="13">
        <v>0.05</v>
      </c>
    </row>
    <row r="9" spans="2:9" x14ac:dyDescent="0.55000000000000004">
      <c r="B9" s="25">
        <v>1899</v>
      </c>
      <c r="C9" s="16">
        <v>92</v>
      </c>
      <c r="D9" s="16">
        <v>96</v>
      </c>
      <c r="E9" s="16">
        <f t="shared" si="0"/>
        <v>-4</v>
      </c>
      <c r="F9" s="11">
        <f t="shared" si="1"/>
        <v>1.3718820861677999E-2</v>
      </c>
      <c r="H9" s="12" t="s">
        <v>22</v>
      </c>
      <c r="I9" s="27">
        <f>I5/SQRT(I7/I6)</f>
        <v>-1.4717024096066023</v>
      </c>
    </row>
    <row r="10" spans="2:9" x14ac:dyDescent="0.55000000000000004">
      <c r="B10" s="25">
        <v>1892</v>
      </c>
      <c r="C10" s="16">
        <v>76</v>
      </c>
      <c r="D10" s="16">
        <v>70</v>
      </c>
      <c r="E10" s="16">
        <f t="shared" si="0"/>
        <v>6</v>
      </c>
      <c r="F10" s="11">
        <f t="shared" si="1"/>
        <v>4.4899092970521544</v>
      </c>
      <c r="H10" s="12" t="s">
        <v>24</v>
      </c>
      <c r="I10" s="27">
        <v>2.0859999999999999</v>
      </c>
    </row>
    <row r="11" spans="2:9" ht="14.7" thickBot="1" x14ac:dyDescent="0.6">
      <c r="B11" s="25">
        <v>1897</v>
      </c>
      <c r="C11" s="16">
        <v>92</v>
      </c>
      <c r="D11" s="16">
        <v>86</v>
      </c>
      <c r="E11" s="16">
        <f t="shared" si="0"/>
        <v>6</v>
      </c>
      <c r="F11" s="11">
        <f t="shared" si="1"/>
        <v>4.4899092970521544</v>
      </c>
      <c r="H11" s="17" t="s">
        <v>19</v>
      </c>
      <c r="I11" s="21" t="str">
        <f>IF(ABS(I9)&gt;I10,"Reject","Don't reject")</f>
        <v>Don't reject</v>
      </c>
    </row>
    <row r="12" spans="2:9" x14ac:dyDescent="0.55000000000000004">
      <c r="B12" s="25">
        <v>1901</v>
      </c>
      <c r="C12" s="16">
        <v>91</v>
      </c>
      <c r="D12" s="16">
        <v>97</v>
      </c>
      <c r="E12" s="16">
        <f t="shared" si="0"/>
        <v>-6</v>
      </c>
      <c r="F12" s="11">
        <f t="shared" si="1"/>
        <v>0.31848072562358276</v>
      </c>
    </row>
    <row r="13" spans="2:9" x14ac:dyDescent="0.55000000000000004">
      <c r="B13" s="25">
        <v>1894</v>
      </c>
      <c r="C13" s="16">
        <v>67</v>
      </c>
      <c r="D13" s="16">
        <v>59</v>
      </c>
      <c r="E13" s="16">
        <f t="shared" si="0"/>
        <v>8</v>
      </c>
      <c r="F13" s="11">
        <f t="shared" si="1"/>
        <v>6.5851473922902501</v>
      </c>
      <c r="H13" t="s">
        <v>72</v>
      </c>
      <c r="I13" t="s">
        <v>73</v>
      </c>
    </row>
    <row r="14" spans="2:9" x14ac:dyDescent="0.55000000000000004">
      <c r="B14" s="25">
        <v>1903</v>
      </c>
      <c r="C14" s="16">
        <v>100</v>
      </c>
      <c r="D14" s="16">
        <v>92</v>
      </c>
      <c r="E14" s="16">
        <f t="shared" si="0"/>
        <v>8</v>
      </c>
      <c r="F14" s="11">
        <f t="shared" si="1"/>
        <v>6.5851473922902501</v>
      </c>
    </row>
    <row r="15" spans="2:9" x14ac:dyDescent="0.55000000000000004">
      <c r="B15" s="25">
        <v>1905</v>
      </c>
      <c r="C15" s="16">
        <v>107</v>
      </c>
      <c r="D15" s="16">
        <v>98</v>
      </c>
      <c r="E15" s="16">
        <f t="shared" si="0"/>
        <v>9</v>
      </c>
      <c r="F15" s="11">
        <f t="shared" si="1"/>
        <v>7.7827664399092971</v>
      </c>
    </row>
    <row r="16" spans="2:9" x14ac:dyDescent="0.55000000000000004">
      <c r="B16" s="25">
        <v>1891</v>
      </c>
      <c r="C16" s="16">
        <v>66</v>
      </c>
      <c r="D16" s="16">
        <v>76</v>
      </c>
      <c r="E16" s="16">
        <f t="shared" si="0"/>
        <v>-10</v>
      </c>
      <c r="F16" s="11">
        <f t="shared" si="1"/>
        <v>2.1280045351473924</v>
      </c>
    </row>
    <row r="17" spans="2:6" x14ac:dyDescent="0.55000000000000004">
      <c r="B17" s="25">
        <v>1893</v>
      </c>
      <c r="C17" s="16">
        <v>63</v>
      </c>
      <c r="D17" s="16">
        <v>73</v>
      </c>
      <c r="E17" s="16">
        <f t="shared" si="0"/>
        <v>-10</v>
      </c>
      <c r="F17" s="11">
        <f t="shared" si="1"/>
        <v>2.1280045351473924</v>
      </c>
    </row>
    <row r="18" spans="2:6" x14ac:dyDescent="0.55000000000000004">
      <c r="B18" s="25">
        <v>1889</v>
      </c>
      <c r="C18" s="16">
        <v>67</v>
      </c>
      <c r="D18" s="16">
        <v>78</v>
      </c>
      <c r="E18" s="16">
        <f t="shared" si="0"/>
        <v>-11</v>
      </c>
      <c r="F18" s="11">
        <f t="shared" si="1"/>
        <v>2.8303854875283445</v>
      </c>
    </row>
    <row r="19" spans="2:6" x14ac:dyDescent="0.55000000000000004">
      <c r="B19" s="25">
        <v>1886</v>
      </c>
      <c r="C19" s="16">
        <v>54</v>
      </c>
      <c r="D19" s="16">
        <v>66</v>
      </c>
      <c r="E19" s="16">
        <f t="shared" si="0"/>
        <v>-12</v>
      </c>
      <c r="F19" s="11">
        <f t="shared" si="1"/>
        <v>3.6327664399092967</v>
      </c>
    </row>
    <row r="20" spans="2:6" x14ac:dyDescent="0.55000000000000004">
      <c r="B20" s="25">
        <v>1888</v>
      </c>
      <c r="C20" s="16">
        <v>46</v>
      </c>
      <c r="D20" s="16">
        <v>58</v>
      </c>
      <c r="E20" s="16">
        <f t="shared" si="0"/>
        <v>-12</v>
      </c>
      <c r="F20" s="11">
        <f t="shared" si="1"/>
        <v>3.6327664399092967</v>
      </c>
    </row>
    <row r="21" spans="2:6" x14ac:dyDescent="0.55000000000000004">
      <c r="B21" s="25">
        <v>1902</v>
      </c>
      <c r="C21" s="16">
        <v>88</v>
      </c>
      <c r="D21" s="16">
        <v>75</v>
      </c>
      <c r="E21" s="16">
        <f t="shared" si="0"/>
        <v>13</v>
      </c>
      <c r="F21" s="11">
        <f t="shared" si="1"/>
        <v>13.573242630385485</v>
      </c>
    </row>
    <row r="22" spans="2:6" x14ac:dyDescent="0.55000000000000004">
      <c r="B22" s="25">
        <v>1885</v>
      </c>
      <c r="C22" s="16">
        <v>53</v>
      </c>
      <c r="D22" s="16">
        <v>70</v>
      </c>
      <c r="E22" s="16">
        <f t="shared" si="0"/>
        <v>-17</v>
      </c>
      <c r="F22" s="11">
        <f t="shared" si="1"/>
        <v>9.1446712018140595</v>
      </c>
    </row>
    <row r="23" spans="2:6" ht="14.7" thickBot="1" x14ac:dyDescent="0.6">
      <c r="B23" s="17">
        <v>1887</v>
      </c>
      <c r="C23" s="42">
        <v>48</v>
      </c>
      <c r="D23" s="42">
        <v>82</v>
      </c>
      <c r="E23" s="42">
        <f t="shared" si="0"/>
        <v>-34</v>
      </c>
      <c r="F23" s="32">
        <f t="shared" si="1"/>
        <v>46.585147392290253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workbookViewId="0">
      <selection activeCell="C30" sqref="C30"/>
    </sheetView>
  </sheetViews>
  <sheetFormatPr defaultRowHeight="14.4" x14ac:dyDescent="0.55000000000000004"/>
  <cols>
    <col min="2" max="2" width="18.05078125" bestFit="1" customWidth="1"/>
    <col min="3" max="3" width="12.3671875" bestFit="1" customWidth="1"/>
  </cols>
  <sheetData>
    <row r="1" spans="2:6" ht="14.7" thickBot="1" x14ac:dyDescent="0.6"/>
    <row r="2" spans="2:6" x14ac:dyDescent="0.55000000000000004">
      <c r="B2" s="29" t="s">
        <v>3</v>
      </c>
      <c r="C2" s="30" t="s">
        <v>4</v>
      </c>
      <c r="D2" s="5"/>
      <c r="E2" s="33" t="s">
        <v>25</v>
      </c>
      <c r="F2" s="34" t="s">
        <v>10</v>
      </c>
    </row>
    <row r="3" spans="2:6" x14ac:dyDescent="0.55000000000000004">
      <c r="B3" s="10">
        <v>0.95</v>
      </c>
      <c r="C3" s="11">
        <v>1.02</v>
      </c>
      <c r="E3" s="35">
        <v>1E-3</v>
      </c>
      <c r="F3" s="13">
        <v>1</v>
      </c>
    </row>
    <row r="4" spans="2:6" x14ac:dyDescent="0.55000000000000004">
      <c r="B4" s="10">
        <v>0.72</v>
      </c>
      <c r="C4" s="11">
        <v>0.49</v>
      </c>
      <c r="E4" s="35">
        <v>3.0000000000000001E-3</v>
      </c>
      <c r="F4" s="13">
        <v>2</v>
      </c>
    </row>
    <row r="5" spans="2:6" x14ac:dyDescent="0.55000000000000004">
      <c r="B5" s="10">
        <v>0.51</v>
      </c>
      <c r="C5" s="11">
        <v>0.45400000000000001</v>
      </c>
      <c r="E5" s="35">
        <v>7.0000000000000001E-3</v>
      </c>
      <c r="F5" s="13">
        <v>3</v>
      </c>
    </row>
    <row r="6" spans="2:6" x14ac:dyDescent="0.55000000000000004">
      <c r="B6" s="10">
        <v>0.44</v>
      </c>
      <c r="C6" s="11">
        <v>0.1</v>
      </c>
      <c r="E6" s="36">
        <v>0.02</v>
      </c>
      <c r="F6" s="13">
        <v>4.5</v>
      </c>
    </row>
    <row r="7" spans="2:6" x14ac:dyDescent="0.55000000000000004">
      <c r="B7" s="10">
        <v>0.4</v>
      </c>
      <c r="C7" s="11">
        <v>7.6999999999999999E-2</v>
      </c>
      <c r="E7" s="35">
        <v>0.02</v>
      </c>
      <c r="F7" s="13">
        <v>4.5</v>
      </c>
    </row>
    <row r="8" spans="2:6" x14ac:dyDescent="0.55000000000000004">
      <c r="B8" s="10">
        <v>0.3</v>
      </c>
      <c r="C8" s="11">
        <v>4.1000000000000002E-2</v>
      </c>
      <c r="E8" s="35">
        <v>0.03</v>
      </c>
      <c r="F8" s="13">
        <v>6</v>
      </c>
    </row>
    <row r="9" spans="2:6" x14ac:dyDescent="0.55000000000000004">
      <c r="B9" s="10">
        <v>0.18</v>
      </c>
      <c r="C9" s="11">
        <v>0.04</v>
      </c>
      <c r="E9" s="36">
        <v>3.1E-2</v>
      </c>
      <c r="F9" s="13">
        <v>7</v>
      </c>
    </row>
    <row r="10" spans="2:6" x14ac:dyDescent="0.55000000000000004">
      <c r="B10" s="10">
        <v>0.16</v>
      </c>
      <c r="C10" s="11">
        <v>0.03</v>
      </c>
      <c r="E10" s="35">
        <v>0.04</v>
      </c>
      <c r="F10" s="13">
        <v>8</v>
      </c>
    </row>
    <row r="11" spans="2:6" x14ac:dyDescent="0.55000000000000004">
      <c r="B11" s="10">
        <v>0.16</v>
      </c>
      <c r="C11" s="11">
        <v>0.02</v>
      </c>
      <c r="E11" s="35">
        <v>4.1000000000000002E-2</v>
      </c>
      <c r="F11" s="13">
        <v>9</v>
      </c>
    </row>
    <row r="12" spans="2:6" x14ac:dyDescent="0.55000000000000004">
      <c r="B12" s="10">
        <v>0.13</v>
      </c>
      <c r="C12" s="11">
        <v>7.0000000000000001E-3</v>
      </c>
      <c r="E12" s="35">
        <v>7.6999999999999999E-2</v>
      </c>
      <c r="F12" s="13">
        <v>10</v>
      </c>
    </row>
    <row r="13" spans="2:6" x14ac:dyDescent="0.55000000000000004">
      <c r="B13" s="10">
        <v>8.5999999999999993E-2</v>
      </c>
      <c r="C13" s="11">
        <v>3.0000000000000001E-3</v>
      </c>
      <c r="E13" s="36">
        <v>8.5999999999999993E-2</v>
      </c>
      <c r="F13" s="13">
        <v>11</v>
      </c>
    </row>
    <row r="14" spans="2:6" x14ac:dyDescent="0.55000000000000004">
      <c r="B14" s="10">
        <v>3.1E-2</v>
      </c>
      <c r="C14" s="11">
        <v>1E-3</v>
      </c>
      <c r="E14" s="35">
        <v>0.1</v>
      </c>
      <c r="F14" s="13">
        <v>12</v>
      </c>
    </row>
    <row r="15" spans="2:6" ht="14.7" thickBot="1" x14ac:dyDescent="0.6">
      <c r="B15" s="31">
        <v>0.02</v>
      </c>
      <c r="C15" s="32"/>
      <c r="E15" s="36">
        <v>0.13</v>
      </c>
      <c r="F15" s="13">
        <v>13</v>
      </c>
    </row>
    <row r="16" spans="2:6" ht="14.7" thickBot="1" x14ac:dyDescent="0.6">
      <c r="E16" s="36">
        <v>0.16</v>
      </c>
      <c r="F16" s="13">
        <v>14.5</v>
      </c>
    </row>
    <row r="17" spans="2:6" x14ac:dyDescent="0.55000000000000004">
      <c r="B17" s="7" t="s">
        <v>14</v>
      </c>
      <c r="C17" s="9">
        <f>COUNT(C3:C14)</f>
        <v>12</v>
      </c>
      <c r="E17" s="36">
        <v>0.16</v>
      </c>
      <c r="F17" s="13">
        <v>14.5</v>
      </c>
    </row>
    <row r="18" spans="2:6" x14ac:dyDescent="0.55000000000000004">
      <c r="B18" s="12" t="s">
        <v>26</v>
      </c>
      <c r="C18" s="13">
        <f>COUNT(B3:B15)</f>
        <v>13</v>
      </c>
      <c r="E18" s="36">
        <v>0.18</v>
      </c>
      <c r="F18" s="13">
        <v>16</v>
      </c>
    </row>
    <row r="19" spans="2:6" x14ac:dyDescent="0.55000000000000004">
      <c r="B19" s="12" t="s">
        <v>29</v>
      </c>
      <c r="C19" s="13">
        <f>COUNT(E3:E27)</f>
        <v>25</v>
      </c>
      <c r="E19" s="36">
        <v>0.3</v>
      </c>
      <c r="F19" s="13">
        <v>17</v>
      </c>
    </row>
    <row r="20" spans="2:6" x14ac:dyDescent="0.55000000000000004">
      <c r="B20" s="12" t="s">
        <v>27</v>
      </c>
      <c r="C20" s="13">
        <f>SUM(F3,F4,F5,F7,F8,F10,F11,F12,F14,F22,F23,F27)</f>
        <v>121.5</v>
      </c>
      <c r="E20" s="36">
        <v>0.4</v>
      </c>
      <c r="F20" s="13">
        <v>18</v>
      </c>
    </row>
    <row r="21" spans="2:6" x14ac:dyDescent="0.55000000000000004">
      <c r="B21" s="12" t="s">
        <v>28</v>
      </c>
      <c r="C21" s="13">
        <f>C17*(C19+1)/2</f>
        <v>156</v>
      </c>
      <c r="E21" s="36">
        <v>0.44</v>
      </c>
      <c r="F21" s="13">
        <v>19</v>
      </c>
    </row>
    <row r="22" spans="2:6" x14ac:dyDescent="0.55000000000000004">
      <c r="B22" s="12" t="s">
        <v>30</v>
      </c>
      <c r="C22" s="11">
        <f>SQRT((C17*C18*(C19+1))/12)</f>
        <v>18.384776310850235</v>
      </c>
      <c r="E22" s="35">
        <v>0.45400000000000001</v>
      </c>
      <c r="F22" s="13">
        <v>20</v>
      </c>
    </row>
    <row r="23" spans="2:6" x14ac:dyDescent="0.55000000000000004">
      <c r="B23" s="12" t="s">
        <v>31</v>
      </c>
      <c r="C23" s="13"/>
      <c r="E23" s="35">
        <v>0.49</v>
      </c>
      <c r="F23" s="13">
        <v>21</v>
      </c>
    </row>
    <row r="24" spans="2:6" x14ac:dyDescent="0.55000000000000004">
      <c r="B24" s="12" t="s">
        <v>32</v>
      </c>
      <c r="C24" s="38">
        <f>(C20+0.5-C21)/C22</f>
        <v>-1.8493561969494321</v>
      </c>
      <c r="E24" s="36">
        <v>0.51</v>
      </c>
      <c r="F24" s="13">
        <v>22</v>
      </c>
    </row>
    <row r="25" spans="2:6" x14ac:dyDescent="0.55000000000000004">
      <c r="B25" s="25" t="s">
        <v>18</v>
      </c>
      <c r="C25" s="26">
        <f>NORMSINV(0.975)</f>
        <v>1.9599639845400536</v>
      </c>
      <c r="E25" s="36">
        <v>0.72</v>
      </c>
      <c r="F25" s="13">
        <v>23</v>
      </c>
    </row>
    <row r="26" spans="2:6" ht="14.7" thickBot="1" x14ac:dyDescent="0.6">
      <c r="B26" s="17" t="s">
        <v>19</v>
      </c>
      <c r="C26" s="21" t="str">
        <f>IF(ABS(C24)&gt;C25,"Reject","Don't reject")</f>
        <v>Don't reject</v>
      </c>
      <c r="E26" s="36">
        <v>0.95</v>
      </c>
      <c r="F26" s="13">
        <v>24</v>
      </c>
    </row>
    <row r="27" spans="2:6" ht="14.7" thickBot="1" x14ac:dyDescent="0.6">
      <c r="E27" s="37">
        <v>1.02</v>
      </c>
      <c r="F27" s="15">
        <v>25</v>
      </c>
    </row>
    <row r="28" spans="2:6" x14ac:dyDescent="0.55000000000000004">
      <c r="B28" t="s">
        <v>74</v>
      </c>
      <c r="C28" t="s">
        <v>78</v>
      </c>
    </row>
    <row r="29" spans="2:6" x14ac:dyDescent="0.55000000000000004">
      <c r="B29" t="s">
        <v>75</v>
      </c>
      <c r="C29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showGridLines="0" workbookViewId="0">
      <selection activeCell="C31" sqref="C31"/>
    </sheetView>
  </sheetViews>
  <sheetFormatPr defaultRowHeight="14.4" x14ac:dyDescent="0.55000000000000004"/>
  <cols>
    <col min="2" max="2" width="18.05078125" bestFit="1" customWidth="1"/>
    <col min="3" max="3" width="12.3671875" bestFit="1" customWidth="1"/>
  </cols>
  <sheetData>
    <row r="1" spans="2:6" ht="14.7" thickBot="1" x14ac:dyDescent="0.6"/>
    <row r="2" spans="2:6" x14ac:dyDescent="0.55000000000000004">
      <c r="B2" s="29" t="s">
        <v>3</v>
      </c>
      <c r="C2" s="30" t="s">
        <v>4</v>
      </c>
      <c r="E2" s="33" t="s">
        <v>25</v>
      </c>
      <c r="F2" s="34" t="s">
        <v>10</v>
      </c>
    </row>
    <row r="3" spans="2:6" x14ac:dyDescent="0.55000000000000004">
      <c r="B3" s="10">
        <v>0.95</v>
      </c>
      <c r="C3" s="11">
        <v>1.02</v>
      </c>
      <c r="E3" s="35">
        <v>1E-3</v>
      </c>
      <c r="F3" s="13">
        <v>1</v>
      </c>
    </row>
    <row r="4" spans="2:6" x14ac:dyDescent="0.55000000000000004">
      <c r="B4" s="10">
        <v>0.72</v>
      </c>
      <c r="C4" s="11">
        <v>0.49</v>
      </c>
      <c r="E4" s="35">
        <v>3.0000000000000001E-3</v>
      </c>
      <c r="F4" s="13">
        <v>2</v>
      </c>
    </row>
    <row r="5" spans="2:6" x14ac:dyDescent="0.55000000000000004">
      <c r="B5" s="10">
        <v>0.51</v>
      </c>
      <c r="C5" s="11">
        <v>0.45400000000000001</v>
      </c>
      <c r="E5" s="35">
        <v>7.0000000000000001E-3</v>
      </c>
      <c r="F5" s="13">
        <v>3</v>
      </c>
    </row>
    <row r="6" spans="2:6" x14ac:dyDescent="0.55000000000000004">
      <c r="B6" s="10">
        <v>0.44</v>
      </c>
      <c r="C6" s="11">
        <v>0.1</v>
      </c>
      <c r="E6" s="36">
        <v>0.02</v>
      </c>
      <c r="F6" s="13">
        <v>4.5</v>
      </c>
    </row>
    <row r="7" spans="2:6" x14ac:dyDescent="0.55000000000000004">
      <c r="B7" s="10">
        <v>0.4</v>
      </c>
      <c r="C7" s="11">
        <v>7.6999999999999999E-2</v>
      </c>
      <c r="E7" s="35">
        <v>0.02</v>
      </c>
      <c r="F7" s="13">
        <v>4.5</v>
      </c>
    </row>
    <row r="8" spans="2:6" x14ac:dyDescent="0.55000000000000004">
      <c r="B8" s="10">
        <v>0.3</v>
      </c>
      <c r="C8" s="11">
        <v>4.1000000000000002E-2</v>
      </c>
      <c r="E8" s="35">
        <v>0.03</v>
      </c>
      <c r="F8" s="13">
        <v>6</v>
      </c>
    </row>
    <row r="9" spans="2:6" x14ac:dyDescent="0.55000000000000004">
      <c r="B9" s="10">
        <v>0.18</v>
      </c>
      <c r="C9" s="11">
        <v>0.04</v>
      </c>
      <c r="E9" s="36">
        <v>3.1E-2</v>
      </c>
      <c r="F9" s="13">
        <v>7</v>
      </c>
    </row>
    <row r="10" spans="2:6" x14ac:dyDescent="0.55000000000000004">
      <c r="B10" s="10">
        <v>0.16</v>
      </c>
      <c r="C10" s="11">
        <v>0.03</v>
      </c>
      <c r="E10" s="35">
        <v>0.04</v>
      </c>
      <c r="F10" s="13">
        <v>8</v>
      </c>
    </row>
    <row r="11" spans="2:6" x14ac:dyDescent="0.55000000000000004">
      <c r="B11" s="10">
        <v>0.16</v>
      </c>
      <c r="C11" s="11">
        <v>0.02</v>
      </c>
      <c r="E11" s="35">
        <v>4.1000000000000002E-2</v>
      </c>
      <c r="F11" s="13">
        <v>9</v>
      </c>
    </row>
    <row r="12" spans="2:6" x14ac:dyDescent="0.55000000000000004">
      <c r="B12" s="10">
        <v>0.13</v>
      </c>
      <c r="C12" s="11">
        <v>7.0000000000000001E-3</v>
      </c>
      <c r="E12" s="35">
        <v>7.6999999999999999E-2</v>
      </c>
      <c r="F12" s="13">
        <v>10</v>
      </c>
    </row>
    <row r="13" spans="2:6" x14ac:dyDescent="0.55000000000000004">
      <c r="B13" s="10">
        <v>8.5999999999999993E-2</v>
      </c>
      <c r="C13" s="11">
        <v>3.0000000000000001E-3</v>
      </c>
      <c r="E13" s="36">
        <v>8.5999999999999993E-2</v>
      </c>
      <c r="F13" s="13">
        <v>11</v>
      </c>
    </row>
    <row r="14" spans="2:6" x14ac:dyDescent="0.55000000000000004">
      <c r="B14" s="10">
        <v>3.1E-2</v>
      </c>
      <c r="C14" s="11">
        <v>1E-3</v>
      </c>
      <c r="E14" s="35">
        <v>0.1</v>
      </c>
      <c r="F14" s="13">
        <v>12</v>
      </c>
    </row>
    <row r="15" spans="2:6" ht="14.7" thickBot="1" x14ac:dyDescent="0.6">
      <c r="B15" s="31">
        <v>0.02</v>
      </c>
      <c r="C15" s="32"/>
      <c r="E15" s="36">
        <v>0.13</v>
      </c>
      <c r="F15" s="13">
        <v>13</v>
      </c>
    </row>
    <row r="16" spans="2:6" ht="14.7" thickBot="1" x14ac:dyDescent="0.6">
      <c r="E16" s="36">
        <v>0.16</v>
      </c>
      <c r="F16" s="13">
        <v>14.5</v>
      </c>
    </row>
    <row r="17" spans="2:6" x14ac:dyDescent="0.55000000000000004">
      <c r="B17" s="7" t="s">
        <v>40</v>
      </c>
      <c r="C17" s="22">
        <f>COUNT(C3:C14)</f>
        <v>12</v>
      </c>
      <c r="E17" s="36">
        <v>0.16</v>
      </c>
      <c r="F17" s="13">
        <v>14.5</v>
      </c>
    </row>
    <row r="18" spans="2:6" x14ac:dyDescent="0.55000000000000004">
      <c r="B18" s="12" t="s">
        <v>41</v>
      </c>
      <c r="C18" s="23">
        <f>COUNT(B3:B15)</f>
        <v>13</v>
      </c>
      <c r="E18" s="36">
        <v>0.18</v>
      </c>
      <c r="F18" s="13">
        <v>16</v>
      </c>
    </row>
    <row r="19" spans="2:6" x14ac:dyDescent="0.55000000000000004">
      <c r="B19" s="12" t="s">
        <v>33</v>
      </c>
      <c r="C19" s="24">
        <f>AVERAGE(C3:C14)</f>
        <v>0.19025</v>
      </c>
      <c r="E19" s="36">
        <v>0.3</v>
      </c>
      <c r="F19" s="13">
        <v>17</v>
      </c>
    </row>
    <row r="20" spans="2:6" x14ac:dyDescent="0.55000000000000004">
      <c r="B20" s="12" t="s">
        <v>34</v>
      </c>
      <c r="C20" s="24">
        <f>AVERAGE(B3:B15)</f>
        <v>0.31438461538461532</v>
      </c>
      <c r="E20" s="36">
        <v>0.4</v>
      </c>
      <c r="F20" s="13">
        <v>18</v>
      </c>
    </row>
    <row r="21" spans="2:6" x14ac:dyDescent="0.55000000000000004">
      <c r="B21" s="12" t="s">
        <v>35</v>
      </c>
      <c r="C21" s="24">
        <f>STDEV(C3:C14)</f>
        <v>0.31230000873286162</v>
      </c>
      <c r="E21" s="36">
        <v>0.44</v>
      </c>
      <c r="F21" s="13">
        <v>19</v>
      </c>
    </row>
    <row r="22" spans="2:6" x14ac:dyDescent="0.55000000000000004">
      <c r="B22" s="12" t="s">
        <v>36</v>
      </c>
      <c r="C22" s="24">
        <f>STDEV(B3:B15)</f>
        <v>0.2812127126279852</v>
      </c>
      <c r="E22" s="35">
        <v>0.45400000000000001</v>
      </c>
      <c r="F22" s="13">
        <v>20</v>
      </c>
    </row>
    <row r="23" spans="2:6" x14ac:dyDescent="0.55000000000000004">
      <c r="B23" s="12" t="s">
        <v>37</v>
      </c>
      <c r="C23" s="23">
        <f>C17+C18-2</f>
        <v>23</v>
      </c>
      <c r="E23" s="35">
        <v>0.49</v>
      </c>
      <c r="F23" s="13">
        <v>21</v>
      </c>
    </row>
    <row r="24" spans="2:6" x14ac:dyDescent="0.55000000000000004">
      <c r="B24" s="12" t="s">
        <v>39</v>
      </c>
      <c r="C24" s="24">
        <f>SQRT(((C17-1)*C21^2+(C18-1)*C22^2)/C23)</f>
        <v>0.2964875044601431</v>
      </c>
      <c r="E24" s="36">
        <v>0.51</v>
      </c>
      <c r="F24" s="13">
        <v>22</v>
      </c>
    </row>
    <row r="25" spans="2:6" x14ac:dyDescent="0.55000000000000004">
      <c r="B25" s="25" t="s">
        <v>38</v>
      </c>
      <c r="C25" s="26">
        <f>(C19-C20)/(C24*SQRT(1/C17+1/C18))</f>
        <v>-1.0458726427886822</v>
      </c>
      <c r="E25" s="36">
        <v>0.72</v>
      </c>
      <c r="F25" s="13">
        <v>23</v>
      </c>
    </row>
    <row r="26" spans="2:6" x14ac:dyDescent="0.55000000000000004">
      <c r="B26" s="12" t="s">
        <v>24</v>
      </c>
      <c r="C26" s="27">
        <v>2.0859999999999999</v>
      </c>
      <c r="E26" s="36">
        <v>0.95</v>
      </c>
      <c r="F26" s="13">
        <v>24</v>
      </c>
    </row>
    <row r="27" spans="2:6" ht="14.7" thickBot="1" x14ac:dyDescent="0.6">
      <c r="B27" s="17" t="s">
        <v>19</v>
      </c>
      <c r="C27" s="28" t="str">
        <f>IF(ABS(C25)&gt;C26,"Reject","Don't reject")</f>
        <v>Don't reject</v>
      </c>
      <c r="E27" s="37">
        <v>1.02</v>
      </c>
      <c r="F27" s="15">
        <v>25</v>
      </c>
    </row>
    <row r="29" spans="2:6" x14ac:dyDescent="0.55000000000000004">
      <c r="B29" s="77" t="s">
        <v>74</v>
      </c>
      <c r="C29" t="s">
        <v>77</v>
      </c>
    </row>
    <row r="30" spans="2:6" x14ac:dyDescent="0.55000000000000004">
      <c r="B30" t="s">
        <v>75</v>
      </c>
      <c r="C30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tabSelected="1" workbookViewId="0">
      <selection activeCell="G24" sqref="G24"/>
    </sheetView>
  </sheetViews>
  <sheetFormatPr defaultRowHeight="14.4" x14ac:dyDescent="0.55000000000000004"/>
  <cols>
    <col min="2" max="2" width="13.41796875" bestFit="1" customWidth="1"/>
    <col min="6" max="6" width="8.83984375" customWidth="1"/>
    <col min="7" max="7" width="17.89453125" bestFit="1" customWidth="1"/>
    <col min="11" max="11" width="8.83984375" customWidth="1"/>
  </cols>
  <sheetData>
    <row r="1" spans="2:10" ht="14.7" thickBot="1" x14ac:dyDescent="0.6"/>
    <row r="2" spans="2:10" x14ac:dyDescent="0.55000000000000004">
      <c r="B2" s="7" t="s">
        <v>42</v>
      </c>
      <c r="C2" s="9">
        <v>3</v>
      </c>
      <c r="H2" s="7" t="s">
        <v>5</v>
      </c>
      <c r="I2" s="8" t="s">
        <v>6</v>
      </c>
      <c r="J2" s="9" t="s">
        <v>7</v>
      </c>
    </row>
    <row r="3" spans="2:10" x14ac:dyDescent="0.55000000000000004">
      <c r="B3" s="12" t="s">
        <v>43</v>
      </c>
      <c r="C3" s="13">
        <v>6</v>
      </c>
      <c r="H3" s="10">
        <v>7</v>
      </c>
      <c r="I3" s="6">
        <v>6.3</v>
      </c>
      <c r="J3" s="11">
        <v>8.4</v>
      </c>
    </row>
    <row r="4" spans="2:10" x14ac:dyDescent="0.55000000000000004">
      <c r="B4" s="12" t="s">
        <v>29</v>
      </c>
      <c r="C4" s="13">
        <f>C3*3</f>
        <v>18</v>
      </c>
      <c r="H4" s="10">
        <v>7.2</v>
      </c>
      <c r="I4" s="6">
        <v>6.9</v>
      </c>
      <c r="J4" s="11">
        <v>7.6</v>
      </c>
    </row>
    <row r="5" spans="2:10" ht="14.7" thickBot="1" x14ac:dyDescent="0.6">
      <c r="B5" s="14" t="s">
        <v>17</v>
      </c>
      <c r="C5" s="15">
        <v>0.05</v>
      </c>
      <c r="H5" s="10">
        <v>7.5</v>
      </c>
      <c r="I5" s="6">
        <v>7</v>
      </c>
      <c r="J5" s="11">
        <v>7.5</v>
      </c>
    </row>
    <row r="6" spans="2:10" ht="14.7" thickBot="1" x14ac:dyDescent="0.6">
      <c r="H6" s="10">
        <v>7.7</v>
      </c>
      <c r="I6" s="6">
        <v>6.4</v>
      </c>
      <c r="J6" s="11">
        <v>7.4</v>
      </c>
    </row>
    <row r="7" spans="2:10" x14ac:dyDescent="0.55000000000000004">
      <c r="C7" s="7" t="s">
        <v>5</v>
      </c>
      <c r="D7" s="8" t="s">
        <v>6</v>
      </c>
      <c r="E7" s="9" t="s">
        <v>7</v>
      </c>
      <c r="H7" s="10">
        <v>8.6999999999999993</v>
      </c>
      <c r="I7" s="6">
        <v>6.8</v>
      </c>
      <c r="J7" s="11">
        <v>9.3000000000000007</v>
      </c>
    </row>
    <row r="8" spans="2:10" x14ac:dyDescent="0.55000000000000004">
      <c r="C8" s="10">
        <v>7</v>
      </c>
      <c r="D8" s="6">
        <v>6.3</v>
      </c>
      <c r="E8" s="11">
        <v>8.4</v>
      </c>
      <c r="H8" s="10">
        <v>7.8</v>
      </c>
      <c r="I8" s="6">
        <v>6.7</v>
      </c>
      <c r="J8" s="11">
        <v>9</v>
      </c>
    </row>
    <row r="9" spans="2:10" x14ac:dyDescent="0.55000000000000004">
      <c r="C9" s="10">
        <v>7.2</v>
      </c>
      <c r="D9" s="6">
        <v>6.9</v>
      </c>
      <c r="E9" s="11">
        <v>7.6</v>
      </c>
      <c r="G9" t="s">
        <v>48</v>
      </c>
      <c r="H9" s="10">
        <f>AVERAGE(H3:H8)</f>
        <v>7.6499999999999986</v>
      </c>
      <c r="I9" s="6">
        <f>AVERAGE(I3:I8)</f>
        <v>6.6833333333333336</v>
      </c>
      <c r="J9" s="11">
        <f>AVERAGE(J3:J8)</f>
        <v>8.2000000000000011</v>
      </c>
    </row>
    <row r="10" spans="2:10" x14ac:dyDescent="0.55000000000000004">
      <c r="C10" s="10">
        <v>7.5</v>
      </c>
      <c r="D10" s="6">
        <v>7</v>
      </c>
      <c r="E10" s="11">
        <v>7.5</v>
      </c>
      <c r="G10" t="s">
        <v>49</v>
      </c>
      <c r="H10" s="10">
        <f>(H3-$H$9)^2</f>
        <v>0.42249999999999815</v>
      </c>
      <c r="I10" s="6">
        <f t="shared" ref="I10:I15" si="0">(I3-$I$9)^2</f>
        <v>0.14694444444444477</v>
      </c>
      <c r="J10" s="11">
        <f t="shared" ref="J10:J15" si="1">(J3-$J$9)^2</f>
        <v>3.9999999999999716E-2</v>
      </c>
    </row>
    <row r="11" spans="2:10" x14ac:dyDescent="0.55000000000000004">
      <c r="C11" s="10">
        <v>7.7</v>
      </c>
      <c r="D11" s="6">
        <v>6.4</v>
      </c>
      <c r="E11" s="11">
        <v>7.4</v>
      </c>
      <c r="G11" t="s">
        <v>50</v>
      </c>
      <c r="H11" s="10">
        <f t="shared" ref="H11:H15" si="2">(H4-$H$9)^2</f>
        <v>0.20249999999999857</v>
      </c>
      <c r="I11" s="6">
        <f t="shared" si="0"/>
        <v>4.6944444444444497E-2</v>
      </c>
      <c r="J11" s="11">
        <f t="shared" si="1"/>
        <v>0.36000000000000171</v>
      </c>
    </row>
    <row r="12" spans="2:10" x14ac:dyDescent="0.55000000000000004">
      <c r="C12" s="10">
        <v>8.6999999999999993</v>
      </c>
      <c r="D12" s="6">
        <v>6.8</v>
      </c>
      <c r="E12" s="11">
        <v>9.3000000000000007</v>
      </c>
      <c r="G12" t="s">
        <v>51</v>
      </c>
      <c r="H12" s="10">
        <f t="shared" si="2"/>
        <v>2.2499999999999572E-2</v>
      </c>
      <c r="I12" s="6">
        <f t="shared" si="0"/>
        <v>0.10027777777777763</v>
      </c>
      <c r="J12" s="11">
        <f t="shared" si="1"/>
        <v>0.49000000000000149</v>
      </c>
    </row>
    <row r="13" spans="2:10" x14ac:dyDescent="0.55000000000000004">
      <c r="C13" s="10">
        <v>7.8</v>
      </c>
      <c r="D13" s="6">
        <v>6.7</v>
      </c>
      <c r="E13" s="11">
        <v>9</v>
      </c>
      <c r="G13" t="s">
        <v>52</v>
      </c>
      <c r="H13" s="10">
        <f t="shared" si="2"/>
        <v>2.5000000000001601E-3</v>
      </c>
      <c r="I13" s="6">
        <f t="shared" si="0"/>
        <v>8.0277777777777712E-2</v>
      </c>
      <c r="J13" s="11">
        <f t="shared" si="1"/>
        <v>0.64000000000000112</v>
      </c>
    </row>
    <row r="14" spans="2:10" x14ac:dyDescent="0.55000000000000004">
      <c r="B14" t="s">
        <v>48</v>
      </c>
      <c r="C14" s="10">
        <f>AVERAGE(C8:C13)</f>
        <v>7.6499999999999986</v>
      </c>
      <c r="D14" s="6">
        <f>AVERAGE(D8:D13)</f>
        <v>6.6833333333333336</v>
      </c>
      <c r="E14" s="11">
        <f>AVERAGE(E8:E13)</f>
        <v>8.2000000000000011</v>
      </c>
      <c r="G14" t="s">
        <v>53</v>
      </c>
      <c r="H14" s="10">
        <f t="shared" si="2"/>
        <v>1.1025000000000016</v>
      </c>
      <c r="I14" s="6">
        <f t="shared" si="0"/>
        <v>1.3611111111111015E-2</v>
      </c>
      <c r="J14" s="11">
        <f t="shared" si="1"/>
        <v>1.2099999999999993</v>
      </c>
    </row>
    <row r="15" spans="2:10" x14ac:dyDescent="0.55000000000000004">
      <c r="B15" t="s">
        <v>44</v>
      </c>
      <c r="C15" s="68">
        <f>AVERAGE($C$8:$E$13)</f>
        <v>7.511111111111112</v>
      </c>
      <c r="D15" s="69"/>
      <c r="E15" s="70"/>
      <c r="G15" t="s">
        <v>54</v>
      </c>
      <c r="H15" s="10">
        <f t="shared" si="2"/>
        <v>2.2500000000000374E-2</v>
      </c>
      <c r="I15" s="6">
        <f t="shared" si="0"/>
        <v>2.7777777777777583E-4</v>
      </c>
      <c r="J15" s="11">
        <f t="shared" si="1"/>
        <v>0.63999999999999835</v>
      </c>
    </row>
    <row r="16" spans="2:10" x14ac:dyDescent="0.55000000000000004">
      <c r="B16" t="s">
        <v>47</v>
      </c>
      <c r="C16" s="10">
        <f>$C$3*(C14-$C$15)^2</f>
        <v>0.11574074074073697</v>
      </c>
      <c r="D16" s="6">
        <f>$C$3*(D14-$C$15)^2</f>
        <v>4.1112962962963024</v>
      </c>
      <c r="E16" s="11">
        <f>$C$3*(E14-$C$15)^2</f>
        <v>2.8474074074074092</v>
      </c>
      <c r="G16" t="s">
        <v>55</v>
      </c>
      <c r="H16" s="10">
        <f>SUM(H10:H15)</f>
        <v>1.7749999999999984</v>
      </c>
      <c r="I16" s="6">
        <f t="shared" ref="I16:J16" si="3">SUM(I10:I15)</f>
        <v>0.38833333333333342</v>
      </c>
      <c r="J16" s="11">
        <f t="shared" si="3"/>
        <v>3.3800000000000017</v>
      </c>
    </row>
    <row r="17" spans="2:10" x14ac:dyDescent="0.55000000000000004">
      <c r="B17" t="s">
        <v>45</v>
      </c>
      <c r="C17" s="68">
        <f>SUM($C$16:$E$16)</f>
        <v>7.074444444444449</v>
      </c>
      <c r="D17" s="69"/>
      <c r="E17" s="70"/>
      <c r="G17" t="s">
        <v>56</v>
      </c>
      <c r="H17" s="62">
        <f>SUM(H16:J16)</f>
        <v>5.543333333333333</v>
      </c>
      <c r="I17" s="63"/>
      <c r="J17" s="64"/>
    </row>
    <row r="18" spans="2:10" ht="14.7" thickBot="1" x14ac:dyDescent="0.6">
      <c r="B18" s="2" t="s">
        <v>46</v>
      </c>
      <c r="C18" s="71">
        <f>C17/$C$21</f>
        <v>3.5372222222222245</v>
      </c>
      <c r="D18" s="72"/>
      <c r="E18" s="73"/>
      <c r="G18" s="2" t="s">
        <v>57</v>
      </c>
      <c r="H18" s="65">
        <f>H17/$C$22</f>
        <v>0.36955555555555553</v>
      </c>
      <c r="I18" s="66"/>
      <c r="J18" s="67"/>
    </row>
    <row r="19" spans="2:10" ht="14.7" thickBot="1" x14ac:dyDescent="0.6"/>
    <row r="20" spans="2:10" x14ac:dyDescent="0.55000000000000004">
      <c r="B20" s="7" t="s">
        <v>59</v>
      </c>
      <c r="C20" s="9">
        <f>1-C5</f>
        <v>0.95</v>
      </c>
      <c r="G20" s="7" t="s">
        <v>58</v>
      </c>
      <c r="H20" s="19">
        <f>C18/H18</f>
        <v>9.5715574263379501</v>
      </c>
    </row>
    <row r="21" spans="2:10" x14ac:dyDescent="0.55000000000000004">
      <c r="B21" s="12" t="s">
        <v>60</v>
      </c>
      <c r="C21" s="13">
        <f>C2-1</f>
        <v>2</v>
      </c>
      <c r="G21" s="12" t="s">
        <v>62</v>
      </c>
      <c r="H21" s="20">
        <v>3.68</v>
      </c>
    </row>
    <row r="22" spans="2:10" ht="14.7" thickBot="1" x14ac:dyDescent="0.6">
      <c r="B22" s="14" t="s">
        <v>61</v>
      </c>
      <c r="C22" s="15">
        <f>C4-C2</f>
        <v>15</v>
      </c>
      <c r="G22" s="17" t="s">
        <v>19</v>
      </c>
      <c r="H22" s="21" t="str">
        <f>IF(H20&gt;=H21,"Reject","Don't reject")</f>
        <v>Reject</v>
      </c>
    </row>
  </sheetData>
  <mergeCells count="5">
    <mergeCell ref="H17:J17"/>
    <mergeCell ref="H18:J18"/>
    <mergeCell ref="C15:E15"/>
    <mergeCell ref="C18:E18"/>
    <mergeCell ref="C17:E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showGridLines="0" workbookViewId="0">
      <selection activeCell="L13" sqref="L13"/>
    </sheetView>
  </sheetViews>
  <sheetFormatPr defaultRowHeight="14.4" x14ac:dyDescent="0.55000000000000004"/>
  <cols>
    <col min="2" max="2" width="17.15625" bestFit="1" customWidth="1"/>
  </cols>
  <sheetData>
    <row r="1" spans="2:8" ht="14.7" thickBot="1" x14ac:dyDescent="0.6"/>
    <row r="2" spans="2:8" x14ac:dyDescent="0.55000000000000004">
      <c r="B2" s="58" t="s">
        <v>43</v>
      </c>
      <c r="C2" s="9">
        <v>6</v>
      </c>
      <c r="G2" s="7" t="s">
        <v>63</v>
      </c>
      <c r="H2" s="9" t="s">
        <v>10</v>
      </c>
    </row>
    <row r="3" spans="2:8" x14ac:dyDescent="0.55000000000000004">
      <c r="B3" s="59" t="s">
        <v>29</v>
      </c>
      <c r="C3" s="13">
        <f>COUNT(G3:G20)</f>
        <v>18</v>
      </c>
      <c r="G3" s="54">
        <v>6.3</v>
      </c>
      <c r="H3" s="13">
        <v>1</v>
      </c>
    </row>
    <row r="4" spans="2:8" x14ac:dyDescent="0.55000000000000004">
      <c r="B4" s="59" t="s">
        <v>59</v>
      </c>
      <c r="C4" s="13">
        <f>1-0.05</f>
        <v>0.95</v>
      </c>
      <c r="G4" s="54">
        <v>6.4</v>
      </c>
      <c r="H4" s="13">
        <v>2</v>
      </c>
    </row>
    <row r="5" spans="2:8" ht="14.7" thickBot="1" x14ac:dyDescent="0.6">
      <c r="B5" s="60" t="s">
        <v>42</v>
      </c>
      <c r="C5" s="15">
        <v>3</v>
      </c>
      <c r="G5" s="54">
        <v>6.7</v>
      </c>
      <c r="H5" s="13">
        <v>3</v>
      </c>
    </row>
    <row r="6" spans="2:8" ht="14.7" thickBot="1" x14ac:dyDescent="0.6">
      <c r="B6" s="4"/>
      <c r="G6" s="54">
        <v>6.8</v>
      </c>
      <c r="H6" s="13">
        <v>4</v>
      </c>
    </row>
    <row r="7" spans="2:8" x14ac:dyDescent="0.55000000000000004">
      <c r="B7" s="4"/>
      <c r="C7" s="51" t="s">
        <v>5</v>
      </c>
      <c r="D7" s="52" t="s">
        <v>6</v>
      </c>
      <c r="E7" s="53" t="s">
        <v>7</v>
      </c>
      <c r="G7" s="54">
        <v>6.9</v>
      </c>
      <c r="H7" s="13">
        <v>5</v>
      </c>
    </row>
    <row r="8" spans="2:8" x14ac:dyDescent="0.55000000000000004">
      <c r="B8" s="4"/>
      <c r="C8" s="10">
        <v>7</v>
      </c>
      <c r="D8" s="6">
        <v>6.3</v>
      </c>
      <c r="E8" s="11">
        <v>8.4</v>
      </c>
      <c r="G8" s="55">
        <v>7</v>
      </c>
      <c r="H8" s="13">
        <v>6.5</v>
      </c>
    </row>
    <row r="9" spans="2:8" x14ac:dyDescent="0.55000000000000004">
      <c r="B9" s="4"/>
      <c r="C9" s="10">
        <v>7.2</v>
      </c>
      <c r="D9" s="6">
        <v>6.9</v>
      </c>
      <c r="E9" s="11">
        <v>7.6</v>
      </c>
      <c r="G9" s="54">
        <v>7</v>
      </c>
      <c r="H9" s="13">
        <v>6.5</v>
      </c>
    </row>
    <row r="10" spans="2:8" x14ac:dyDescent="0.55000000000000004">
      <c r="B10" s="4"/>
      <c r="C10" s="10">
        <v>7.5</v>
      </c>
      <c r="D10" s="6">
        <v>7</v>
      </c>
      <c r="E10" s="11">
        <v>7.5</v>
      </c>
      <c r="G10" s="55">
        <v>7.2</v>
      </c>
      <c r="H10" s="13">
        <v>8</v>
      </c>
    </row>
    <row r="11" spans="2:8" x14ac:dyDescent="0.55000000000000004">
      <c r="B11" s="4"/>
      <c r="C11" s="10">
        <v>7.7</v>
      </c>
      <c r="D11" s="6">
        <v>6.4</v>
      </c>
      <c r="E11" s="11">
        <v>7.4</v>
      </c>
      <c r="G11" s="56">
        <v>7.4</v>
      </c>
      <c r="H11" s="13">
        <v>9</v>
      </c>
    </row>
    <row r="12" spans="2:8" x14ac:dyDescent="0.55000000000000004">
      <c r="B12" s="4"/>
      <c r="C12" s="10">
        <v>8.6999999999999993</v>
      </c>
      <c r="D12" s="6">
        <v>6.8</v>
      </c>
      <c r="E12" s="11">
        <v>9.3000000000000007</v>
      </c>
      <c r="G12" s="55">
        <v>7.5</v>
      </c>
      <c r="H12" s="13">
        <v>10.5</v>
      </c>
    </row>
    <row r="13" spans="2:8" x14ac:dyDescent="0.55000000000000004">
      <c r="B13" s="4"/>
      <c r="C13" s="10">
        <v>7.8</v>
      </c>
      <c r="D13" s="6">
        <v>6.7</v>
      </c>
      <c r="E13" s="11">
        <v>9</v>
      </c>
      <c r="G13" s="56">
        <v>7.5</v>
      </c>
      <c r="H13" s="13">
        <v>10.5</v>
      </c>
    </row>
    <row r="14" spans="2:8" x14ac:dyDescent="0.55000000000000004">
      <c r="B14" s="4" t="s">
        <v>64</v>
      </c>
      <c r="C14" s="10">
        <f>AVERAGE(H8,H10,H12,H15,H16,H18)</f>
        <v>11.333333333333334</v>
      </c>
      <c r="D14" s="6">
        <f>AVERAGE(H3,H4,H5,H6,H7,H9)</f>
        <v>3.5833333333333335</v>
      </c>
      <c r="E14" s="11">
        <f>AVERAGE(H11,H13,H14,H17,H19,H20)</f>
        <v>13.583333333333334</v>
      </c>
      <c r="G14" s="56">
        <v>7.6</v>
      </c>
      <c r="H14" s="13">
        <v>12</v>
      </c>
    </row>
    <row r="15" spans="2:8" x14ac:dyDescent="0.55000000000000004">
      <c r="B15" s="4" t="s">
        <v>65</v>
      </c>
      <c r="C15" s="10">
        <f>C2*(C14-($C$3+1)/2)^2</f>
        <v>20.166666666666679</v>
      </c>
      <c r="D15" s="6">
        <f>C2*(D14-($C$3+1)/2)^2</f>
        <v>210.04166666666663</v>
      </c>
      <c r="E15" s="11">
        <f>C2*(E14-($C$3+1)/2)^2</f>
        <v>100.04166666666669</v>
      </c>
      <c r="G15" s="55">
        <v>7.7</v>
      </c>
      <c r="H15" s="13">
        <v>13</v>
      </c>
    </row>
    <row r="16" spans="2:8" ht="14.7" thickBot="1" x14ac:dyDescent="0.6">
      <c r="B16" s="4" t="s">
        <v>66</v>
      </c>
      <c r="C16" s="74">
        <f>SUM(C15:E15)</f>
        <v>330.25</v>
      </c>
      <c r="D16" s="75"/>
      <c r="E16" s="76"/>
      <c r="G16" s="55">
        <v>7.8</v>
      </c>
      <c r="H16" s="13">
        <v>14</v>
      </c>
    </row>
    <row r="17" spans="2:8" ht="14.7" thickBot="1" x14ac:dyDescent="0.6">
      <c r="B17" s="4"/>
      <c r="C17" s="3"/>
      <c r="D17" s="3"/>
      <c r="E17" s="3"/>
      <c r="G17" s="56">
        <v>8.4</v>
      </c>
      <c r="H17" s="13">
        <v>15</v>
      </c>
    </row>
    <row r="18" spans="2:8" x14ac:dyDescent="0.55000000000000004">
      <c r="B18" s="58" t="s">
        <v>67</v>
      </c>
      <c r="C18" s="19">
        <f>12/(C3*(C3+1))*C16</f>
        <v>11.587719298245613</v>
      </c>
      <c r="G18" s="55">
        <v>8.6999999999999993</v>
      </c>
      <c r="H18" s="13">
        <v>16</v>
      </c>
    </row>
    <row r="19" spans="2:8" x14ac:dyDescent="0.55000000000000004">
      <c r="B19" s="59" t="s">
        <v>68</v>
      </c>
      <c r="C19" s="20">
        <v>0.10299999999999999</v>
      </c>
      <c r="G19" s="56">
        <v>9</v>
      </c>
      <c r="H19" s="13">
        <v>17</v>
      </c>
    </row>
    <row r="20" spans="2:8" ht="14.7" thickBot="1" x14ac:dyDescent="0.6">
      <c r="B20" s="17" t="s">
        <v>19</v>
      </c>
      <c r="C20" s="21" t="str">
        <f>IF(C18&gt;=C19,"Reject","Don't reject")</f>
        <v>Reject</v>
      </c>
      <c r="G20" s="57">
        <v>9.3000000000000007</v>
      </c>
      <c r="H20" s="15">
        <v>18</v>
      </c>
    </row>
  </sheetData>
  <mergeCells count="1">
    <mergeCell ref="C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prob1d</vt:lpstr>
      <vt:lpstr>prob1e</vt:lpstr>
      <vt:lpstr>prob2a</vt:lpstr>
      <vt:lpstr>prob2b</vt:lpstr>
      <vt:lpstr>prob3b</vt:lpstr>
      <vt:lpstr>prob3c</vt:lpstr>
    </vt:vector>
  </TitlesOfParts>
  <Company>Cockrell School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Passalacqua, Paola</dc:creator>
  <cp:lastModifiedBy>Paul</cp:lastModifiedBy>
  <dcterms:created xsi:type="dcterms:W3CDTF">2016-09-13T23:23:02Z</dcterms:created>
  <dcterms:modified xsi:type="dcterms:W3CDTF">2016-09-22T17:18:30Z</dcterms:modified>
</cp:coreProperties>
</file>