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2.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saveExternalLinkValues="0" codeName="ThisWorkbook"/>
  <mc:AlternateContent xmlns:mc="http://schemas.openxmlformats.org/markup-compatibility/2006">
    <mc:Choice Requires="x15">
      <x15ac:absPath xmlns:x15ac="http://schemas.microsoft.com/office/spreadsheetml/2010/11/ac" url="I:\MSL\Private\Electricity\Staff\MB\WattBridge\python\"/>
    </mc:Choice>
  </mc:AlternateContent>
  <bookViews>
    <workbookView xWindow="-15" yWindow="285" windowWidth="9450" windowHeight="10860" tabRatio="730"/>
  </bookViews>
  <sheets>
    <sheet name="Data" sheetId="1" r:id="rId1"/>
    <sheet name="RD31 Data" sheetId="15" r:id="rId2"/>
    <sheet name="K2006 Data" sheetId="22" state="hidden" r:id="rId3"/>
    <sheet name="PowerCalc" sheetId="2" r:id="rId4"/>
    <sheet name="UncCalc" sheetId="3" r:id="rId5"/>
    <sheet name="constants" sheetId="4" r:id="rId6"/>
    <sheet name="Uncertainties" sheetId="5" r:id="rId7"/>
    <sheet name="TABLE RM11" sheetId="6" r:id="rId8"/>
    <sheet name="Metrix RM11 History" sheetId="23" r:id="rId9"/>
    <sheet name="TABLE RD31" sheetId="19" state="hidden" r:id="rId10"/>
    <sheet name="D3000 Star Table" sheetId="21" state="hidden" r:id="rId11"/>
    <sheet name="D3000 Delta Table" sheetId="20" state="hidden" r:id="rId12"/>
    <sheet name="TABLES TVH4.322" sheetId="7" state="hidden" r:id="rId13"/>
    <sheet name="Star Data" sheetId="18" state="hidden" r:id="rId14"/>
    <sheet name="2W Delta Data" sheetId="17" state="hidden" r:id="rId15"/>
    <sheet name="TVH4 Unc" sheetId="8" state="hidden" r:id="rId16"/>
    <sheet name="RM11 Unc" sheetId="9" r:id="rId17"/>
    <sheet name="TVE102_3" sheetId="10" state="hidden" r:id="rId18"/>
    <sheet name="D3000Unc" sheetId="11" state="hidden" r:id="rId19"/>
    <sheet name="TVH2.32" sheetId="12" state="hidden" r:id="rId20"/>
    <sheet name="Unit Tests" sheetId="14" state="hidden" r:id="rId21"/>
    <sheet name="Sheet16" sheetId="16" state="hidden" r:id="rId22"/>
    <sheet name="ChangeLog" sheetId="13" r:id="rId23"/>
  </sheets>
  <externalReferences>
    <externalReference r:id="rId24"/>
  </externalReferences>
  <definedNames>
    <definedName name="Alpha">constants!$D$67</definedName>
    <definedName name="Amps_stdev">PowerCalc!$FD$10</definedName>
    <definedName name="Beta">constants!$D$68</definedName>
    <definedName name="C_1">constants!$D$14</definedName>
    <definedName name="C_1_CalTemp">constants!$D$18</definedName>
    <definedName name="C_d">constants!$D$16</definedName>
    <definedName name="Ch_1_vars_combined__std_unc">UncCalc!$BX$10</definedName>
    <definedName name="Ch_1_vars_dfm">UncCalc!$BY$10</definedName>
    <definedName name="Ch_1_watts_combined__std_unc">UncCalc!$BB$10</definedName>
    <definedName name="Ch_1_watts_dfm">UncCalc!$BC$10</definedName>
    <definedName name="check_std_array">UncCalc!$E$6</definedName>
    <definedName name="CountCorr">constants!$D$71</definedName>
    <definedName name="current_row_number">Data!$AP$3</definedName>
    <definedName name="Data">Data!$A$11:$CR$1986</definedName>
    <definedName name="DetAmpGain">constants!$D$6</definedName>
    <definedName name="Error3478A">constants!$D$69</definedName>
    <definedName name="ErrorPerCent">PowerCalc!$FF$10</definedName>
    <definedName name="ExactFreq" localSheetId="11">[1]constants!#REF!</definedName>
    <definedName name="ExactFreq" localSheetId="9">[1]constants!#REF!</definedName>
    <definedName name="ExactFreq">constants!#REF!</definedName>
    <definedName name="g_1">constants!$D$15</definedName>
    <definedName name="g_d">constants!$D$17</definedName>
    <definedName name="HP3458corectn">constants!$D$7</definedName>
    <definedName name="Imp_stdev">PowerCalc!$EZ$10</definedName>
    <definedName name="L_1">constants!$D$9</definedName>
    <definedName name="L_2">constants!$D$11</definedName>
    <definedName name="PF_VF">PowerCalc!$FG$10</definedName>
    <definedName name="Phase_stdev">PowerCalc!$FE$10</definedName>
    <definedName name="PowerCalc">PowerCalc!$A$10:$FZ$2000</definedName>
    <definedName name="_xlnm.Print_Area" localSheetId="4">UncCalc!$1:$1048576</definedName>
    <definedName name="R_1">constants!$D$8</definedName>
    <definedName name="R_2">constants!$D$10</definedName>
    <definedName name="R_2byR_1">constants!$D$12</definedName>
    <definedName name="R0">constants!$D$66</definedName>
    <definedName name="ratio_stdev">PowerCalc!$FI$10</definedName>
    <definedName name="Shift3478A">constants!$AM$69</definedName>
    <definedName name="TCR2_R1">constants!$D$13</definedName>
    <definedName name="UncCalc">UncCalc!$A:$BK</definedName>
    <definedName name="Var_stdev">PowerCalc!$FB$10</definedName>
    <definedName name="Volts_stdev">PowerCalc!$FC$10</definedName>
    <definedName name="Watts_stdev">PowerCalc!$FA$10</definedName>
    <definedName name="Z_1F7EA7B0_7CBB_4C85_991C_384D0AE2B3A5_.wvu.PrintArea" localSheetId="4" hidden="1">UncCalc!$1:$1048576</definedName>
  </definedNames>
  <calcPr calcId="171027"/>
  <customWorkbookViews>
    <customWorkbookView name="Callum McKenzie - Personal View" guid="{1F7EA7B0-7CBB-4C85-991C-384D0AE2B3A5}" mergeInterval="0" personalView="1" maximized="1" windowWidth="1578" windowHeight="925" tabRatio="644" activeSheetId="14"/>
  </customWorkbookViews>
</workbook>
</file>

<file path=xl/calcChain.xml><?xml version="1.0" encoding="utf-8"?>
<calcChain xmlns="http://schemas.openxmlformats.org/spreadsheetml/2006/main">
  <c r="F62" i="23" l="1"/>
  <c r="F61" i="23"/>
  <c r="F60" i="23"/>
  <c r="F59" i="23"/>
  <c r="F58" i="23"/>
  <c r="F57" i="23"/>
  <c r="F56" i="23"/>
  <c r="F55" i="23"/>
  <c r="F54" i="23"/>
  <c r="F53" i="23"/>
  <c r="F52" i="23"/>
  <c r="F51" i="23"/>
  <c r="F30" i="23"/>
  <c r="F29" i="23"/>
  <c r="F28" i="23"/>
  <c r="F27" i="23"/>
  <c r="F26" i="23"/>
  <c r="F25" i="23"/>
  <c r="F21" i="23"/>
  <c r="F20" i="23"/>
  <c r="F19" i="23"/>
  <c r="F18" i="23"/>
  <c r="F17" i="23"/>
  <c r="F16" i="23"/>
  <c r="F15" i="23"/>
  <c r="F14" i="23"/>
  <c r="F13" i="23"/>
  <c r="F12" i="23"/>
  <c r="F11" i="23"/>
  <c r="F10" i="23"/>
  <c r="F9" i="23"/>
  <c r="F8" i="23"/>
  <c r="F7" i="23"/>
  <c r="F6" i="23"/>
  <c r="F5" i="23"/>
  <c r="F4" i="23"/>
  <c r="D50" i="23"/>
  <c r="D3" i="23"/>
  <c r="R177" i="1"/>
  <c r="R178" i="1" s="1"/>
  <c r="S176" i="1"/>
  <c r="R176" i="1"/>
  <c r="HZ161" i="15"/>
  <c r="IC117" i="15"/>
  <c r="HZ115" i="15"/>
  <c r="HZ111" i="15"/>
  <c r="HZ107" i="15"/>
  <c r="HZ103" i="15"/>
  <c r="IC96" i="15"/>
  <c r="HZ95" i="15"/>
  <c r="IC88" i="15"/>
  <c r="HZ87" i="15"/>
  <c r="HZ83" i="15"/>
  <c r="HZ79" i="15"/>
  <c r="HZ75" i="15"/>
  <c r="HX73" i="15"/>
  <c r="HX69" i="15"/>
  <c r="HX65" i="15"/>
  <c r="HX63" i="15"/>
  <c r="HX61" i="15"/>
  <c r="HX57" i="15"/>
  <c r="HX53" i="15"/>
  <c r="HX49" i="15"/>
  <c r="HW44" i="15"/>
  <c r="HY42" i="15"/>
  <c r="HW41" i="15"/>
  <c r="HW40" i="15"/>
  <c r="HY38" i="15"/>
  <c r="HW36" i="15"/>
  <c r="HY34" i="15"/>
  <c r="HW33" i="15"/>
  <c r="HW32" i="15"/>
  <c r="HY30" i="15"/>
  <c r="HW28" i="15"/>
  <c r="HY26" i="15"/>
  <c r="HW25" i="15"/>
  <c r="HW24" i="15"/>
  <c r="HY22" i="15"/>
  <c r="HY20" i="15"/>
  <c r="HW20" i="15"/>
  <c r="HY18" i="15"/>
  <c r="HW16" i="15"/>
  <c r="HY14" i="15"/>
  <c r="HW14" i="15"/>
  <c r="IQ12" i="15"/>
  <c r="IL12" i="15"/>
  <c r="IE12" i="15"/>
  <c r="GX13" i="15"/>
  <c r="HW13" i="15" s="1"/>
  <c r="GY13" i="15"/>
  <c r="HX13" i="15" s="1"/>
  <c r="GZ13" i="15"/>
  <c r="HY13" i="15" s="1"/>
  <c r="HA13" i="15"/>
  <c r="HZ13" i="15" s="1"/>
  <c r="HB13" i="15"/>
  <c r="HC13" i="15"/>
  <c r="HD13" i="15"/>
  <c r="IC13" i="15" s="1"/>
  <c r="GX14" i="15"/>
  <c r="GY14" i="15"/>
  <c r="HX14" i="15" s="1"/>
  <c r="GZ14" i="15"/>
  <c r="HA14" i="15"/>
  <c r="HZ14" i="15" s="1"/>
  <c r="HB14" i="15"/>
  <c r="IA14" i="15" s="1"/>
  <c r="HC14" i="15"/>
  <c r="HD14" i="15"/>
  <c r="IC14" i="15" s="1"/>
  <c r="GX15" i="15"/>
  <c r="HW15" i="15" s="1"/>
  <c r="GY15" i="15"/>
  <c r="HX15" i="15" s="1"/>
  <c r="GZ15" i="15"/>
  <c r="HY15" i="15" s="1"/>
  <c r="HA15" i="15"/>
  <c r="HZ15" i="15" s="1"/>
  <c r="HB15" i="15"/>
  <c r="IA15" i="15" s="1"/>
  <c r="HC15" i="15"/>
  <c r="HD15" i="15"/>
  <c r="IC15" i="15" s="1"/>
  <c r="GX16" i="15"/>
  <c r="GY16" i="15"/>
  <c r="HX16" i="15" s="1"/>
  <c r="GZ16" i="15"/>
  <c r="HY16" i="15" s="1"/>
  <c r="HA16" i="15"/>
  <c r="HZ16" i="15" s="1"/>
  <c r="HB16" i="15"/>
  <c r="HC16" i="15"/>
  <c r="HD16" i="15"/>
  <c r="IC16" i="15" s="1"/>
  <c r="GX17" i="15"/>
  <c r="HW17" i="15" s="1"/>
  <c r="GY17" i="15"/>
  <c r="HX17" i="15" s="1"/>
  <c r="GZ17" i="15"/>
  <c r="HY17" i="15" s="1"/>
  <c r="HA17" i="15"/>
  <c r="HZ17" i="15" s="1"/>
  <c r="HB17" i="15"/>
  <c r="IA17" i="15" s="1"/>
  <c r="HC17" i="15"/>
  <c r="HD17" i="15"/>
  <c r="IC17" i="15" s="1"/>
  <c r="GX18" i="15"/>
  <c r="HW18" i="15" s="1"/>
  <c r="GY18" i="15"/>
  <c r="HX18" i="15" s="1"/>
  <c r="GZ18" i="15"/>
  <c r="HA18" i="15"/>
  <c r="HZ18" i="15" s="1"/>
  <c r="HB18" i="15"/>
  <c r="IA18" i="15" s="1"/>
  <c r="HC18" i="15"/>
  <c r="HD18" i="15"/>
  <c r="IC18" i="15" s="1"/>
  <c r="GX19" i="15"/>
  <c r="HW19" i="15" s="1"/>
  <c r="GY19" i="15"/>
  <c r="HX19" i="15" s="1"/>
  <c r="GZ19" i="15"/>
  <c r="HY19" i="15" s="1"/>
  <c r="HA19" i="15"/>
  <c r="HZ19" i="15" s="1"/>
  <c r="HB19" i="15"/>
  <c r="IA19" i="15" s="1"/>
  <c r="HC19" i="15"/>
  <c r="HD19" i="15"/>
  <c r="IC19" i="15" s="1"/>
  <c r="GX20" i="15"/>
  <c r="GY20" i="15"/>
  <c r="HX20" i="15" s="1"/>
  <c r="GZ20" i="15"/>
  <c r="HA20" i="15"/>
  <c r="HZ20" i="15" s="1"/>
  <c r="HB20" i="15"/>
  <c r="HC20" i="15"/>
  <c r="HD20" i="15"/>
  <c r="IC20" i="15" s="1"/>
  <c r="GX21" i="15"/>
  <c r="HW21" i="15" s="1"/>
  <c r="GY21" i="15"/>
  <c r="HX21" i="15" s="1"/>
  <c r="GZ21" i="15"/>
  <c r="HY21" i="15" s="1"/>
  <c r="HA21" i="15"/>
  <c r="HZ21" i="15" s="1"/>
  <c r="HB21" i="15"/>
  <c r="IA21" i="15" s="1"/>
  <c r="HC21" i="15"/>
  <c r="HD21" i="15"/>
  <c r="IC21" i="15" s="1"/>
  <c r="GX22" i="15"/>
  <c r="HW22" i="15" s="1"/>
  <c r="GY22" i="15"/>
  <c r="HX22" i="15" s="1"/>
  <c r="GZ22" i="15"/>
  <c r="HA22" i="15"/>
  <c r="HZ22" i="15" s="1"/>
  <c r="HB22" i="15"/>
  <c r="IA22" i="15" s="1"/>
  <c r="HC22" i="15"/>
  <c r="HD22" i="15"/>
  <c r="IC22" i="15" s="1"/>
  <c r="GX23" i="15"/>
  <c r="HW23" i="15" s="1"/>
  <c r="GY23" i="15"/>
  <c r="HX23" i="15" s="1"/>
  <c r="GZ23" i="15"/>
  <c r="HY23" i="15" s="1"/>
  <c r="HA23" i="15"/>
  <c r="HZ23" i="15" s="1"/>
  <c r="HB23" i="15"/>
  <c r="IA23" i="15" s="1"/>
  <c r="HC23" i="15"/>
  <c r="HD23" i="15"/>
  <c r="IC23" i="15" s="1"/>
  <c r="GX24" i="15"/>
  <c r="GY24" i="15"/>
  <c r="HX24" i="15" s="1"/>
  <c r="GZ24" i="15"/>
  <c r="HY24" i="15" s="1"/>
  <c r="HA24" i="15"/>
  <c r="HZ24" i="15" s="1"/>
  <c r="HB24" i="15"/>
  <c r="IA24" i="15" s="1"/>
  <c r="HC24" i="15"/>
  <c r="HD24" i="15"/>
  <c r="IC24" i="15" s="1"/>
  <c r="GX25" i="15"/>
  <c r="GY25" i="15"/>
  <c r="HX25" i="15" s="1"/>
  <c r="GZ25" i="15"/>
  <c r="HY25" i="15" s="1"/>
  <c r="HA25" i="15"/>
  <c r="HZ25" i="15" s="1"/>
  <c r="HB25" i="15"/>
  <c r="HC25" i="15"/>
  <c r="HD25" i="15"/>
  <c r="IC25" i="15" s="1"/>
  <c r="GX26" i="15"/>
  <c r="HW26" i="15" s="1"/>
  <c r="GY26" i="15"/>
  <c r="HX26" i="15" s="1"/>
  <c r="GZ26" i="15"/>
  <c r="HA26" i="15"/>
  <c r="HZ26" i="15" s="1"/>
  <c r="HB26" i="15"/>
  <c r="IA26" i="15" s="1"/>
  <c r="HC26" i="15"/>
  <c r="HD26" i="15"/>
  <c r="IC26" i="15" s="1"/>
  <c r="GX27" i="15"/>
  <c r="HW27" i="15" s="1"/>
  <c r="GY27" i="15"/>
  <c r="HX27" i="15" s="1"/>
  <c r="GZ27" i="15"/>
  <c r="HY27" i="15" s="1"/>
  <c r="HA27" i="15"/>
  <c r="HZ27" i="15" s="1"/>
  <c r="HB27" i="15"/>
  <c r="IA27" i="15" s="1"/>
  <c r="HC27" i="15"/>
  <c r="HD27" i="15"/>
  <c r="IC27" i="15" s="1"/>
  <c r="GX28" i="15"/>
  <c r="GY28" i="15"/>
  <c r="HX28" i="15" s="1"/>
  <c r="GZ28" i="15"/>
  <c r="HY28" i="15" s="1"/>
  <c r="HA28" i="15"/>
  <c r="HZ28" i="15" s="1"/>
  <c r="HB28" i="15"/>
  <c r="IA28" i="15" s="1"/>
  <c r="HC28" i="15"/>
  <c r="HD28" i="15"/>
  <c r="IC28" i="15" s="1"/>
  <c r="GX29" i="15"/>
  <c r="HW29" i="15" s="1"/>
  <c r="GY29" i="15"/>
  <c r="HX29" i="15" s="1"/>
  <c r="GZ29" i="15"/>
  <c r="HY29" i="15" s="1"/>
  <c r="HA29" i="15"/>
  <c r="HZ29" i="15" s="1"/>
  <c r="HB29" i="15"/>
  <c r="IA29" i="15" s="1"/>
  <c r="HC29" i="15"/>
  <c r="HD29" i="15"/>
  <c r="IC29" i="15" s="1"/>
  <c r="GX30" i="15"/>
  <c r="HW30" i="15" s="1"/>
  <c r="GY30" i="15"/>
  <c r="HX30" i="15" s="1"/>
  <c r="GZ30" i="15"/>
  <c r="HA30" i="15"/>
  <c r="HZ30" i="15" s="1"/>
  <c r="HB30" i="15"/>
  <c r="IA30" i="15" s="1"/>
  <c r="HC30" i="15"/>
  <c r="HD30" i="15"/>
  <c r="IC30" i="15" s="1"/>
  <c r="GX31" i="15"/>
  <c r="HW31" i="15" s="1"/>
  <c r="GY31" i="15"/>
  <c r="HX31" i="15" s="1"/>
  <c r="GZ31" i="15"/>
  <c r="HY31" i="15" s="1"/>
  <c r="HA31" i="15"/>
  <c r="HZ31" i="15" s="1"/>
  <c r="HB31" i="15"/>
  <c r="IA31" i="15" s="1"/>
  <c r="HC31" i="15"/>
  <c r="HD31" i="15"/>
  <c r="IC31" i="15" s="1"/>
  <c r="GX32" i="15"/>
  <c r="GY32" i="15"/>
  <c r="HX32" i="15" s="1"/>
  <c r="GZ32" i="15"/>
  <c r="HY32" i="15" s="1"/>
  <c r="HA32" i="15"/>
  <c r="HZ32" i="15" s="1"/>
  <c r="HB32" i="15"/>
  <c r="IA32" i="15" s="1"/>
  <c r="HC32" i="15"/>
  <c r="HD32" i="15"/>
  <c r="IC32" i="15" s="1"/>
  <c r="GX33" i="15"/>
  <c r="GY33" i="15"/>
  <c r="HX33" i="15" s="1"/>
  <c r="GZ33" i="15"/>
  <c r="HY33" i="15" s="1"/>
  <c r="HA33" i="15"/>
  <c r="HZ33" i="15" s="1"/>
  <c r="HB33" i="15"/>
  <c r="IA33" i="15" s="1"/>
  <c r="HC33" i="15"/>
  <c r="HD33" i="15"/>
  <c r="IC33" i="15" s="1"/>
  <c r="GX34" i="15"/>
  <c r="HW34" i="15" s="1"/>
  <c r="GY34" i="15"/>
  <c r="HX34" i="15" s="1"/>
  <c r="GZ34" i="15"/>
  <c r="HA34" i="15"/>
  <c r="HZ34" i="15" s="1"/>
  <c r="HB34" i="15"/>
  <c r="IA34" i="15" s="1"/>
  <c r="HC34" i="15"/>
  <c r="HD34" i="15"/>
  <c r="IC34" i="15" s="1"/>
  <c r="GX35" i="15"/>
  <c r="HW35" i="15" s="1"/>
  <c r="GY35" i="15"/>
  <c r="HX35" i="15" s="1"/>
  <c r="GZ35" i="15"/>
  <c r="HY35" i="15" s="1"/>
  <c r="HA35" i="15"/>
  <c r="HZ35" i="15" s="1"/>
  <c r="HB35" i="15"/>
  <c r="IA35" i="15" s="1"/>
  <c r="HC35" i="15"/>
  <c r="HD35" i="15"/>
  <c r="IC35" i="15" s="1"/>
  <c r="GX36" i="15"/>
  <c r="GY36" i="15"/>
  <c r="HX36" i="15" s="1"/>
  <c r="GZ36" i="15"/>
  <c r="HY36" i="15" s="1"/>
  <c r="HA36" i="15"/>
  <c r="HZ36" i="15" s="1"/>
  <c r="HB36" i="15"/>
  <c r="IA36" i="15" s="1"/>
  <c r="HC36" i="15"/>
  <c r="HD36" i="15"/>
  <c r="IC36" i="15" s="1"/>
  <c r="GX37" i="15"/>
  <c r="HW37" i="15" s="1"/>
  <c r="GY37" i="15"/>
  <c r="HX37" i="15" s="1"/>
  <c r="GZ37" i="15"/>
  <c r="HY37" i="15" s="1"/>
  <c r="HA37" i="15"/>
  <c r="HZ37" i="15" s="1"/>
  <c r="HB37" i="15"/>
  <c r="IA37" i="15" s="1"/>
  <c r="HC37" i="15"/>
  <c r="HD37" i="15"/>
  <c r="IC37" i="15" s="1"/>
  <c r="GX38" i="15"/>
  <c r="HW38" i="15" s="1"/>
  <c r="GY38" i="15"/>
  <c r="HX38" i="15" s="1"/>
  <c r="GZ38" i="15"/>
  <c r="HA38" i="15"/>
  <c r="HZ38" i="15" s="1"/>
  <c r="HB38" i="15"/>
  <c r="IA38" i="15" s="1"/>
  <c r="HC38" i="15"/>
  <c r="HD38" i="15"/>
  <c r="IC38" i="15" s="1"/>
  <c r="GX39" i="15"/>
  <c r="HW39" i="15" s="1"/>
  <c r="GY39" i="15"/>
  <c r="HX39" i="15" s="1"/>
  <c r="GZ39" i="15"/>
  <c r="HY39" i="15" s="1"/>
  <c r="HA39" i="15"/>
  <c r="HZ39" i="15" s="1"/>
  <c r="HB39" i="15"/>
  <c r="IA39" i="15" s="1"/>
  <c r="HC39" i="15"/>
  <c r="HD39" i="15"/>
  <c r="IC39" i="15" s="1"/>
  <c r="GX40" i="15"/>
  <c r="GY40" i="15"/>
  <c r="HX40" i="15" s="1"/>
  <c r="GZ40" i="15"/>
  <c r="HY40" i="15" s="1"/>
  <c r="HA40" i="15"/>
  <c r="HZ40" i="15" s="1"/>
  <c r="HB40" i="15"/>
  <c r="IA40" i="15" s="1"/>
  <c r="HC40" i="15"/>
  <c r="HD40" i="15"/>
  <c r="IC40" i="15" s="1"/>
  <c r="GX41" i="15"/>
  <c r="GY41" i="15"/>
  <c r="HX41" i="15" s="1"/>
  <c r="GZ41" i="15"/>
  <c r="HY41" i="15" s="1"/>
  <c r="HA41" i="15"/>
  <c r="HZ41" i="15" s="1"/>
  <c r="HB41" i="15"/>
  <c r="IA41" i="15" s="1"/>
  <c r="HC41" i="15"/>
  <c r="HD41" i="15"/>
  <c r="IC41" i="15" s="1"/>
  <c r="GX42" i="15"/>
  <c r="HW42" i="15" s="1"/>
  <c r="GY42" i="15"/>
  <c r="HX42" i="15" s="1"/>
  <c r="GZ42" i="15"/>
  <c r="HA42" i="15"/>
  <c r="HZ42" i="15" s="1"/>
  <c r="HB42" i="15"/>
  <c r="IA42" i="15" s="1"/>
  <c r="HC42" i="15"/>
  <c r="HD42" i="15"/>
  <c r="IC42" i="15" s="1"/>
  <c r="GX43" i="15"/>
  <c r="HW43" i="15" s="1"/>
  <c r="GY43" i="15"/>
  <c r="HX43" i="15" s="1"/>
  <c r="GZ43" i="15"/>
  <c r="HY43" i="15" s="1"/>
  <c r="HA43" i="15"/>
  <c r="HZ43" i="15" s="1"/>
  <c r="HB43" i="15"/>
  <c r="IA43" i="15" s="1"/>
  <c r="HC43" i="15"/>
  <c r="HD43" i="15"/>
  <c r="IC43" i="15" s="1"/>
  <c r="GX44" i="15"/>
  <c r="GY44" i="15"/>
  <c r="HX44" i="15" s="1"/>
  <c r="GZ44" i="15"/>
  <c r="HY44" i="15" s="1"/>
  <c r="HA44" i="15"/>
  <c r="HZ44" i="15" s="1"/>
  <c r="HB44" i="15"/>
  <c r="IA44" i="15" s="1"/>
  <c r="HC44" i="15"/>
  <c r="HD44" i="15"/>
  <c r="IC44" i="15" s="1"/>
  <c r="GX45" i="15"/>
  <c r="HW45" i="15" s="1"/>
  <c r="GY45" i="15"/>
  <c r="HX45" i="15" s="1"/>
  <c r="GZ45" i="15"/>
  <c r="HY45" i="15" s="1"/>
  <c r="HA45" i="15"/>
  <c r="HZ45" i="15" s="1"/>
  <c r="HB45" i="15"/>
  <c r="HC45" i="15"/>
  <c r="HD45" i="15"/>
  <c r="IC45" i="15" s="1"/>
  <c r="GX46" i="15"/>
  <c r="HW46" i="15" s="1"/>
  <c r="GY46" i="15"/>
  <c r="HX46" i="15" s="1"/>
  <c r="GZ46" i="15"/>
  <c r="HY46" i="15" s="1"/>
  <c r="HA46" i="15"/>
  <c r="HZ46" i="15" s="1"/>
  <c r="HB46" i="15"/>
  <c r="IA46" i="15" s="1"/>
  <c r="HC46" i="15"/>
  <c r="HD46" i="15"/>
  <c r="IC46" i="15" s="1"/>
  <c r="GX47" i="15"/>
  <c r="HW47" i="15" s="1"/>
  <c r="GY47" i="15"/>
  <c r="HX47" i="15" s="1"/>
  <c r="GZ47" i="15"/>
  <c r="HY47" i="15" s="1"/>
  <c r="HA47" i="15"/>
  <c r="HZ47" i="15" s="1"/>
  <c r="HB47" i="15"/>
  <c r="HC47" i="15"/>
  <c r="HD47" i="15"/>
  <c r="IC47" i="15" s="1"/>
  <c r="GX48" i="15"/>
  <c r="HW48" i="15" s="1"/>
  <c r="GY48" i="15"/>
  <c r="HX48" i="15" s="1"/>
  <c r="GZ48" i="15"/>
  <c r="HY48" i="15" s="1"/>
  <c r="HA48" i="15"/>
  <c r="HZ48" i="15" s="1"/>
  <c r="HB48" i="15"/>
  <c r="HC48" i="15"/>
  <c r="HD48" i="15"/>
  <c r="IC48" i="15" s="1"/>
  <c r="GX49" i="15"/>
  <c r="HW49" i="15" s="1"/>
  <c r="GY49" i="15"/>
  <c r="GZ49" i="15"/>
  <c r="HY49" i="15" s="1"/>
  <c r="HA49" i="15"/>
  <c r="HZ49" i="15" s="1"/>
  <c r="HB49" i="15"/>
  <c r="IA49" i="15" s="1"/>
  <c r="HC49" i="15"/>
  <c r="HD49" i="15"/>
  <c r="IC49" i="15" s="1"/>
  <c r="GX50" i="15"/>
  <c r="HW50" i="15" s="1"/>
  <c r="GY50" i="15"/>
  <c r="HX50" i="15" s="1"/>
  <c r="GZ50" i="15"/>
  <c r="HY50" i="15" s="1"/>
  <c r="HA50" i="15"/>
  <c r="HZ50" i="15" s="1"/>
  <c r="HB50" i="15"/>
  <c r="IA50" i="15" s="1"/>
  <c r="HC50" i="15"/>
  <c r="HD50" i="15"/>
  <c r="IC50" i="15" s="1"/>
  <c r="GX51" i="15"/>
  <c r="HW51" i="15" s="1"/>
  <c r="GY51" i="15"/>
  <c r="HX51" i="15" s="1"/>
  <c r="GZ51" i="15"/>
  <c r="HY51" i="15" s="1"/>
  <c r="HA51" i="15"/>
  <c r="HZ51" i="15" s="1"/>
  <c r="HB51" i="15"/>
  <c r="HC51" i="15"/>
  <c r="HD51" i="15"/>
  <c r="IC51" i="15" s="1"/>
  <c r="GX52" i="15"/>
  <c r="HW52" i="15" s="1"/>
  <c r="GY52" i="15"/>
  <c r="HX52" i="15" s="1"/>
  <c r="GZ52" i="15"/>
  <c r="HY52" i="15" s="1"/>
  <c r="HA52" i="15"/>
  <c r="HZ52" i="15" s="1"/>
  <c r="HB52" i="15"/>
  <c r="HC52" i="15"/>
  <c r="HD52" i="15"/>
  <c r="IC52" i="15" s="1"/>
  <c r="GX53" i="15"/>
  <c r="HW53" i="15" s="1"/>
  <c r="GY53" i="15"/>
  <c r="GZ53" i="15"/>
  <c r="HY53" i="15" s="1"/>
  <c r="HA53" i="15"/>
  <c r="HZ53" i="15" s="1"/>
  <c r="HB53" i="15"/>
  <c r="IA53" i="15" s="1"/>
  <c r="HC53" i="15"/>
  <c r="HD53" i="15"/>
  <c r="IC53" i="15" s="1"/>
  <c r="GX54" i="15"/>
  <c r="HW54" i="15" s="1"/>
  <c r="GY54" i="15"/>
  <c r="HX54" i="15" s="1"/>
  <c r="GZ54" i="15"/>
  <c r="HY54" i="15" s="1"/>
  <c r="HA54" i="15"/>
  <c r="HZ54" i="15" s="1"/>
  <c r="HB54" i="15"/>
  <c r="IA54" i="15" s="1"/>
  <c r="HC54" i="15"/>
  <c r="HD54" i="15"/>
  <c r="IC54" i="15" s="1"/>
  <c r="GX55" i="15"/>
  <c r="HW55" i="15" s="1"/>
  <c r="GY55" i="15"/>
  <c r="HX55" i="15" s="1"/>
  <c r="GZ55" i="15"/>
  <c r="HY55" i="15" s="1"/>
  <c r="HA55" i="15"/>
  <c r="HZ55" i="15" s="1"/>
  <c r="HB55" i="15"/>
  <c r="HC55" i="15"/>
  <c r="HD55" i="15"/>
  <c r="IC55" i="15" s="1"/>
  <c r="GX56" i="15"/>
  <c r="HW56" i="15" s="1"/>
  <c r="GY56" i="15"/>
  <c r="HX56" i="15" s="1"/>
  <c r="GZ56" i="15"/>
  <c r="HY56" i="15" s="1"/>
  <c r="HA56" i="15"/>
  <c r="HZ56" i="15" s="1"/>
  <c r="HB56" i="15"/>
  <c r="HC56" i="15"/>
  <c r="HD56" i="15"/>
  <c r="IC56" i="15" s="1"/>
  <c r="GX57" i="15"/>
  <c r="HW57" i="15" s="1"/>
  <c r="GY57" i="15"/>
  <c r="GZ57" i="15"/>
  <c r="HY57" i="15" s="1"/>
  <c r="HA57" i="15"/>
  <c r="HZ57" i="15" s="1"/>
  <c r="HB57" i="15"/>
  <c r="IA57" i="15" s="1"/>
  <c r="HC57" i="15"/>
  <c r="HD57" i="15"/>
  <c r="IC57" i="15" s="1"/>
  <c r="GX58" i="15"/>
  <c r="HW58" i="15" s="1"/>
  <c r="GY58" i="15"/>
  <c r="HX58" i="15" s="1"/>
  <c r="GZ58" i="15"/>
  <c r="HY58" i="15" s="1"/>
  <c r="HA58" i="15"/>
  <c r="HZ58" i="15" s="1"/>
  <c r="HB58" i="15"/>
  <c r="IA58" i="15" s="1"/>
  <c r="HC58" i="15"/>
  <c r="HD58" i="15"/>
  <c r="IC58" i="15" s="1"/>
  <c r="GX59" i="15"/>
  <c r="HW59" i="15" s="1"/>
  <c r="GY59" i="15"/>
  <c r="HX59" i="15" s="1"/>
  <c r="GZ59" i="15"/>
  <c r="HY59" i="15" s="1"/>
  <c r="HA59" i="15"/>
  <c r="HZ59" i="15" s="1"/>
  <c r="HB59" i="15"/>
  <c r="HC59" i="15"/>
  <c r="HD59" i="15"/>
  <c r="IC59" i="15" s="1"/>
  <c r="GX60" i="15"/>
  <c r="HW60" i="15" s="1"/>
  <c r="GY60" i="15"/>
  <c r="HX60" i="15" s="1"/>
  <c r="GZ60" i="15"/>
  <c r="HY60" i="15" s="1"/>
  <c r="HA60" i="15"/>
  <c r="HZ60" i="15" s="1"/>
  <c r="HB60" i="15"/>
  <c r="HC60" i="15"/>
  <c r="HD60" i="15"/>
  <c r="IC60" i="15" s="1"/>
  <c r="GX61" i="15"/>
  <c r="HW61" i="15" s="1"/>
  <c r="GY61" i="15"/>
  <c r="GZ61" i="15"/>
  <c r="HY61" i="15" s="1"/>
  <c r="HA61" i="15"/>
  <c r="HZ61" i="15" s="1"/>
  <c r="HB61" i="15"/>
  <c r="IA61" i="15" s="1"/>
  <c r="HC61" i="15"/>
  <c r="HD61" i="15"/>
  <c r="IC61" i="15" s="1"/>
  <c r="GX62" i="15"/>
  <c r="HW62" i="15" s="1"/>
  <c r="GY62" i="15"/>
  <c r="HX62" i="15" s="1"/>
  <c r="GZ62" i="15"/>
  <c r="HY62" i="15" s="1"/>
  <c r="HA62" i="15"/>
  <c r="HZ62" i="15" s="1"/>
  <c r="HB62" i="15"/>
  <c r="IA62" i="15" s="1"/>
  <c r="HC62" i="15"/>
  <c r="HD62" i="15"/>
  <c r="IC62" i="15" s="1"/>
  <c r="GX63" i="15"/>
  <c r="HW63" i="15" s="1"/>
  <c r="GY63" i="15"/>
  <c r="GZ63" i="15"/>
  <c r="HY63" i="15" s="1"/>
  <c r="HA63" i="15"/>
  <c r="HZ63" i="15" s="1"/>
  <c r="HB63" i="15"/>
  <c r="HC63" i="15"/>
  <c r="HD63" i="15"/>
  <c r="IC63" i="15" s="1"/>
  <c r="GX64" i="15"/>
  <c r="HW64" i="15" s="1"/>
  <c r="GY64" i="15"/>
  <c r="HX64" i="15" s="1"/>
  <c r="GZ64" i="15"/>
  <c r="HY64" i="15" s="1"/>
  <c r="HA64" i="15"/>
  <c r="HZ64" i="15" s="1"/>
  <c r="HB64" i="15"/>
  <c r="HC64" i="15"/>
  <c r="HD64" i="15"/>
  <c r="IC64" i="15" s="1"/>
  <c r="GX65" i="15"/>
  <c r="HW65" i="15" s="1"/>
  <c r="GY65" i="15"/>
  <c r="GZ65" i="15"/>
  <c r="HY65" i="15" s="1"/>
  <c r="HA65" i="15"/>
  <c r="HZ65" i="15" s="1"/>
  <c r="HB65" i="15"/>
  <c r="HC65" i="15"/>
  <c r="HD65" i="15"/>
  <c r="IC65" i="15" s="1"/>
  <c r="GX66" i="15"/>
  <c r="HW66" i="15" s="1"/>
  <c r="GY66" i="15"/>
  <c r="HX66" i="15" s="1"/>
  <c r="GZ66" i="15"/>
  <c r="HY66" i="15" s="1"/>
  <c r="HA66" i="15"/>
  <c r="HZ66" i="15" s="1"/>
  <c r="HB66" i="15"/>
  <c r="IA66" i="15" s="1"/>
  <c r="HC66" i="15"/>
  <c r="HD66" i="15"/>
  <c r="IC66" i="15" s="1"/>
  <c r="GX67" i="15"/>
  <c r="HW67" i="15" s="1"/>
  <c r="GY67" i="15"/>
  <c r="HX67" i="15" s="1"/>
  <c r="GZ67" i="15"/>
  <c r="HY67" i="15" s="1"/>
  <c r="HA67" i="15"/>
  <c r="HZ67" i="15" s="1"/>
  <c r="HB67" i="15"/>
  <c r="HC67" i="15"/>
  <c r="HD67" i="15"/>
  <c r="IC67" i="15" s="1"/>
  <c r="GX68" i="15"/>
  <c r="HW68" i="15" s="1"/>
  <c r="GY68" i="15"/>
  <c r="HX68" i="15" s="1"/>
  <c r="GZ68" i="15"/>
  <c r="HY68" i="15" s="1"/>
  <c r="HA68" i="15"/>
  <c r="HZ68" i="15" s="1"/>
  <c r="HB68" i="15"/>
  <c r="HC68" i="15"/>
  <c r="HD68" i="15"/>
  <c r="IC68" i="15" s="1"/>
  <c r="GX69" i="15"/>
  <c r="HW69" i="15" s="1"/>
  <c r="GY69" i="15"/>
  <c r="GZ69" i="15"/>
  <c r="HY69" i="15" s="1"/>
  <c r="HA69" i="15"/>
  <c r="HZ69" i="15" s="1"/>
  <c r="HB69" i="15"/>
  <c r="HC69" i="15"/>
  <c r="HD69" i="15"/>
  <c r="IC69" i="15" s="1"/>
  <c r="GX70" i="15"/>
  <c r="HW70" i="15" s="1"/>
  <c r="GY70" i="15"/>
  <c r="HX70" i="15" s="1"/>
  <c r="GZ70" i="15"/>
  <c r="HY70" i="15" s="1"/>
  <c r="HA70" i="15"/>
  <c r="HZ70" i="15" s="1"/>
  <c r="HB70" i="15"/>
  <c r="IA70" i="15" s="1"/>
  <c r="HC70" i="15"/>
  <c r="HD70" i="15"/>
  <c r="IC70" i="15" s="1"/>
  <c r="GX71" i="15"/>
  <c r="HW71" i="15" s="1"/>
  <c r="GY71" i="15"/>
  <c r="HX71" i="15" s="1"/>
  <c r="GZ71" i="15"/>
  <c r="HY71" i="15" s="1"/>
  <c r="HA71" i="15"/>
  <c r="HZ71" i="15" s="1"/>
  <c r="HB71" i="15"/>
  <c r="HC71" i="15"/>
  <c r="HD71" i="15"/>
  <c r="IC71" i="15" s="1"/>
  <c r="GX72" i="15"/>
  <c r="HW72" i="15" s="1"/>
  <c r="GY72" i="15"/>
  <c r="HX72" i="15" s="1"/>
  <c r="GZ72" i="15"/>
  <c r="HY72" i="15" s="1"/>
  <c r="HA72" i="15"/>
  <c r="HZ72" i="15" s="1"/>
  <c r="HB72" i="15"/>
  <c r="HC72" i="15"/>
  <c r="HD72" i="15"/>
  <c r="IC72" i="15" s="1"/>
  <c r="GX73" i="15"/>
  <c r="HW73" i="15" s="1"/>
  <c r="GY73" i="15"/>
  <c r="GZ73" i="15"/>
  <c r="HY73" i="15" s="1"/>
  <c r="HA73" i="15"/>
  <c r="HZ73" i="15" s="1"/>
  <c r="HB73" i="15"/>
  <c r="HC73" i="15"/>
  <c r="HD73" i="15"/>
  <c r="IC73" i="15" s="1"/>
  <c r="GX74" i="15"/>
  <c r="HW74" i="15" s="1"/>
  <c r="GY74" i="15"/>
  <c r="HX74" i="15" s="1"/>
  <c r="GZ74" i="15"/>
  <c r="HY74" i="15" s="1"/>
  <c r="HA74" i="15"/>
  <c r="HZ74" i="15" s="1"/>
  <c r="HB74" i="15"/>
  <c r="HC74" i="15"/>
  <c r="HD74" i="15"/>
  <c r="IC74" i="15" s="1"/>
  <c r="GX75" i="15"/>
  <c r="HW75" i="15" s="1"/>
  <c r="GY75" i="15"/>
  <c r="HX75" i="15" s="1"/>
  <c r="GZ75" i="15"/>
  <c r="HY75" i="15" s="1"/>
  <c r="HA75" i="15"/>
  <c r="HB75" i="15"/>
  <c r="HC75" i="15"/>
  <c r="HD75" i="15"/>
  <c r="IC75" i="15" s="1"/>
  <c r="GX76" i="15"/>
  <c r="HW76" i="15" s="1"/>
  <c r="GY76" i="15"/>
  <c r="HX76" i="15" s="1"/>
  <c r="GZ76" i="15"/>
  <c r="HY76" i="15" s="1"/>
  <c r="HA76" i="15"/>
  <c r="HZ76" i="15" s="1"/>
  <c r="HB76" i="15"/>
  <c r="HC76" i="15"/>
  <c r="HD76" i="15"/>
  <c r="IC76" i="15" s="1"/>
  <c r="GX77" i="15"/>
  <c r="HW77" i="15" s="1"/>
  <c r="GY77" i="15"/>
  <c r="HX77" i="15" s="1"/>
  <c r="GZ77" i="15"/>
  <c r="HY77" i="15" s="1"/>
  <c r="HA77" i="15"/>
  <c r="HZ77" i="15" s="1"/>
  <c r="HB77" i="15"/>
  <c r="HC77" i="15"/>
  <c r="HD77" i="15"/>
  <c r="IC77" i="15" s="1"/>
  <c r="GX78" i="15"/>
  <c r="HW78" i="15" s="1"/>
  <c r="GY78" i="15"/>
  <c r="HX78" i="15" s="1"/>
  <c r="GZ78" i="15"/>
  <c r="HY78" i="15" s="1"/>
  <c r="HA78" i="15"/>
  <c r="HZ78" i="15" s="1"/>
  <c r="HB78" i="15"/>
  <c r="HC78" i="15"/>
  <c r="HD78" i="15"/>
  <c r="IC78" i="15" s="1"/>
  <c r="GX79" i="15"/>
  <c r="HW79" i="15" s="1"/>
  <c r="GY79" i="15"/>
  <c r="HX79" i="15" s="1"/>
  <c r="GZ79" i="15"/>
  <c r="HY79" i="15" s="1"/>
  <c r="HA79" i="15"/>
  <c r="HB79" i="15"/>
  <c r="IA79" i="15" s="1"/>
  <c r="HC79" i="15"/>
  <c r="HD79" i="15"/>
  <c r="IC79" i="15" s="1"/>
  <c r="GX80" i="15"/>
  <c r="HW80" i="15" s="1"/>
  <c r="GY80" i="15"/>
  <c r="HX80" i="15" s="1"/>
  <c r="GZ80" i="15"/>
  <c r="HY80" i="15" s="1"/>
  <c r="HA80" i="15"/>
  <c r="HZ80" i="15" s="1"/>
  <c r="HB80" i="15"/>
  <c r="HC80" i="15"/>
  <c r="HD80" i="15"/>
  <c r="IC80" i="15" s="1"/>
  <c r="GX81" i="15"/>
  <c r="HW81" i="15" s="1"/>
  <c r="GY81" i="15"/>
  <c r="HX81" i="15" s="1"/>
  <c r="GZ81" i="15"/>
  <c r="HY81" i="15" s="1"/>
  <c r="HA81" i="15"/>
  <c r="HZ81" i="15" s="1"/>
  <c r="HB81" i="15"/>
  <c r="HC81" i="15"/>
  <c r="HD81" i="15"/>
  <c r="IC81" i="15" s="1"/>
  <c r="GX82" i="15"/>
  <c r="HW82" i="15" s="1"/>
  <c r="GY82" i="15"/>
  <c r="HX82" i="15" s="1"/>
  <c r="GZ82" i="15"/>
  <c r="HY82" i="15" s="1"/>
  <c r="HA82" i="15"/>
  <c r="HZ82" i="15" s="1"/>
  <c r="HB82" i="15"/>
  <c r="IA82" i="15" s="1"/>
  <c r="HC82" i="15"/>
  <c r="HD82" i="15"/>
  <c r="IC82" i="15" s="1"/>
  <c r="GX83" i="15"/>
  <c r="HW83" i="15" s="1"/>
  <c r="GY83" i="15"/>
  <c r="HX83" i="15" s="1"/>
  <c r="GZ83" i="15"/>
  <c r="HY83" i="15" s="1"/>
  <c r="HA83" i="15"/>
  <c r="HB83" i="15"/>
  <c r="IA83" i="15" s="1"/>
  <c r="HC83" i="15"/>
  <c r="HD83" i="15"/>
  <c r="IC83" i="15" s="1"/>
  <c r="GX84" i="15"/>
  <c r="HW84" i="15" s="1"/>
  <c r="GY84" i="15"/>
  <c r="HX84" i="15" s="1"/>
  <c r="GZ84" i="15"/>
  <c r="HY84" i="15" s="1"/>
  <c r="HA84" i="15"/>
  <c r="HZ84" i="15" s="1"/>
  <c r="HB84" i="15"/>
  <c r="HC84" i="15"/>
  <c r="HD84" i="15"/>
  <c r="IC84" i="15" s="1"/>
  <c r="GX85" i="15"/>
  <c r="HW85" i="15" s="1"/>
  <c r="GY85" i="15"/>
  <c r="HX85" i="15" s="1"/>
  <c r="GZ85" i="15"/>
  <c r="HY85" i="15" s="1"/>
  <c r="HA85" i="15"/>
  <c r="HZ85" i="15" s="1"/>
  <c r="HB85" i="15"/>
  <c r="HC85" i="15"/>
  <c r="HD85" i="15"/>
  <c r="IC85" i="15" s="1"/>
  <c r="GX86" i="15"/>
  <c r="HW86" i="15" s="1"/>
  <c r="GY86" i="15"/>
  <c r="HX86" i="15" s="1"/>
  <c r="GZ86" i="15"/>
  <c r="HY86" i="15" s="1"/>
  <c r="HA86" i="15"/>
  <c r="HZ86" i="15" s="1"/>
  <c r="HB86" i="15"/>
  <c r="HC86" i="15"/>
  <c r="HD86" i="15"/>
  <c r="IC86" i="15" s="1"/>
  <c r="GX87" i="15"/>
  <c r="HW87" i="15" s="1"/>
  <c r="GY87" i="15"/>
  <c r="HX87" i="15" s="1"/>
  <c r="GZ87" i="15"/>
  <c r="HY87" i="15" s="1"/>
  <c r="HA87" i="15"/>
  <c r="HB87" i="15"/>
  <c r="HC87" i="15"/>
  <c r="HD87" i="15"/>
  <c r="IC87" i="15" s="1"/>
  <c r="GX88" i="15"/>
  <c r="HW88" i="15" s="1"/>
  <c r="GY88" i="15"/>
  <c r="HX88" i="15" s="1"/>
  <c r="GZ88" i="15"/>
  <c r="HY88" i="15" s="1"/>
  <c r="HA88" i="15"/>
  <c r="HZ88" i="15" s="1"/>
  <c r="HB88" i="15"/>
  <c r="HC88" i="15"/>
  <c r="HD88" i="15"/>
  <c r="GX89" i="15"/>
  <c r="HW89" i="15" s="1"/>
  <c r="GY89" i="15"/>
  <c r="HX89" i="15" s="1"/>
  <c r="GZ89" i="15"/>
  <c r="HY89" i="15" s="1"/>
  <c r="HA89" i="15"/>
  <c r="HZ89" i="15" s="1"/>
  <c r="HB89" i="15"/>
  <c r="HC89" i="15"/>
  <c r="HD89" i="15"/>
  <c r="IC89" i="15" s="1"/>
  <c r="GX90" i="15"/>
  <c r="HW90" i="15" s="1"/>
  <c r="GY90" i="15"/>
  <c r="HX90" i="15" s="1"/>
  <c r="GZ90" i="15"/>
  <c r="HY90" i="15" s="1"/>
  <c r="HA90" i="15"/>
  <c r="HZ90" i="15" s="1"/>
  <c r="HB90" i="15"/>
  <c r="IA90" i="15" s="1"/>
  <c r="HC90" i="15"/>
  <c r="HD90" i="15"/>
  <c r="IC90" i="15" s="1"/>
  <c r="GX91" i="15"/>
  <c r="HW91" i="15" s="1"/>
  <c r="GY91" i="15"/>
  <c r="HX91" i="15" s="1"/>
  <c r="GZ91" i="15"/>
  <c r="HY91" i="15" s="1"/>
  <c r="HA91" i="15"/>
  <c r="HZ91" i="15" s="1"/>
  <c r="HB91" i="15"/>
  <c r="HC91" i="15"/>
  <c r="HD91" i="15"/>
  <c r="IC91" i="15" s="1"/>
  <c r="GX92" i="15"/>
  <c r="HW92" i="15" s="1"/>
  <c r="GY92" i="15"/>
  <c r="HX92" i="15" s="1"/>
  <c r="GZ92" i="15"/>
  <c r="HY92" i="15" s="1"/>
  <c r="HA92" i="15"/>
  <c r="HZ92" i="15" s="1"/>
  <c r="HB92" i="15"/>
  <c r="HC92" i="15"/>
  <c r="HD92" i="15"/>
  <c r="IC92" i="15" s="1"/>
  <c r="GX93" i="15"/>
  <c r="HW93" i="15" s="1"/>
  <c r="GY93" i="15"/>
  <c r="HX93" i="15" s="1"/>
  <c r="GZ93" i="15"/>
  <c r="HY93" i="15" s="1"/>
  <c r="HA93" i="15"/>
  <c r="HZ93" i="15" s="1"/>
  <c r="HB93" i="15"/>
  <c r="HC93" i="15"/>
  <c r="HD93" i="15"/>
  <c r="IC93" i="15" s="1"/>
  <c r="GX94" i="15"/>
  <c r="HW94" i="15" s="1"/>
  <c r="GY94" i="15"/>
  <c r="HX94" i="15" s="1"/>
  <c r="GZ94" i="15"/>
  <c r="HY94" i="15" s="1"/>
  <c r="HA94" i="15"/>
  <c r="HZ94" i="15" s="1"/>
  <c r="HB94" i="15"/>
  <c r="HC94" i="15"/>
  <c r="HD94" i="15"/>
  <c r="IC94" i="15" s="1"/>
  <c r="GX95" i="15"/>
  <c r="HW95" i="15" s="1"/>
  <c r="GY95" i="15"/>
  <c r="HX95" i="15" s="1"/>
  <c r="GZ95" i="15"/>
  <c r="HY95" i="15" s="1"/>
  <c r="HA95" i="15"/>
  <c r="HB95" i="15"/>
  <c r="HC95" i="15"/>
  <c r="HD95" i="15"/>
  <c r="IC95" i="15" s="1"/>
  <c r="GX96" i="15"/>
  <c r="HW96" i="15" s="1"/>
  <c r="GY96" i="15"/>
  <c r="HX96" i="15" s="1"/>
  <c r="GZ96" i="15"/>
  <c r="HY96" i="15" s="1"/>
  <c r="HA96" i="15"/>
  <c r="HZ96" i="15" s="1"/>
  <c r="HB96" i="15"/>
  <c r="HC96" i="15"/>
  <c r="HD96" i="15"/>
  <c r="GX97" i="15"/>
  <c r="HW97" i="15" s="1"/>
  <c r="GY97" i="15"/>
  <c r="HX97" i="15" s="1"/>
  <c r="GZ97" i="15"/>
  <c r="HY97" i="15" s="1"/>
  <c r="HA97" i="15"/>
  <c r="HZ97" i="15" s="1"/>
  <c r="HB97" i="15"/>
  <c r="HC97" i="15"/>
  <c r="HD97" i="15"/>
  <c r="IC97" i="15" s="1"/>
  <c r="GX98" i="15"/>
  <c r="HW98" i="15" s="1"/>
  <c r="GY98" i="15"/>
  <c r="HX98" i="15" s="1"/>
  <c r="GZ98" i="15"/>
  <c r="HY98" i="15" s="1"/>
  <c r="HA98" i="15"/>
  <c r="HZ98" i="15" s="1"/>
  <c r="HB98" i="15"/>
  <c r="IA98" i="15" s="1"/>
  <c r="HC98" i="15"/>
  <c r="HD98" i="15"/>
  <c r="IC98" i="15" s="1"/>
  <c r="GX99" i="15"/>
  <c r="HW99" i="15" s="1"/>
  <c r="GY99" i="15"/>
  <c r="HX99" i="15" s="1"/>
  <c r="GZ99" i="15"/>
  <c r="HY99" i="15" s="1"/>
  <c r="HA99" i="15"/>
  <c r="HZ99" i="15" s="1"/>
  <c r="HB99" i="15"/>
  <c r="HC99" i="15"/>
  <c r="HD99" i="15"/>
  <c r="IC99" i="15" s="1"/>
  <c r="GX100" i="15"/>
  <c r="HW100" i="15" s="1"/>
  <c r="GY100" i="15"/>
  <c r="HX100" i="15" s="1"/>
  <c r="GZ100" i="15"/>
  <c r="HY100" i="15" s="1"/>
  <c r="HA100" i="15"/>
  <c r="HZ100" i="15" s="1"/>
  <c r="HB100" i="15"/>
  <c r="HC100" i="15"/>
  <c r="HD100" i="15"/>
  <c r="IC100" i="15" s="1"/>
  <c r="GX101" i="15"/>
  <c r="HW101" i="15" s="1"/>
  <c r="GY101" i="15"/>
  <c r="HX101" i="15" s="1"/>
  <c r="GZ101" i="15"/>
  <c r="HY101" i="15" s="1"/>
  <c r="HA101" i="15"/>
  <c r="HZ101" i="15" s="1"/>
  <c r="HB101" i="15"/>
  <c r="HC101" i="15"/>
  <c r="HD101" i="15"/>
  <c r="IC101" i="15" s="1"/>
  <c r="GX102" i="15"/>
  <c r="HW102" i="15" s="1"/>
  <c r="GY102" i="15"/>
  <c r="HX102" i="15" s="1"/>
  <c r="GZ102" i="15"/>
  <c r="HY102" i="15" s="1"/>
  <c r="HA102" i="15"/>
  <c r="HZ102" i="15" s="1"/>
  <c r="HB102" i="15"/>
  <c r="IA102" i="15" s="1"/>
  <c r="HC102" i="15"/>
  <c r="HD102" i="15"/>
  <c r="IC102" i="15" s="1"/>
  <c r="GX103" i="15"/>
  <c r="HW103" i="15" s="1"/>
  <c r="GY103" i="15"/>
  <c r="HX103" i="15" s="1"/>
  <c r="GZ103" i="15"/>
  <c r="HY103" i="15" s="1"/>
  <c r="HA103" i="15"/>
  <c r="HB103" i="15"/>
  <c r="HC103" i="15"/>
  <c r="HD103" i="15"/>
  <c r="IC103" i="15" s="1"/>
  <c r="GX104" i="15"/>
  <c r="HW104" i="15" s="1"/>
  <c r="GY104" i="15"/>
  <c r="HX104" i="15" s="1"/>
  <c r="GZ104" i="15"/>
  <c r="HY104" i="15" s="1"/>
  <c r="HA104" i="15"/>
  <c r="HZ104" i="15" s="1"/>
  <c r="HB104" i="15"/>
  <c r="HC104" i="15"/>
  <c r="HD104" i="15"/>
  <c r="IC104" i="15" s="1"/>
  <c r="GX105" i="15"/>
  <c r="HW105" i="15" s="1"/>
  <c r="GY105" i="15"/>
  <c r="HX105" i="15" s="1"/>
  <c r="GZ105" i="15"/>
  <c r="HY105" i="15" s="1"/>
  <c r="HA105" i="15"/>
  <c r="HZ105" i="15" s="1"/>
  <c r="HB105" i="15"/>
  <c r="HC105" i="15"/>
  <c r="HD105" i="15"/>
  <c r="IC105" i="15" s="1"/>
  <c r="GX106" i="15"/>
  <c r="HW106" i="15" s="1"/>
  <c r="GY106" i="15"/>
  <c r="HX106" i="15" s="1"/>
  <c r="GZ106" i="15"/>
  <c r="HY106" i="15" s="1"/>
  <c r="HA106" i="15"/>
  <c r="HZ106" i="15" s="1"/>
  <c r="HB106" i="15"/>
  <c r="HC106" i="15"/>
  <c r="HD106" i="15"/>
  <c r="IC106" i="15" s="1"/>
  <c r="GX107" i="15"/>
  <c r="HW107" i="15" s="1"/>
  <c r="GY107" i="15"/>
  <c r="HX107" i="15" s="1"/>
  <c r="GZ107" i="15"/>
  <c r="HY107" i="15" s="1"/>
  <c r="HA107" i="15"/>
  <c r="HB107" i="15"/>
  <c r="HC107" i="15"/>
  <c r="HD107" i="15"/>
  <c r="IC107" i="15" s="1"/>
  <c r="GX108" i="15"/>
  <c r="HW108" i="15" s="1"/>
  <c r="GY108" i="15"/>
  <c r="HX108" i="15" s="1"/>
  <c r="GZ108" i="15"/>
  <c r="HY108" i="15" s="1"/>
  <c r="HA108" i="15"/>
  <c r="HZ108" i="15" s="1"/>
  <c r="HB108" i="15"/>
  <c r="HC108" i="15"/>
  <c r="HD108" i="15"/>
  <c r="IC108" i="15" s="1"/>
  <c r="GX109" i="15"/>
  <c r="HW109" i="15" s="1"/>
  <c r="GY109" i="15"/>
  <c r="HX109" i="15" s="1"/>
  <c r="GZ109" i="15"/>
  <c r="HY109" i="15" s="1"/>
  <c r="HA109" i="15"/>
  <c r="HZ109" i="15" s="1"/>
  <c r="HB109" i="15"/>
  <c r="HC109" i="15"/>
  <c r="HD109" i="15"/>
  <c r="IC109" i="15" s="1"/>
  <c r="GX110" i="15"/>
  <c r="HW110" i="15" s="1"/>
  <c r="GY110" i="15"/>
  <c r="HX110" i="15" s="1"/>
  <c r="GZ110" i="15"/>
  <c r="HY110" i="15" s="1"/>
  <c r="HA110" i="15"/>
  <c r="HZ110" i="15" s="1"/>
  <c r="HB110" i="15"/>
  <c r="HC110" i="15"/>
  <c r="HD110" i="15"/>
  <c r="IC110" i="15" s="1"/>
  <c r="GX111" i="15"/>
  <c r="HW111" i="15" s="1"/>
  <c r="GY111" i="15"/>
  <c r="HX111" i="15" s="1"/>
  <c r="GZ111" i="15"/>
  <c r="HY111" i="15" s="1"/>
  <c r="HA111" i="15"/>
  <c r="HB111" i="15"/>
  <c r="HC111" i="15"/>
  <c r="HD111" i="15"/>
  <c r="IC111" i="15" s="1"/>
  <c r="GX112" i="15"/>
  <c r="HW112" i="15" s="1"/>
  <c r="GY112" i="15"/>
  <c r="HX112" i="15" s="1"/>
  <c r="GZ112" i="15"/>
  <c r="HY112" i="15" s="1"/>
  <c r="HA112" i="15"/>
  <c r="HZ112" i="15" s="1"/>
  <c r="HB112" i="15"/>
  <c r="HC112" i="15"/>
  <c r="HD112" i="15"/>
  <c r="IC112" i="15" s="1"/>
  <c r="GX113" i="15"/>
  <c r="HW113" i="15" s="1"/>
  <c r="GY113" i="15"/>
  <c r="HX113" i="15" s="1"/>
  <c r="GZ113" i="15"/>
  <c r="HY113" i="15" s="1"/>
  <c r="HA113" i="15"/>
  <c r="HZ113" i="15" s="1"/>
  <c r="HB113" i="15"/>
  <c r="HC113" i="15"/>
  <c r="HD113" i="15"/>
  <c r="IC113" i="15" s="1"/>
  <c r="GX114" i="15"/>
  <c r="HW114" i="15" s="1"/>
  <c r="GY114" i="15"/>
  <c r="HX114" i="15" s="1"/>
  <c r="GZ114" i="15"/>
  <c r="HY114" i="15" s="1"/>
  <c r="HA114" i="15"/>
  <c r="HZ114" i="15" s="1"/>
  <c r="HB114" i="15"/>
  <c r="HC114" i="15"/>
  <c r="HD114" i="15"/>
  <c r="IC114" i="15" s="1"/>
  <c r="GX115" i="15"/>
  <c r="HW115" i="15" s="1"/>
  <c r="GY115" i="15"/>
  <c r="HX115" i="15" s="1"/>
  <c r="GZ115" i="15"/>
  <c r="HY115" i="15" s="1"/>
  <c r="HA115" i="15"/>
  <c r="HB115" i="15"/>
  <c r="HC115" i="15"/>
  <c r="HD115" i="15"/>
  <c r="IC115" i="15" s="1"/>
  <c r="GX116" i="15"/>
  <c r="HW116" i="15" s="1"/>
  <c r="GY116" i="15"/>
  <c r="HX116" i="15" s="1"/>
  <c r="GZ116" i="15"/>
  <c r="HY116" i="15" s="1"/>
  <c r="HA116" i="15"/>
  <c r="HZ116" i="15" s="1"/>
  <c r="HB116" i="15"/>
  <c r="HC116" i="15"/>
  <c r="HD116" i="15"/>
  <c r="IC116" i="15" s="1"/>
  <c r="GX117" i="15"/>
  <c r="HW117" i="15" s="1"/>
  <c r="GY117" i="15"/>
  <c r="HX117" i="15" s="1"/>
  <c r="GZ117" i="15"/>
  <c r="HY117" i="15" s="1"/>
  <c r="HA117" i="15"/>
  <c r="HZ117" i="15" s="1"/>
  <c r="HB117" i="15"/>
  <c r="HC117" i="15"/>
  <c r="HD117" i="15"/>
  <c r="GX118" i="15"/>
  <c r="HW118" i="15" s="1"/>
  <c r="GY118" i="15"/>
  <c r="HX118" i="15" s="1"/>
  <c r="GZ118" i="15"/>
  <c r="HY118" i="15" s="1"/>
  <c r="HA118" i="15"/>
  <c r="HZ118" i="15" s="1"/>
  <c r="HB118" i="15"/>
  <c r="IA118" i="15" s="1"/>
  <c r="HC118" i="15"/>
  <c r="HD118" i="15"/>
  <c r="IC118" i="15" s="1"/>
  <c r="GX119" i="15"/>
  <c r="HW119" i="15" s="1"/>
  <c r="GY119" i="15"/>
  <c r="HX119" i="15" s="1"/>
  <c r="GZ119" i="15"/>
  <c r="HY119" i="15" s="1"/>
  <c r="HA119" i="15"/>
  <c r="HZ119" i="15" s="1"/>
  <c r="HB119" i="15"/>
  <c r="HC119" i="15"/>
  <c r="HD119" i="15"/>
  <c r="IC119" i="15" s="1"/>
  <c r="GX120" i="15"/>
  <c r="HW120" i="15" s="1"/>
  <c r="GY120" i="15"/>
  <c r="HX120" i="15" s="1"/>
  <c r="GZ120" i="15"/>
  <c r="HY120" i="15" s="1"/>
  <c r="HA120" i="15"/>
  <c r="HZ120" i="15" s="1"/>
  <c r="HB120" i="15"/>
  <c r="HC120" i="15"/>
  <c r="HD120" i="15"/>
  <c r="IC120" i="15" s="1"/>
  <c r="GX121" i="15"/>
  <c r="HW121" i="15" s="1"/>
  <c r="GY121" i="15"/>
  <c r="HX121" i="15" s="1"/>
  <c r="GZ121" i="15"/>
  <c r="HY121" i="15" s="1"/>
  <c r="HA121" i="15"/>
  <c r="HZ121" i="15" s="1"/>
  <c r="HB121" i="15"/>
  <c r="HC121" i="15"/>
  <c r="HD121" i="15"/>
  <c r="IC121" i="15" s="1"/>
  <c r="GX122" i="15"/>
  <c r="HW122" i="15" s="1"/>
  <c r="GY122" i="15"/>
  <c r="HX122" i="15" s="1"/>
  <c r="GZ122" i="15"/>
  <c r="HY122" i="15" s="1"/>
  <c r="HA122" i="15"/>
  <c r="HZ122" i="15" s="1"/>
  <c r="HB122" i="15"/>
  <c r="IA122" i="15" s="1"/>
  <c r="HC122" i="15"/>
  <c r="HD122" i="15"/>
  <c r="IC122" i="15" s="1"/>
  <c r="GX123" i="15"/>
  <c r="HW123" i="15" s="1"/>
  <c r="GY123" i="15"/>
  <c r="HX123" i="15" s="1"/>
  <c r="GZ123" i="15"/>
  <c r="HY123" i="15" s="1"/>
  <c r="HA123" i="15"/>
  <c r="HZ123" i="15" s="1"/>
  <c r="HB123" i="15"/>
  <c r="HC123" i="15"/>
  <c r="HD123" i="15"/>
  <c r="IC123" i="15" s="1"/>
  <c r="GX124" i="15"/>
  <c r="HW124" i="15" s="1"/>
  <c r="GY124" i="15"/>
  <c r="HX124" i="15" s="1"/>
  <c r="GZ124" i="15"/>
  <c r="HY124" i="15" s="1"/>
  <c r="HA124" i="15"/>
  <c r="HZ124" i="15" s="1"/>
  <c r="HB124" i="15"/>
  <c r="HC124" i="15"/>
  <c r="HD124" i="15"/>
  <c r="IC124" i="15" s="1"/>
  <c r="GX125" i="15"/>
  <c r="HW125" i="15" s="1"/>
  <c r="GY125" i="15"/>
  <c r="HX125" i="15" s="1"/>
  <c r="GZ125" i="15"/>
  <c r="HY125" i="15" s="1"/>
  <c r="HA125" i="15"/>
  <c r="HZ125" i="15" s="1"/>
  <c r="HB125" i="15"/>
  <c r="HC125" i="15"/>
  <c r="HD125" i="15"/>
  <c r="IC125" i="15" s="1"/>
  <c r="GX126" i="15"/>
  <c r="HW126" i="15" s="1"/>
  <c r="GY126" i="15"/>
  <c r="HX126" i="15" s="1"/>
  <c r="GZ126" i="15"/>
  <c r="HY126" i="15" s="1"/>
  <c r="HA126" i="15"/>
  <c r="HZ126" i="15" s="1"/>
  <c r="HB126" i="15"/>
  <c r="HC126" i="15"/>
  <c r="HD126" i="15"/>
  <c r="IC126" i="15" s="1"/>
  <c r="GX127" i="15"/>
  <c r="HW127" i="15" s="1"/>
  <c r="GY127" i="15"/>
  <c r="HX127" i="15" s="1"/>
  <c r="GZ127" i="15"/>
  <c r="HY127" i="15" s="1"/>
  <c r="HA127" i="15"/>
  <c r="HZ127" i="15" s="1"/>
  <c r="HB127" i="15"/>
  <c r="HC127" i="15"/>
  <c r="HD127" i="15"/>
  <c r="IC127" i="15" s="1"/>
  <c r="GX128" i="15"/>
  <c r="HW128" i="15" s="1"/>
  <c r="GY128" i="15"/>
  <c r="HX128" i="15" s="1"/>
  <c r="GZ128" i="15"/>
  <c r="HY128" i="15" s="1"/>
  <c r="HA128" i="15"/>
  <c r="HZ128" i="15" s="1"/>
  <c r="HB128" i="15"/>
  <c r="HC128" i="15"/>
  <c r="HD128" i="15"/>
  <c r="IC128" i="15" s="1"/>
  <c r="GX129" i="15"/>
  <c r="HW129" i="15" s="1"/>
  <c r="GY129" i="15"/>
  <c r="HX129" i="15" s="1"/>
  <c r="GZ129" i="15"/>
  <c r="HY129" i="15" s="1"/>
  <c r="HA129" i="15"/>
  <c r="HZ129" i="15" s="1"/>
  <c r="HB129" i="15"/>
  <c r="HC129" i="15"/>
  <c r="HD129" i="15"/>
  <c r="IC129" i="15" s="1"/>
  <c r="GX130" i="15"/>
  <c r="HW130" i="15" s="1"/>
  <c r="GY130" i="15"/>
  <c r="HX130" i="15" s="1"/>
  <c r="GZ130" i="15"/>
  <c r="HY130" i="15" s="1"/>
  <c r="HA130" i="15"/>
  <c r="HZ130" i="15" s="1"/>
  <c r="HB130" i="15"/>
  <c r="IA130" i="15" s="1"/>
  <c r="HC130" i="15"/>
  <c r="HD130" i="15"/>
  <c r="IC130" i="15" s="1"/>
  <c r="GX131" i="15"/>
  <c r="HW131" i="15" s="1"/>
  <c r="GY131" i="15"/>
  <c r="HX131" i="15" s="1"/>
  <c r="GZ131" i="15"/>
  <c r="HY131" i="15" s="1"/>
  <c r="HA131" i="15"/>
  <c r="HZ131" i="15" s="1"/>
  <c r="HB131" i="15"/>
  <c r="HC131" i="15"/>
  <c r="HD131" i="15"/>
  <c r="IC131" i="15" s="1"/>
  <c r="GX132" i="15"/>
  <c r="HW132" i="15" s="1"/>
  <c r="GY132" i="15"/>
  <c r="HX132" i="15" s="1"/>
  <c r="GZ132" i="15"/>
  <c r="HY132" i="15" s="1"/>
  <c r="HA132" i="15"/>
  <c r="HZ132" i="15" s="1"/>
  <c r="HB132" i="15"/>
  <c r="HC132" i="15"/>
  <c r="HD132" i="15"/>
  <c r="IC132" i="15" s="1"/>
  <c r="GX133" i="15"/>
  <c r="HW133" i="15" s="1"/>
  <c r="GY133" i="15"/>
  <c r="HX133" i="15" s="1"/>
  <c r="GZ133" i="15"/>
  <c r="HY133" i="15" s="1"/>
  <c r="HA133" i="15"/>
  <c r="HZ133" i="15" s="1"/>
  <c r="HB133" i="15"/>
  <c r="IA133" i="15" s="1"/>
  <c r="HC133" i="15"/>
  <c r="HD133" i="15"/>
  <c r="IC133" i="15" s="1"/>
  <c r="GX134" i="15"/>
  <c r="HW134" i="15" s="1"/>
  <c r="GY134" i="15"/>
  <c r="HX134" i="15" s="1"/>
  <c r="GZ134" i="15"/>
  <c r="HY134" i="15" s="1"/>
  <c r="HA134" i="15"/>
  <c r="HZ134" i="15" s="1"/>
  <c r="HB134" i="15"/>
  <c r="IA134" i="15" s="1"/>
  <c r="HC134" i="15"/>
  <c r="HD134" i="15"/>
  <c r="IC134" i="15" s="1"/>
  <c r="GX135" i="15"/>
  <c r="HW135" i="15" s="1"/>
  <c r="GY135" i="15"/>
  <c r="HX135" i="15" s="1"/>
  <c r="GZ135" i="15"/>
  <c r="HY135" i="15" s="1"/>
  <c r="HA135" i="15"/>
  <c r="HZ135" i="15" s="1"/>
  <c r="HB135" i="15"/>
  <c r="HC135" i="15"/>
  <c r="HD135" i="15"/>
  <c r="IC135" i="15" s="1"/>
  <c r="GX136" i="15"/>
  <c r="HW136" i="15" s="1"/>
  <c r="GY136" i="15"/>
  <c r="HX136" i="15" s="1"/>
  <c r="GZ136" i="15"/>
  <c r="HY136" i="15" s="1"/>
  <c r="HA136" i="15"/>
  <c r="HZ136" i="15" s="1"/>
  <c r="HB136" i="15"/>
  <c r="HC136" i="15"/>
  <c r="HD136" i="15"/>
  <c r="IC136" i="15" s="1"/>
  <c r="GX137" i="15"/>
  <c r="HW137" i="15" s="1"/>
  <c r="GY137" i="15"/>
  <c r="HX137" i="15" s="1"/>
  <c r="GZ137" i="15"/>
  <c r="HY137" i="15" s="1"/>
  <c r="BQ137" i="1" s="1"/>
  <c r="HA137" i="15"/>
  <c r="HZ137" i="15" s="1"/>
  <c r="HB137" i="15"/>
  <c r="HC137" i="15"/>
  <c r="HD137" i="15"/>
  <c r="IC137" i="15" s="1"/>
  <c r="GX138" i="15"/>
  <c r="HW138" i="15" s="1"/>
  <c r="GY138" i="15"/>
  <c r="HX138" i="15" s="1"/>
  <c r="GZ138" i="15"/>
  <c r="HY138" i="15" s="1"/>
  <c r="HA138" i="15"/>
  <c r="HZ138" i="15" s="1"/>
  <c r="HB138" i="15"/>
  <c r="IA138" i="15" s="1"/>
  <c r="HC138" i="15"/>
  <c r="HD138" i="15"/>
  <c r="IC138" i="15" s="1"/>
  <c r="GX139" i="15"/>
  <c r="HW139" i="15" s="1"/>
  <c r="GY139" i="15"/>
  <c r="HX139" i="15" s="1"/>
  <c r="GZ139" i="15"/>
  <c r="HY139" i="15" s="1"/>
  <c r="HA139" i="15"/>
  <c r="HZ139" i="15" s="1"/>
  <c r="HB139" i="15"/>
  <c r="HC139" i="15"/>
  <c r="HD139" i="15"/>
  <c r="IC139" i="15" s="1"/>
  <c r="GX140" i="15"/>
  <c r="HW140" i="15" s="1"/>
  <c r="GY140" i="15"/>
  <c r="HX140" i="15" s="1"/>
  <c r="GZ140" i="15"/>
  <c r="HY140" i="15" s="1"/>
  <c r="HA140" i="15"/>
  <c r="HZ140" i="15" s="1"/>
  <c r="HB140" i="15"/>
  <c r="HC140" i="15"/>
  <c r="HD140" i="15"/>
  <c r="IC140" i="15" s="1"/>
  <c r="GX141" i="15"/>
  <c r="HW141" i="15" s="1"/>
  <c r="GY141" i="15"/>
  <c r="HX141" i="15" s="1"/>
  <c r="GZ141" i="15"/>
  <c r="HY141" i="15" s="1"/>
  <c r="HA141" i="15"/>
  <c r="HZ141" i="15" s="1"/>
  <c r="HB141" i="15"/>
  <c r="HC141" i="15"/>
  <c r="HD141" i="15"/>
  <c r="IC141" i="15" s="1"/>
  <c r="GX142" i="15"/>
  <c r="HW142" i="15" s="1"/>
  <c r="GY142" i="15"/>
  <c r="HX142" i="15" s="1"/>
  <c r="GZ142" i="15"/>
  <c r="HY142" i="15" s="1"/>
  <c r="HA142" i="15"/>
  <c r="HZ142" i="15" s="1"/>
  <c r="HB142" i="15"/>
  <c r="HC142" i="15"/>
  <c r="HD142" i="15"/>
  <c r="IC142" i="15" s="1"/>
  <c r="GX143" i="15"/>
  <c r="HW143" i="15" s="1"/>
  <c r="GY143" i="15"/>
  <c r="HX143" i="15" s="1"/>
  <c r="GZ143" i="15"/>
  <c r="HY143" i="15" s="1"/>
  <c r="HA143" i="15"/>
  <c r="HZ143" i="15" s="1"/>
  <c r="HB143" i="15"/>
  <c r="HC143" i="15"/>
  <c r="HD143" i="15"/>
  <c r="IC143" i="15" s="1"/>
  <c r="GX144" i="15"/>
  <c r="HW144" i="15" s="1"/>
  <c r="GY144" i="15"/>
  <c r="HX144" i="15" s="1"/>
  <c r="GZ144" i="15"/>
  <c r="HY144" i="15" s="1"/>
  <c r="HA144" i="15"/>
  <c r="HZ144" i="15" s="1"/>
  <c r="HB144" i="15"/>
  <c r="HC144" i="15"/>
  <c r="HD144" i="15"/>
  <c r="IC144" i="15" s="1"/>
  <c r="GX145" i="15"/>
  <c r="HW145" i="15" s="1"/>
  <c r="GY145" i="15"/>
  <c r="HX145" i="15" s="1"/>
  <c r="GZ145" i="15"/>
  <c r="HY145" i="15" s="1"/>
  <c r="HA145" i="15"/>
  <c r="HZ145" i="15" s="1"/>
  <c r="HB145" i="15"/>
  <c r="HC145" i="15"/>
  <c r="HD145" i="15"/>
  <c r="IC145" i="15" s="1"/>
  <c r="GX146" i="15"/>
  <c r="HW146" i="15" s="1"/>
  <c r="GY146" i="15"/>
  <c r="HX146" i="15" s="1"/>
  <c r="GZ146" i="15"/>
  <c r="HY146" i="15" s="1"/>
  <c r="HA146" i="15"/>
  <c r="HZ146" i="15" s="1"/>
  <c r="HB146" i="15"/>
  <c r="IA146" i="15" s="1"/>
  <c r="HC146" i="15"/>
  <c r="HD146" i="15"/>
  <c r="IC146" i="15" s="1"/>
  <c r="GX147" i="15"/>
  <c r="HW147" i="15" s="1"/>
  <c r="GY147" i="15"/>
  <c r="HX147" i="15" s="1"/>
  <c r="GZ147" i="15"/>
  <c r="HY147" i="15" s="1"/>
  <c r="HA147" i="15"/>
  <c r="HZ147" i="15" s="1"/>
  <c r="HB147" i="15"/>
  <c r="HC147" i="15"/>
  <c r="HD147" i="15"/>
  <c r="IC147" i="15" s="1"/>
  <c r="GX148" i="15"/>
  <c r="HW148" i="15" s="1"/>
  <c r="GY148" i="15"/>
  <c r="HX148" i="15" s="1"/>
  <c r="GZ148" i="15"/>
  <c r="HY148" i="15" s="1"/>
  <c r="HA148" i="15"/>
  <c r="HZ148" i="15" s="1"/>
  <c r="HB148" i="15"/>
  <c r="HC148" i="15"/>
  <c r="HD148" i="15"/>
  <c r="IC148" i="15" s="1"/>
  <c r="GX149" i="15"/>
  <c r="HW149" i="15" s="1"/>
  <c r="GY149" i="15"/>
  <c r="HX149" i="15" s="1"/>
  <c r="GZ149" i="15"/>
  <c r="HY149" i="15" s="1"/>
  <c r="HA149" i="15"/>
  <c r="HZ149" i="15" s="1"/>
  <c r="HB149" i="15"/>
  <c r="HC149" i="15"/>
  <c r="HD149" i="15"/>
  <c r="IC149" i="15" s="1"/>
  <c r="GX150" i="15"/>
  <c r="HW150" i="15" s="1"/>
  <c r="GY150" i="15"/>
  <c r="HX150" i="15" s="1"/>
  <c r="GZ150" i="15"/>
  <c r="HY150" i="15" s="1"/>
  <c r="HA150" i="15"/>
  <c r="HZ150" i="15" s="1"/>
  <c r="HB150" i="15"/>
  <c r="HC150" i="15"/>
  <c r="HD150" i="15"/>
  <c r="IC150" i="15" s="1"/>
  <c r="GX151" i="15"/>
  <c r="HW151" i="15" s="1"/>
  <c r="GY151" i="15"/>
  <c r="HX151" i="15" s="1"/>
  <c r="GZ151" i="15"/>
  <c r="HY151" i="15" s="1"/>
  <c r="HA151" i="15"/>
  <c r="HZ151" i="15" s="1"/>
  <c r="HB151" i="15"/>
  <c r="HC151" i="15"/>
  <c r="HD151" i="15"/>
  <c r="IC151" i="15" s="1"/>
  <c r="GX152" i="15"/>
  <c r="HW152" i="15" s="1"/>
  <c r="GY152" i="15"/>
  <c r="HX152" i="15" s="1"/>
  <c r="GZ152" i="15"/>
  <c r="HY152" i="15" s="1"/>
  <c r="HA152" i="15"/>
  <c r="HZ152" i="15" s="1"/>
  <c r="HB152" i="15"/>
  <c r="HC152" i="15"/>
  <c r="HD152" i="15"/>
  <c r="IC152" i="15" s="1"/>
  <c r="GX153" i="15"/>
  <c r="HW153" i="15" s="1"/>
  <c r="GY153" i="15"/>
  <c r="HX153" i="15" s="1"/>
  <c r="GZ153" i="15"/>
  <c r="HY153" i="15" s="1"/>
  <c r="HA153" i="15"/>
  <c r="HZ153" i="15" s="1"/>
  <c r="HB153" i="15"/>
  <c r="HC153" i="15"/>
  <c r="HD153" i="15"/>
  <c r="IC153" i="15" s="1"/>
  <c r="GX154" i="15"/>
  <c r="HW154" i="15" s="1"/>
  <c r="GY154" i="15"/>
  <c r="HX154" i="15" s="1"/>
  <c r="GZ154" i="15"/>
  <c r="HY154" i="15" s="1"/>
  <c r="HA154" i="15"/>
  <c r="HZ154" i="15" s="1"/>
  <c r="HB154" i="15"/>
  <c r="HC154" i="15"/>
  <c r="HD154" i="15"/>
  <c r="IC154" i="15" s="1"/>
  <c r="GX155" i="15"/>
  <c r="HW155" i="15" s="1"/>
  <c r="GY155" i="15"/>
  <c r="HX155" i="15" s="1"/>
  <c r="GZ155" i="15"/>
  <c r="HY155" i="15" s="1"/>
  <c r="BQ155" i="1" s="1"/>
  <c r="HA155" i="15"/>
  <c r="HZ155" i="15" s="1"/>
  <c r="HB155" i="15"/>
  <c r="HC155" i="15"/>
  <c r="HD155" i="15"/>
  <c r="IC155" i="15" s="1"/>
  <c r="GX156" i="15"/>
  <c r="HW156" i="15" s="1"/>
  <c r="GY156" i="15"/>
  <c r="HX156" i="15" s="1"/>
  <c r="GZ156" i="15"/>
  <c r="HY156" i="15" s="1"/>
  <c r="BQ156" i="1" s="1"/>
  <c r="HA156" i="15"/>
  <c r="HZ156" i="15" s="1"/>
  <c r="HB156" i="15"/>
  <c r="HC156" i="15"/>
  <c r="HD156" i="15"/>
  <c r="IC156" i="15" s="1"/>
  <c r="GX157" i="15"/>
  <c r="HW157" i="15" s="1"/>
  <c r="GY157" i="15"/>
  <c r="HX157" i="15" s="1"/>
  <c r="GZ157" i="15"/>
  <c r="HY157" i="15" s="1"/>
  <c r="BQ157" i="1" s="1"/>
  <c r="HA157" i="15"/>
  <c r="HZ157" i="15" s="1"/>
  <c r="HB157" i="15"/>
  <c r="HC157" i="15"/>
  <c r="HD157" i="15"/>
  <c r="IC157" i="15" s="1"/>
  <c r="GX158" i="15"/>
  <c r="HW158" i="15" s="1"/>
  <c r="GY158" i="15"/>
  <c r="HX158" i="15" s="1"/>
  <c r="GZ158" i="15"/>
  <c r="HY158" i="15" s="1"/>
  <c r="BQ158" i="1" s="1"/>
  <c r="HA158" i="15"/>
  <c r="HZ158" i="15" s="1"/>
  <c r="HB158" i="15"/>
  <c r="HC158" i="15"/>
  <c r="HD158" i="15"/>
  <c r="IC158" i="15" s="1"/>
  <c r="GX159" i="15"/>
  <c r="HW159" i="15" s="1"/>
  <c r="GY159" i="15"/>
  <c r="HX159" i="15" s="1"/>
  <c r="GZ159" i="15"/>
  <c r="HY159" i="15" s="1"/>
  <c r="BQ159" i="1" s="1"/>
  <c r="HA159" i="15"/>
  <c r="HZ159" i="15" s="1"/>
  <c r="HB159" i="15"/>
  <c r="HC159" i="15"/>
  <c r="HD159" i="15"/>
  <c r="IC159" i="15" s="1"/>
  <c r="GX160" i="15"/>
  <c r="HW160" i="15" s="1"/>
  <c r="GY160" i="15"/>
  <c r="HX160" i="15" s="1"/>
  <c r="GZ160" i="15"/>
  <c r="HY160" i="15" s="1"/>
  <c r="HA160" i="15"/>
  <c r="HZ160" i="15" s="1"/>
  <c r="HB160" i="15"/>
  <c r="HC160" i="15"/>
  <c r="HD160" i="15"/>
  <c r="IC160" i="15" s="1"/>
  <c r="GX161" i="15"/>
  <c r="HW161" i="15" s="1"/>
  <c r="GY161" i="15"/>
  <c r="HX161" i="15" s="1"/>
  <c r="GZ161" i="15"/>
  <c r="HY161" i="15" s="1"/>
  <c r="BQ161" i="1" s="1"/>
  <c r="HA161" i="15"/>
  <c r="HB161" i="15"/>
  <c r="HC161" i="15"/>
  <c r="HD161" i="15"/>
  <c r="IC161" i="15" s="1"/>
  <c r="GX162" i="15"/>
  <c r="HW162" i="15" s="1"/>
  <c r="GY162" i="15"/>
  <c r="HX162" i="15" s="1"/>
  <c r="GZ162" i="15"/>
  <c r="HY162" i="15" s="1"/>
  <c r="HA162" i="15"/>
  <c r="HZ162" i="15" s="1"/>
  <c r="HB162" i="15"/>
  <c r="HC162" i="15"/>
  <c r="HD162" i="15"/>
  <c r="IC162" i="15" s="1"/>
  <c r="GX163" i="15"/>
  <c r="HW163" i="15" s="1"/>
  <c r="GY163" i="15"/>
  <c r="HX163" i="15" s="1"/>
  <c r="GZ163" i="15"/>
  <c r="HY163" i="15" s="1"/>
  <c r="BQ163" i="1" s="1"/>
  <c r="HA163" i="15"/>
  <c r="HZ163" i="15" s="1"/>
  <c r="HB163" i="15"/>
  <c r="HC163" i="15"/>
  <c r="HD163" i="15"/>
  <c r="IC163" i="15" s="1"/>
  <c r="GX164" i="15"/>
  <c r="HW164" i="15" s="1"/>
  <c r="GY164" i="15"/>
  <c r="HX164" i="15" s="1"/>
  <c r="GZ164" i="15"/>
  <c r="HY164" i="15" s="1"/>
  <c r="BQ164" i="1" s="1"/>
  <c r="HA164" i="15"/>
  <c r="HZ164" i="15" s="1"/>
  <c r="HB164" i="15"/>
  <c r="HC164" i="15"/>
  <c r="HD164" i="15"/>
  <c r="IC164" i="15" s="1"/>
  <c r="GX165" i="15"/>
  <c r="HW165" i="15" s="1"/>
  <c r="GY165" i="15"/>
  <c r="HX165" i="15" s="1"/>
  <c r="GZ165" i="15"/>
  <c r="HY165" i="15" s="1"/>
  <c r="BQ165" i="1" s="1"/>
  <c r="HA165" i="15"/>
  <c r="HZ165" i="15" s="1"/>
  <c r="HB165" i="15"/>
  <c r="HC165" i="15"/>
  <c r="HD165" i="15"/>
  <c r="IC165" i="15" s="1"/>
  <c r="GX166" i="15"/>
  <c r="HW166" i="15" s="1"/>
  <c r="GY166" i="15"/>
  <c r="HX166" i="15" s="1"/>
  <c r="GZ166" i="15"/>
  <c r="HY166" i="15" s="1"/>
  <c r="HA166" i="15"/>
  <c r="HZ166" i="15" s="1"/>
  <c r="HB166" i="15"/>
  <c r="HC166" i="15"/>
  <c r="HD166" i="15"/>
  <c r="IC166" i="15" s="1"/>
  <c r="HU12" i="15"/>
  <c r="IT12" i="15" s="1"/>
  <c r="HT12" i="15"/>
  <c r="IS12" i="15" s="1"/>
  <c r="HS12" i="15"/>
  <c r="IR12" i="15" s="1"/>
  <c r="HR12" i="15"/>
  <c r="HQ12" i="15"/>
  <c r="HP12" i="15"/>
  <c r="IO12" i="15" s="1"/>
  <c r="HO12" i="15"/>
  <c r="IN12" i="15" s="1"/>
  <c r="HN12" i="15"/>
  <c r="IM12" i="15" s="1"/>
  <c r="HM12" i="15"/>
  <c r="HL12" i="15"/>
  <c r="IK12" i="15" s="1"/>
  <c r="HK12" i="15"/>
  <c r="IJ12" i="15" s="1"/>
  <c r="HJ12" i="15"/>
  <c r="HI12" i="15"/>
  <c r="IH12" i="15" s="1"/>
  <c r="HH12" i="15"/>
  <c r="IG12" i="15" s="1"/>
  <c r="HG12" i="15"/>
  <c r="IF12" i="15" s="1"/>
  <c r="HF12" i="15"/>
  <c r="HE12" i="15"/>
  <c r="ID12" i="15" s="1"/>
  <c r="HD12" i="15"/>
  <c r="IC12" i="15" s="1"/>
  <c r="HC12" i="15"/>
  <c r="HB12" i="15"/>
  <c r="HA12" i="15"/>
  <c r="HZ12" i="15" s="1"/>
  <c r="GZ12" i="15"/>
  <c r="HY12" i="15" s="1"/>
  <c r="GY12" i="15"/>
  <c r="HX12" i="15" s="1"/>
  <c r="GX12" i="15"/>
  <c r="HW12" i="15" s="1"/>
  <c r="Q150" i="1"/>
  <c r="Q147" i="1"/>
  <c r="Q166" i="1"/>
  <c r="Q165" i="1"/>
  <c r="Q164" i="1"/>
  <c r="Q162" i="1"/>
  <c r="Q163" i="1"/>
  <c r="Q161" i="1"/>
  <c r="Q160" i="1"/>
  <c r="Q159" i="1"/>
  <c r="Q158" i="1"/>
  <c r="Q156" i="1"/>
  <c r="Q157" i="1"/>
  <c r="Q155" i="1"/>
  <c r="Q152" i="1"/>
  <c r="Q153" i="1"/>
  <c r="Q154" i="1"/>
  <c r="Q151" i="1"/>
  <c r="Q148" i="1"/>
  <c r="Q149" i="1"/>
  <c r="Q146" i="1"/>
  <c r="Q145" i="1"/>
  <c r="Q144" i="1"/>
  <c r="Q143" i="1"/>
  <c r="Q139" i="1"/>
  <c r="Q140" i="1"/>
  <c r="Q141" i="1"/>
  <c r="Q142" i="1"/>
  <c r="Q138" i="1"/>
  <c r="Q137" i="1"/>
  <c r="Q136" i="1"/>
  <c r="Q135" i="1"/>
  <c r="N166" i="1"/>
  <c r="A166" i="1"/>
  <c r="N165" i="1"/>
  <c r="A165" i="1"/>
  <c r="N164" i="1"/>
  <c r="A164" i="1"/>
  <c r="N163" i="1"/>
  <c r="A163" i="1"/>
  <c r="N162" i="1"/>
  <c r="A162" i="1"/>
  <c r="N161" i="1"/>
  <c r="A161" i="1"/>
  <c r="N160" i="1"/>
  <c r="A160" i="1"/>
  <c r="N159" i="1"/>
  <c r="A159" i="1"/>
  <c r="N158" i="1"/>
  <c r="A158" i="1"/>
  <c r="N157" i="1"/>
  <c r="A157" i="1"/>
  <c r="N156" i="1"/>
  <c r="A156" i="1"/>
  <c r="N155" i="1"/>
  <c r="A155" i="1"/>
  <c r="N154" i="1"/>
  <c r="A154" i="1"/>
  <c r="N153" i="1"/>
  <c r="A153" i="1"/>
  <c r="N152" i="1"/>
  <c r="A152" i="1"/>
  <c r="N151" i="1"/>
  <c r="A151" i="1"/>
  <c r="N150" i="1"/>
  <c r="A150" i="1"/>
  <c r="N149" i="1"/>
  <c r="A149" i="1"/>
  <c r="N148" i="1"/>
  <c r="A148" i="1"/>
  <c r="A147" i="1"/>
  <c r="N146" i="1"/>
  <c r="A146" i="1"/>
  <c r="N145" i="1"/>
  <c r="A145" i="1"/>
  <c r="N143" i="1"/>
  <c r="N144" i="1"/>
  <c r="A144" i="1"/>
  <c r="A143" i="1"/>
  <c r="N142" i="1"/>
  <c r="A142" i="1"/>
  <c r="N141" i="1"/>
  <c r="A141" i="1"/>
  <c r="N140" i="1"/>
  <c r="A140" i="1"/>
  <c r="N139" i="1"/>
  <c r="A139" i="1"/>
  <c r="N138" i="1"/>
  <c r="A138" i="1"/>
  <c r="N137" i="1"/>
  <c r="A137" i="1"/>
  <c r="N136" i="1"/>
  <c r="A136" i="1"/>
  <c r="N135" i="1"/>
  <c r="A135" i="1"/>
  <c r="AH39" i="23"/>
  <c r="AG39" i="23"/>
  <c r="AG35" i="23"/>
  <c r="AH35" i="23"/>
  <c r="AH36" i="23"/>
  <c r="AH37" i="23"/>
  <c r="AH38" i="23"/>
  <c r="AH40" i="23"/>
  <c r="AH41" i="23"/>
  <c r="BD90" i="23"/>
  <c r="N134" i="1"/>
  <c r="A134" i="1"/>
  <c r="N133" i="1"/>
  <c r="A133" i="1"/>
  <c r="N132" i="1"/>
  <c r="A132" i="1"/>
  <c r="N131" i="1"/>
  <c r="A131" i="1"/>
  <c r="N130" i="1"/>
  <c r="A130" i="1"/>
  <c r="N129" i="1"/>
  <c r="A129" i="1"/>
  <c r="N128" i="1"/>
  <c r="A128" i="1"/>
  <c r="N127" i="1"/>
  <c r="A127" i="1"/>
  <c r="N126" i="1"/>
  <c r="A126" i="1"/>
  <c r="N125" i="1"/>
  <c r="A125" i="1"/>
  <c r="N124" i="1"/>
  <c r="A124" i="1"/>
  <c r="N123" i="1"/>
  <c r="A123" i="1"/>
  <c r="N122" i="1"/>
  <c r="A122" i="1"/>
  <c r="N121" i="1"/>
  <c r="A121" i="1"/>
  <c r="N120" i="1"/>
  <c r="A120" i="1"/>
  <c r="N119" i="1"/>
  <c r="A119" i="1"/>
  <c r="N118" i="1"/>
  <c r="A118" i="1"/>
  <c r="N117" i="1"/>
  <c r="A117" i="1"/>
  <c r="N116" i="1"/>
  <c r="A116" i="1"/>
  <c r="N115" i="1"/>
  <c r="A115" i="1"/>
  <c r="N114" i="1"/>
  <c r="A114" i="1"/>
  <c r="N113" i="1"/>
  <c r="A113" i="1"/>
  <c r="N112" i="1"/>
  <c r="A112" i="1"/>
  <c r="N111" i="1"/>
  <c r="A111" i="1"/>
  <c r="N110" i="1"/>
  <c r="A110" i="1"/>
  <c r="N109" i="1"/>
  <c r="A109" i="1"/>
  <c r="N108" i="1"/>
  <c r="A108" i="1"/>
  <c r="N107" i="1"/>
  <c r="A107" i="1"/>
  <c r="N106" i="1"/>
  <c r="A106" i="1"/>
  <c r="N105" i="1"/>
  <c r="A105" i="1"/>
  <c r="N104" i="1"/>
  <c r="A104" i="1"/>
  <c r="N103" i="1"/>
  <c r="A103" i="1"/>
  <c r="N102" i="1"/>
  <c r="A102" i="1"/>
  <c r="N101" i="1"/>
  <c r="A101" i="1"/>
  <c r="N100" i="1"/>
  <c r="A100" i="1"/>
  <c r="N99" i="1"/>
  <c r="A99" i="1"/>
  <c r="N98" i="1"/>
  <c r="A98" i="1"/>
  <c r="N97" i="1"/>
  <c r="A97" i="1"/>
  <c r="N96" i="1"/>
  <c r="A96" i="1"/>
  <c r="N95" i="1"/>
  <c r="A95" i="1"/>
  <c r="N94" i="1"/>
  <c r="A94" i="1"/>
  <c r="N93" i="1"/>
  <c r="A93" i="1"/>
  <c r="N92" i="1"/>
  <c r="A92" i="1"/>
  <c r="N91" i="1"/>
  <c r="A91" i="1"/>
  <c r="N90" i="1"/>
  <c r="A90" i="1"/>
  <c r="N89" i="1"/>
  <c r="A89" i="1"/>
  <c r="N88" i="1"/>
  <c r="A88" i="1"/>
  <c r="N87" i="1"/>
  <c r="A87" i="1"/>
  <c r="N86" i="1"/>
  <c r="A86" i="1"/>
  <c r="N85" i="1"/>
  <c r="A85" i="1"/>
  <c r="N84" i="1"/>
  <c r="A84" i="1"/>
  <c r="N77" i="1"/>
  <c r="A77" i="1"/>
  <c r="A74" i="1"/>
  <c r="N73" i="1"/>
  <c r="A73" i="1"/>
  <c r="N72" i="1"/>
  <c r="A72" i="1"/>
  <c r="B67" i="23"/>
  <c r="C67" i="23"/>
  <c r="D67" i="23"/>
  <c r="E67" i="23"/>
  <c r="G67" i="23"/>
  <c r="H67" i="23"/>
  <c r="I67" i="23"/>
  <c r="N67" i="23" s="1"/>
  <c r="L67" i="23"/>
  <c r="J67" i="23"/>
  <c r="B68" i="23"/>
  <c r="C68" i="23"/>
  <c r="D68" i="23"/>
  <c r="E68" i="23"/>
  <c r="G68" i="23"/>
  <c r="H68" i="23"/>
  <c r="I68" i="23"/>
  <c r="J68" i="23"/>
  <c r="B69" i="23"/>
  <c r="C69" i="23"/>
  <c r="D69" i="23"/>
  <c r="E69" i="23"/>
  <c r="G69" i="23"/>
  <c r="H69" i="23"/>
  <c r="I69" i="23"/>
  <c r="J69" i="23"/>
  <c r="R67" i="23"/>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N68" i="1"/>
  <c r="A68" i="1"/>
  <c r="N67" i="1"/>
  <c r="A67" i="1"/>
  <c r="N66" i="1"/>
  <c r="A66" i="1"/>
  <c r="N71" i="1"/>
  <c r="A71" i="1"/>
  <c r="N70" i="1"/>
  <c r="A70" i="1"/>
  <c r="N69" i="1"/>
  <c r="A69" i="1"/>
  <c r="N83" i="1"/>
  <c r="A83" i="1"/>
  <c r="N82" i="1"/>
  <c r="A82" i="1"/>
  <c r="N81" i="1"/>
  <c r="A81" i="1"/>
  <c r="N80" i="1"/>
  <c r="A80" i="1"/>
  <c r="N79" i="1"/>
  <c r="A79" i="1"/>
  <c r="N78" i="1"/>
  <c r="A78" i="1"/>
  <c r="N76" i="1"/>
  <c r="A76" i="1"/>
  <c r="N75" i="1"/>
  <c r="A75" i="1"/>
  <c r="N74" i="1"/>
  <c r="N65" i="1"/>
  <c r="A65" i="1"/>
  <c r="N64" i="1"/>
  <c r="A64" i="1"/>
  <c r="N63" i="1"/>
  <c r="A63" i="1"/>
  <c r="N62" i="1"/>
  <c r="A62" i="1"/>
  <c r="N61" i="1"/>
  <c r="A61" i="1"/>
  <c r="N60" i="1"/>
  <c r="N59" i="1"/>
  <c r="N58" i="1"/>
  <c r="N57" i="1"/>
  <c r="N56" i="1"/>
  <c r="N55" i="1"/>
  <c r="N54" i="1"/>
  <c r="N53" i="1"/>
  <c r="N52" i="1"/>
  <c r="N51" i="1"/>
  <c r="N50" i="1"/>
  <c r="N49" i="1"/>
  <c r="N48" i="1"/>
  <c r="DO10" i="23"/>
  <c r="DP10" i="23"/>
  <c r="DO11" i="23"/>
  <c r="DP11" i="23"/>
  <c r="DO12" i="23"/>
  <c r="DP12" i="23"/>
  <c r="DR12" i="23"/>
  <c r="DR8" i="23"/>
  <c r="DR9" i="23"/>
  <c r="DR10" i="23"/>
  <c r="DR11" i="23"/>
  <c r="DR13" i="23"/>
  <c r="DR14" i="23"/>
  <c r="DR15" i="23"/>
  <c r="BE107" i="23"/>
  <c r="BE106" i="23"/>
  <c r="BE105" i="23"/>
  <c r="BD104" i="23"/>
  <c r="BE104" i="23"/>
  <c r="BD103" i="23"/>
  <c r="BE103" i="23"/>
  <c r="BD94" i="23"/>
  <c r="BE94" i="23"/>
  <c r="BD93" i="23"/>
  <c r="BE93" i="23"/>
  <c r="BE92" i="23"/>
  <c r="BD91" i="23"/>
  <c r="BE91" i="23"/>
  <c r="BE90" i="23"/>
  <c r="DX68" i="23"/>
  <c r="DW68" i="23"/>
  <c r="DV68" i="23"/>
  <c r="DU68" i="23"/>
  <c r="DT68" i="23"/>
  <c r="DS68" i="23"/>
  <c r="DP68" i="23"/>
  <c r="DO68" i="23"/>
  <c r="AQ68" i="23"/>
  <c r="AP68" i="23"/>
  <c r="AO68" i="23"/>
  <c r="AE68" i="23"/>
  <c r="AD68" i="23"/>
  <c r="AC68" i="23"/>
  <c r="AB68" i="23"/>
  <c r="DX67" i="23"/>
  <c r="DW67" i="23"/>
  <c r="DV67" i="23"/>
  <c r="DU67" i="23"/>
  <c r="DT67" i="23"/>
  <c r="DS67" i="23"/>
  <c r="DP67" i="23"/>
  <c r="DO67" i="23"/>
  <c r="AQ67" i="23"/>
  <c r="AP67" i="23"/>
  <c r="AO67" i="23"/>
  <c r="AE67" i="23"/>
  <c r="AD67" i="23"/>
  <c r="AC67" i="23"/>
  <c r="AB67" i="23"/>
  <c r="DX66" i="23"/>
  <c r="DW66" i="23"/>
  <c r="DV66" i="23"/>
  <c r="DU66" i="23"/>
  <c r="DT66" i="23"/>
  <c r="DS66" i="23"/>
  <c r="DP66" i="23"/>
  <c r="DO66" i="23"/>
  <c r="AQ66" i="23"/>
  <c r="AP66" i="23"/>
  <c r="AO66" i="23"/>
  <c r="DX65" i="23"/>
  <c r="DW65" i="23"/>
  <c r="DV65" i="23"/>
  <c r="DU65" i="23"/>
  <c r="DT65" i="23"/>
  <c r="DS65" i="23"/>
  <c r="DP65" i="23"/>
  <c r="DO65" i="23"/>
  <c r="AQ65" i="23"/>
  <c r="AP65" i="23"/>
  <c r="AO65" i="23"/>
  <c r="DX64" i="23"/>
  <c r="DW64" i="23"/>
  <c r="DV64" i="23"/>
  <c r="DU64" i="23"/>
  <c r="DT64" i="23"/>
  <c r="DS64" i="23"/>
  <c r="DP64" i="23"/>
  <c r="DO64" i="23"/>
  <c r="AQ64" i="23"/>
  <c r="AP64" i="23"/>
  <c r="AO64" i="23"/>
  <c r="DX63" i="23"/>
  <c r="DW63" i="23"/>
  <c r="DV63" i="23"/>
  <c r="DU63" i="23"/>
  <c r="DT63" i="23"/>
  <c r="DS63" i="23"/>
  <c r="DP63" i="23"/>
  <c r="DO63" i="23"/>
  <c r="AQ63" i="23"/>
  <c r="AP63" i="23"/>
  <c r="AO63" i="23"/>
  <c r="DX58" i="23"/>
  <c r="DW58" i="23"/>
  <c r="DV58" i="23"/>
  <c r="DU58" i="23"/>
  <c r="DT58" i="23"/>
  <c r="DS58" i="23"/>
  <c r="DR58" i="23"/>
  <c r="DP58" i="23"/>
  <c r="DO58" i="23"/>
  <c r="AQ58" i="23"/>
  <c r="AP58" i="23"/>
  <c r="AO58" i="23"/>
  <c r="AE58" i="23"/>
  <c r="AD58" i="23"/>
  <c r="AC58" i="23"/>
  <c r="AB58" i="23"/>
  <c r="DX57" i="23"/>
  <c r="DW57" i="23"/>
  <c r="DV57" i="23"/>
  <c r="DU57" i="23"/>
  <c r="DT57" i="23"/>
  <c r="DS57" i="23"/>
  <c r="DR57" i="23"/>
  <c r="DP57" i="23"/>
  <c r="DO57" i="23"/>
  <c r="AQ57" i="23"/>
  <c r="AP57" i="23"/>
  <c r="AO57" i="23"/>
  <c r="AE57" i="23"/>
  <c r="AD57" i="23"/>
  <c r="AC57" i="23"/>
  <c r="AB57" i="23"/>
  <c r="DX52" i="23"/>
  <c r="DW52" i="23"/>
  <c r="DV52" i="23"/>
  <c r="DU52" i="23"/>
  <c r="DT52" i="23"/>
  <c r="DS52" i="23"/>
  <c r="DR52" i="23"/>
  <c r="DP52" i="23"/>
  <c r="DO52" i="23"/>
  <c r="AQ52" i="23"/>
  <c r="AP52" i="23"/>
  <c r="AO52" i="23"/>
  <c r="AE52" i="23"/>
  <c r="AD52" i="23"/>
  <c r="AC52" i="23"/>
  <c r="AB52" i="23"/>
  <c r="DX51" i="23"/>
  <c r="DW51" i="23"/>
  <c r="DV51" i="23"/>
  <c r="DU51" i="23"/>
  <c r="DT51" i="23"/>
  <c r="DS51" i="23"/>
  <c r="DR51" i="23"/>
  <c r="DP51" i="23"/>
  <c r="DO51" i="23"/>
  <c r="AQ51" i="23"/>
  <c r="AP51" i="23"/>
  <c r="AO51" i="23"/>
  <c r="AE51" i="23"/>
  <c r="AD51" i="23"/>
  <c r="AC51" i="23"/>
  <c r="AB51" i="23"/>
  <c r="AL41" i="23"/>
  <c r="AK41" i="23"/>
  <c r="AJ41" i="23"/>
  <c r="AI41" i="23"/>
  <c r="AG41" i="23"/>
  <c r="AF41" i="23"/>
  <c r="AD41" i="23"/>
  <c r="AC41" i="23"/>
  <c r="AB41" i="23"/>
  <c r="AQ40" i="23"/>
  <c r="AP40" i="23"/>
  <c r="AO40" i="23"/>
  <c r="AL40" i="23"/>
  <c r="AK40" i="23"/>
  <c r="AJ40" i="23"/>
  <c r="AI40" i="23"/>
  <c r="AG40" i="23"/>
  <c r="AF40" i="23"/>
  <c r="AD40" i="23"/>
  <c r="AC40" i="23"/>
  <c r="AB40" i="23"/>
  <c r="AQ39" i="23"/>
  <c r="AP39" i="23"/>
  <c r="AO39" i="23"/>
  <c r="AL39" i="23"/>
  <c r="AK39" i="23"/>
  <c r="AD39" i="23"/>
  <c r="AC39" i="23"/>
  <c r="AB39" i="23"/>
  <c r="AQ38" i="23"/>
  <c r="AP38" i="23"/>
  <c r="AO38" i="23"/>
  <c r="AL38" i="23"/>
  <c r="AK38" i="23"/>
  <c r="AJ38" i="23"/>
  <c r="AI38" i="23"/>
  <c r="AG38" i="23"/>
  <c r="AF38" i="23"/>
  <c r="AD38" i="23"/>
  <c r="AC38" i="23"/>
  <c r="AB38" i="23"/>
  <c r="AQ37" i="23"/>
  <c r="AP37" i="23"/>
  <c r="AO37" i="23"/>
  <c r="AL37" i="23"/>
  <c r="AK37" i="23"/>
  <c r="AJ37" i="23"/>
  <c r="AI37" i="23"/>
  <c r="AG37" i="23"/>
  <c r="AF37" i="23"/>
  <c r="AD37" i="23"/>
  <c r="AC37" i="23"/>
  <c r="AB37" i="23"/>
  <c r="AL36" i="23"/>
  <c r="AK36" i="23"/>
  <c r="AJ36" i="23"/>
  <c r="AI36" i="23"/>
  <c r="AG36" i="23"/>
  <c r="AF36" i="23"/>
  <c r="AL35" i="23"/>
  <c r="AK35" i="23"/>
  <c r="AJ35" i="23"/>
  <c r="AI35" i="23"/>
  <c r="AF35" i="23"/>
  <c r="DX30" i="23"/>
  <c r="DW30" i="23"/>
  <c r="DV30" i="23"/>
  <c r="DU30" i="23"/>
  <c r="DT30" i="23"/>
  <c r="DS30" i="23"/>
  <c r="DP30" i="23"/>
  <c r="DO30" i="23"/>
  <c r="AQ30" i="23"/>
  <c r="AP30" i="23"/>
  <c r="AO30" i="23"/>
  <c r="AE30" i="23"/>
  <c r="AD30" i="23"/>
  <c r="AC30" i="23"/>
  <c r="AB30" i="23"/>
  <c r="DX29" i="23"/>
  <c r="DW29" i="23"/>
  <c r="DV29" i="23"/>
  <c r="DU29" i="23"/>
  <c r="DT29" i="23"/>
  <c r="DS29" i="23"/>
  <c r="DP29" i="23"/>
  <c r="DO29" i="23"/>
  <c r="AQ29" i="23"/>
  <c r="AP29" i="23"/>
  <c r="AO29" i="23"/>
  <c r="AE29" i="23"/>
  <c r="AD29" i="23"/>
  <c r="AC29" i="23"/>
  <c r="AB29" i="23"/>
  <c r="DX28" i="23"/>
  <c r="DW28" i="23"/>
  <c r="DV28" i="23"/>
  <c r="DU28" i="23"/>
  <c r="DT28" i="23"/>
  <c r="DS28" i="23"/>
  <c r="DP28" i="23"/>
  <c r="DO28" i="23"/>
  <c r="AQ28" i="23"/>
  <c r="AP28" i="23"/>
  <c r="AO28" i="23"/>
  <c r="AE28" i="23"/>
  <c r="AD28" i="23"/>
  <c r="AC28" i="23"/>
  <c r="AB28" i="23"/>
  <c r="DX27" i="23"/>
  <c r="DW27" i="23"/>
  <c r="DV27" i="23"/>
  <c r="DU27" i="23"/>
  <c r="DT27" i="23"/>
  <c r="DS27" i="23"/>
  <c r="DR27" i="23"/>
  <c r="DP27" i="23"/>
  <c r="DO27" i="23"/>
  <c r="AQ27" i="23"/>
  <c r="AP27" i="23"/>
  <c r="AO27" i="23"/>
  <c r="AE27" i="23"/>
  <c r="AD27" i="23"/>
  <c r="AC27" i="23"/>
  <c r="AB27" i="23"/>
  <c r="DX26" i="23"/>
  <c r="DW26" i="23"/>
  <c r="DV26" i="23"/>
  <c r="DU26" i="23"/>
  <c r="DT26" i="23"/>
  <c r="DS26" i="23"/>
  <c r="DR26" i="23"/>
  <c r="DP26" i="23"/>
  <c r="DO26" i="23"/>
  <c r="AQ26" i="23"/>
  <c r="AP26" i="23"/>
  <c r="AO26" i="23"/>
  <c r="AE26" i="23"/>
  <c r="AD26" i="23"/>
  <c r="AC26" i="23"/>
  <c r="AB26" i="23"/>
  <c r="DX25" i="23"/>
  <c r="DW25" i="23"/>
  <c r="DV25" i="23"/>
  <c r="DU25" i="23"/>
  <c r="DT25" i="23"/>
  <c r="DS25" i="23"/>
  <c r="DR25" i="23"/>
  <c r="DP25" i="23"/>
  <c r="DO25" i="23"/>
  <c r="AQ25" i="23"/>
  <c r="AP25" i="23"/>
  <c r="AO25" i="23"/>
  <c r="AE25" i="23"/>
  <c r="AD25" i="23"/>
  <c r="AC25" i="23"/>
  <c r="AB25" i="23"/>
  <c r="DX24" i="23"/>
  <c r="DW24" i="23"/>
  <c r="DV24" i="23"/>
  <c r="DU24" i="23"/>
  <c r="DT24" i="23"/>
  <c r="DS24" i="23"/>
  <c r="DP24" i="23"/>
  <c r="DO24" i="23"/>
  <c r="AQ24" i="23"/>
  <c r="AP24" i="23"/>
  <c r="AO24" i="23"/>
  <c r="DX23" i="23"/>
  <c r="DW23" i="23"/>
  <c r="DV23" i="23"/>
  <c r="DU23" i="23"/>
  <c r="DT23" i="23"/>
  <c r="DS23" i="23"/>
  <c r="DP23" i="23"/>
  <c r="DO23" i="23"/>
  <c r="AQ23" i="23"/>
  <c r="AP23" i="23"/>
  <c r="AO23" i="23"/>
  <c r="DX22" i="23"/>
  <c r="DW22" i="23"/>
  <c r="DV22" i="23"/>
  <c r="DU22" i="23"/>
  <c r="DT22" i="23"/>
  <c r="DS22" i="23"/>
  <c r="DP22" i="23"/>
  <c r="DO22" i="23"/>
  <c r="AQ22" i="23"/>
  <c r="AP22" i="23"/>
  <c r="AO22" i="23"/>
  <c r="DX15" i="23"/>
  <c r="DW15" i="23"/>
  <c r="DV15" i="23"/>
  <c r="DU15" i="23"/>
  <c r="DT15" i="23"/>
  <c r="DS15" i="23"/>
  <c r="DP15" i="23"/>
  <c r="DO15" i="23"/>
  <c r="AQ15" i="23"/>
  <c r="AP15" i="23"/>
  <c r="AO15" i="23"/>
  <c r="AE15" i="23"/>
  <c r="AD15" i="23"/>
  <c r="AC15" i="23"/>
  <c r="AB15" i="23"/>
  <c r="DX14" i="23"/>
  <c r="DW14" i="23"/>
  <c r="DV14" i="23"/>
  <c r="DU14" i="23"/>
  <c r="DT14" i="23"/>
  <c r="DS14" i="23"/>
  <c r="DP14" i="23"/>
  <c r="DO14" i="23"/>
  <c r="AQ14" i="23"/>
  <c r="AP14" i="23"/>
  <c r="AO14" i="23"/>
  <c r="AE14" i="23"/>
  <c r="AD14" i="23"/>
  <c r="AC14" i="23"/>
  <c r="AB14" i="23"/>
  <c r="DX13" i="23"/>
  <c r="DW13" i="23"/>
  <c r="DV13" i="23"/>
  <c r="DU13" i="23"/>
  <c r="DT13" i="23"/>
  <c r="DS13" i="23"/>
  <c r="DP13" i="23"/>
  <c r="DO13" i="23"/>
  <c r="AQ13" i="23"/>
  <c r="AP13" i="23"/>
  <c r="AO13" i="23"/>
  <c r="AE13" i="23"/>
  <c r="AD13" i="23"/>
  <c r="AC13" i="23"/>
  <c r="AB13" i="23"/>
  <c r="DX9" i="23"/>
  <c r="DW9" i="23"/>
  <c r="DV9" i="23"/>
  <c r="DU9" i="23"/>
  <c r="DT9" i="23"/>
  <c r="DS9" i="23"/>
  <c r="DP9" i="23"/>
  <c r="DO9" i="23"/>
  <c r="AQ9" i="23"/>
  <c r="AP9" i="23"/>
  <c r="AO9" i="23"/>
  <c r="AE9" i="23"/>
  <c r="AD9" i="23"/>
  <c r="AC9" i="23"/>
  <c r="AB9" i="23"/>
  <c r="DX8" i="23"/>
  <c r="DW8" i="23"/>
  <c r="DV8" i="23"/>
  <c r="DU8" i="23"/>
  <c r="DT8" i="23"/>
  <c r="DS8" i="23"/>
  <c r="DP8" i="23"/>
  <c r="DO8" i="23"/>
  <c r="AQ8" i="23"/>
  <c r="AP8" i="23"/>
  <c r="AO8" i="23"/>
  <c r="AE8" i="23"/>
  <c r="AD8" i="23"/>
  <c r="AC8" i="23"/>
  <c r="AB8" i="23"/>
  <c r="DX7" i="23"/>
  <c r="DW7" i="23"/>
  <c r="DV7" i="23"/>
  <c r="DU7" i="23"/>
  <c r="DT7" i="23"/>
  <c r="DS7" i="23"/>
  <c r="DR7" i="23"/>
  <c r="DP7" i="23"/>
  <c r="DO7" i="23"/>
  <c r="AQ7" i="23"/>
  <c r="AP7" i="23"/>
  <c r="AO7" i="23"/>
  <c r="AE7" i="23"/>
  <c r="AD7" i="23"/>
  <c r="AC7" i="23"/>
  <c r="AB7" i="23"/>
  <c r="N47" i="1"/>
  <c r="N46" i="1"/>
  <c r="N45" i="1"/>
  <c r="N44" i="1"/>
  <c r="N43" i="1"/>
  <c r="N42" i="1"/>
  <c r="N41" i="1"/>
  <c r="N40" i="1"/>
  <c r="N39" i="1"/>
  <c r="N38" i="1"/>
  <c r="N37" i="1"/>
  <c r="N36" i="1"/>
  <c r="N35" i="1"/>
  <c r="N34" i="1"/>
  <c r="N33" i="1"/>
  <c r="N32" i="1"/>
  <c r="N31" i="1"/>
  <c r="N29" i="1"/>
  <c r="N28" i="1"/>
  <c r="N27" i="1"/>
  <c r="N26" i="1"/>
  <c r="N25" i="1"/>
  <c r="N24" i="1"/>
  <c r="N23" i="1"/>
  <c r="N22" i="1"/>
  <c r="N21" i="1"/>
  <c r="N20" i="1"/>
  <c r="N19" i="1"/>
  <c r="N18" i="1"/>
  <c r="N17" i="1"/>
  <c r="N16" i="1"/>
  <c r="N15" i="1"/>
  <c r="N14" i="1"/>
  <c r="N13" i="1"/>
  <c r="D106" i="14"/>
  <c r="J5" i="12"/>
  <c r="K5" i="12" s="1"/>
  <c r="E18" i="12" s="1"/>
  <c r="J6" i="12"/>
  <c r="K6" i="12" s="1"/>
  <c r="J18" i="12" s="1"/>
  <c r="J21" i="12" s="1"/>
  <c r="E28" i="12" s="1"/>
  <c r="J8" i="12"/>
  <c r="K8" i="12" s="1"/>
  <c r="K11" i="12"/>
  <c r="E20" i="12" s="1"/>
  <c r="J20" i="12"/>
  <c r="J6" i="11"/>
  <c r="K6" i="11"/>
  <c r="E19" i="11" s="1"/>
  <c r="J7" i="11"/>
  <c r="K7" i="11" s="1"/>
  <c r="J19" i="11"/>
  <c r="J9" i="11"/>
  <c r="K9" i="11"/>
  <c r="J20" i="11" s="1"/>
  <c r="J12" i="11"/>
  <c r="K12" i="11"/>
  <c r="C20" i="11"/>
  <c r="E20" i="11"/>
  <c r="H20" i="11"/>
  <c r="P8" i="10"/>
  <c r="Q8" i="10"/>
  <c r="O29" i="10" s="1"/>
  <c r="V8" i="10"/>
  <c r="W8" i="10"/>
  <c r="O38" i="10" s="1"/>
  <c r="P9" i="10"/>
  <c r="Q9" i="10"/>
  <c r="O31" i="10" s="1"/>
  <c r="V9" i="10"/>
  <c r="W9" i="10"/>
  <c r="O40" i="10" s="1"/>
  <c r="P13" i="10"/>
  <c r="Q13" i="10"/>
  <c r="V13" i="10"/>
  <c r="W13" i="10"/>
  <c r="P38" i="10"/>
  <c r="P14" i="10"/>
  <c r="Q14" i="10"/>
  <c r="P31" i="10" s="1"/>
  <c r="V14" i="10"/>
  <c r="W14" i="10"/>
  <c r="P40" i="10" s="1"/>
  <c r="P24" i="10"/>
  <c r="Q24" i="10"/>
  <c r="R29" i="10" s="1"/>
  <c r="V24" i="10"/>
  <c r="W24" i="10"/>
  <c r="P29" i="10"/>
  <c r="Q29" i="10"/>
  <c r="P30" i="10"/>
  <c r="Q30" i="10"/>
  <c r="R30" i="10"/>
  <c r="Q31" i="10"/>
  <c r="R31" i="10"/>
  <c r="Q32" i="10"/>
  <c r="R32" i="10"/>
  <c r="Q37" i="10"/>
  <c r="R37" i="10"/>
  <c r="Q38" i="10"/>
  <c r="O39" i="10"/>
  <c r="Q39" i="10"/>
  <c r="Q40" i="10"/>
  <c r="K7" i="8"/>
  <c r="M7" i="8"/>
  <c r="O7" i="8"/>
  <c r="K8" i="8"/>
  <c r="L8" i="8" s="1"/>
  <c r="M8" i="8"/>
  <c r="O8" i="8"/>
  <c r="K9" i="8"/>
  <c r="M9" i="8"/>
  <c r="O9" i="8"/>
  <c r="K10" i="8"/>
  <c r="M10" i="8"/>
  <c r="O10" i="8"/>
  <c r="K20" i="8"/>
  <c r="M20" i="8"/>
  <c r="O20" i="8"/>
  <c r="K21" i="8"/>
  <c r="L21" i="8" s="1"/>
  <c r="M21" i="8"/>
  <c r="O21" i="8"/>
  <c r="K22" i="8"/>
  <c r="M22" i="8"/>
  <c r="O22" i="8"/>
  <c r="K23" i="8"/>
  <c r="M23" i="8"/>
  <c r="O23" i="8"/>
  <c r="C30" i="8"/>
  <c r="D30" i="8" s="1"/>
  <c r="C31" i="8"/>
  <c r="D31" i="8" s="1"/>
  <c r="C32" i="8"/>
  <c r="D32" i="8" s="1"/>
  <c r="C33" i="8"/>
  <c r="D33" i="8" s="1"/>
  <c r="C34" i="8"/>
  <c r="D34" i="8" s="1"/>
  <c r="C35" i="8"/>
  <c r="D35" i="8" s="1"/>
  <c r="A4" i="17"/>
  <c r="C4" i="17"/>
  <c r="ER4" i="17" s="1"/>
  <c r="D4" i="17"/>
  <c r="EQ4" i="17" s="1"/>
  <c r="ES4" i="17"/>
  <c r="FG4" i="17"/>
  <c r="FH4" i="17"/>
  <c r="FN4" i="17"/>
  <c r="FO4" i="17"/>
  <c r="A1" i="18"/>
  <c r="B1" i="18"/>
  <c r="C1" i="18"/>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AI1" i="18"/>
  <c r="AJ1" i="18"/>
  <c r="AK1" i="18"/>
  <c r="AL1" i="18"/>
  <c r="AM1" i="18"/>
  <c r="AN1" i="18"/>
  <c r="AO1" i="18"/>
  <c r="AP1" i="18"/>
  <c r="AQ1" i="18"/>
  <c r="AR1" i="18"/>
  <c r="AS1" i="18"/>
  <c r="AT1" i="18"/>
  <c r="AU1" i="18"/>
  <c r="AV1" i="18"/>
  <c r="AW1" i="18"/>
  <c r="AX1" i="18"/>
  <c r="AY1" i="18"/>
  <c r="AZ1" i="18"/>
  <c r="BA1" i="18"/>
  <c r="BB1" i="18"/>
  <c r="BC1" i="18"/>
  <c r="BD1" i="18"/>
  <c r="BE1" i="18"/>
  <c r="BF1" i="18"/>
  <c r="BG1" i="18"/>
  <c r="BH1" i="18"/>
  <c r="BI1" i="18"/>
  <c r="BJ1" i="18"/>
  <c r="BK1" i="18"/>
  <c r="BL1" i="18"/>
  <c r="BM1" i="18"/>
  <c r="BN1" i="18"/>
  <c r="BO1" i="18"/>
  <c r="BP1" i="18"/>
  <c r="BQ1" i="18"/>
  <c r="BR1" i="18"/>
  <c r="BS1" i="18"/>
  <c r="BT1" i="18"/>
  <c r="BU1" i="18"/>
  <c r="BV1" i="18"/>
  <c r="BW1" i="18"/>
  <c r="BX1" i="18"/>
  <c r="BY1" i="18"/>
  <c r="BZ1" i="18"/>
  <c r="CA1" i="18"/>
  <c r="CB1" i="18"/>
  <c r="CC1" i="18"/>
  <c r="CD1" i="18"/>
  <c r="CE1" i="18"/>
  <c r="CF1" i="18"/>
  <c r="CG1" i="18"/>
  <c r="CH1" i="18"/>
  <c r="CI1" i="18"/>
  <c r="CJ1" i="18"/>
  <c r="CK1" i="18"/>
  <c r="CL1" i="18"/>
  <c r="CM1" i="18"/>
  <c r="CN1" i="18"/>
  <c r="CO1" i="18"/>
  <c r="CP1" i="18"/>
  <c r="CQ1" i="18"/>
  <c r="CR1" i="18"/>
  <c r="CS1" i="18"/>
  <c r="CT1" i="18"/>
  <c r="CU1" i="18"/>
  <c r="CV1" i="18"/>
  <c r="CW1" i="18"/>
  <c r="CX1" i="18"/>
  <c r="CY1" i="18"/>
  <c r="CZ1" i="18"/>
  <c r="DA1" i="18"/>
  <c r="DB1" i="18"/>
  <c r="DC1" i="18"/>
  <c r="DD1" i="18"/>
  <c r="DE1" i="18"/>
  <c r="DF1" i="18"/>
  <c r="DG1" i="18"/>
  <c r="DH1" i="18"/>
  <c r="DI1" i="18"/>
  <c r="DJ1" i="18"/>
  <c r="DK1" i="18"/>
  <c r="DL1" i="18"/>
  <c r="DM1" i="18"/>
  <c r="DN1" i="18"/>
  <c r="DO1" i="18"/>
  <c r="DP1" i="18"/>
  <c r="DQ1" i="18"/>
  <c r="DR1" i="18"/>
  <c r="DS1" i="18"/>
  <c r="DT1" i="18"/>
  <c r="DU1" i="18"/>
  <c r="DV1" i="18"/>
  <c r="DW1" i="18"/>
  <c r="DX1" i="18"/>
  <c r="DY1" i="18"/>
  <c r="DZ1" i="18"/>
  <c r="EA1" i="18"/>
  <c r="EB1" i="18"/>
  <c r="EC1" i="18"/>
  <c r="ED1" i="18"/>
  <c r="EE1" i="18"/>
  <c r="EF1" i="18"/>
  <c r="EG1" i="18"/>
  <c r="EH1" i="18"/>
  <c r="EI1" i="18"/>
  <c r="EJ1" i="18"/>
  <c r="EK1" i="18"/>
  <c r="EL1" i="18"/>
  <c r="EM1" i="18"/>
  <c r="EN1" i="18"/>
  <c r="EO1" i="18"/>
  <c r="EP1" i="18"/>
  <c r="EQ1" i="18"/>
  <c r="ER1" i="18"/>
  <c r="ES1" i="18"/>
  <c r="ET1" i="18"/>
  <c r="EU1" i="18"/>
  <c r="EV1" i="18"/>
  <c r="EW1" i="18"/>
  <c r="EX1" i="18"/>
  <c r="FA1" i="18"/>
  <c r="FB1" i="18"/>
  <c r="FC1" i="18"/>
  <c r="FF1" i="18"/>
  <c r="FG1" i="18"/>
  <c r="FH1" i="18"/>
  <c r="FI1" i="18"/>
  <c r="FJ1" i="18"/>
  <c r="FK1" i="18"/>
  <c r="FL1" i="18"/>
  <c r="FM1" i="18"/>
  <c r="FN1" i="18"/>
  <c r="FO1" i="18"/>
  <c r="FP1" i="18"/>
  <c r="FQ1" i="18"/>
  <c r="FR1" i="18"/>
  <c r="FS1" i="18"/>
  <c r="FT1" i="18"/>
  <c r="FU1" i="18"/>
  <c r="FV1" i="18"/>
  <c r="FW1" i="18"/>
  <c r="FX1" i="18"/>
  <c r="FY1" i="18"/>
  <c r="FZ1" i="18"/>
  <c r="GA1" i="18"/>
  <c r="GB1" i="18"/>
  <c r="A4" i="18"/>
  <c r="C4" i="18"/>
  <c r="EQ4" i="18"/>
  <c r="EP4" i="18"/>
  <c r="AA63" i="7"/>
  <c r="AB63" i="7"/>
  <c r="AC63" i="7"/>
  <c r="AD63" i="7"/>
  <c r="AE63" i="7"/>
  <c r="AF63" i="7"/>
  <c r="AG63" i="7"/>
  <c r="T64" i="7"/>
  <c r="U64" i="7"/>
  <c r="V64" i="7"/>
  <c r="W64" i="7"/>
  <c r="X64" i="7"/>
  <c r="Y64" i="7"/>
  <c r="AA64" i="7"/>
  <c r="AB64" i="7"/>
  <c r="AC64" i="7"/>
  <c r="AD64" i="7"/>
  <c r="AE64" i="7"/>
  <c r="AF64" i="7"/>
  <c r="AG64" i="7"/>
  <c r="T65" i="7"/>
  <c r="U65" i="7"/>
  <c r="V65" i="7"/>
  <c r="W65" i="7"/>
  <c r="X65" i="7"/>
  <c r="Y65" i="7"/>
  <c r="AA65" i="7"/>
  <c r="AB65" i="7"/>
  <c r="AC65" i="7"/>
  <c r="AD65" i="7"/>
  <c r="AE65" i="7"/>
  <c r="AF65" i="7"/>
  <c r="AG65" i="7"/>
  <c r="T66" i="7"/>
  <c r="U66" i="7"/>
  <c r="V66" i="7"/>
  <c r="W66" i="7"/>
  <c r="X66" i="7"/>
  <c r="Y66" i="7"/>
  <c r="AA66" i="7"/>
  <c r="AB66" i="7"/>
  <c r="AC66" i="7"/>
  <c r="AD66" i="7"/>
  <c r="AE66" i="7"/>
  <c r="AF66" i="7"/>
  <c r="AG66" i="7"/>
  <c r="T67" i="7"/>
  <c r="U67" i="7"/>
  <c r="V67" i="7"/>
  <c r="W67" i="7"/>
  <c r="X67" i="7"/>
  <c r="Y67" i="7"/>
  <c r="AA67" i="7"/>
  <c r="AB67" i="7"/>
  <c r="AC67" i="7"/>
  <c r="AD67" i="7"/>
  <c r="AE67" i="7"/>
  <c r="AF67" i="7"/>
  <c r="AG67" i="7"/>
  <c r="AA68" i="7"/>
  <c r="AB68" i="7"/>
  <c r="AC68" i="7"/>
  <c r="AD68" i="7"/>
  <c r="AE68" i="7"/>
  <c r="AF68" i="7"/>
  <c r="AG68" i="7"/>
  <c r="AA69" i="7"/>
  <c r="AB69" i="7"/>
  <c r="AC69" i="7"/>
  <c r="AD69" i="7"/>
  <c r="AE69" i="7"/>
  <c r="AF69" i="7"/>
  <c r="AG69" i="7"/>
  <c r="AA70" i="7"/>
  <c r="AB70" i="7"/>
  <c r="AC70" i="7"/>
  <c r="AD70" i="7"/>
  <c r="AE70" i="7"/>
  <c r="AF70" i="7"/>
  <c r="AG70" i="7"/>
  <c r="T71" i="7"/>
  <c r="U71" i="7"/>
  <c r="V71" i="7"/>
  <c r="W71" i="7"/>
  <c r="X71" i="7"/>
  <c r="Y71" i="7"/>
  <c r="T72" i="7"/>
  <c r="U72" i="7"/>
  <c r="V72" i="7"/>
  <c r="W72" i="7"/>
  <c r="X72" i="7"/>
  <c r="Y72" i="7"/>
  <c r="AA72" i="7"/>
  <c r="AB72" i="7"/>
  <c r="AC72" i="7"/>
  <c r="AD72" i="7"/>
  <c r="AE72" i="7"/>
  <c r="AF72" i="7"/>
  <c r="AG72" i="7"/>
  <c r="T73" i="7"/>
  <c r="U73" i="7"/>
  <c r="V73" i="7"/>
  <c r="W73" i="7"/>
  <c r="X73" i="7"/>
  <c r="Y73" i="7"/>
  <c r="AA73" i="7"/>
  <c r="AB73" i="7"/>
  <c r="AC73" i="7"/>
  <c r="AD73" i="7"/>
  <c r="AE73" i="7"/>
  <c r="AF73" i="7"/>
  <c r="AG73" i="7"/>
  <c r="T74" i="7"/>
  <c r="U74" i="7"/>
  <c r="V74" i="7"/>
  <c r="W74" i="7"/>
  <c r="X74" i="7"/>
  <c r="Y74" i="7"/>
  <c r="AA74" i="7"/>
  <c r="AB74" i="7"/>
  <c r="AC74" i="7"/>
  <c r="AD74" i="7"/>
  <c r="AE74" i="7"/>
  <c r="AF74" i="7"/>
  <c r="AG74" i="7"/>
  <c r="T75" i="7"/>
  <c r="U75" i="7"/>
  <c r="V75" i="7"/>
  <c r="W75" i="7"/>
  <c r="X75" i="7"/>
  <c r="Y75" i="7"/>
  <c r="AA75" i="7"/>
  <c r="AB75" i="7"/>
  <c r="AC75" i="7"/>
  <c r="AD75" i="7"/>
  <c r="AE75" i="7"/>
  <c r="AF75" i="7"/>
  <c r="AG75" i="7"/>
  <c r="T76" i="7"/>
  <c r="U76" i="7"/>
  <c r="V76" i="7"/>
  <c r="W76" i="7"/>
  <c r="X76" i="7"/>
  <c r="Y76" i="7"/>
  <c r="AA76" i="7"/>
  <c r="AB76" i="7"/>
  <c r="AC76" i="7"/>
  <c r="AD76" i="7"/>
  <c r="AE76" i="7"/>
  <c r="AF76" i="7"/>
  <c r="AG76" i="7"/>
  <c r="AA77" i="7"/>
  <c r="AB77" i="7"/>
  <c r="AC77" i="7"/>
  <c r="AD77" i="7"/>
  <c r="AE77" i="7"/>
  <c r="AF77" i="7"/>
  <c r="AG77" i="7"/>
  <c r="T78" i="7"/>
  <c r="U78" i="7"/>
  <c r="V78" i="7"/>
  <c r="W78" i="7"/>
  <c r="X78" i="7"/>
  <c r="Y78" i="7"/>
  <c r="T79" i="7"/>
  <c r="U79" i="7"/>
  <c r="V79" i="7"/>
  <c r="W79" i="7"/>
  <c r="X79" i="7"/>
  <c r="Y79" i="7"/>
  <c r="AA79" i="7"/>
  <c r="AB79" i="7"/>
  <c r="AC79" i="7"/>
  <c r="AD79" i="7"/>
  <c r="AE79" i="7"/>
  <c r="AF79" i="7"/>
  <c r="AG79" i="7"/>
  <c r="T80" i="7"/>
  <c r="U80" i="7"/>
  <c r="V80" i="7"/>
  <c r="W80" i="7"/>
  <c r="X80" i="7"/>
  <c r="Y80" i="7"/>
  <c r="AA80" i="7"/>
  <c r="AB80" i="7"/>
  <c r="AC80" i="7"/>
  <c r="AD80" i="7"/>
  <c r="AE80" i="7"/>
  <c r="AF80" i="7"/>
  <c r="AG80" i="7"/>
  <c r="T81" i="7"/>
  <c r="U81" i="7"/>
  <c r="V81" i="7"/>
  <c r="W81" i="7"/>
  <c r="X81" i="7"/>
  <c r="Y81" i="7"/>
  <c r="AA81" i="7"/>
  <c r="AB81" i="7"/>
  <c r="AC81" i="7"/>
  <c r="AD81" i="7"/>
  <c r="AE81" i="7"/>
  <c r="AF81" i="7"/>
  <c r="AG81" i="7"/>
  <c r="AA144" i="7"/>
  <c r="AB144" i="7"/>
  <c r="AC144" i="7"/>
  <c r="AD144" i="7"/>
  <c r="AE144" i="7"/>
  <c r="AF144" i="7"/>
  <c r="AG144" i="7"/>
  <c r="C6" i="20"/>
  <c r="E6" i="20" s="1"/>
  <c r="J6" i="20"/>
  <c r="L6" i="20"/>
  <c r="I7" i="20"/>
  <c r="K7" i="20"/>
  <c r="M7" i="20"/>
  <c r="T7" i="20" s="1"/>
  <c r="D8" i="20"/>
  <c r="J8" i="20"/>
  <c r="L8" i="20"/>
  <c r="C9" i="20"/>
  <c r="E9" i="20" s="1"/>
  <c r="I9" i="20"/>
  <c r="K9" i="20"/>
  <c r="N9" i="20"/>
  <c r="D10" i="20"/>
  <c r="J10" i="20"/>
  <c r="C11" i="20"/>
  <c r="I11" i="20"/>
  <c r="M11" i="20"/>
  <c r="T11" i="20" s="1"/>
  <c r="C12" i="20"/>
  <c r="G12" i="20" s="1"/>
  <c r="I12" i="20"/>
  <c r="M12" i="20"/>
  <c r="T12" i="20" s="1"/>
  <c r="N12" i="20"/>
  <c r="D13" i="20"/>
  <c r="L13" i="20"/>
  <c r="C14" i="20"/>
  <c r="Q14" i="20" s="1"/>
  <c r="S14" i="20" s="1"/>
  <c r="K14" i="20"/>
  <c r="M14" i="20"/>
  <c r="T14" i="20" s="1"/>
  <c r="C22" i="20"/>
  <c r="K22" i="20"/>
  <c r="M22" i="20"/>
  <c r="T22" i="20" s="1"/>
  <c r="N22" i="20"/>
  <c r="J23" i="20"/>
  <c r="L23" i="20"/>
  <c r="I24" i="20"/>
  <c r="K24" i="20"/>
  <c r="M24" i="20"/>
  <c r="T24" i="20" s="1"/>
  <c r="D25" i="20"/>
  <c r="J25" i="20"/>
  <c r="L25" i="20"/>
  <c r="C26" i="20"/>
  <c r="I26" i="20"/>
  <c r="K26" i="20"/>
  <c r="C27" i="20"/>
  <c r="G27" i="20" s="1"/>
  <c r="I27" i="20"/>
  <c r="J27" i="20"/>
  <c r="M27" i="20"/>
  <c r="T27" i="20" s="1"/>
  <c r="N27" i="20"/>
  <c r="D28" i="20"/>
  <c r="I28" i="20"/>
  <c r="J28" i="20"/>
  <c r="L28" i="20"/>
  <c r="M28" i="20"/>
  <c r="N28" i="20"/>
  <c r="D29" i="20"/>
  <c r="I29" i="20"/>
  <c r="J29" i="20"/>
  <c r="L29" i="20"/>
  <c r="M29" i="20"/>
  <c r="T29" i="20" s="1"/>
  <c r="C30" i="20"/>
  <c r="G30" i="20" s="1"/>
  <c r="D30" i="20"/>
  <c r="I30" i="20"/>
  <c r="K30" i="20"/>
  <c r="L30" i="20"/>
  <c r="M30" i="20"/>
  <c r="T30" i="20" s="1"/>
  <c r="N30" i="20"/>
  <c r="C31" i="20"/>
  <c r="E31" i="20" s="1"/>
  <c r="D31" i="20"/>
  <c r="J31" i="20"/>
  <c r="K31" i="20"/>
  <c r="L31" i="20"/>
  <c r="N31" i="20"/>
  <c r="C32" i="20"/>
  <c r="I32" i="20"/>
  <c r="J32" i="20"/>
  <c r="K32" i="20"/>
  <c r="M32" i="20"/>
  <c r="T32" i="20" s="1"/>
  <c r="N32" i="20"/>
  <c r="D33" i="20"/>
  <c r="I33" i="20"/>
  <c r="J33" i="20"/>
  <c r="L33" i="20"/>
  <c r="M33" i="20"/>
  <c r="T33" i="20" s="1"/>
  <c r="C6" i="21"/>
  <c r="E6" i="21" s="1"/>
  <c r="D6" i="21"/>
  <c r="K6" i="21"/>
  <c r="C7" i="21"/>
  <c r="E7" i="21" s="1"/>
  <c r="I7" i="21"/>
  <c r="J7" i="21"/>
  <c r="L7" i="21"/>
  <c r="P7" i="21" s="1"/>
  <c r="H8" i="21"/>
  <c r="I8" i="21"/>
  <c r="J8" i="21"/>
  <c r="L8" i="21"/>
  <c r="P8" i="21" s="1"/>
  <c r="C9" i="21"/>
  <c r="E9" i="21" s="1"/>
  <c r="D9" i="21"/>
  <c r="I9" i="21"/>
  <c r="J9" i="21"/>
  <c r="K9" i="21"/>
  <c r="C10" i="21"/>
  <c r="M10" i="21" s="1"/>
  <c r="F10" i="21" s="1"/>
  <c r="D10" i="21"/>
  <c r="H10" i="21"/>
  <c r="J10" i="21"/>
  <c r="K10" i="21"/>
  <c r="L10" i="21"/>
  <c r="P10" i="21" s="1"/>
  <c r="C11" i="21"/>
  <c r="E11" i="21" s="1"/>
  <c r="D11" i="21"/>
  <c r="H11" i="21"/>
  <c r="J11" i="21"/>
  <c r="K11" i="21"/>
  <c r="L11" i="21"/>
  <c r="P11" i="21" s="1"/>
  <c r="D12" i="21"/>
  <c r="H12" i="21"/>
  <c r="I12" i="21"/>
  <c r="K12" i="21"/>
  <c r="L12" i="21"/>
  <c r="P12" i="21" s="1"/>
  <c r="C13" i="21"/>
  <c r="E13" i="21" s="1"/>
  <c r="D13" i="21"/>
  <c r="H13" i="21"/>
  <c r="I13" i="21"/>
  <c r="K13" i="21"/>
  <c r="L13" i="21"/>
  <c r="P13" i="21" s="1"/>
  <c r="C14" i="21"/>
  <c r="E14" i="21" s="1"/>
  <c r="D14" i="21"/>
  <c r="H14" i="21"/>
  <c r="I14" i="21"/>
  <c r="K14" i="21"/>
  <c r="L14" i="21"/>
  <c r="P14" i="21" s="1"/>
  <c r="D15" i="21"/>
  <c r="H15" i="21"/>
  <c r="I15" i="21"/>
  <c r="K15" i="21"/>
  <c r="L15" i="21"/>
  <c r="P15" i="21" s="1"/>
  <c r="D16" i="21"/>
  <c r="H16" i="21"/>
  <c r="I16" i="21"/>
  <c r="K16" i="21"/>
  <c r="L16" i="21"/>
  <c r="P16" i="21" s="1"/>
  <c r="D22" i="21"/>
  <c r="H22" i="21"/>
  <c r="I22" i="21"/>
  <c r="K22" i="21"/>
  <c r="L22" i="21"/>
  <c r="P22" i="21" s="1"/>
  <c r="D23" i="21"/>
  <c r="H23" i="21"/>
  <c r="J23" i="21"/>
  <c r="K23" i="21"/>
  <c r="L23" i="21"/>
  <c r="P23" i="21" s="1"/>
  <c r="D24" i="21"/>
  <c r="H24" i="21"/>
  <c r="I24" i="21"/>
  <c r="K24" i="21"/>
  <c r="L24" i="21"/>
  <c r="P24" i="21" s="1"/>
  <c r="D25" i="21"/>
  <c r="H25" i="21"/>
  <c r="I25" i="21"/>
  <c r="K25" i="21"/>
  <c r="L25" i="21"/>
  <c r="P25" i="21" s="1"/>
  <c r="C26" i="21"/>
  <c r="E26" i="21" s="1"/>
  <c r="H26" i="21"/>
  <c r="I26" i="21"/>
  <c r="J26" i="21"/>
  <c r="L26" i="21"/>
  <c r="C27" i="21"/>
  <c r="D27" i="21"/>
  <c r="I27" i="21"/>
  <c r="J27" i="21"/>
  <c r="K27" i="21"/>
  <c r="C28" i="21"/>
  <c r="M28" i="21" s="1"/>
  <c r="D28" i="21"/>
  <c r="H28" i="21"/>
  <c r="J28" i="21"/>
  <c r="K28" i="21"/>
  <c r="L28" i="21"/>
  <c r="P28" i="21" s="1"/>
  <c r="D29" i="21"/>
  <c r="H29" i="21"/>
  <c r="J29" i="21"/>
  <c r="K29" i="21"/>
  <c r="L29" i="21"/>
  <c r="P29" i="21" s="1"/>
  <c r="C30" i="21"/>
  <c r="E30" i="21" s="1"/>
  <c r="D30" i="21"/>
  <c r="H30" i="21"/>
  <c r="I30" i="21"/>
  <c r="J30" i="21"/>
  <c r="K30" i="21"/>
  <c r="L30" i="21"/>
  <c r="P30" i="21" s="1"/>
  <c r="C31" i="21"/>
  <c r="M31" i="21" s="1"/>
  <c r="O31" i="21" s="1"/>
  <c r="G31" i="21" s="1"/>
  <c r="D31" i="21"/>
  <c r="H31" i="21"/>
  <c r="I31" i="21"/>
  <c r="J31" i="21"/>
  <c r="K31" i="21"/>
  <c r="L31" i="21"/>
  <c r="P31" i="21" s="1"/>
  <c r="C32" i="21"/>
  <c r="E32" i="21" s="1"/>
  <c r="D32" i="21"/>
  <c r="H32" i="21"/>
  <c r="I32" i="21"/>
  <c r="J32" i="21"/>
  <c r="K32" i="21"/>
  <c r="L32" i="21"/>
  <c r="P32" i="21" s="1"/>
  <c r="C33" i="21"/>
  <c r="E33" i="21" s="1"/>
  <c r="D33" i="21"/>
  <c r="H33" i="21"/>
  <c r="I33" i="21"/>
  <c r="J33" i="21"/>
  <c r="K33" i="21"/>
  <c r="L33" i="21"/>
  <c r="P33" i="21" s="1"/>
  <c r="C34" i="21"/>
  <c r="E34" i="21" s="1"/>
  <c r="D34" i="21"/>
  <c r="H34" i="21"/>
  <c r="I34" i="21"/>
  <c r="J34" i="21"/>
  <c r="K34" i="21"/>
  <c r="L34" i="21"/>
  <c r="P34" i="21" s="1"/>
  <c r="C35" i="21"/>
  <c r="E35" i="21" s="1"/>
  <c r="D35" i="21"/>
  <c r="H35" i="21"/>
  <c r="I35" i="21"/>
  <c r="J35" i="21"/>
  <c r="K35" i="21"/>
  <c r="L35" i="21"/>
  <c r="P35" i="21" s="1"/>
  <c r="I21" i="19"/>
  <c r="I43" i="19"/>
  <c r="P31" i="6"/>
  <c r="P32" i="6"/>
  <c r="U5" i="5"/>
  <c r="AF5" i="5"/>
  <c r="E6" i="5"/>
  <c r="G7" i="3" s="1"/>
  <c r="U6" i="5"/>
  <c r="AF6" i="5"/>
  <c r="C7" i="5"/>
  <c r="H5" i="3" s="1"/>
  <c r="U7" i="5"/>
  <c r="AD7" i="5"/>
  <c r="AF7" i="5"/>
  <c r="U8" i="5"/>
  <c r="AF8" i="5"/>
  <c r="U9" i="5"/>
  <c r="AF9" i="5"/>
  <c r="E10" i="5"/>
  <c r="K7" i="3" s="1"/>
  <c r="U10" i="5"/>
  <c r="AF10" i="5"/>
  <c r="E11" i="5"/>
  <c r="L7" i="3" s="1"/>
  <c r="U11" i="5"/>
  <c r="AF11" i="5"/>
  <c r="E12" i="5"/>
  <c r="M7" i="3" s="1"/>
  <c r="U12" i="5"/>
  <c r="AF12" i="5"/>
  <c r="E13" i="5"/>
  <c r="N7" i="3" s="1"/>
  <c r="U13" i="5"/>
  <c r="AD13" i="5"/>
  <c r="AF13" i="5"/>
  <c r="E14" i="5"/>
  <c r="O7" i="3" s="1"/>
  <c r="U14" i="5"/>
  <c r="AF14" i="5"/>
  <c r="E15" i="5"/>
  <c r="U15" i="5"/>
  <c r="AF15" i="5"/>
  <c r="E16" i="5"/>
  <c r="Q7" i="3" s="1"/>
  <c r="U16" i="5"/>
  <c r="AF16" i="5"/>
  <c r="E17" i="5"/>
  <c r="R7" i="3" s="1"/>
  <c r="U17" i="5"/>
  <c r="AD17" i="5"/>
  <c r="AF17" i="5"/>
  <c r="E18" i="5"/>
  <c r="S7" i="3" s="1"/>
  <c r="U18" i="5"/>
  <c r="AF18" i="5"/>
  <c r="E19" i="5"/>
  <c r="T7" i="3" s="1"/>
  <c r="U19" i="5"/>
  <c r="AD19" i="5"/>
  <c r="AF19" i="5"/>
  <c r="E20" i="5"/>
  <c r="U7" i="3"/>
  <c r="U20" i="5"/>
  <c r="AF20" i="5"/>
  <c r="E21" i="5"/>
  <c r="U21" i="5"/>
  <c r="AF21" i="5"/>
  <c r="E22" i="5"/>
  <c r="U22" i="5"/>
  <c r="AF22" i="5"/>
  <c r="E23" i="5"/>
  <c r="X7" i="3" s="1"/>
  <c r="U23" i="5"/>
  <c r="AF23" i="5"/>
  <c r="E24" i="5"/>
  <c r="Y7" i="3" s="1"/>
  <c r="U24" i="5"/>
  <c r="AF24" i="5"/>
  <c r="E25" i="5"/>
  <c r="U25" i="5"/>
  <c r="AF25" i="5"/>
  <c r="E26" i="5"/>
  <c r="E27" i="5"/>
  <c r="E28" i="5"/>
  <c r="E29" i="5"/>
  <c r="AS6" i="4"/>
  <c r="D7" i="4"/>
  <c r="AU9" i="4"/>
  <c r="AU11" i="4"/>
  <c r="AM12" i="4"/>
  <c r="AM13" i="4"/>
  <c r="AU13" i="4"/>
  <c r="AM14" i="4"/>
  <c r="AU14" i="4"/>
  <c r="AQ20" i="4"/>
  <c r="AU20" i="4"/>
  <c r="D22" i="4"/>
  <c r="P22" i="4"/>
  <c r="AH22" i="4"/>
  <c r="AM22" i="4"/>
  <c r="AQ22" i="4"/>
  <c r="D23" i="4"/>
  <c r="AM23" i="4"/>
  <c r="AQ23" i="4"/>
  <c r="AQ24" i="4"/>
  <c r="AM25" i="4"/>
  <c r="AQ25" i="4"/>
  <c r="AM26" i="4"/>
  <c r="AQ26" i="4"/>
  <c r="D27" i="4"/>
  <c r="G27" i="4"/>
  <c r="P27" i="4"/>
  <c r="AM27" i="4"/>
  <c r="AQ27" i="4"/>
  <c r="AR27" i="4"/>
  <c r="AU27" i="4"/>
  <c r="AU28" i="4" s="1"/>
  <c r="AV27" i="4"/>
  <c r="D28" i="4"/>
  <c r="G28" i="4"/>
  <c r="P28" i="4"/>
  <c r="AM28" i="4"/>
  <c r="AQ28" i="4"/>
  <c r="R29" i="4"/>
  <c r="F5" i="3"/>
  <c r="G5" i="3"/>
  <c r="I5" i="3"/>
  <c r="J5" i="3"/>
  <c r="K5" i="3"/>
  <c r="L5" i="3"/>
  <c r="M5" i="3"/>
  <c r="N5" i="3"/>
  <c r="O5" i="3"/>
  <c r="P5" i="3"/>
  <c r="Q5" i="3"/>
  <c r="R5" i="3"/>
  <c r="S5" i="3"/>
  <c r="T5" i="3"/>
  <c r="U5" i="3"/>
  <c r="V5" i="3"/>
  <c r="V12" i="3" s="1"/>
  <c r="W5" i="3"/>
  <c r="X5" i="3"/>
  <c r="Y5" i="3"/>
  <c r="Z5" i="3"/>
  <c r="F7" i="3"/>
  <c r="H7" i="3"/>
  <c r="I7" i="3"/>
  <c r="J7" i="3"/>
  <c r="P7" i="3"/>
  <c r="V7" i="3"/>
  <c r="W7" i="3"/>
  <c r="Z7" i="3"/>
  <c r="A10" i="3"/>
  <c r="X10" i="3"/>
  <c r="A12" i="3"/>
  <c r="X12" i="3"/>
  <c r="AA2" i="2"/>
  <c r="AV2" i="2"/>
  <c r="BQ2" i="2"/>
  <c r="DG2" i="2"/>
  <c r="A10" i="2"/>
  <c r="E10" i="2"/>
  <c r="BB10" i="2" s="1"/>
  <c r="S10" i="2"/>
  <c r="W10" i="2"/>
  <c r="Y10" i="2"/>
  <c r="S10" i="3" s="1"/>
  <c r="AC10" i="2"/>
  <c r="AE10" i="2"/>
  <c r="AN10" i="2"/>
  <c r="AR10" i="2"/>
  <c r="AT10" i="2"/>
  <c r="AX10" i="2"/>
  <c r="AZ10" i="2"/>
  <c r="BI10" i="2"/>
  <c r="BM10" i="2"/>
  <c r="BO10" i="2"/>
  <c r="BS10" i="2"/>
  <c r="BU10" i="2"/>
  <c r="CD10" i="2"/>
  <c r="CH10" i="2"/>
  <c r="CJ10" i="2"/>
  <c r="CN10" i="2"/>
  <c r="CP10" i="2"/>
  <c r="CY10" i="2"/>
  <c r="DC10" i="2"/>
  <c r="DE10" i="2"/>
  <c r="DI10" i="2"/>
  <c r="DK10" i="2"/>
  <c r="A12" i="2"/>
  <c r="G12" i="2"/>
  <c r="Q12" i="2" s="1"/>
  <c r="AF12" i="3" s="1"/>
  <c r="C12" i="2"/>
  <c r="E12" i="2"/>
  <c r="L12" i="2" s="1"/>
  <c r="I12" i="2"/>
  <c r="S12" i="2"/>
  <c r="W12" i="2"/>
  <c r="Y12" i="2"/>
  <c r="AA12" i="2"/>
  <c r="AC12" i="2"/>
  <c r="AE12" i="2"/>
  <c r="AN12" i="2"/>
  <c r="AR12" i="2"/>
  <c r="AT12" i="2"/>
  <c r="AX12" i="2"/>
  <c r="AZ12" i="2"/>
  <c r="BI12" i="2"/>
  <c r="BM12" i="2"/>
  <c r="BO12" i="2"/>
  <c r="BQ12" i="2"/>
  <c r="BS12" i="2"/>
  <c r="BU12" i="2"/>
  <c r="BY12" i="2"/>
  <c r="CD12" i="2"/>
  <c r="CH12" i="2"/>
  <c r="CJ12" i="2"/>
  <c r="CM12" i="2"/>
  <c r="CN12" i="2"/>
  <c r="CP12" i="2"/>
  <c r="CY12" i="2"/>
  <c r="DC12" i="2"/>
  <c r="DE12" i="2"/>
  <c r="DI12" i="2"/>
  <c r="DK12" i="2"/>
  <c r="DM12" i="2"/>
  <c r="A2" i="15"/>
  <c r="B2" i="15"/>
  <c r="C2" i="15"/>
  <c r="D2" i="15"/>
  <c r="E2" i="15"/>
  <c r="F2" i="15"/>
  <c r="G2" i="15"/>
  <c r="H2" i="15"/>
  <c r="I2" i="15"/>
  <c r="J2" i="15"/>
  <c r="K2" i="15"/>
  <c r="L2" i="15"/>
  <c r="M2" i="15"/>
  <c r="N2" i="15"/>
  <c r="O2" i="15"/>
  <c r="P2" i="15"/>
  <c r="Q2" i="15"/>
  <c r="R2" i="15"/>
  <c r="S2" i="15"/>
  <c r="T2" i="15"/>
  <c r="U2" i="15"/>
  <c r="V2" i="15"/>
  <c r="W2" i="15"/>
  <c r="X2" i="15"/>
  <c r="Y2" i="15"/>
  <c r="Z2" i="15"/>
  <c r="AA2" i="15"/>
  <c r="AB2" i="15"/>
  <c r="AC2" i="15"/>
  <c r="AD2" i="15"/>
  <c r="AE2" i="15"/>
  <c r="AF2" i="15"/>
  <c r="AG2" i="15"/>
  <c r="AH2" i="15"/>
  <c r="AI2" i="15"/>
  <c r="AJ2" i="15"/>
  <c r="AK2" i="15"/>
  <c r="AL2" i="15"/>
  <c r="AM2" i="15"/>
  <c r="AN2" i="15"/>
  <c r="AO2" i="15"/>
  <c r="AP2" i="15"/>
  <c r="AQ2" i="15"/>
  <c r="AR2" i="15"/>
  <c r="AS2" i="15"/>
  <c r="AT2" i="15"/>
  <c r="AU2" i="15"/>
  <c r="AV2" i="15"/>
  <c r="AW2" i="15"/>
  <c r="AX2" i="15"/>
  <c r="AY2" i="15"/>
  <c r="AZ2" i="15"/>
  <c r="BA2" i="15"/>
  <c r="BB2" i="15"/>
  <c r="BC2" i="15"/>
  <c r="BD2" i="15"/>
  <c r="BE2" i="15"/>
  <c r="BF2" i="15"/>
  <c r="BG2" i="15"/>
  <c r="BH2" i="15"/>
  <c r="BI2" i="15"/>
  <c r="BJ2" i="15"/>
  <c r="BK2" i="15"/>
  <c r="BL2" i="15"/>
  <c r="BM2" i="15"/>
  <c r="BN2" i="15"/>
  <c r="BO2" i="15"/>
  <c r="BP2" i="15"/>
  <c r="BQ2" i="15"/>
  <c r="BR2" i="15"/>
  <c r="BS2" i="15"/>
  <c r="BT2" i="15"/>
  <c r="BU2" i="15"/>
  <c r="BV2" i="15"/>
  <c r="BW2" i="15"/>
  <c r="BX2" i="15"/>
  <c r="BY2" i="15"/>
  <c r="BZ2" i="15"/>
  <c r="CA2" i="15"/>
  <c r="CB2" i="15"/>
  <c r="CC2" i="15"/>
  <c r="CD2" i="15"/>
  <c r="CE2" i="15"/>
  <c r="CF2" i="15"/>
  <c r="CG2" i="15"/>
  <c r="CH2" i="15"/>
  <c r="CI2" i="15"/>
  <c r="CJ2" i="15"/>
  <c r="CK2" i="15"/>
  <c r="CL2" i="15"/>
  <c r="CM2" i="15"/>
  <c r="CN2" i="15"/>
  <c r="CO2" i="15"/>
  <c r="CP2" i="15"/>
  <c r="CQ2" i="15"/>
  <c r="CR2" i="15"/>
  <c r="CS2" i="15"/>
  <c r="CT2" i="15"/>
  <c r="CU2" i="15"/>
  <c r="CV2" i="15"/>
  <c r="CW2" i="15"/>
  <c r="CX2" i="15"/>
  <c r="CY2" i="15"/>
  <c r="CZ2" i="15"/>
  <c r="DA2" i="15"/>
  <c r="DB2" i="15"/>
  <c r="DC2" i="15"/>
  <c r="DD2" i="15"/>
  <c r="DE2" i="15"/>
  <c r="DF2" i="15"/>
  <c r="DG2" i="15"/>
  <c r="DH2" i="15"/>
  <c r="DI2" i="15"/>
  <c r="DJ2" i="15"/>
  <c r="DK2" i="15"/>
  <c r="DL2" i="15"/>
  <c r="DM2" i="15"/>
  <c r="DN2" i="15"/>
  <c r="DO2" i="15"/>
  <c r="DP2" i="15"/>
  <c r="DQ2" i="15"/>
  <c r="DR2" i="15"/>
  <c r="DS2" i="15"/>
  <c r="DT2" i="15"/>
  <c r="DU2" i="15"/>
  <c r="DV2" i="15"/>
  <c r="DW2" i="15"/>
  <c r="DX2" i="15"/>
  <c r="DY2" i="15"/>
  <c r="DZ2" i="15"/>
  <c r="EA2" i="15"/>
  <c r="EB2" i="15"/>
  <c r="EC2" i="15"/>
  <c r="ED2" i="15"/>
  <c r="EE2" i="15"/>
  <c r="EF2" i="15"/>
  <c r="EG2" i="15"/>
  <c r="EH2" i="15"/>
  <c r="EI2" i="15"/>
  <c r="EJ2" i="15"/>
  <c r="EK2" i="15"/>
  <c r="EL2" i="15"/>
  <c r="EM2" i="15"/>
  <c r="EN2" i="15"/>
  <c r="EO2" i="15"/>
  <c r="EP2" i="15"/>
  <c r="EQ2" i="15"/>
  <c r="ER2" i="15"/>
  <c r="ES2" i="15"/>
  <c r="ET2" i="15"/>
  <c r="EU2" i="15"/>
  <c r="EV2" i="15"/>
  <c r="EW2" i="15"/>
  <c r="EX2" i="15"/>
  <c r="EY2" i="15"/>
  <c r="EZ2" i="15"/>
  <c r="FA2" i="15"/>
  <c r="FB2" i="15"/>
  <c r="FC2" i="15"/>
  <c r="FD2" i="15"/>
  <c r="FE2" i="15"/>
  <c r="FF2" i="15"/>
  <c r="FG2" i="15"/>
  <c r="FH2" i="15"/>
  <c r="FI2" i="15"/>
  <c r="FJ2" i="15"/>
  <c r="FK2" i="15"/>
  <c r="FL2" i="15"/>
  <c r="FM2" i="15"/>
  <c r="FN2" i="15"/>
  <c r="FO2" i="15"/>
  <c r="FP2" i="15"/>
  <c r="FQ2" i="15"/>
  <c r="FR2" i="15"/>
  <c r="FS2" i="15"/>
  <c r="FT2" i="15"/>
  <c r="FU2" i="15"/>
  <c r="FV2" i="15"/>
  <c r="FW2" i="15"/>
  <c r="FX2" i="15"/>
  <c r="FY2" i="15"/>
  <c r="FZ2" i="15"/>
  <c r="GA2" i="15"/>
  <c r="GB2" i="15"/>
  <c r="GC2" i="15"/>
  <c r="GD2" i="15"/>
  <c r="GE2" i="15"/>
  <c r="GF2" i="15"/>
  <c r="GG2" i="15"/>
  <c r="GH2" i="15"/>
  <c r="GI2" i="15"/>
  <c r="GJ2" i="15"/>
  <c r="GK2" i="15"/>
  <c r="GL2" i="15"/>
  <c r="GM2" i="15"/>
  <c r="GN2" i="15"/>
  <c r="GO2" i="15"/>
  <c r="GP2" i="15"/>
  <c r="GQ2" i="15"/>
  <c r="GR2" i="15"/>
  <c r="GS2" i="15"/>
  <c r="GT2" i="15"/>
  <c r="A2" i="1"/>
  <c r="S2" i="1"/>
  <c r="T2" i="1"/>
  <c r="U2" i="1"/>
  <c r="V2" i="1"/>
  <c r="W2" i="1"/>
  <c r="X2" i="1"/>
  <c r="Y2" i="1"/>
  <c r="Z2" i="1"/>
  <c r="B5" i="1"/>
  <c r="B7" i="1" s="1"/>
  <c r="CB6" i="1"/>
  <c r="CC6" i="1"/>
  <c r="CD6" i="1"/>
  <c r="CE6" i="1"/>
  <c r="CF6" i="1"/>
  <c r="A7" i="1"/>
  <c r="AN7" i="1"/>
  <c r="BG7" i="1"/>
  <c r="AO7" i="1"/>
  <c r="AQ7" i="1"/>
  <c r="AR7" i="1"/>
  <c r="AT7" i="1"/>
  <c r="AU7" i="1"/>
  <c r="AV7" i="1"/>
  <c r="AW7" i="1"/>
  <c r="AX7" i="1"/>
  <c r="AY7" i="1"/>
  <c r="AZ7" i="1"/>
  <c r="BA7" i="1"/>
  <c r="BB7" i="1"/>
  <c r="BD7" i="1"/>
  <c r="BE7" i="1"/>
  <c r="BF7" i="1"/>
  <c r="BH7" i="1"/>
  <c r="BI7" i="1"/>
  <c r="O40" i="6"/>
  <c r="O43" i="6"/>
  <c r="M10" i="3"/>
  <c r="BH12" i="3"/>
  <c r="N8" i="7"/>
  <c r="F8" i="7" s="1"/>
  <c r="H15" i="7"/>
  <c r="M23" i="7"/>
  <c r="M30" i="7"/>
  <c r="M14" i="7"/>
  <c r="K23" i="7"/>
  <c r="M32" i="7"/>
  <c r="M40" i="7"/>
  <c r="M56" i="7"/>
  <c r="M11" i="7"/>
  <c r="H27" i="7"/>
  <c r="K17" i="7"/>
  <c r="D27" i="7"/>
  <c r="J27" i="7" s="1"/>
  <c r="K40" i="7"/>
  <c r="M15" i="7"/>
  <c r="K21" i="7"/>
  <c r="H26" i="7"/>
  <c r="L28" i="7"/>
  <c r="Q30" i="7"/>
  <c r="P30" i="7" s="1"/>
  <c r="I30" i="7" s="1"/>
  <c r="H32" i="7"/>
  <c r="N33" i="7"/>
  <c r="H36" i="7"/>
  <c r="Q38" i="7"/>
  <c r="P38" i="7" s="1"/>
  <c r="I38" i="7" s="1"/>
  <c r="H40" i="7"/>
  <c r="D42" i="7"/>
  <c r="J42" i="7" s="1"/>
  <c r="Q44" i="7"/>
  <c r="P44" i="7" s="1"/>
  <c r="I44" i="7" s="1"/>
  <c r="L46" i="7"/>
  <c r="H48" i="7"/>
  <c r="D50" i="7"/>
  <c r="J50" i="7" s="1"/>
  <c r="N51" i="7"/>
  <c r="Q52" i="7"/>
  <c r="P52" i="7" s="1"/>
  <c r="I52" i="7" s="1"/>
  <c r="L54" i="7"/>
  <c r="H56" i="7"/>
  <c r="M64" i="7"/>
  <c r="Q45" i="7"/>
  <c r="P45" i="7" s="1"/>
  <c r="I45" i="7" s="1"/>
  <c r="N52" i="7"/>
  <c r="L55" i="7"/>
  <c r="K64" i="7"/>
  <c r="R69" i="7"/>
  <c r="Q70" i="7"/>
  <c r="P70" i="7"/>
  <c r="I70" i="7" s="1"/>
  <c r="K72" i="7"/>
  <c r="Q73" i="7"/>
  <c r="P73" i="7" s="1"/>
  <c r="I73" i="7" s="1"/>
  <c r="G76" i="7"/>
  <c r="L77" i="7"/>
  <c r="G79" i="7"/>
  <c r="D90" i="7"/>
  <c r="J90" i="7" s="1"/>
  <c r="N91" i="7"/>
  <c r="L94" i="7"/>
  <c r="D98" i="7"/>
  <c r="J98" i="7" s="1"/>
  <c r="N99" i="7"/>
  <c r="E99" i="7" s="1"/>
  <c r="Q100" i="7"/>
  <c r="P100" i="7" s="1"/>
  <c r="I100" i="7" s="1"/>
  <c r="H104" i="7"/>
  <c r="D106" i="7"/>
  <c r="J106" i="7" s="1"/>
  <c r="Q108" i="7"/>
  <c r="P108" i="7" s="1"/>
  <c r="I108" i="7" s="1"/>
  <c r="L116" i="7"/>
  <c r="H118" i="7"/>
  <c r="G44" i="7"/>
  <c r="G52" i="7"/>
  <c r="G56" i="7"/>
  <c r="D65" i="7"/>
  <c r="N67" i="7"/>
  <c r="F67" i="7" s="1"/>
  <c r="N69" i="7"/>
  <c r="E69" i="7" s="1"/>
  <c r="R70" i="7"/>
  <c r="H71" i="7"/>
  <c r="Q71" i="7"/>
  <c r="P71" i="7" s="1"/>
  <c r="I71" i="7" s="1"/>
  <c r="H72" i="7"/>
  <c r="Q72" i="7"/>
  <c r="P72" i="7" s="1"/>
  <c r="I72" i="7"/>
  <c r="R73" i="7"/>
  <c r="G75" i="7"/>
  <c r="L76" i="7"/>
  <c r="Q76" i="7"/>
  <c r="P76" i="7" s="1"/>
  <c r="I76" i="7" s="1"/>
  <c r="M77" i="7"/>
  <c r="R77" i="7"/>
  <c r="H78" i="7"/>
  <c r="L78" i="7"/>
  <c r="D79" i="7"/>
  <c r="J79" i="7" s="1"/>
  <c r="H79" i="7"/>
  <c r="L79" i="7"/>
  <c r="Q79" i="7"/>
  <c r="P79" i="7" s="1"/>
  <c r="I79" i="7" s="1"/>
  <c r="G87" i="7"/>
  <c r="K87" i="7"/>
  <c r="H43" i="7"/>
  <c r="Q43" i="7"/>
  <c r="P43" i="7" s="1"/>
  <c r="I43" i="7" s="1"/>
  <c r="D45" i="7"/>
  <c r="J45" i="7" s="1"/>
  <c r="L45" i="7"/>
  <c r="H47" i="7"/>
  <c r="Q47" i="7"/>
  <c r="P47" i="7" s="1"/>
  <c r="I47" i="7" s="1"/>
  <c r="D49" i="7"/>
  <c r="J49" i="7" s="1"/>
  <c r="N50" i="7"/>
  <c r="H51" i="7"/>
  <c r="Q51" i="7"/>
  <c r="P51" i="7" s="1"/>
  <c r="I51" i="7" s="1"/>
  <c r="D53" i="7"/>
  <c r="J53" i="7" s="1"/>
  <c r="N54" i="7"/>
  <c r="H55" i="7"/>
  <c r="Q55" i="7"/>
  <c r="P55" i="7" s="1"/>
  <c r="I55" i="7" s="1"/>
  <c r="D63" i="7"/>
  <c r="J63" i="7" s="1"/>
  <c r="G64" i="7"/>
  <c r="M65" i="7"/>
  <c r="M66" i="7"/>
  <c r="K68" i="7"/>
  <c r="Q68" i="7"/>
  <c r="P68" i="7" s="1"/>
  <c r="I68" i="7" s="1"/>
  <c r="G69" i="7"/>
  <c r="K69" i="7"/>
  <c r="M71" i="7"/>
  <c r="R71" i="7"/>
  <c r="R72" i="7"/>
  <c r="N73" i="7"/>
  <c r="F73" i="7" s="1"/>
  <c r="K74" i="7"/>
  <c r="D75" i="7"/>
  <c r="J75" i="7" s="1"/>
  <c r="L75" i="7"/>
  <c r="Q75" i="7"/>
  <c r="P75" i="7" s="1"/>
  <c r="I75" i="7" s="1"/>
  <c r="M76" i="7"/>
  <c r="R76" i="7"/>
  <c r="N77" i="7"/>
  <c r="E77" i="7" s="1"/>
  <c r="M78" i="7"/>
  <c r="R78" i="7"/>
  <c r="M79" i="7"/>
  <c r="D87" i="7"/>
  <c r="J87" i="7" s="1"/>
  <c r="H87" i="7"/>
  <c r="Q87" i="7"/>
  <c r="P87" i="7" s="1"/>
  <c r="I87" i="7" s="1"/>
  <c r="D89" i="7"/>
  <c r="J89" i="7" s="1"/>
  <c r="K42" i="7"/>
  <c r="K44" i="7"/>
  <c r="M45" i="7"/>
  <c r="G46" i="7"/>
  <c r="K48" i="7"/>
  <c r="M49" i="7"/>
  <c r="G50" i="7"/>
  <c r="K52" i="7"/>
  <c r="M53" i="7"/>
  <c r="G54" i="7"/>
  <c r="K56" i="7"/>
  <c r="M63" i="7"/>
  <c r="H64" i="7"/>
  <c r="H65" i="7"/>
  <c r="N66" i="7"/>
  <c r="E66" i="7" s="1"/>
  <c r="K67" i="7"/>
  <c r="Q67" i="7"/>
  <c r="P67" i="7" s="1"/>
  <c r="I67" i="7" s="1"/>
  <c r="G68" i="7"/>
  <c r="L68" i="7"/>
  <c r="R68" i="7"/>
  <c r="H69" i="7"/>
  <c r="L69" i="7"/>
  <c r="G70" i="7"/>
  <c r="N71" i="7"/>
  <c r="F71" i="7" s="1"/>
  <c r="N72" i="7"/>
  <c r="K73" i="7"/>
  <c r="D74" i="7"/>
  <c r="J74" i="7" s="1"/>
  <c r="L74" i="7"/>
  <c r="Q74" i="7"/>
  <c r="P74" i="7" s="1"/>
  <c r="I74" i="7" s="1"/>
  <c r="M75" i="7"/>
  <c r="R75" i="7"/>
  <c r="N76" i="7"/>
  <c r="K77" i="7"/>
  <c r="N78" i="7"/>
  <c r="E78" i="7" s="1"/>
  <c r="M87" i="7"/>
  <c r="R87" i="7"/>
  <c r="G88" i="7"/>
  <c r="M89" i="7"/>
  <c r="R89" i="7"/>
  <c r="G90" i="7"/>
  <c r="M91" i="7"/>
  <c r="R91" i="7"/>
  <c r="G92" i="7"/>
  <c r="M93" i="7"/>
  <c r="R93" i="7"/>
  <c r="G94" i="7"/>
  <c r="M95" i="7"/>
  <c r="R95" i="7"/>
  <c r="G96" i="7"/>
  <c r="M97" i="7"/>
  <c r="R97" i="7"/>
  <c r="G98" i="7"/>
  <c r="M99" i="7"/>
  <c r="R99" i="7"/>
  <c r="G100" i="7"/>
  <c r="M101" i="7"/>
  <c r="R101" i="7"/>
  <c r="G102" i="7"/>
  <c r="M103" i="7"/>
  <c r="R103" i="7"/>
  <c r="G104" i="7"/>
  <c r="M105" i="7"/>
  <c r="R105" i="7"/>
  <c r="G106" i="7"/>
  <c r="M107" i="7"/>
  <c r="R107" i="7"/>
  <c r="G108" i="7"/>
  <c r="M115" i="7"/>
  <c r="R115" i="7"/>
  <c r="G116" i="7"/>
  <c r="M117" i="7"/>
  <c r="R117" i="7"/>
  <c r="G118" i="7"/>
  <c r="K118" i="7"/>
  <c r="H89" i="7"/>
  <c r="Q89" i="7"/>
  <c r="P89" i="7" s="1"/>
  <c r="I89" i="7" s="1"/>
  <c r="D91" i="7"/>
  <c r="J91" i="7" s="1"/>
  <c r="L91" i="7"/>
  <c r="N92" i="7"/>
  <c r="F92" i="7" s="1"/>
  <c r="H93" i="7"/>
  <c r="Q93" i="7"/>
  <c r="P93" i="7" s="1"/>
  <c r="I93" i="7" s="1"/>
  <c r="D95" i="7"/>
  <c r="J95" i="7" s="1"/>
  <c r="L95" i="7"/>
  <c r="N96" i="7"/>
  <c r="F96" i="7" s="1"/>
  <c r="H97" i="7"/>
  <c r="Q97" i="7"/>
  <c r="P97" i="7" s="1"/>
  <c r="I97" i="7" s="1"/>
  <c r="D99" i="7"/>
  <c r="J99" i="7" s="1"/>
  <c r="L99" i="7"/>
  <c r="N100" i="7"/>
  <c r="H101" i="7"/>
  <c r="Q101" i="7"/>
  <c r="P101" i="7" s="1"/>
  <c r="I101" i="7" s="1"/>
  <c r="D103" i="7"/>
  <c r="J103" i="7" s="1"/>
  <c r="L103" i="7"/>
  <c r="N104" i="7"/>
  <c r="H105" i="7"/>
  <c r="Q105" i="7"/>
  <c r="P105" i="7" s="1"/>
  <c r="I105" i="7" s="1"/>
  <c r="D107" i="7"/>
  <c r="J107" i="7" s="1"/>
  <c r="L107" i="7"/>
  <c r="N108" i="7"/>
  <c r="F108" i="7" s="1"/>
  <c r="H115" i="7"/>
  <c r="Q115" i="7"/>
  <c r="P115" i="7"/>
  <c r="I115" i="7" s="1"/>
  <c r="D117" i="7"/>
  <c r="J117" i="7" s="1"/>
  <c r="L117" i="7"/>
  <c r="N118" i="7"/>
  <c r="E118" i="7" s="1"/>
  <c r="G119" i="7"/>
  <c r="L119" i="7"/>
  <c r="Q119" i="7"/>
  <c r="P119" i="7" s="1"/>
  <c r="I119" i="7" s="1"/>
  <c r="N120" i="7"/>
  <c r="F120" i="7" s="1"/>
  <c r="D128" i="7"/>
  <c r="J128" i="7" s="1"/>
  <c r="H128" i="7"/>
  <c r="L128" i="7"/>
  <c r="Q128" i="7"/>
  <c r="P128" i="7" s="1"/>
  <c r="I128" i="7" s="1"/>
  <c r="N129" i="7"/>
  <c r="F129" i="7" s="1"/>
  <c r="D130" i="7"/>
  <c r="J130" i="7" s="1"/>
  <c r="H130" i="7"/>
  <c r="L130" i="7"/>
  <c r="Q130" i="7"/>
  <c r="P130" i="7" s="1"/>
  <c r="I130" i="7" s="1"/>
  <c r="N131" i="7"/>
  <c r="D132" i="7"/>
  <c r="J132" i="7" s="1"/>
  <c r="H132" i="7"/>
  <c r="L132" i="7"/>
  <c r="Q132" i="7"/>
  <c r="P132" i="7" s="1"/>
  <c r="I132" i="7" s="1"/>
  <c r="N133" i="7"/>
  <c r="F133" i="7" s="1"/>
  <c r="D134" i="7"/>
  <c r="J134" i="7" s="1"/>
  <c r="H134" i="7"/>
  <c r="L134" i="7"/>
  <c r="Q134" i="7"/>
  <c r="P134" i="7" s="1"/>
  <c r="I134" i="7" s="1"/>
  <c r="N135" i="7"/>
  <c r="E135" i="7" s="1"/>
  <c r="D136" i="7"/>
  <c r="J136" i="7" s="1"/>
  <c r="H136" i="7"/>
  <c r="L136" i="7"/>
  <c r="Q136" i="7"/>
  <c r="P136" i="7" s="1"/>
  <c r="I136" i="7" s="1"/>
  <c r="N137" i="7"/>
  <c r="D138" i="7"/>
  <c r="J138" i="7" s="1"/>
  <c r="H138" i="7"/>
  <c r="L138" i="7"/>
  <c r="Q138" i="7"/>
  <c r="P138" i="7" s="1"/>
  <c r="I138" i="7" s="1"/>
  <c r="N139" i="7"/>
  <c r="D140" i="7"/>
  <c r="J140" i="7" s="1"/>
  <c r="H140" i="7"/>
  <c r="L140" i="7"/>
  <c r="Q140" i="7"/>
  <c r="P140" i="7" s="1"/>
  <c r="I140" i="7" s="1"/>
  <c r="N141" i="7"/>
  <c r="F141" i="7" s="1"/>
  <c r="D142" i="7"/>
  <c r="J142" i="7" s="1"/>
  <c r="H142" i="7"/>
  <c r="L142" i="7"/>
  <c r="Q142" i="7"/>
  <c r="P142" i="7" s="1"/>
  <c r="I142" i="7" s="1"/>
  <c r="N143" i="7"/>
  <c r="F143" i="7" s="1"/>
  <c r="K89" i="7"/>
  <c r="M90" i="7"/>
  <c r="G91" i="7"/>
  <c r="R92" i="7"/>
  <c r="K93" i="7"/>
  <c r="M94" i="7"/>
  <c r="G95" i="7"/>
  <c r="R96" i="7"/>
  <c r="K97" i="7"/>
  <c r="M98" i="7"/>
  <c r="G99" i="7"/>
  <c r="R100" i="7"/>
  <c r="K101" i="7"/>
  <c r="M102" i="7"/>
  <c r="G103" i="7"/>
  <c r="R104" i="7"/>
  <c r="K105" i="7"/>
  <c r="M106" i="7"/>
  <c r="G107" i="7"/>
  <c r="R108" i="7"/>
  <c r="K115" i="7"/>
  <c r="M116" i="7"/>
  <c r="G117" i="7"/>
  <c r="R118" i="7"/>
  <c r="H119" i="7"/>
  <c r="M119" i="7"/>
  <c r="R119" i="7"/>
  <c r="G120" i="7"/>
  <c r="K120" i="7"/>
  <c r="M128" i="7"/>
  <c r="R128" i="7"/>
  <c r="G129" i="7"/>
  <c r="K129" i="7"/>
  <c r="M130" i="7"/>
  <c r="R130" i="7"/>
  <c r="G131" i="7"/>
  <c r="K131" i="7"/>
  <c r="M132" i="7"/>
  <c r="R132" i="7"/>
  <c r="G133" i="7"/>
  <c r="K133" i="7"/>
  <c r="M134" i="7"/>
  <c r="R134" i="7"/>
  <c r="G135" i="7"/>
  <c r="K135" i="7"/>
  <c r="M136" i="7"/>
  <c r="R136" i="7"/>
  <c r="G137" i="7"/>
  <c r="K137" i="7"/>
  <c r="M138" i="7"/>
  <c r="R138" i="7"/>
  <c r="G139" i="7"/>
  <c r="K139" i="7"/>
  <c r="M140" i="7"/>
  <c r="R140" i="7"/>
  <c r="G141" i="7"/>
  <c r="K141" i="7"/>
  <c r="M142" i="7"/>
  <c r="R142" i="7"/>
  <c r="G143" i="7"/>
  <c r="K143" i="7"/>
  <c r="R88" i="7"/>
  <c r="L89" i="7"/>
  <c r="N90" i="7"/>
  <c r="E90" i="7" s="1"/>
  <c r="H91" i="7"/>
  <c r="Q91" i="7"/>
  <c r="P91" i="7" s="1"/>
  <c r="I91" i="7" s="1"/>
  <c r="D93" i="7"/>
  <c r="J93" i="7" s="1"/>
  <c r="L93" i="7"/>
  <c r="N94" i="7"/>
  <c r="E94" i="7" s="1"/>
  <c r="H95" i="7"/>
  <c r="Q95" i="7"/>
  <c r="P95" i="7" s="1"/>
  <c r="I95" i="7" s="1"/>
  <c r="D97" i="7"/>
  <c r="J97" i="7" s="1"/>
  <c r="L97" i="7"/>
  <c r="N98" i="7"/>
  <c r="H99" i="7"/>
  <c r="Q99" i="7"/>
  <c r="P99" i="7" s="1"/>
  <c r="I99" i="7" s="1"/>
  <c r="D101" i="7"/>
  <c r="J101" i="7" s="1"/>
  <c r="L101" i="7"/>
  <c r="N102" i="7"/>
  <c r="E102" i="7" s="1"/>
  <c r="H103" i="7"/>
  <c r="Q103" i="7"/>
  <c r="P103" i="7" s="1"/>
  <c r="I103" i="7" s="1"/>
  <c r="D105" i="7"/>
  <c r="J105" i="7" s="1"/>
  <c r="L105" i="7"/>
  <c r="N106" i="7"/>
  <c r="H107" i="7"/>
  <c r="Q107" i="7"/>
  <c r="P107" i="7" s="1"/>
  <c r="I107" i="7" s="1"/>
  <c r="D115" i="7"/>
  <c r="J115" i="7"/>
  <c r="L115" i="7"/>
  <c r="N116" i="7"/>
  <c r="H117" i="7"/>
  <c r="Q117" i="7"/>
  <c r="P117" i="7" s="1"/>
  <c r="I117" i="7" s="1"/>
  <c r="D119" i="7"/>
  <c r="J119" i="7"/>
  <c r="N119" i="7"/>
  <c r="F119" i="7" s="1"/>
  <c r="D120" i="7"/>
  <c r="J120" i="7" s="1"/>
  <c r="H120" i="7"/>
  <c r="L120" i="7"/>
  <c r="Q120" i="7"/>
  <c r="P120" i="7" s="1"/>
  <c r="I120" i="7" s="1"/>
  <c r="N128" i="7"/>
  <c r="D129" i="7"/>
  <c r="J129" i="7" s="1"/>
  <c r="H129" i="7"/>
  <c r="L129" i="7"/>
  <c r="Q129" i="7"/>
  <c r="P129" i="7" s="1"/>
  <c r="I129" i="7" s="1"/>
  <c r="N130" i="7"/>
  <c r="E130" i="7" s="1"/>
  <c r="D131" i="7"/>
  <c r="J131" i="7" s="1"/>
  <c r="H131" i="7"/>
  <c r="L131" i="7"/>
  <c r="Q131" i="7"/>
  <c r="P131" i="7" s="1"/>
  <c r="I131" i="7" s="1"/>
  <c r="N132" i="7"/>
  <c r="E132" i="7" s="1"/>
  <c r="D133" i="7"/>
  <c r="J133" i="7" s="1"/>
  <c r="H133" i="7"/>
  <c r="L133" i="7"/>
  <c r="Q133" i="7"/>
  <c r="P133" i="7" s="1"/>
  <c r="I133" i="7" s="1"/>
  <c r="N134" i="7"/>
  <c r="D135" i="7"/>
  <c r="J135" i="7" s="1"/>
  <c r="H135" i="7"/>
  <c r="L135" i="7"/>
  <c r="Q135" i="7"/>
  <c r="P135" i="7" s="1"/>
  <c r="I135" i="7" s="1"/>
  <c r="N136" i="7"/>
  <c r="D137" i="7"/>
  <c r="J137" i="7" s="1"/>
  <c r="H137" i="7"/>
  <c r="L137" i="7"/>
  <c r="Q137" i="7"/>
  <c r="P137" i="7" s="1"/>
  <c r="I137" i="7" s="1"/>
  <c r="N138" i="7"/>
  <c r="E138" i="7" s="1"/>
  <c r="D139" i="7"/>
  <c r="J139" i="7" s="1"/>
  <c r="H139" i="7"/>
  <c r="L139" i="7"/>
  <c r="Q139" i="7"/>
  <c r="P139" i="7" s="1"/>
  <c r="I139" i="7" s="1"/>
  <c r="N140" i="7"/>
  <c r="E140" i="7" s="1"/>
  <c r="D141" i="7"/>
  <c r="J141" i="7" s="1"/>
  <c r="H141" i="7"/>
  <c r="L141" i="7"/>
  <c r="Q141" i="7"/>
  <c r="P141" i="7" s="1"/>
  <c r="I141" i="7" s="1"/>
  <c r="N142" i="7"/>
  <c r="E142" i="7" s="1"/>
  <c r="D143" i="7"/>
  <c r="J143" i="7" s="1"/>
  <c r="H143" i="7"/>
  <c r="L143" i="7"/>
  <c r="Q143" i="7"/>
  <c r="P143" i="7" s="1"/>
  <c r="I143" i="7" s="1"/>
  <c r="G89" i="7"/>
  <c r="R90" i="7"/>
  <c r="K91" i="7"/>
  <c r="M92" i="7"/>
  <c r="G93" i="7"/>
  <c r="R94" i="7"/>
  <c r="K95" i="7"/>
  <c r="M96" i="7"/>
  <c r="G97" i="7"/>
  <c r="R98" i="7"/>
  <c r="K99" i="7"/>
  <c r="M100" i="7"/>
  <c r="G101" i="7"/>
  <c r="R102" i="7"/>
  <c r="K103" i="7"/>
  <c r="M104" i="7"/>
  <c r="G105" i="7"/>
  <c r="R106" i="7"/>
  <c r="K107" i="7"/>
  <c r="M108" i="7"/>
  <c r="G115" i="7"/>
  <c r="R116" i="7"/>
  <c r="K117" i="7"/>
  <c r="M118" i="7"/>
  <c r="K119" i="7"/>
  <c r="M120" i="7"/>
  <c r="R120" i="7"/>
  <c r="G128" i="7"/>
  <c r="K128" i="7"/>
  <c r="M129" i="7"/>
  <c r="R129" i="7"/>
  <c r="G130" i="7"/>
  <c r="K130" i="7"/>
  <c r="M131" i="7"/>
  <c r="R131" i="7"/>
  <c r="G132" i="7"/>
  <c r="K132" i="7"/>
  <c r="M133" i="7"/>
  <c r="R133" i="7"/>
  <c r="G134" i="7"/>
  <c r="K134" i="7"/>
  <c r="M135" i="7"/>
  <c r="R135" i="7"/>
  <c r="G136" i="7"/>
  <c r="K136" i="7"/>
  <c r="M137" i="7"/>
  <c r="R137" i="7"/>
  <c r="G138" i="7"/>
  <c r="K138" i="7"/>
  <c r="M139" i="7"/>
  <c r="R139" i="7"/>
  <c r="G140" i="7"/>
  <c r="K140" i="7"/>
  <c r="M141" i="7"/>
  <c r="R141" i="7"/>
  <c r="G142" i="7"/>
  <c r="K142" i="7"/>
  <c r="M143" i="7"/>
  <c r="R143" i="7"/>
  <c r="J6" i="19"/>
  <c r="N6" i="19"/>
  <c r="E7" i="19"/>
  <c r="I7" i="19"/>
  <c r="M7" i="19"/>
  <c r="Q7" i="19" s="1"/>
  <c r="D8" i="19"/>
  <c r="H8" i="19"/>
  <c r="L8" i="19"/>
  <c r="G8" i="19" s="1"/>
  <c r="C9" i="19"/>
  <c r="K9" i="19"/>
  <c r="J10" i="19"/>
  <c r="E11" i="19"/>
  <c r="I11" i="19"/>
  <c r="M11" i="19"/>
  <c r="Q11" i="19" s="1"/>
  <c r="D12" i="19"/>
  <c r="H12" i="19"/>
  <c r="L12" i="19"/>
  <c r="C13" i="19"/>
  <c r="K13" i="19"/>
  <c r="T13" i="19" s="1"/>
  <c r="J14" i="19"/>
  <c r="E15" i="19"/>
  <c r="I15" i="19"/>
  <c r="M15" i="19"/>
  <c r="D16" i="19"/>
  <c r="A16" i="19" s="1"/>
  <c r="H16" i="19"/>
  <c r="L16" i="19"/>
  <c r="C17" i="19"/>
  <c r="K17" i="19"/>
  <c r="T17" i="19" s="1"/>
  <c r="J18" i="19"/>
  <c r="E19" i="19"/>
  <c r="I19" i="19"/>
  <c r="M19" i="19"/>
  <c r="Q19" i="19" s="1"/>
  <c r="F19" i="19" s="1"/>
  <c r="E25" i="19"/>
  <c r="I25" i="19"/>
  <c r="M25" i="19"/>
  <c r="Q25" i="19" s="1"/>
  <c r="D26" i="19"/>
  <c r="C6" i="19"/>
  <c r="J7" i="19"/>
  <c r="N7" i="19"/>
  <c r="E8" i="19"/>
  <c r="I8" i="19"/>
  <c r="M8" i="19"/>
  <c r="Q8" i="19" s="1"/>
  <c r="D9" i="19"/>
  <c r="H9" i="19"/>
  <c r="L9" i="19"/>
  <c r="C10" i="19"/>
  <c r="K10" i="19"/>
  <c r="T10" i="19" s="1"/>
  <c r="J11" i="19"/>
  <c r="E12" i="19"/>
  <c r="I12" i="19"/>
  <c r="M12" i="19"/>
  <c r="Q12" i="19" s="1"/>
  <c r="D13" i="19"/>
  <c r="H13" i="19"/>
  <c r="L13" i="19"/>
  <c r="G13" i="19" s="1"/>
  <c r="C14" i="19"/>
  <c r="K14" i="19"/>
  <c r="T14" i="19" s="1"/>
  <c r="J15" i="19"/>
  <c r="E16" i="19"/>
  <c r="I16" i="19"/>
  <c r="M16" i="19"/>
  <c r="Q16" i="19" s="1"/>
  <c r="K16" i="19"/>
  <c r="D6" i="19"/>
  <c r="H6" i="19"/>
  <c r="L6" i="19"/>
  <c r="G6" i="19" s="1"/>
  <c r="C7" i="19"/>
  <c r="K7" i="19"/>
  <c r="J8" i="19"/>
  <c r="N8" i="19"/>
  <c r="E9" i="19"/>
  <c r="I9" i="19"/>
  <c r="M9" i="19"/>
  <c r="Q9" i="19" s="1"/>
  <c r="D10" i="19"/>
  <c r="H10" i="19"/>
  <c r="L10" i="19"/>
  <c r="C11" i="19"/>
  <c r="K11" i="19"/>
  <c r="T11" i="19" s="1"/>
  <c r="J12" i="19"/>
  <c r="E13" i="19"/>
  <c r="I13" i="19"/>
  <c r="M13" i="19"/>
  <c r="Q13" i="19" s="1"/>
  <c r="D14" i="19"/>
  <c r="H14" i="19"/>
  <c r="L14" i="19"/>
  <c r="C15" i="19"/>
  <c r="K15" i="19"/>
  <c r="J16" i="19"/>
  <c r="E17" i="19"/>
  <c r="I17" i="19"/>
  <c r="M17" i="19"/>
  <c r="Q17" i="19" s="1"/>
  <c r="D18" i="19"/>
  <c r="H18" i="19"/>
  <c r="L18" i="19"/>
  <c r="G18" i="19" s="1"/>
  <c r="E6" i="19"/>
  <c r="I6" i="19"/>
  <c r="M6" i="19"/>
  <c r="Q6" i="19" s="1"/>
  <c r="D7" i="19"/>
  <c r="A7" i="19" s="1"/>
  <c r="H7" i="19"/>
  <c r="L7" i="19"/>
  <c r="C8" i="19"/>
  <c r="K8" i="19"/>
  <c r="T8" i="19" s="1"/>
  <c r="J9" i="19"/>
  <c r="N9" i="19"/>
  <c r="E10" i="19"/>
  <c r="I10" i="19"/>
  <c r="M10" i="19"/>
  <c r="D11" i="19"/>
  <c r="H11" i="19"/>
  <c r="L11" i="19"/>
  <c r="G11" i="19" s="1"/>
  <c r="C12" i="19"/>
  <c r="K12" i="19"/>
  <c r="J13" i="19"/>
  <c r="E14" i="19"/>
  <c r="I14" i="19"/>
  <c r="M14" i="19"/>
  <c r="Q14" i="19" s="1"/>
  <c r="D15" i="19"/>
  <c r="H15" i="19"/>
  <c r="L15" i="19"/>
  <c r="C16" i="19"/>
  <c r="J17" i="19"/>
  <c r="E18" i="19"/>
  <c r="I18" i="19"/>
  <c r="M18" i="19"/>
  <c r="Q18" i="19" s="1"/>
  <c r="D19" i="19"/>
  <c r="H19" i="19"/>
  <c r="L19" i="19"/>
  <c r="G19" i="19" s="1"/>
  <c r="D25" i="19"/>
  <c r="H25" i="19"/>
  <c r="L25" i="19"/>
  <c r="G25" i="19" s="1"/>
  <c r="C26" i="19"/>
  <c r="K26" i="19"/>
  <c r="J27" i="19"/>
  <c r="E28" i="19"/>
  <c r="I28" i="19"/>
  <c r="M28" i="19"/>
  <c r="Q28" i="19" s="1"/>
  <c r="D29" i="19"/>
  <c r="H29" i="19"/>
  <c r="L29" i="19"/>
  <c r="C30" i="19"/>
  <c r="K30" i="19"/>
  <c r="T30" i="19" s="1"/>
  <c r="J31" i="19"/>
  <c r="E32" i="19"/>
  <c r="I32" i="19"/>
  <c r="M32" i="19"/>
  <c r="Q32" i="19" s="1"/>
  <c r="D33" i="19"/>
  <c r="A33" i="19" s="1"/>
  <c r="H33" i="19"/>
  <c r="L33" i="19"/>
  <c r="C34" i="19"/>
  <c r="K34" i="19"/>
  <c r="T34" i="19" s="1"/>
  <c r="J35" i="19"/>
  <c r="E36" i="19"/>
  <c r="I36" i="19"/>
  <c r="M36" i="19"/>
  <c r="Q36" i="19" s="1"/>
  <c r="F36" i="19" s="1"/>
  <c r="D37" i="19"/>
  <c r="H37" i="19"/>
  <c r="L37" i="19"/>
  <c r="G37" i="19" s="1"/>
  <c r="C38" i="19"/>
  <c r="A38" i="19" s="1"/>
  <c r="K38" i="19"/>
  <c r="T38" i="19" s="1"/>
  <c r="J39" i="19"/>
  <c r="E40" i="19"/>
  <c r="I40" i="19"/>
  <c r="M40" i="19"/>
  <c r="Q40" i="19" s="1"/>
  <c r="D41" i="19"/>
  <c r="H41" i="19"/>
  <c r="L41" i="19"/>
  <c r="G41" i="19" s="1"/>
  <c r="O4" i="6"/>
  <c r="L17" i="19"/>
  <c r="G17" i="19" s="1"/>
  <c r="K18" i="19"/>
  <c r="T18" i="19" s="1"/>
  <c r="J25" i="19"/>
  <c r="H26" i="19"/>
  <c r="M26" i="19"/>
  <c r="Q26" i="19" s="1"/>
  <c r="L27" i="19"/>
  <c r="G27" i="19" s="1"/>
  <c r="K28" i="19"/>
  <c r="T28" i="19" s="1"/>
  <c r="E29" i="19"/>
  <c r="J29" i="19"/>
  <c r="D30" i="19"/>
  <c r="I30" i="19"/>
  <c r="C31" i="19"/>
  <c r="H31" i="19"/>
  <c r="M31" i="19"/>
  <c r="L32" i="19"/>
  <c r="G32" i="19" s="1"/>
  <c r="K33" i="19"/>
  <c r="T33" i="19" s="1"/>
  <c r="E34" i="19"/>
  <c r="J34" i="19"/>
  <c r="D35" i="19"/>
  <c r="I35" i="19"/>
  <c r="C36" i="19"/>
  <c r="H36" i="19"/>
  <c r="M37" i="19"/>
  <c r="Q37" i="19" s="1"/>
  <c r="L38" i="19"/>
  <c r="E39" i="19"/>
  <c r="K39" i="19"/>
  <c r="T39" i="19" s="1"/>
  <c r="D40" i="19"/>
  <c r="J40" i="19"/>
  <c r="C41" i="19"/>
  <c r="I41" i="19"/>
  <c r="O7" i="6"/>
  <c r="O11" i="6"/>
  <c r="O15" i="6"/>
  <c r="O22" i="6"/>
  <c r="O26" i="6"/>
  <c r="O34" i="6"/>
  <c r="O38" i="6"/>
  <c r="O42" i="6"/>
  <c r="C25" i="19"/>
  <c r="K25" i="19"/>
  <c r="G24" i="19" s="1"/>
  <c r="I26" i="19"/>
  <c r="C27" i="19"/>
  <c r="H27" i="19"/>
  <c r="M27" i="19"/>
  <c r="Q27" i="19" s="1"/>
  <c r="L28" i="19"/>
  <c r="K29" i="19"/>
  <c r="T29" i="19" s="1"/>
  <c r="E30" i="19"/>
  <c r="J30" i="19"/>
  <c r="D31" i="19"/>
  <c r="I31" i="19"/>
  <c r="C32" i="19"/>
  <c r="H32" i="19"/>
  <c r="M33" i="19"/>
  <c r="Q33" i="19" s="1"/>
  <c r="L34" i="19"/>
  <c r="G34" i="19" s="1"/>
  <c r="E35" i="19"/>
  <c r="K35" i="19"/>
  <c r="T35" i="19" s="1"/>
  <c r="D36" i="19"/>
  <c r="J36" i="19"/>
  <c r="C37" i="19"/>
  <c r="I37" i="19"/>
  <c r="H38" i="19"/>
  <c r="M38" i="19"/>
  <c r="Q38" i="19" s="1"/>
  <c r="L39" i="19"/>
  <c r="G39" i="19" s="1"/>
  <c r="K40" i="19"/>
  <c r="T40" i="19" s="1"/>
  <c r="E41" i="19"/>
  <c r="J41" i="19"/>
  <c r="O8" i="6"/>
  <c r="O12" i="6"/>
  <c r="O16" i="6"/>
  <c r="O23" i="6"/>
  <c r="O27" i="6"/>
  <c r="O35" i="6"/>
  <c r="O39" i="6"/>
  <c r="D17" i="19"/>
  <c r="C18" i="19"/>
  <c r="J19" i="19"/>
  <c r="E26" i="19"/>
  <c r="J26" i="19"/>
  <c r="D27" i="19"/>
  <c r="A27" i="19" s="1"/>
  <c r="I27" i="19"/>
  <c r="C28" i="19"/>
  <c r="H28" i="19"/>
  <c r="M29" i="19"/>
  <c r="Q29" i="19" s="1"/>
  <c r="L30" i="19"/>
  <c r="G30" i="19" s="1"/>
  <c r="E31" i="19"/>
  <c r="K31" i="19"/>
  <c r="T31" i="19" s="1"/>
  <c r="D32" i="19"/>
  <c r="J32" i="19"/>
  <c r="C33" i="19"/>
  <c r="I33" i="19"/>
  <c r="H34" i="19"/>
  <c r="M34" i="19"/>
  <c r="Q34" i="19" s="1"/>
  <c r="L35" i="19"/>
  <c r="G35" i="19" s="1"/>
  <c r="K36" i="19"/>
  <c r="T36" i="19" s="1"/>
  <c r="E37" i="19"/>
  <c r="J37" i="19"/>
  <c r="D38" i="19"/>
  <c r="I38" i="19"/>
  <c r="C39" i="19"/>
  <c r="H39" i="19"/>
  <c r="M39" i="19"/>
  <c r="Q39" i="19" s="1"/>
  <c r="L40" i="19"/>
  <c r="G40" i="19" s="1"/>
  <c r="K41" i="19"/>
  <c r="T41" i="19" s="1"/>
  <c r="O9" i="6"/>
  <c r="O13" i="6"/>
  <c r="O17" i="6"/>
  <c r="O20" i="6"/>
  <c r="O24" i="6"/>
  <c r="O36" i="6"/>
  <c r="H17" i="19"/>
  <c r="C19" i="19"/>
  <c r="K19" i="19"/>
  <c r="L26" i="19"/>
  <c r="E27" i="19"/>
  <c r="K27" i="19"/>
  <c r="T27" i="19" s="1"/>
  <c r="D28" i="19"/>
  <c r="J28" i="19"/>
  <c r="C29" i="19"/>
  <c r="I29" i="19"/>
  <c r="H30" i="19"/>
  <c r="M30" i="19"/>
  <c r="Q30" i="19" s="1"/>
  <c r="F30" i="19" s="1"/>
  <c r="L31" i="19"/>
  <c r="G31" i="19" s="1"/>
  <c r="K32" i="19"/>
  <c r="F32" i="19" s="1"/>
  <c r="E33" i="19"/>
  <c r="J33" i="19"/>
  <c r="D34" i="19"/>
  <c r="I34" i="19"/>
  <c r="C35" i="19"/>
  <c r="H35" i="19"/>
  <c r="M35" i="19"/>
  <c r="Q35" i="19" s="1"/>
  <c r="L36" i="19"/>
  <c r="G36" i="19" s="1"/>
  <c r="K37" i="19"/>
  <c r="T37" i="19" s="1"/>
  <c r="E38" i="19"/>
  <c r="J38" i="19"/>
  <c r="D39" i="19"/>
  <c r="I39" i="19"/>
  <c r="C40" i="19"/>
  <c r="H40" i="19"/>
  <c r="M41" i="19"/>
  <c r="Q41" i="19" s="1"/>
  <c r="F41" i="19" s="1"/>
  <c r="O5" i="6"/>
  <c r="O6" i="6"/>
  <c r="O10" i="6"/>
  <c r="O14" i="6"/>
  <c r="O21" i="6"/>
  <c r="O25" i="6"/>
  <c r="O37" i="6"/>
  <c r="O41" i="6"/>
  <c r="O45" i="6"/>
  <c r="DH12" i="2"/>
  <c r="BD12" i="2"/>
  <c r="AV12" i="2"/>
  <c r="AB12" i="2"/>
  <c r="H12" i="2"/>
  <c r="BH12" i="2" s="1"/>
  <c r="D12" i="2"/>
  <c r="O12" i="2" s="1"/>
  <c r="J12" i="3" s="1"/>
  <c r="DH10" i="2"/>
  <c r="BD10" i="2"/>
  <c r="AV10" i="2"/>
  <c r="AB10" i="2"/>
  <c r="AQ10" i="3" s="1"/>
  <c r="H10" i="2"/>
  <c r="R10" i="2" s="1"/>
  <c r="AG10" i="3" s="1"/>
  <c r="D10" i="2"/>
  <c r="BZ10" i="2" s="1"/>
  <c r="O9" i="19"/>
  <c r="O17" i="19"/>
  <c r="P13" i="19"/>
  <c r="P10" i="19"/>
  <c r="P18" i="19"/>
  <c r="O12" i="19"/>
  <c r="P25" i="19"/>
  <c r="P33" i="19"/>
  <c r="P41" i="19"/>
  <c r="O35" i="19"/>
  <c r="O18" i="19"/>
  <c r="P35" i="19"/>
  <c r="P26" i="19"/>
  <c r="P36" i="19"/>
  <c r="O28" i="19"/>
  <c r="O39" i="19"/>
  <c r="O44" i="6"/>
  <c r="N10" i="19"/>
  <c r="N14" i="19"/>
  <c r="N18" i="19"/>
  <c r="N11" i="19"/>
  <c r="N15" i="19"/>
  <c r="N12" i="19"/>
  <c r="N16" i="19"/>
  <c r="N13" i="19"/>
  <c r="N17" i="19"/>
  <c r="N27" i="19"/>
  <c r="N31" i="19"/>
  <c r="N35" i="19"/>
  <c r="N39" i="19"/>
  <c r="N19" i="19"/>
  <c r="N30" i="19"/>
  <c r="N36" i="19"/>
  <c r="N41" i="19"/>
  <c r="N26" i="19"/>
  <c r="N32" i="19"/>
  <c r="N37" i="19"/>
  <c r="N25" i="19"/>
  <c r="N28" i="19"/>
  <c r="N33" i="19"/>
  <c r="N38" i="19"/>
  <c r="N29" i="19"/>
  <c r="N34" i="19"/>
  <c r="N40" i="19"/>
  <c r="DN12" i="2"/>
  <c r="CT12" i="2"/>
  <c r="CL12" i="2"/>
  <c r="BR12" i="2"/>
  <c r="N12" i="2"/>
  <c r="J12" i="2"/>
  <c r="CG12" i="2" s="1"/>
  <c r="F12" i="2"/>
  <c r="DN10" i="2"/>
  <c r="CT10" i="2"/>
  <c r="CL10" i="2"/>
  <c r="BR10" i="2"/>
  <c r="N10" i="2"/>
  <c r="AC10" i="3" s="1"/>
  <c r="J10" i="2"/>
  <c r="V10" i="2" s="1"/>
  <c r="P10" i="3" s="1"/>
  <c r="F10" i="2"/>
  <c r="BE10" i="3"/>
  <c r="AW10" i="3"/>
  <c r="C10" i="3"/>
  <c r="BG10" i="3" s="1"/>
  <c r="M30" i="21"/>
  <c r="F30" i="21" s="1"/>
  <c r="Q31" i="20"/>
  <c r="S31" i="20" s="1"/>
  <c r="H11" i="20"/>
  <c r="P37" i="10"/>
  <c r="F140" i="7"/>
  <c r="F135" i="7"/>
  <c r="F118" i="7"/>
  <c r="E71" i="7"/>
  <c r="E73" i="7"/>
  <c r="T26" i="19"/>
  <c r="E141" i="7"/>
  <c r="T12" i="19"/>
  <c r="G7" i="19"/>
  <c r="G10" i="19"/>
  <c r="T7" i="19"/>
  <c r="G16" i="19"/>
  <c r="T9" i="19"/>
  <c r="E136" i="7"/>
  <c r="F136" i="7"/>
  <c r="E128" i="7"/>
  <c r="F128" i="7"/>
  <c r="E98" i="7"/>
  <c r="F98" i="7"/>
  <c r="F139" i="7"/>
  <c r="E139" i="7"/>
  <c r="F131" i="7"/>
  <c r="E131" i="7"/>
  <c r="F104" i="7"/>
  <c r="E104" i="7"/>
  <c r="E76" i="7"/>
  <c r="F76" i="7"/>
  <c r="E54" i="7"/>
  <c r="F54" i="7"/>
  <c r="F99" i="7"/>
  <c r="E52" i="7"/>
  <c r="F52" i="7"/>
  <c r="F51" i="7"/>
  <c r="E51" i="7"/>
  <c r="T15" i="19"/>
  <c r="F77" i="7"/>
  <c r="E67" i="7"/>
  <c r="E33" i="7"/>
  <c r="F33" i="7"/>
  <c r="E8" i="7"/>
  <c r="T28" i="20"/>
  <c r="G6" i="20"/>
  <c r="Q30" i="20"/>
  <c r="S30" i="20" s="1"/>
  <c r="F30" i="20" s="1"/>
  <c r="M34" i="21"/>
  <c r="O34" i="21" s="1"/>
  <c r="M11" i="21"/>
  <c r="F11" i="21" s="1"/>
  <c r="E28" i="21"/>
  <c r="G26" i="20"/>
  <c r="P26" i="21"/>
  <c r="Q26" i="20"/>
  <c r="S26" i="20" s="1"/>
  <c r="O11" i="20"/>
  <c r="E26" i="20"/>
  <c r="AH10" i="3"/>
  <c r="F69" i="7"/>
  <c r="F102" i="7"/>
  <c r="BH10" i="3"/>
  <c r="T25" i="19"/>
  <c r="T19" i="19"/>
  <c r="AG12" i="2"/>
  <c r="BB12" i="2"/>
  <c r="BC12" i="2" s="1"/>
  <c r="CR12" i="2"/>
  <c r="BW12" i="2"/>
  <c r="Q67" i="23"/>
  <c r="Q68" i="23"/>
  <c r="M68" i="23"/>
  <c r="R68" i="23"/>
  <c r="DG10" i="2"/>
  <c r="AW10" i="2"/>
  <c r="AI10" i="2"/>
  <c r="AL10" i="3"/>
  <c r="M22" i="6"/>
  <c r="K22" i="6"/>
  <c r="I25" i="23" s="1"/>
  <c r="L25" i="23" s="1"/>
  <c r="N22" i="6"/>
  <c r="P22" i="6" s="1"/>
  <c r="AP7" i="1"/>
  <c r="FX10" i="2"/>
  <c r="FY10" i="2" s="1"/>
  <c r="CS7" i="1" s="1"/>
  <c r="AZ10" i="3"/>
  <c r="B10" i="3"/>
  <c r="N10" i="3"/>
  <c r="K10" i="2"/>
  <c r="BT10" i="2" s="1"/>
  <c r="N12" i="3"/>
  <c r="AN10" i="3"/>
  <c r="AS7" i="1"/>
  <c r="Y10" i="3"/>
  <c r="FX12" i="2"/>
  <c r="FY12" i="2" s="1"/>
  <c r="FZ12" i="2" s="1"/>
  <c r="DG12" i="2"/>
  <c r="AW12" i="2"/>
  <c r="AI12" i="2"/>
  <c r="K12" i="2"/>
  <c r="DF12" i="2" s="1"/>
  <c r="I10" i="2"/>
  <c r="AP10" i="2" s="1"/>
  <c r="C10" i="2"/>
  <c r="V10" i="3"/>
  <c r="DM10" i="2"/>
  <c r="BV7" i="1" s="1"/>
  <c r="AT10" i="3"/>
  <c r="AA10" i="2"/>
  <c r="AP10" i="3" s="1"/>
  <c r="G10" i="2"/>
  <c r="Q10" i="2" s="1"/>
  <c r="AF10" i="3" s="1"/>
  <c r="BE12" i="3"/>
  <c r="S12" i="3"/>
  <c r="CM10" i="2"/>
  <c r="BY10" i="2"/>
  <c r="BQ10" i="2"/>
  <c r="J19" i="12"/>
  <c r="E19" i="12"/>
  <c r="E21" i="12" s="1"/>
  <c r="O32" i="10"/>
  <c r="O30" i="10"/>
  <c r="K6" i="19"/>
  <c r="F5" i="19" s="1"/>
  <c r="O19" i="6"/>
  <c r="D4" i="6"/>
  <c r="B4" i="23" s="1"/>
  <c r="F4" i="6"/>
  <c r="D4" i="23" s="1"/>
  <c r="N5" i="6"/>
  <c r="P5" i="6" s="1"/>
  <c r="L5" i="6"/>
  <c r="J5" i="23" s="1"/>
  <c r="E6" i="6"/>
  <c r="C6" i="23" s="1"/>
  <c r="M7" i="6"/>
  <c r="I7" i="6"/>
  <c r="G7" i="23" s="1"/>
  <c r="E8" i="6"/>
  <c r="C8" i="23" s="1"/>
  <c r="N9" i="6"/>
  <c r="P9" i="6" s="1"/>
  <c r="D10" i="6"/>
  <c r="B10" i="23" s="1"/>
  <c r="F10" i="6"/>
  <c r="D10" i="23" s="1"/>
  <c r="N11" i="6"/>
  <c r="P11" i="6" s="1"/>
  <c r="L11" i="6"/>
  <c r="J11" i="23" s="1"/>
  <c r="E12" i="6"/>
  <c r="C12" i="23" s="1"/>
  <c r="M13" i="6"/>
  <c r="I13" i="6"/>
  <c r="G13" i="23" s="1"/>
  <c r="E14" i="6"/>
  <c r="C14" i="23" s="1"/>
  <c r="N15" i="6"/>
  <c r="P15" i="6" s="1"/>
  <c r="D16" i="6"/>
  <c r="B16" i="23" s="1"/>
  <c r="F16" i="6"/>
  <c r="D16" i="23" s="1"/>
  <c r="N17" i="6"/>
  <c r="P17" i="6" s="1"/>
  <c r="L17" i="6"/>
  <c r="J17" i="23" s="1"/>
  <c r="E18" i="6"/>
  <c r="C18" i="23" s="1"/>
  <c r="M19" i="6"/>
  <c r="J45" i="6"/>
  <c r="H62" i="23" s="1"/>
  <c r="J43" i="6"/>
  <c r="H60" i="23" s="1"/>
  <c r="J41" i="6"/>
  <c r="H58" i="23" s="1"/>
  <c r="J39" i="6"/>
  <c r="H56" i="23" s="1"/>
  <c r="J37" i="6"/>
  <c r="H54" i="23" s="1"/>
  <c r="BP53" i="23" s="1"/>
  <c r="J35" i="6"/>
  <c r="H52" i="23" s="1"/>
  <c r="J16" i="6"/>
  <c r="H16" i="23" s="1"/>
  <c r="K18" i="6"/>
  <c r="I18" i="23" s="1"/>
  <c r="J20" i="6"/>
  <c r="H20" i="23" s="1"/>
  <c r="K4" i="6"/>
  <c r="I4" i="23" s="1"/>
  <c r="L4" i="23" s="1"/>
  <c r="J6" i="6"/>
  <c r="H6" i="23" s="1"/>
  <c r="Q6" i="23" s="1"/>
  <c r="J24" i="6"/>
  <c r="H27" i="23" s="1"/>
  <c r="K24" i="6"/>
  <c r="K26" i="6"/>
  <c r="I29" i="23" s="1"/>
  <c r="K14" i="6"/>
  <c r="I14" i="23" s="1"/>
  <c r="L14" i="23" s="1"/>
  <c r="K9" i="6"/>
  <c r="I9" i="23" s="1"/>
  <c r="L9" i="23" s="1"/>
  <c r="K7" i="6"/>
  <c r="I7" i="23" s="1"/>
  <c r="L7" i="23" s="1"/>
  <c r="L41" i="6"/>
  <c r="J58" i="23" s="1"/>
  <c r="L35" i="6"/>
  <c r="J52" i="23" s="1"/>
  <c r="K45" i="6"/>
  <c r="I62" i="23" s="1"/>
  <c r="L62" i="23" s="1"/>
  <c r="K43" i="6"/>
  <c r="I60" i="23" s="1"/>
  <c r="K41" i="6"/>
  <c r="K39" i="6"/>
  <c r="I56" i="23" s="1"/>
  <c r="BU53" i="23" s="1"/>
  <c r="K37" i="6"/>
  <c r="I54" i="23" s="1"/>
  <c r="M54" i="23" s="1"/>
  <c r="K35" i="6"/>
  <c r="I52" i="23" s="1"/>
  <c r="L52" i="23" s="1"/>
  <c r="J12" i="6"/>
  <c r="H12" i="23" s="1"/>
  <c r="DQ12" i="23" s="1"/>
  <c r="J9" i="6"/>
  <c r="H9" i="23" s="1"/>
  <c r="DQ9" i="23" s="1"/>
  <c r="J10" i="6"/>
  <c r="H10" i="23" s="1"/>
  <c r="DQ10" i="23" s="1"/>
  <c r="K10" i="6"/>
  <c r="I10" i="23" s="1"/>
  <c r="J11" i="6"/>
  <c r="H11" i="23" s="1"/>
  <c r="DQ11" i="23" s="1"/>
  <c r="J14" i="6"/>
  <c r="H14" i="23" s="1"/>
  <c r="J15" i="6"/>
  <c r="H15" i="23"/>
  <c r="J7" i="6"/>
  <c r="H7" i="23" s="1"/>
  <c r="J17" i="6"/>
  <c r="H17" i="23" s="1"/>
  <c r="K19" i="6"/>
  <c r="I19" i="23" s="1"/>
  <c r="L19" i="23" s="1"/>
  <c r="J21" i="6"/>
  <c r="H21" i="23" s="1"/>
  <c r="K5" i="6"/>
  <c r="I5" i="23"/>
  <c r="L5" i="23" s="1"/>
  <c r="K12" i="6"/>
  <c r="I12" i="23" s="1"/>
  <c r="L12" i="23" s="1"/>
  <c r="J44" i="6"/>
  <c r="H61" i="23" s="1"/>
  <c r="J42" i="6"/>
  <c r="H59" i="23" s="1"/>
  <c r="BT54" i="23" s="1"/>
  <c r="J40" i="6"/>
  <c r="H57" i="23" s="1"/>
  <c r="J38" i="6"/>
  <c r="H55" i="23" s="1"/>
  <c r="J36" i="6"/>
  <c r="H53" i="23" s="1"/>
  <c r="J34" i="6"/>
  <c r="H51" i="23" s="1"/>
  <c r="BP52" i="23" s="1"/>
  <c r="K16" i="6"/>
  <c r="I16" i="23" s="1"/>
  <c r="J18" i="6"/>
  <c r="H18" i="23" s="1"/>
  <c r="M18" i="23" s="1"/>
  <c r="K20" i="6"/>
  <c r="I20" i="23" s="1"/>
  <c r="L20" i="23" s="1"/>
  <c r="J4" i="6"/>
  <c r="H4" i="23" s="1"/>
  <c r="K6" i="6"/>
  <c r="I6" i="23" s="1"/>
  <c r="L6" i="23" s="1"/>
  <c r="J25" i="6"/>
  <c r="H28" i="23" s="1"/>
  <c r="BC94" i="23" s="1"/>
  <c r="K25" i="6"/>
  <c r="I28" i="23" s="1"/>
  <c r="BS11" i="23" s="1"/>
  <c r="J23" i="6"/>
  <c r="H26" i="23" s="1"/>
  <c r="K27" i="6"/>
  <c r="I30" i="23" s="1"/>
  <c r="K23" i="6"/>
  <c r="I26" i="23" s="1"/>
  <c r="N26" i="23" s="1"/>
  <c r="K15" i="6"/>
  <c r="I15" i="23" s="1"/>
  <c r="L15" i="23" s="1"/>
  <c r="L40" i="6"/>
  <c r="J57" i="23" s="1"/>
  <c r="L34" i="6"/>
  <c r="J51" i="23" s="1"/>
  <c r="K44" i="6"/>
  <c r="I61" i="23" s="1"/>
  <c r="K42" i="6"/>
  <c r="I59" i="23" s="1"/>
  <c r="K40" i="6"/>
  <c r="I57" i="23" s="1"/>
  <c r="L57" i="23" s="1"/>
  <c r="K38" i="6"/>
  <c r="I55" i="23" s="1"/>
  <c r="K36" i="6"/>
  <c r="I53" i="23" s="1"/>
  <c r="M53" i="23" s="1"/>
  <c r="K34" i="6"/>
  <c r="I51" i="23" s="1"/>
  <c r="BQ52" i="23" s="1"/>
  <c r="K17" i="6"/>
  <c r="I17" i="23"/>
  <c r="L17" i="23" s="1"/>
  <c r="J19" i="6"/>
  <c r="H19" i="23" s="1"/>
  <c r="K21" i="6"/>
  <c r="I21" i="23" s="1"/>
  <c r="L21" i="23" s="1"/>
  <c r="J5" i="6"/>
  <c r="H5" i="23"/>
  <c r="K11" i="6"/>
  <c r="I11" i="23" s="1"/>
  <c r="R11" i="23" s="1"/>
  <c r="J27" i="6"/>
  <c r="H30" i="23" s="1"/>
  <c r="BT11" i="23" s="1"/>
  <c r="J22" i="6"/>
  <c r="H25" i="23" s="1"/>
  <c r="L25" i="6"/>
  <c r="J28" i="23" s="1"/>
  <c r="L14" i="6"/>
  <c r="J14" i="23" s="1"/>
  <c r="L45" i="6"/>
  <c r="J62" i="23" s="1"/>
  <c r="N45" i="6"/>
  <c r="P45" i="6" s="1"/>
  <c r="F44" i="6"/>
  <c r="D61" i="23" s="1"/>
  <c r="D44" i="6"/>
  <c r="B61" i="23" s="1"/>
  <c r="I43" i="6"/>
  <c r="G60" i="23" s="1"/>
  <c r="M43" i="6"/>
  <c r="E42" i="6"/>
  <c r="C59" i="23" s="1"/>
  <c r="I41" i="6"/>
  <c r="G58" i="23" s="1"/>
  <c r="M41" i="6"/>
  <c r="F40" i="6"/>
  <c r="D57" i="23" s="1"/>
  <c r="D40" i="6"/>
  <c r="B57" i="23" s="1"/>
  <c r="I39" i="6"/>
  <c r="G56" i="23" s="1"/>
  <c r="M39" i="6"/>
  <c r="E38" i="6"/>
  <c r="C55" i="23" s="1"/>
  <c r="L37" i="6"/>
  <c r="J54" i="23" s="1"/>
  <c r="N37" i="6"/>
  <c r="P37" i="6" s="1"/>
  <c r="F36" i="6"/>
  <c r="D53" i="23" s="1"/>
  <c r="D36" i="6"/>
  <c r="B53" i="23" s="1"/>
  <c r="N35" i="6"/>
  <c r="E34" i="6"/>
  <c r="C51" i="23" s="1"/>
  <c r="BO52" i="23" s="1"/>
  <c r="I27" i="6"/>
  <c r="G30" i="23" s="1"/>
  <c r="M27" i="6"/>
  <c r="F26" i="6"/>
  <c r="D29" i="23" s="1"/>
  <c r="D26" i="6"/>
  <c r="B29" i="23" s="1"/>
  <c r="N25" i="6"/>
  <c r="P25" i="6" s="1"/>
  <c r="E24" i="6"/>
  <c r="C27" i="23" s="1"/>
  <c r="I23" i="6"/>
  <c r="G26" i="23" s="1"/>
  <c r="M23" i="6"/>
  <c r="N23" i="6"/>
  <c r="P23" i="6" s="1"/>
  <c r="F22" i="6"/>
  <c r="D25" i="23" s="1"/>
  <c r="D22" i="6"/>
  <c r="B25" i="23" s="1"/>
  <c r="I21" i="6"/>
  <c r="G21" i="23" s="1"/>
  <c r="M21" i="6"/>
  <c r="N21" i="6"/>
  <c r="P21" i="6" s="1"/>
  <c r="E20" i="6"/>
  <c r="C20" i="23" s="1"/>
  <c r="L19" i="6"/>
  <c r="J19" i="23" s="1"/>
  <c r="N19" i="6"/>
  <c r="P19" i="6" s="1"/>
  <c r="G19" i="6" s="1"/>
  <c r="E19" i="23" s="1"/>
  <c r="J26" i="6"/>
  <c r="H29" i="23" s="1"/>
  <c r="L27" i="6"/>
  <c r="J30" i="23" s="1"/>
  <c r="L22" i="6"/>
  <c r="J25" i="23" s="1"/>
  <c r="L13" i="6"/>
  <c r="J13" i="23" s="1"/>
  <c r="L8" i="6"/>
  <c r="J8" i="23" s="1"/>
  <c r="F45" i="6"/>
  <c r="D62" i="23" s="1"/>
  <c r="D45" i="6"/>
  <c r="B62" i="23" s="1"/>
  <c r="I44" i="6"/>
  <c r="G61" i="23"/>
  <c r="M44" i="6"/>
  <c r="R44" i="6" s="1"/>
  <c r="N44" i="6"/>
  <c r="P44" i="6" s="1"/>
  <c r="E43" i="6"/>
  <c r="C60" i="23" s="1"/>
  <c r="BO55" i="23"/>
  <c r="L42" i="6"/>
  <c r="J59" i="23" s="1"/>
  <c r="N42" i="6"/>
  <c r="P42" i="6" s="1"/>
  <c r="E41" i="6"/>
  <c r="C58" i="23" s="1"/>
  <c r="I40" i="6"/>
  <c r="G57" i="23" s="1"/>
  <c r="M40" i="6"/>
  <c r="E39" i="6"/>
  <c r="C56" i="23" s="1"/>
  <c r="L38" i="6"/>
  <c r="J55" i="23" s="1"/>
  <c r="N38" i="6"/>
  <c r="P38" i="6" s="1"/>
  <c r="G38" i="6" s="1"/>
  <c r="E55" i="23" s="1"/>
  <c r="F37" i="6"/>
  <c r="D54" i="23" s="1"/>
  <c r="D37" i="6"/>
  <c r="B54" i="23" s="1"/>
  <c r="I36" i="6"/>
  <c r="G53" i="23" s="1"/>
  <c r="M36" i="6"/>
  <c r="F35" i="6"/>
  <c r="D52" i="23" s="1"/>
  <c r="D35" i="6"/>
  <c r="B52" i="23" s="1"/>
  <c r="N34" i="6"/>
  <c r="P34" i="6" s="1"/>
  <c r="E27" i="6"/>
  <c r="C30" i="23"/>
  <c r="I26" i="6"/>
  <c r="G29" i="23" s="1"/>
  <c r="M26" i="6"/>
  <c r="N26" i="6"/>
  <c r="P26" i="6" s="1"/>
  <c r="F25" i="6"/>
  <c r="D28" i="23" s="1"/>
  <c r="D25" i="6"/>
  <c r="B28" i="23" s="1"/>
  <c r="N24" i="6"/>
  <c r="P24" i="6" s="1"/>
  <c r="E23" i="6"/>
  <c r="C26" i="23" s="1"/>
  <c r="L24" i="6"/>
  <c r="J27" i="23" s="1"/>
  <c r="L15" i="6"/>
  <c r="J15" i="23" s="1"/>
  <c r="I45" i="6"/>
  <c r="G62" i="23" s="1"/>
  <c r="M45" i="6"/>
  <c r="E44" i="6"/>
  <c r="C61" i="23" s="1"/>
  <c r="L43" i="6"/>
  <c r="J60" i="23" s="1"/>
  <c r="N43" i="6"/>
  <c r="P43" i="6" s="1"/>
  <c r="F42" i="6"/>
  <c r="D59" i="23" s="1"/>
  <c r="D42" i="6"/>
  <c r="B59" i="23" s="1"/>
  <c r="N41" i="6"/>
  <c r="P41" i="6"/>
  <c r="E40" i="6"/>
  <c r="C57" i="23" s="1"/>
  <c r="BO54" i="23" s="1"/>
  <c r="L39" i="6"/>
  <c r="J56" i="23" s="1"/>
  <c r="N39" i="6"/>
  <c r="F38" i="6"/>
  <c r="D55" i="23" s="1"/>
  <c r="D38" i="6"/>
  <c r="B55" i="23" s="1"/>
  <c r="I37" i="6"/>
  <c r="G54" i="23" s="1"/>
  <c r="M37" i="6"/>
  <c r="E36" i="6"/>
  <c r="C53" i="23" s="1"/>
  <c r="I35" i="6"/>
  <c r="G52" i="23" s="1"/>
  <c r="M35" i="6"/>
  <c r="F34" i="6"/>
  <c r="D51" i="23" s="1"/>
  <c r="D34" i="6"/>
  <c r="B51" i="23" s="1"/>
  <c r="N27" i="6"/>
  <c r="P27" i="6" s="1"/>
  <c r="G27" i="6" s="1"/>
  <c r="E30" i="23" s="1"/>
  <c r="E26" i="6"/>
  <c r="C29" i="23" s="1"/>
  <c r="I25" i="6"/>
  <c r="G28" i="23" s="1"/>
  <c r="M25" i="6"/>
  <c r="F24" i="6"/>
  <c r="D27" i="23" s="1"/>
  <c r="D24" i="6"/>
  <c r="B27" i="23" s="1"/>
  <c r="E22" i="6"/>
  <c r="C25" i="23" s="1"/>
  <c r="L21" i="6"/>
  <c r="J21" i="23" s="1"/>
  <c r="F20" i="6"/>
  <c r="D20" i="23" s="1"/>
  <c r="D20" i="6"/>
  <c r="B20" i="23" s="1"/>
  <c r="I19" i="6"/>
  <c r="G19" i="23" s="1"/>
  <c r="L26" i="6"/>
  <c r="J29" i="23"/>
  <c r="L23" i="6"/>
  <c r="J26" i="23" s="1"/>
  <c r="L9" i="6"/>
  <c r="J9" i="23" s="1"/>
  <c r="L7" i="6"/>
  <c r="J7" i="23" s="1"/>
  <c r="E45" i="6"/>
  <c r="C62" i="23" s="1"/>
  <c r="L44" i="6"/>
  <c r="J61" i="23" s="1"/>
  <c r="F43" i="6"/>
  <c r="D60" i="23" s="1"/>
  <c r="D43" i="6"/>
  <c r="B60" i="23" s="1"/>
  <c r="I42" i="6"/>
  <c r="G59" i="23" s="1"/>
  <c r="M42" i="6"/>
  <c r="F41" i="6"/>
  <c r="D58" i="23" s="1"/>
  <c r="D41" i="6"/>
  <c r="B58" i="23" s="1"/>
  <c r="N40" i="6"/>
  <c r="P40" i="6" s="1"/>
  <c r="F39" i="6"/>
  <c r="D56" i="23" s="1"/>
  <c r="D39" i="6"/>
  <c r="B56" i="23" s="1"/>
  <c r="I38" i="6"/>
  <c r="G55" i="23" s="1"/>
  <c r="M38" i="6"/>
  <c r="E37" i="6"/>
  <c r="C54" i="23" s="1"/>
  <c r="BO53" i="23" s="1"/>
  <c r="L36" i="6"/>
  <c r="J53" i="23" s="1"/>
  <c r="N36" i="6"/>
  <c r="P36" i="6" s="1"/>
  <c r="E35" i="6"/>
  <c r="C52" i="23" s="1"/>
  <c r="I34" i="6"/>
  <c r="G51" i="23" s="1"/>
  <c r="M34" i="6"/>
  <c r="I33" i="6" s="1"/>
  <c r="G50" i="23" s="1"/>
  <c r="F27" i="6"/>
  <c r="D30" i="23" s="1"/>
  <c r="D27" i="6"/>
  <c r="B30" i="23" s="1"/>
  <c r="E25" i="6"/>
  <c r="C28" i="23" s="1"/>
  <c r="I24" i="6"/>
  <c r="G27" i="23" s="1"/>
  <c r="M24" i="6"/>
  <c r="F23" i="6"/>
  <c r="D26" i="23" s="1"/>
  <c r="D23" i="6"/>
  <c r="B26" i="23"/>
  <c r="F21" i="6"/>
  <c r="D21" i="23" s="1"/>
  <c r="D21" i="6"/>
  <c r="B21" i="23" s="1"/>
  <c r="I20" i="6"/>
  <c r="G20" i="23" s="1"/>
  <c r="M20" i="6"/>
  <c r="N4" i="6"/>
  <c r="L4" i="6"/>
  <c r="J4" i="23" s="1"/>
  <c r="E5" i="6"/>
  <c r="C5" i="23" s="1"/>
  <c r="M6" i="6"/>
  <c r="I6" i="6"/>
  <c r="G6" i="23" s="1"/>
  <c r="D7" i="6"/>
  <c r="B7" i="23" s="1"/>
  <c r="F7" i="6"/>
  <c r="D7" i="23" s="1"/>
  <c r="M8" i="6"/>
  <c r="I8" i="6"/>
  <c r="G8" i="23" s="1"/>
  <c r="E9" i="6"/>
  <c r="C9" i="23" s="1"/>
  <c r="N10" i="6"/>
  <c r="R10" i="6" s="1"/>
  <c r="L10" i="6"/>
  <c r="J10" i="23" s="1"/>
  <c r="E11" i="6"/>
  <c r="C11" i="23" s="1"/>
  <c r="M12" i="6"/>
  <c r="I12" i="6"/>
  <c r="G12" i="23" s="1"/>
  <c r="D13" i="6"/>
  <c r="B13" i="23" s="1"/>
  <c r="F13" i="6"/>
  <c r="D13" i="23" s="1"/>
  <c r="M14" i="6"/>
  <c r="I14" i="6"/>
  <c r="G14" i="23" s="1"/>
  <c r="E15" i="6"/>
  <c r="C15" i="23" s="1"/>
  <c r="N16" i="6"/>
  <c r="P16" i="6" s="1"/>
  <c r="L16" i="6"/>
  <c r="J16" i="23" s="1"/>
  <c r="E17" i="6"/>
  <c r="C17" i="23" s="1"/>
  <c r="M18" i="6"/>
  <c r="I18" i="6"/>
  <c r="G18" i="23" s="1"/>
  <c r="D19" i="6"/>
  <c r="B19" i="23" s="1"/>
  <c r="F19" i="6"/>
  <c r="D19" i="23" s="1"/>
  <c r="N20" i="6"/>
  <c r="P20" i="6" s="1"/>
  <c r="I22" i="6"/>
  <c r="G25" i="23" s="1"/>
  <c r="P39" i="10"/>
  <c r="O18" i="6"/>
  <c r="E4" i="6"/>
  <c r="C4" i="23" s="1"/>
  <c r="M5" i="6"/>
  <c r="I5" i="6"/>
  <c r="G5" i="23" s="1"/>
  <c r="D6" i="6"/>
  <c r="B6" i="23" s="1"/>
  <c r="F6" i="6"/>
  <c r="D6" i="23" s="1"/>
  <c r="N7" i="6"/>
  <c r="P7" i="6" s="1"/>
  <c r="D8" i="6"/>
  <c r="B8" i="23" s="1"/>
  <c r="F8" i="6"/>
  <c r="D8" i="23" s="1"/>
  <c r="M9" i="6"/>
  <c r="I9" i="6"/>
  <c r="G9" i="23" s="1"/>
  <c r="E10" i="6"/>
  <c r="C10" i="23" s="1"/>
  <c r="M11" i="6"/>
  <c r="I11" i="6"/>
  <c r="G11" i="23" s="1"/>
  <c r="D12" i="6"/>
  <c r="B12" i="23" s="1"/>
  <c r="F12" i="6"/>
  <c r="D12" i="23" s="1"/>
  <c r="N13" i="6"/>
  <c r="P13" i="6" s="1"/>
  <c r="D14" i="6"/>
  <c r="B14" i="23" s="1"/>
  <c r="F14" i="6"/>
  <c r="D14" i="23" s="1"/>
  <c r="M15" i="6"/>
  <c r="I15" i="6"/>
  <c r="G15" i="23" s="1"/>
  <c r="E16" i="6"/>
  <c r="C16" i="23" s="1"/>
  <c r="M17" i="6"/>
  <c r="I17" i="6"/>
  <c r="G17" i="23" s="1"/>
  <c r="D18" i="6"/>
  <c r="B18" i="23" s="1"/>
  <c r="F18" i="6"/>
  <c r="D18" i="23" s="1"/>
  <c r="L20" i="6"/>
  <c r="J20" i="23" s="1"/>
  <c r="M4" i="6"/>
  <c r="I3" i="6" s="1"/>
  <c r="G3" i="23" s="1"/>
  <c r="I4" i="6"/>
  <c r="G4" i="23" s="1"/>
  <c r="D5" i="6"/>
  <c r="B5" i="23" s="1"/>
  <c r="F5" i="6"/>
  <c r="D5" i="23" s="1"/>
  <c r="N6" i="6"/>
  <c r="P6" i="6" s="1"/>
  <c r="L6" i="6"/>
  <c r="J6" i="23" s="1"/>
  <c r="E7" i="6"/>
  <c r="C7" i="23" s="1"/>
  <c r="N8" i="6"/>
  <c r="P8" i="6" s="1"/>
  <c r="D9" i="6"/>
  <c r="B9" i="23" s="1"/>
  <c r="F9" i="6"/>
  <c r="D9" i="23" s="1"/>
  <c r="M10" i="6"/>
  <c r="I10" i="6"/>
  <c r="G10" i="23" s="1"/>
  <c r="D11" i="6"/>
  <c r="B11" i="23" s="1"/>
  <c r="F11" i="6"/>
  <c r="D11" i="23" s="1"/>
  <c r="N12" i="6"/>
  <c r="P12" i="6" s="1"/>
  <c r="G12" i="6" s="1"/>
  <c r="E12" i="23" s="1"/>
  <c r="L12" i="6"/>
  <c r="J12" i="23" s="1"/>
  <c r="E13" i="6"/>
  <c r="C13" i="23" s="1"/>
  <c r="N14" i="6"/>
  <c r="P14" i="6" s="1"/>
  <c r="G14" i="6" s="1"/>
  <c r="E14" i="23" s="1"/>
  <c r="D15" i="6"/>
  <c r="B15" i="23" s="1"/>
  <c r="F15" i="6"/>
  <c r="D15" i="23" s="1"/>
  <c r="M16" i="6"/>
  <c r="I16" i="6"/>
  <c r="G16" i="23" s="1"/>
  <c r="D17" i="6"/>
  <c r="B17" i="23" s="1"/>
  <c r="F17" i="6"/>
  <c r="D17" i="23" s="1"/>
  <c r="N18" i="6"/>
  <c r="P18" i="6" s="1"/>
  <c r="G18" i="6" s="1"/>
  <c r="E18" i="23" s="1"/>
  <c r="L18" i="6"/>
  <c r="J18" i="23" s="1"/>
  <c r="E19" i="6"/>
  <c r="C19" i="23" s="1"/>
  <c r="E21" i="6"/>
  <c r="C21" i="23" s="1"/>
  <c r="DA10" i="2"/>
  <c r="N7" i="7"/>
  <c r="K8" i="7"/>
  <c r="K10" i="7"/>
  <c r="K9" i="7"/>
  <c r="D11" i="7"/>
  <c r="J11" i="7" s="1"/>
  <c r="N12" i="7"/>
  <c r="E12" i="7"/>
  <c r="Q13" i="7"/>
  <c r="P13" i="7" s="1"/>
  <c r="I13" i="7" s="1"/>
  <c r="L15" i="7"/>
  <c r="N17" i="7"/>
  <c r="R19" i="7"/>
  <c r="R21" i="7"/>
  <c r="R23" i="7"/>
  <c r="H25" i="7"/>
  <c r="R26" i="7"/>
  <c r="R28" i="7"/>
  <c r="G7" i="7"/>
  <c r="N9" i="7"/>
  <c r="H12" i="7"/>
  <c r="D14" i="7"/>
  <c r="J14" i="7" s="1"/>
  <c r="N15" i="7"/>
  <c r="F15" i="7" s="1"/>
  <c r="H8" i="7"/>
  <c r="R10" i="7"/>
  <c r="R12" i="7"/>
  <c r="R14" i="7"/>
  <c r="H16" i="7"/>
  <c r="R17" i="7"/>
  <c r="L19" i="7"/>
  <c r="M13" i="7"/>
  <c r="H18" i="7"/>
  <c r="L21" i="7"/>
  <c r="Q23" i="7"/>
  <c r="P23" i="7" s="1"/>
  <c r="I23" i="7" s="1"/>
  <c r="D26" i="7"/>
  <c r="J26" i="7" s="1"/>
  <c r="N28" i="7"/>
  <c r="E28" i="7" s="1"/>
  <c r="R30" i="7"/>
  <c r="R32" i="7"/>
  <c r="R34" i="7"/>
  <c r="R36" i="7"/>
  <c r="R38" i="7"/>
  <c r="R40" i="7"/>
  <c r="R42" i="7"/>
  <c r="R44" i="7"/>
  <c r="R46" i="7"/>
  <c r="R48" i="7"/>
  <c r="R50" i="7"/>
  <c r="R52" i="7"/>
  <c r="R54" i="7"/>
  <c r="R56" i="7"/>
  <c r="G65" i="7"/>
  <c r="L66" i="7"/>
  <c r="N68" i="7"/>
  <c r="E68" i="7" s="1"/>
  <c r="R13" i="7"/>
  <c r="K19" i="7"/>
  <c r="Q22" i="7"/>
  <c r="P22" i="7" s="1"/>
  <c r="I22" i="7" s="1"/>
  <c r="N24" i="7"/>
  <c r="F24" i="7" s="1"/>
  <c r="M27" i="7"/>
  <c r="H30" i="7"/>
  <c r="H31" i="7"/>
  <c r="N32" i="7"/>
  <c r="F32" i="7" s="1"/>
  <c r="Q33" i="7"/>
  <c r="P33" i="7" s="1"/>
  <c r="I33" i="7" s="1"/>
  <c r="H35" i="7"/>
  <c r="N36" i="7"/>
  <c r="F36" i="7" s="1"/>
  <c r="Q37" i="7"/>
  <c r="P37" i="7" s="1"/>
  <c r="I37" i="7" s="1"/>
  <c r="H39" i="7"/>
  <c r="D41" i="7"/>
  <c r="J41" i="7" s="1"/>
  <c r="N42" i="7"/>
  <c r="E42" i="7"/>
  <c r="N10" i="7"/>
  <c r="F10" i="7" s="1"/>
  <c r="D18" i="7"/>
  <c r="J18" i="7" s="1"/>
  <c r="Q20" i="7"/>
  <c r="P20" i="7" s="1"/>
  <c r="I20" i="7" s="1"/>
  <c r="N23" i="7"/>
  <c r="F23" i="7" s="1"/>
  <c r="R25" i="7"/>
  <c r="N27" i="7"/>
  <c r="E27" i="7" s="1"/>
  <c r="M29" i="7"/>
  <c r="G32" i="7"/>
  <c r="G34" i="7"/>
  <c r="G36" i="7"/>
  <c r="G38" i="7"/>
  <c r="G40" i="7"/>
  <c r="G42" i="7"/>
  <c r="R20" i="7"/>
  <c r="M7" i="7"/>
  <c r="M9" i="7"/>
  <c r="K7" i="7"/>
  <c r="Q9" i="7"/>
  <c r="P9" i="7" s="1"/>
  <c r="I9" i="7" s="1"/>
  <c r="H11" i="7"/>
  <c r="D13" i="7"/>
  <c r="J13" i="7" s="1"/>
  <c r="N14" i="7"/>
  <c r="Q15" i="7"/>
  <c r="P15" i="7" s="1"/>
  <c r="I15" i="7" s="1"/>
  <c r="G18" i="7"/>
  <c r="G20" i="7"/>
  <c r="G22" i="7"/>
  <c r="G24" i="7"/>
  <c r="L25" i="7"/>
  <c r="G27" i="7"/>
  <c r="G29" i="7"/>
  <c r="L8" i="7"/>
  <c r="Q10" i="7"/>
  <c r="P10" i="7" s="1"/>
  <c r="I10" i="7" s="1"/>
  <c r="L12" i="7"/>
  <c r="H14" i="7"/>
  <c r="G16" i="7"/>
  <c r="M8" i="7"/>
  <c r="G11" i="7"/>
  <c r="G13" i="7"/>
  <c r="G15" i="7"/>
  <c r="L16" i="7"/>
  <c r="N18" i="7"/>
  <c r="Q19" i="7"/>
  <c r="P19" i="7" s="1"/>
  <c r="I19" i="7" s="1"/>
  <c r="H21" i="7"/>
  <c r="R15" i="7"/>
  <c r="Q18" i="7"/>
  <c r="P18" i="7" s="1"/>
  <c r="I18" i="7" s="1"/>
  <c r="D22" i="7"/>
  <c r="J22" i="7" s="1"/>
  <c r="H24" i="7"/>
  <c r="L27" i="7"/>
  <c r="Q29" i="7"/>
  <c r="P29" i="7" s="1"/>
  <c r="I29" i="7" s="1"/>
  <c r="G31" i="7"/>
  <c r="G33" i="7"/>
  <c r="G35" i="7"/>
  <c r="G37" i="7"/>
  <c r="G39" i="7"/>
  <c r="G41" i="7"/>
  <c r="G43" i="7"/>
  <c r="G45" i="7"/>
  <c r="G47" i="7"/>
  <c r="G49" i="7"/>
  <c r="G51" i="7"/>
  <c r="G53" i="7"/>
  <c r="G55" i="7"/>
  <c r="G63" i="7"/>
  <c r="K65" i="7"/>
  <c r="Q66" i="7"/>
  <c r="P66" i="7" s="1"/>
  <c r="I66" i="7" s="1"/>
  <c r="D7" i="7"/>
  <c r="J7" i="7" s="1"/>
  <c r="H17" i="7"/>
  <c r="M20" i="7"/>
  <c r="G23" i="7"/>
  <c r="K26" i="7"/>
  <c r="D28" i="7"/>
  <c r="J28" i="7" s="1"/>
  <c r="N30" i="7"/>
  <c r="L31" i="7"/>
  <c r="D33" i="7"/>
  <c r="J33" i="7" s="1"/>
  <c r="N34" i="7"/>
  <c r="L35" i="7"/>
  <c r="D37" i="7"/>
  <c r="J37" i="7" s="1"/>
  <c r="N38" i="7"/>
  <c r="E38" i="7" s="1"/>
  <c r="L39" i="7"/>
  <c r="H41" i="7"/>
  <c r="D43" i="7"/>
  <c r="J43" i="7" s="1"/>
  <c r="R11" i="7"/>
  <c r="L18" i="7"/>
  <c r="L22" i="7"/>
  <c r="Q24" i="7"/>
  <c r="P24" i="7" s="1"/>
  <c r="I24" i="7" s="1"/>
  <c r="G26" i="7"/>
  <c r="K28" i="7"/>
  <c r="D30" i="7"/>
  <c r="J30" i="7" s="1"/>
  <c r="K32" i="7"/>
  <c r="K34" i="7"/>
  <c r="K36" i="7"/>
  <c r="R7" i="7"/>
  <c r="R9" i="7"/>
  <c r="D8" i="7"/>
  <c r="J8" i="7" s="1"/>
  <c r="H10" i="7"/>
  <c r="L11" i="7"/>
  <c r="H13" i="7"/>
  <c r="D15" i="7"/>
  <c r="J15" i="7" s="1"/>
  <c r="M16" i="7"/>
  <c r="K18" i="7"/>
  <c r="K20" i="7"/>
  <c r="K22" i="7"/>
  <c r="K24" i="7"/>
  <c r="Q25" i="7"/>
  <c r="P25" i="7" s="1"/>
  <c r="I25" i="7" s="1"/>
  <c r="K27" i="7"/>
  <c r="K29" i="7"/>
  <c r="R8" i="7"/>
  <c r="N11" i="7"/>
  <c r="F11" i="7" s="1"/>
  <c r="Q12" i="7"/>
  <c r="P12" i="7" s="1"/>
  <c r="I12" i="7" s="1"/>
  <c r="L14" i="7"/>
  <c r="H7" i="7"/>
  <c r="D9" i="7"/>
  <c r="J9" i="7" s="1"/>
  <c r="K11" i="7"/>
  <c r="K13" i="7"/>
  <c r="K15" i="7"/>
  <c r="X25" i="7" s="1"/>
  <c r="Q16" i="7"/>
  <c r="P16" i="7" s="1"/>
  <c r="I16" i="7" s="1"/>
  <c r="D19" i="7"/>
  <c r="J19" i="7" s="1"/>
  <c r="N20" i="7"/>
  <c r="D10" i="7"/>
  <c r="J10" i="7" s="1"/>
  <c r="N16" i="7"/>
  <c r="E16" i="7" s="1"/>
  <c r="D20" i="7"/>
  <c r="J20" i="7" s="1"/>
  <c r="N22" i="7"/>
  <c r="F22" i="7" s="1"/>
  <c r="M24" i="7"/>
  <c r="R27" i="7"/>
  <c r="G30" i="7"/>
  <c r="K31" i="7"/>
  <c r="K33" i="7"/>
  <c r="K35" i="7"/>
  <c r="K37" i="7"/>
  <c r="X15" i="7" s="1"/>
  <c r="K39" i="7"/>
  <c r="K41" i="7"/>
  <c r="K43" i="7"/>
  <c r="K45" i="7"/>
  <c r="X16" i="7" s="1"/>
  <c r="K47" i="7"/>
  <c r="K49" i="7"/>
  <c r="K51" i="7"/>
  <c r="K53" i="7"/>
  <c r="K55" i="7"/>
  <c r="K63" i="7"/>
  <c r="D66" i="7"/>
  <c r="J66" i="7" s="1"/>
  <c r="M67" i="7"/>
  <c r="Q8" i="7"/>
  <c r="P8" i="7"/>
  <c r="I8" i="7" s="1"/>
  <c r="Q17" i="7"/>
  <c r="P17" i="7" s="1"/>
  <c r="I17" i="7" s="1"/>
  <c r="G21" i="7"/>
  <c r="L23" i="7"/>
  <c r="Q26" i="7"/>
  <c r="P26" i="7" s="1"/>
  <c r="I26" i="7" s="1"/>
  <c r="L29" i="7"/>
  <c r="D31" i="7"/>
  <c r="J31" i="7" s="1"/>
  <c r="Q31" i="7"/>
  <c r="P31" i="7" s="1"/>
  <c r="I31" i="7" s="1"/>
  <c r="H33" i="7"/>
  <c r="D35" i="7"/>
  <c r="J35" i="7" s="1"/>
  <c r="Q35" i="7"/>
  <c r="P35" i="7" s="1"/>
  <c r="I35" i="7" s="1"/>
  <c r="H37" i="7"/>
  <c r="D39" i="7"/>
  <c r="J39" i="7" s="1"/>
  <c r="Q39" i="7"/>
  <c r="P39" i="7" s="1"/>
  <c r="I39" i="7" s="1"/>
  <c r="L41" i="7"/>
  <c r="L7" i="7"/>
  <c r="G14" i="7"/>
  <c r="N19" i="7"/>
  <c r="R22" i="7"/>
  <c r="L26" i="7"/>
  <c r="Q28" i="7"/>
  <c r="P28" i="7" s="1"/>
  <c r="I28" i="7" s="1"/>
  <c r="M31" i="7"/>
  <c r="M33" i="7"/>
  <c r="M35" i="7"/>
  <c r="M37" i="7"/>
  <c r="M39" i="7"/>
  <c r="M41" i="7"/>
  <c r="G12" i="7"/>
  <c r="K16" i="7"/>
  <c r="M18" i="7"/>
  <c r="Q21" i="7"/>
  <c r="P21" i="7" s="1"/>
  <c r="I21" i="7" s="1"/>
  <c r="M10" i="7"/>
  <c r="R16" i="7"/>
  <c r="D25" i="7"/>
  <c r="J25" i="7" s="1"/>
  <c r="H9" i="7"/>
  <c r="Q7" i="7"/>
  <c r="P7" i="7" s="1"/>
  <c r="I7" i="7" s="1"/>
  <c r="D16" i="7"/>
  <c r="J16" i="7" s="1"/>
  <c r="K12" i="7"/>
  <c r="N25" i="7"/>
  <c r="M34" i="7"/>
  <c r="M42" i="7"/>
  <c r="M50" i="7"/>
  <c r="N64" i="7"/>
  <c r="E64" i="7" s="1"/>
  <c r="R18" i="7"/>
  <c r="R29" i="7"/>
  <c r="N40" i="7"/>
  <c r="F40" i="7" s="1"/>
  <c r="H20" i="7"/>
  <c r="H29" i="7"/>
  <c r="R37" i="7"/>
  <c r="R41" i="7"/>
  <c r="D17" i="7"/>
  <c r="J17" i="7" s="1"/>
  <c r="H22" i="7"/>
  <c r="R24" i="7"/>
  <c r="N26" i="7"/>
  <c r="D29" i="7"/>
  <c r="J29" i="7" s="1"/>
  <c r="N31" i="7"/>
  <c r="L32" i="7"/>
  <c r="D34" i="7"/>
  <c r="J34" i="7" s="1"/>
  <c r="N35" i="7"/>
  <c r="E35" i="7" s="1"/>
  <c r="L36" i="7"/>
  <c r="D38" i="7"/>
  <c r="J38" i="7" s="1"/>
  <c r="N39" i="7"/>
  <c r="E39" i="7" s="1"/>
  <c r="L40" i="7"/>
  <c r="H42" i="7"/>
  <c r="D44" i="7"/>
  <c r="J44" i="7" s="1"/>
  <c r="N45" i="7"/>
  <c r="F45" i="7" s="1"/>
  <c r="Q46" i="7"/>
  <c r="P46" i="7" s="1"/>
  <c r="I46" i="7" s="1"/>
  <c r="L48" i="7"/>
  <c r="H50" i="7"/>
  <c r="D52" i="7"/>
  <c r="J52" i="7" s="1"/>
  <c r="N53" i="7"/>
  <c r="F53" i="7" s="1"/>
  <c r="Q54" i="7"/>
  <c r="P54" i="7" s="1"/>
  <c r="I54" i="7" s="1"/>
  <c r="L56" i="7"/>
  <c r="R64" i="7"/>
  <c r="L43" i="7"/>
  <c r="D47" i="7"/>
  <c r="J47" i="7" s="1"/>
  <c r="Q49" i="7"/>
  <c r="P49" i="7" s="1"/>
  <c r="I49" i="7" s="1"/>
  <c r="H53" i="7"/>
  <c r="N56" i="7"/>
  <c r="F56" i="7" s="1"/>
  <c r="R65" i="7"/>
  <c r="H68" i="7"/>
  <c r="D70" i="7"/>
  <c r="J70" i="7" s="1"/>
  <c r="G71" i="7"/>
  <c r="D73" i="7"/>
  <c r="J73" i="7" s="1"/>
  <c r="M74" i="7"/>
  <c r="K76" i="7"/>
  <c r="Q77" i="7"/>
  <c r="P77" i="7" s="1"/>
  <c r="I77" i="7" s="1"/>
  <c r="K79" i="7"/>
  <c r="L88" i="7"/>
  <c r="H90" i="7"/>
  <c r="D92" i="7"/>
  <c r="J92" i="7" s="1"/>
  <c r="N93" i="7"/>
  <c r="F93" i="7" s="1"/>
  <c r="Q94" i="7"/>
  <c r="P94" i="7" s="1"/>
  <c r="I94" i="7" s="1"/>
  <c r="L96" i="7"/>
  <c r="H98" i="7"/>
  <c r="D100" i="7"/>
  <c r="J100" i="7" s="1"/>
  <c r="N101" i="7"/>
  <c r="E101" i="7" s="1"/>
  <c r="Q102" i="7"/>
  <c r="P102" i="7" s="1"/>
  <c r="I102" i="7" s="1"/>
  <c r="L104" i="7"/>
  <c r="H106" i="7"/>
  <c r="D108" i="7"/>
  <c r="J108" i="7" s="1"/>
  <c r="N115" i="7"/>
  <c r="F115" i="7" s="1"/>
  <c r="Q116" i="7"/>
  <c r="P116" i="7" s="1"/>
  <c r="I116" i="7" s="1"/>
  <c r="L118" i="7"/>
  <c r="R45" i="7"/>
  <c r="R49" i="7"/>
  <c r="R53" i="7"/>
  <c r="R63" i="7"/>
  <c r="J65" i="7"/>
  <c r="D68" i="7"/>
  <c r="J68" i="7" s="1"/>
  <c r="D71" i="7"/>
  <c r="J71" i="7" s="1"/>
  <c r="D72" i="7"/>
  <c r="J72" i="7" s="1"/>
  <c r="M73" i="7"/>
  <c r="K75" i="7"/>
  <c r="G8" i="7"/>
  <c r="Q11" i="7"/>
  <c r="P11" i="7" s="1"/>
  <c r="I11" i="7" s="1"/>
  <c r="M19" i="7"/>
  <c r="M26" i="7"/>
  <c r="D12" i="7"/>
  <c r="J12" i="7" s="1"/>
  <c r="L10" i="7"/>
  <c r="M17" i="7"/>
  <c r="G17" i="7"/>
  <c r="H28" i="7"/>
  <c r="M36" i="7"/>
  <c r="M44" i="7"/>
  <c r="M52" i="7"/>
  <c r="H66" i="7"/>
  <c r="N21" i="7"/>
  <c r="F21" i="7"/>
  <c r="Q41" i="7"/>
  <c r="P41" i="7" s="1"/>
  <c r="I41" i="7" s="1"/>
  <c r="H23" i="7"/>
  <c r="R31" i="7"/>
  <c r="K38" i="7"/>
  <c r="L9" i="7"/>
  <c r="L17" i="7"/>
  <c r="M22" i="7"/>
  <c r="G25" i="7"/>
  <c r="Q27" i="7"/>
  <c r="P27" i="7" s="1"/>
  <c r="I27" i="7" s="1"/>
  <c r="N29" i="7"/>
  <c r="E29" i="7" s="1"/>
  <c r="D32" i="7"/>
  <c r="J32" i="7" s="1"/>
  <c r="Q32" i="7"/>
  <c r="P32" i="7" s="1"/>
  <c r="I32" i="7" s="1"/>
  <c r="H34" i="7"/>
  <c r="D36" i="7"/>
  <c r="Q36" i="7"/>
  <c r="P36" i="7" s="1"/>
  <c r="I36" i="7" s="1"/>
  <c r="H38" i="7"/>
  <c r="D40" i="7"/>
  <c r="J40" i="7" s="1"/>
  <c r="Q40" i="7"/>
  <c r="P40" i="7" s="1"/>
  <c r="I40" i="7" s="1"/>
  <c r="L42" i="7"/>
  <c r="H44" i="7"/>
  <c r="D46" i="7"/>
  <c r="J46" i="7" s="1"/>
  <c r="N47" i="7"/>
  <c r="Q48" i="7"/>
  <c r="P48" i="7" s="1"/>
  <c r="I48" i="7" s="1"/>
  <c r="L50" i="7"/>
  <c r="H52" i="7"/>
  <c r="D54" i="7"/>
  <c r="J54" i="7" s="1"/>
  <c r="N55" i="7"/>
  <c r="F55" i="7" s="1"/>
  <c r="Q56" i="7"/>
  <c r="P56" i="7" s="1"/>
  <c r="I56" i="7" s="1"/>
  <c r="N65" i="7"/>
  <c r="N44" i="7"/>
  <c r="L47" i="7"/>
  <c r="D51" i="7"/>
  <c r="J51" i="7" s="1"/>
  <c r="Q53" i="7"/>
  <c r="P53" i="7" s="1"/>
  <c r="I53" i="7" s="1"/>
  <c r="H63" i="7"/>
  <c r="R66" i="7"/>
  <c r="M68" i="7"/>
  <c r="H70" i="7"/>
  <c r="K71" i="7"/>
  <c r="H73" i="7"/>
  <c r="R74" i="7"/>
  <c r="D77" i="7"/>
  <c r="J77" i="7" s="1"/>
  <c r="G78" i="7"/>
  <c r="N87" i="7"/>
  <c r="Q88" i="7"/>
  <c r="P88" i="7" s="1"/>
  <c r="I88" i="7" s="1"/>
  <c r="L90" i="7"/>
  <c r="H92" i="7"/>
  <c r="D94" i="7"/>
  <c r="J94" i="7" s="1"/>
  <c r="N95" i="7"/>
  <c r="Q96" i="7"/>
  <c r="P96" i="7" s="1"/>
  <c r="I96" i="7" s="1"/>
  <c r="L98" i="7"/>
  <c r="H100" i="7"/>
  <c r="D102" i="7"/>
  <c r="J102" i="7" s="1"/>
  <c r="N103" i="7"/>
  <c r="Q104" i="7"/>
  <c r="P104" i="7" s="1"/>
  <c r="I104" i="7" s="1"/>
  <c r="L106" i="7"/>
  <c r="H108" i="7"/>
  <c r="D116" i="7"/>
  <c r="J116" i="7" s="1"/>
  <c r="N117" i="7"/>
  <c r="E117" i="7" s="1"/>
  <c r="Q118" i="7"/>
  <c r="P118" i="7" s="1"/>
  <c r="I118" i="7" s="1"/>
  <c r="K46" i="7"/>
  <c r="X17" i="7" s="1"/>
  <c r="K50" i="7"/>
  <c r="K54" i="7"/>
  <c r="D64" i="7"/>
  <c r="J64" i="7" s="1"/>
  <c r="G10" i="7"/>
  <c r="L13" i="7"/>
  <c r="M21" i="7"/>
  <c r="M28" i="7"/>
  <c r="N13" i="7"/>
  <c r="E13" i="7" s="1"/>
  <c r="M12" i="7"/>
  <c r="H19" i="7"/>
  <c r="L20" i="7"/>
  <c r="L30" i="7"/>
  <c r="M38" i="7"/>
  <c r="M46" i="7"/>
  <c r="M54" i="7"/>
  <c r="R67" i="7"/>
  <c r="D24" i="7"/>
  <c r="J24" i="7" s="1"/>
  <c r="L37" i="7"/>
  <c r="G9" i="7"/>
  <c r="K25" i="7"/>
  <c r="R33" i="7"/>
  <c r="R39" i="7"/>
  <c r="K14" i="7"/>
  <c r="X24" i="7" s="1"/>
  <c r="G19" i="7"/>
  <c r="D23" i="7"/>
  <c r="J23" i="7" s="1"/>
  <c r="M25" i="7"/>
  <c r="G28" i="7"/>
  <c r="K30" i="7"/>
  <c r="L34" i="7"/>
  <c r="J36" i="7"/>
  <c r="L38" i="7"/>
  <c r="N41" i="7"/>
  <c r="Q42" i="7"/>
  <c r="P42" i="7" s="1"/>
  <c r="I42" i="7" s="1"/>
  <c r="L44" i="7"/>
  <c r="H46" i="7"/>
  <c r="D48" i="7"/>
  <c r="J48" i="7" s="1"/>
  <c r="N49" i="7"/>
  <c r="Q50" i="7"/>
  <c r="P50" i="7" s="1"/>
  <c r="I50" i="7" s="1"/>
  <c r="L52" i="7"/>
  <c r="H54" i="7"/>
  <c r="D56" i="7"/>
  <c r="J56" i="7" s="1"/>
  <c r="N63" i="7"/>
  <c r="F63" i="7" s="1"/>
  <c r="G66" i="7"/>
  <c r="H45" i="7"/>
  <c r="N48" i="7"/>
  <c r="E48" i="7" s="1"/>
  <c r="L51" i="7"/>
  <c r="D55" i="7"/>
  <c r="J55" i="7" s="1"/>
  <c r="Q63" i="7"/>
  <c r="P63" i="7" s="1"/>
  <c r="I63" i="7" s="1"/>
  <c r="G67" i="7"/>
  <c r="M69" i="7"/>
  <c r="L70" i="7"/>
  <c r="G72" i="7"/>
  <c r="L73" i="7"/>
  <c r="N75" i="7"/>
  <c r="F75" i="7" s="1"/>
  <c r="E75" i="7"/>
  <c r="H77" i="7"/>
  <c r="K78" i="7"/>
  <c r="D88" i="7"/>
  <c r="J88" i="7" s="1"/>
  <c r="N89" i="7"/>
  <c r="Q90" i="7"/>
  <c r="P90" i="7" s="1"/>
  <c r="I90" i="7" s="1"/>
  <c r="L92" i="7"/>
  <c r="H94" i="7"/>
  <c r="D96" i="7"/>
  <c r="J96" i="7" s="1"/>
  <c r="N97" i="7"/>
  <c r="F97" i="7" s="1"/>
  <c r="Q98" i="7"/>
  <c r="P98" i="7" s="1"/>
  <c r="I98" i="7" s="1"/>
  <c r="L100" i="7"/>
  <c r="H102" i="7"/>
  <c r="D104" i="7"/>
  <c r="J104" i="7" s="1"/>
  <c r="N105" i="7"/>
  <c r="E105" i="7" s="1"/>
  <c r="F105" i="7"/>
  <c r="Q106" i="7"/>
  <c r="P106" i="7" s="1"/>
  <c r="I106" i="7" s="1"/>
  <c r="L108" i="7"/>
  <c r="H116" i="7"/>
  <c r="D118" i="7"/>
  <c r="J118" i="7" s="1"/>
  <c r="M43" i="7"/>
  <c r="M47" i="7"/>
  <c r="M51" i="7"/>
  <c r="M55" i="7"/>
  <c r="L64" i="7"/>
  <c r="H67" i="7"/>
  <c r="M70" i="7"/>
  <c r="L71" i="7"/>
  <c r="L72" i="7"/>
  <c r="N74" i="7"/>
  <c r="H76" i="7"/>
  <c r="G33" i="19"/>
  <c r="P4" i="6"/>
  <c r="G4" i="6" s="1"/>
  <c r="E4" i="23" s="1"/>
  <c r="BT9" i="23"/>
  <c r="BS52" i="23"/>
  <c r="F26" i="19"/>
  <c r="BP11" i="23"/>
  <c r="BE10" i="2"/>
  <c r="L68" i="23"/>
  <c r="R39" i="10"/>
  <c r="F9" i="7"/>
  <c r="E9" i="7"/>
  <c r="F17" i="7"/>
  <c r="E17" i="7"/>
  <c r="F7" i="7"/>
  <c r="E7" i="7"/>
  <c r="E15" i="7"/>
  <c r="E24" i="7"/>
  <c r="E45" i="7"/>
  <c r="F39" i="7"/>
  <c r="E11" i="7"/>
  <c r="E23" i="7"/>
  <c r="E36" i="7"/>
  <c r="F12" i="7"/>
  <c r="BT8" i="23"/>
  <c r="BC93" i="23"/>
  <c r="BU9" i="23"/>
  <c r="BL10" i="2"/>
  <c r="F68" i="7"/>
  <c r="E32" i="7"/>
  <c r="AQ10" i="2"/>
  <c r="F66" i="7"/>
  <c r="E96" i="7"/>
  <c r="E120" i="7"/>
  <c r="E143" i="7"/>
  <c r="F132" i="7"/>
  <c r="DB10" i="2"/>
  <c r="F90" i="7"/>
  <c r="F16" i="19"/>
  <c r="F33" i="19"/>
  <c r="F27" i="7"/>
  <c r="CU12" i="2"/>
  <c r="DL10" i="2"/>
  <c r="CR10" i="2"/>
  <c r="F94" i="7"/>
  <c r="BS8" i="23"/>
  <c r="BW10" i="2"/>
  <c r="AG10" i="2"/>
  <c r="M35" i="21"/>
  <c r="E119" i="7"/>
  <c r="L10" i="2"/>
  <c r="M10" i="2" s="1"/>
  <c r="AB10" i="3" s="1"/>
  <c r="F29" i="7"/>
  <c r="H12" i="3"/>
  <c r="CU10" i="2"/>
  <c r="E21" i="7"/>
  <c r="F12" i="19"/>
  <c r="N15" i="23"/>
  <c r="E55" i="7"/>
  <c r="AJ10" i="2"/>
  <c r="Q25" i="23"/>
  <c r="BU55" i="23"/>
  <c r="DQ15" i="23"/>
  <c r="E133" i="7"/>
  <c r="F130" i="7"/>
  <c r="F28" i="7"/>
  <c r="F42" i="7"/>
  <c r="BS10" i="23"/>
  <c r="Q51" i="23"/>
  <c r="A30" i="19"/>
  <c r="CF12" i="2"/>
  <c r="BG10" i="2"/>
  <c r="U12" i="2"/>
  <c r="A13" i="19"/>
  <c r="E92" i="7"/>
  <c r="O10" i="2"/>
  <c r="J10" i="3" s="1"/>
  <c r="CW10" i="2"/>
  <c r="F138" i="7"/>
  <c r="M33" i="21"/>
  <c r="F33" i="21" s="1"/>
  <c r="E108" i="7"/>
  <c r="F39" i="19"/>
  <c r="F13" i="19"/>
  <c r="CX12" i="2"/>
  <c r="CC12" i="2"/>
  <c r="G34" i="6"/>
  <c r="E51" i="23" s="1"/>
  <c r="AY10" i="3"/>
  <c r="AM12" i="2"/>
  <c r="A39" i="19"/>
  <c r="R7" i="6"/>
  <c r="R9" i="6"/>
  <c r="R42" i="6"/>
  <c r="G9" i="6"/>
  <c r="E9" i="23" s="1"/>
  <c r="R12" i="2"/>
  <c r="L12" i="3" s="1"/>
  <c r="F117" i="7"/>
  <c r="O30" i="21"/>
  <c r="F7" i="19"/>
  <c r="G7" i="6"/>
  <c r="E7" i="23" s="1"/>
  <c r="E22" i="7"/>
  <c r="E93" i="7"/>
  <c r="P10" i="6"/>
  <c r="G10" i="6" s="1"/>
  <c r="E10" i="23" s="1"/>
  <c r="P39" i="6"/>
  <c r="G39" i="6" s="1"/>
  <c r="E56" i="23" s="1"/>
  <c r="M6" i="21"/>
  <c r="F6" i="21" s="1"/>
  <c r="G32" i="20"/>
  <c r="H32" i="20"/>
  <c r="P32" i="20"/>
  <c r="O32" i="20"/>
  <c r="Q32" i="20"/>
  <c r="S32" i="20" s="1"/>
  <c r="F32" i="20" s="1"/>
  <c r="E32" i="20"/>
  <c r="E30" i="20"/>
  <c r="H27" i="20"/>
  <c r="H26" i="20"/>
  <c r="O26" i="20"/>
  <c r="P26" i="20"/>
  <c r="H22" i="20"/>
  <c r="P22" i="20"/>
  <c r="O22" i="20"/>
  <c r="E22" i="20"/>
  <c r="G22" i="20"/>
  <c r="Q22" i="20"/>
  <c r="S22" i="20" s="1"/>
  <c r="O14" i="20"/>
  <c r="E14" i="20"/>
  <c r="E12" i="20"/>
  <c r="E11" i="20"/>
  <c r="G11" i="20"/>
  <c r="P11" i="20"/>
  <c r="Q11" i="20"/>
  <c r="S11" i="20" s="1"/>
  <c r="Q9" i="20"/>
  <c r="S9" i="20" s="1"/>
  <c r="G3" i="6"/>
  <c r="E3" i="23" s="1"/>
  <c r="G37" i="6"/>
  <c r="E54" i="23" s="1"/>
  <c r="AK12" i="2"/>
  <c r="F78" i="7"/>
  <c r="F142" i="7"/>
  <c r="G29" i="19"/>
  <c r="M27" i="21"/>
  <c r="F27" i="21" s="1"/>
  <c r="E27" i="21"/>
  <c r="BQ54" i="23"/>
  <c r="M15" i="23"/>
  <c r="Q15" i="23"/>
  <c r="E129" i="7"/>
  <c r="M13" i="21"/>
  <c r="F91" i="7"/>
  <c r="E91" i="7"/>
  <c r="AL12" i="2"/>
  <c r="CB12" i="2"/>
  <c r="I58" i="23"/>
  <c r="L58" i="23" s="1"/>
  <c r="L29" i="23"/>
  <c r="AO12" i="2"/>
  <c r="CO12" i="2"/>
  <c r="AY12" i="2"/>
  <c r="CZ12" i="2"/>
  <c r="AJ12" i="2"/>
  <c r="T32" i="19"/>
  <c r="G28" i="19"/>
  <c r="G38" i="19"/>
  <c r="G15" i="19"/>
  <c r="Q10" i="19"/>
  <c r="F10" i="19" s="1"/>
  <c r="T16" i="19"/>
  <c r="G9" i="19"/>
  <c r="A9" i="19"/>
  <c r="A12" i="19"/>
  <c r="G12" i="19"/>
  <c r="E134" i="7"/>
  <c r="F134" i="7"/>
  <c r="E116" i="7"/>
  <c r="F116" i="7"/>
  <c r="F137" i="7"/>
  <c r="E137" i="7"/>
  <c r="F100" i="7"/>
  <c r="E100" i="7"/>
  <c r="E72" i="7"/>
  <c r="F72" i="7"/>
  <c r="E50" i="7"/>
  <c r="F50" i="7"/>
  <c r="R19" i="6"/>
  <c r="G36" i="6"/>
  <c r="E53" i="23" s="1"/>
  <c r="F38" i="19"/>
  <c r="G25" i="6"/>
  <c r="E28" i="23" s="1"/>
  <c r="F48" i="7"/>
  <c r="V12" i="2"/>
  <c r="AK12" i="3" s="1"/>
  <c r="G24" i="6"/>
  <c r="E27" i="23" s="1"/>
  <c r="BT52" i="23"/>
  <c r="G44" i="6"/>
  <c r="E61" i="23" s="1"/>
  <c r="F6" i="19"/>
  <c r="AL12" i="3"/>
  <c r="M5" i="23"/>
  <c r="R5" i="23"/>
  <c r="Q5" i="23"/>
  <c r="BU54" i="23"/>
  <c r="M59" i="23"/>
  <c r="L59" i="23"/>
  <c r="M30" i="23"/>
  <c r="R30" i="23"/>
  <c r="N30" i="23"/>
  <c r="Q30" i="23"/>
  <c r="R6" i="23"/>
  <c r="M4" i="23"/>
  <c r="Q4" i="23"/>
  <c r="BC104" i="23"/>
  <c r="Q57" i="23"/>
  <c r="R57" i="23"/>
  <c r="BP54" i="23"/>
  <c r="N57" i="23"/>
  <c r="M57" i="23"/>
  <c r="M52" i="23"/>
  <c r="N52" i="23"/>
  <c r="Q52" i="23"/>
  <c r="R52" i="23"/>
  <c r="BR52" i="23"/>
  <c r="L55" i="23"/>
  <c r="BS53" i="23"/>
  <c r="L28" i="23"/>
  <c r="N28" i="23"/>
  <c r="BR55" i="23"/>
  <c r="L18" i="23"/>
  <c r="BT53" i="23"/>
  <c r="E63" i="7"/>
  <c r="F37" i="19"/>
  <c r="M55" i="23"/>
  <c r="Q17" i="23"/>
  <c r="L11" i="23"/>
  <c r="R29" i="23"/>
  <c r="M17" i="23"/>
  <c r="R17" i="23"/>
  <c r="A19" i="19"/>
  <c r="BR53" i="23"/>
  <c r="R10" i="23"/>
  <c r="E21" i="11"/>
  <c r="E22" i="11"/>
  <c r="J21" i="11"/>
  <c r="J22" i="11" s="1"/>
  <c r="ER4" i="18"/>
  <c r="ES4" i="18" s="1"/>
  <c r="FL4" i="18" s="1"/>
  <c r="ET4" i="18"/>
  <c r="EU4" i="18" s="1"/>
  <c r="BC7" i="1"/>
  <c r="AD10" i="3"/>
  <c r="I10" i="3"/>
  <c r="K12" i="3"/>
  <c r="AH10" i="2"/>
  <c r="Q58" i="23"/>
  <c r="EV4" i="18"/>
  <c r="FM4" i="18"/>
  <c r="FA4" i="18"/>
  <c r="FO4" i="18"/>
  <c r="FE4" i="18"/>
  <c r="F34" i="21"/>
  <c r="F28" i="21"/>
  <c r="O28" i="21"/>
  <c r="BM7" i="1"/>
  <c r="E102" i="14"/>
  <c r="E37" i="14"/>
  <c r="DW10" i="2"/>
  <c r="E65" i="14"/>
  <c r="E61" i="14"/>
  <c r="EI12" i="2"/>
  <c r="BJ7" i="1"/>
  <c r="E55" i="14"/>
  <c r="E17" i="14"/>
  <c r="DY12" i="2"/>
  <c r="G26" i="8"/>
  <c r="E87" i="14"/>
  <c r="BK12" i="3"/>
  <c r="E59" i="14"/>
  <c r="E26" i="14"/>
  <c r="EK12" i="2"/>
  <c r="E20" i="14"/>
  <c r="E8" i="14"/>
  <c r="E7" i="14"/>
  <c r="E40" i="14"/>
  <c r="E18" i="14"/>
  <c r="BB12" i="3"/>
  <c r="E74" i="14"/>
  <c r="E38" i="14"/>
  <c r="S32" i="10"/>
  <c r="E113" i="14"/>
  <c r="E58" i="14"/>
  <c r="EH12" i="2"/>
  <c r="E32" i="14"/>
  <c r="EO12" i="2"/>
  <c r="E34" i="14"/>
  <c r="EE10" i="2"/>
  <c r="DX10" i="2"/>
  <c r="F14" i="8"/>
  <c r="E117" i="14"/>
  <c r="EK10" i="2"/>
  <c r="EP10" i="2"/>
  <c r="S31" i="10"/>
  <c r="DV12" i="2"/>
  <c r="DV10" i="2"/>
  <c r="E66" i="14"/>
  <c r="ED10" i="2"/>
  <c r="EE12" i="2"/>
  <c r="E118" i="14"/>
  <c r="E115" i="14"/>
  <c r="S40" i="10"/>
  <c r="E84" i="14"/>
  <c r="E80" i="14"/>
  <c r="E54" i="14"/>
  <c r="E72" i="14"/>
  <c r="E103" i="14"/>
  <c r="BC12" i="3"/>
  <c r="BR7" i="1"/>
  <c r="EP12" i="2"/>
  <c r="E107" i="14"/>
  <c r="DU10" i="2"/>
  <c r="E79" i="14"/>
  <c r="EC10" i="2"/>
  <c r="EJ12" i="2"/>
  <c r="DY10" i="2"/>
  <c r="H26" i="8"/>
  <c r="E60" i="14"/>
  <c r="E62" i="14"/>
  <c r="S30" i="10"/>
  <c r="E11" i="14"/>
  <c r="EB10" i="2"/>
  <c r="ES12" i="2"/>
  <c r="F9" i="5"/>
  <c r="ED12" i="2"/>
  <c r="S29" i="10"/>
  <c r="E71" i="14"/>
  <c r="EG12" i="2"/>
  <c r="BN7" i="1"/>
  <c r="E43" i="14"/>
  <c r="EF12" i="2"/>
  <c r="EG10" i="2"/>
  <c r="EN10" i="2"/>
  <c r="S39" i="10"/>
  <c r="E83" i="14"/>
  <c r="S38" i="10"/>
  <c r="E82" i="14"/>
  <c r="E70" i="14"/>
  <c r="E52" i="14"/>
  <c r="EB12" i="2"/>
  <c r="CJ7" i="1"/>
  <c r="E57" i="14"/>
  <c r="EQ12" i="2"/>
  <c r="BB10" i="3"/>
  <c r="BK10" i="3"/>
  <c r="E36" i="14"/>
  <c r="E35" i="14"/>
  <c r="E67" i="14"/>
  <c r="E85" i="14"/>
  <c r="E29" i="14"/>
  <c r="EA12" i="2"/>
  <c r="E49" i="14"/>
  <c r="H13" i="8"/>
  <c r="G13" i="8"/>
  <c r="E73" i="14"/>
  <c r="E33" i="14"/>
  <c r="E104" i="14"/>
  <c r="BC10" i="3"/>
  <c r="E77" i="14"/>
  <c r="E21" i="14"/>
  <c r="EQ10" i="2"/>
  <c r="EL10" i="2"/>
  <c r="E116" i="14"/>
  <c r="E30" i="14"/>
  <c r="DZ12" i="2"/>
  <c r="E109" i="14"/>
  <c r="EH10" i="2"/>
  <c r="G14" i="8"/>
  <c r="BK7" i="1"/>
  <c r="E50" i="14"/>
  <c r="S37" i="10"/>
  <c r="E86" i="14"/>
  <c r="E47" i="14"/>
  <c r="E39" i="14"/>
  <c r="EM12" i="2"/>
  <c r="E53" i="14"/>
  <c r="BP7" i="1"/>
  <c r="BA10" i="3"/>
  <c r="G27" i="8"/>
  <c r="F8" i="5"/>
  <c r="E15" i="14"/>
  <c r="E27" i="14"/>
  <c r="EN12" i="2"/>
  <c r="E28" i="14"/>
  <c r="BJ12" i="3"/>
  <c r="ER10" i="2"/>
  <c r="E75" i="14"/>
  <c r="E6" i="14"/>
  <c r="EO10" i="2"/>
  <c r="ER12" i="2"/>
  <c r="E81" i="14"/>
  <c r="F26" i="8"/>
  <c r="EL12" i="2"/>
  <c r="DZ10" i="2"/>
  <c r="E9" i="14"/>
  <c r="F27" i="8"/>
  <c r="E13" i="14"/>
  <c r="E51" i="14"/>
  <c r="BL7" i="1"/>
  <c r="EF10" i="2"/>
  <c r="E114" i="14"/>
  <c r="DX12" i="2"/>
  <c r="F13" i="8"/>
  <c r="E56" i="14"/>
  <c r="ES10" i="2"/>
  <c r="E101" i="14"/>
  <c r="BJ10" i="3"/>
  <c r="EI10" i="2"/>
  <c r="E12" i="14"/>
  <c r="E48" i="14"/>
  <c r="E19" i="14"/>
  <c r="E63" i="14"/>
  <c r="E41" i="14"/>
  <c r="BI12" i="3"/>
  <c r="E42" i="14"/>
  <c r="E14" i="14"/>
  <c r="EJ10" i="2"/>
  <c r="E106" i="14"/>
  <c r="E76" i="14"/>
  <c r="E46" i="14"/>
  <c r="E108" i="14"/>
  <c r="BI10" i="3"/>
  <c r="E78" i="14"/>
  <c r="EA10" i="2"/>
  <c r="E16" i="14"/>
  <c r="BA12" i="3"/>
  <c r="E110" i="14"/>
  <c r="EM10" i="2"/>
  <c r="E31" i="14"/>
  <c r="DU12" i="2"/>
  <c r="H27" i="8"/>
  <c r="H14" i="8"/>
  <c r="E23" i="14"/>
  <c r="E22" i="14"/>
  <c r="E10" i="14"/>
  <c r="EC12" i="2"/>
  <c r="DW12" i="2"/>
  <c r="AM10" i="2" l="1"/>
  <c r="A32" i="19"/>
  <c r="AU12" i="2"/>
  <c r="BT12" i="2"/>
  <c r="DL12" i="2"/>
  <c r="BG12" i="2"/>
  <c r="P14" i="20"/>
  <c r="CV12" i="2"/>
  <c r="BV12" i="2"/>
  <c r="R45" i="6"/>
  <c r="O12" i="3"/>
  <c r="BK10" i="2"/>
  <c r="A11" i="19"/>
  <c r="H10" i="3"/>
  <c r="U10" i="2"/>
  <c r="AJ10" i="3" s="1"/>
  <c r="A17" i="19"/>
  <c r="R5" i="6"/>
  <c r="AH12" i="2"/>
  <c r="M32" i="21"/>
  <c r="F32" i="21" s="1"/>
  <c r="F35" i="19"/>
  <c r="A29" i="19"/>
  <c r="CX10" i="2"/>
  <c r="R21" i="6"/>
  <c r="CK12" i="2"/>
  <c r="AD12" i="2"/>
  <c r="AS12" i="3" s="1"/>
  <c r="T12" i="2"/>
  <c r="AI12" i="3" s="1"/>
  <c r="CE12" i="2"/>
  <c r="BX12" i="2"/>
  <c r="P12" i="2"/>
  <c r="AE12" i="3" s="1"/>
  <c r="Z12" i="2"/>
  <c r="AO12" i="3" s="1"/>
  <c r="BH10" i="2"/>
  <c r="CF10" i="2"/>
  <c r="G8" i="6"/>
  <c r="E8" i="23" s="1"/>
  <c r="G6" i="6"/>
  <c r="E6" i="23" s="1"/>
  <c r="G20" i="6"/>
  <c r="E20" i="23" s="1"/>
  <c r="R23" i="6"/>
  <c r="CW12" i="2"/>
  <c r="H6" i="20"/>
  <c r="Q6" i="20"/>
  <c r="S6" i="20" s="1"/>
  <c r="A41" i="19"/>
  <c r="BJ12" i="2"/>
  <c r="CQ12" i="2"/>
  <c r="CS12" i="2"/>
  <c r="DJ12" i="2"/>
  <c r="AF12" i="2"/>
  <c r="A36" i="19"/>
  <c r="A37" i="19"/>
  <c r="CC10" i="2"/>
  <c r="A25" i="19"/>
  <c r="BA12" i="2"/>
  <c r="BP12" i="2"/>
  <c r="P6" i="20"/>
  <c r="O6" i="20"/>
  <c r="P9" i="20"/>
  <c r="H31" i="20"/>
  <c r="G21" i="21"/>
  <c r="H9" i="20"/>
  <c r="F22" i="20"/>
  <c r="G31" i="20"/>
  <c r="M9" i="21"/>
  <c r="F9" i="21" s="1"/>
  <c r="M14" i="21"/>
  <c r="F14" i="21" s="1"/>
  <c r="F21" i="20"/>
  <c r="G9" i="20"/>
  <c r="H21" i="21"/>
  <c r="G28" i="21"/>
  <c r="O31" i="20"/>
  <c r="O9" i="20"/>
  <c r="DQ7" i="23"/>
  <c r="M7" i="23"/>
  <c r="BR8" i="23"/>
  <c r="R21" i="23"/>
  <c r="M21" i="23"/>
  <c r="Q21" i="23"/>
  <c r="BP9" i="23"/>
  <c r="Q14" i="23"/>
  <c r="DQ14" i="23"/>
  <c r="N14" i="23"/>
  <c r="R14" i="23"/>
  <c r="AK42" i="23"/>
  <c r="M14" i="23"/>
  <c r="R14" i="6"/>
  <c r="BJ10" i="2"/>
  <c r="E10" i="7"/>
  <c r="A15" i="19"/>
  <c r="DB12" i="2"/>
  <c r="L56" i="23"/>
  <c r="Q28" i="23"/>
  <c r="R27" i="6"/>
  <c r="BZ12" i="2"/>
  <c r="BF12" i="2"/>
  <c r="F13" i="7"/>
  <c r="R39" i="6"/>
  <c r="R36" i="6"/>
  <c r="R37" i="6"/>
  <c r="BL12" i="2"/>
  <c r="F64" i="7"/>
  <c r="E115" i="7"/>
  <c r="E56" i="7"/>
  <c r="E97" i="7"/>
  <c r="G13" i="6"/>
  <c r="E13" i="23" s="1"/>
  <c r="R38" i="6"/>
  <c r="G40" i="6"/>
  <c r="E57" i="23" s="1"/>
  <c r="R41" i="6"/>
  <c r="G45" i="6"/>
  <c r="E62" i="23" s="1"/>
  <c r="R4" i="23"/>
  <c r="G5" i="6"/>
  <c r="E5" i="23" s="1"/>
  <c r="G22" i="6"/>
  <c r="E25" i="23" s="1"/>
  <c r="F34" i="19"/>
  <c r="F40" i="19"/>
  <c r="F28" i="19"/>
  <c r="F18" i="19"/>
  <c r="F14" i="19"/>
  <c r="F8" i="19"/>
  <c r="F11" i="19"/>
  <c r="G11" i="6"/>
  <c r="E11" i="23" s="1"/>
  <c r="G33" i="6"/>
  <c r="E50" i="23" s="1"/>
  <c r="R12" i="23"/>
  <c r="R11" i="6"/>
  <c r="Q9" i="23"/>
  <c r="DJ10" i="2"/>
  <c r="BS54" i="23"/>
  <c r="AG12" i="3"/>
  <c r="AD12" i="3"/>
  <c r="O10" i="3"/>
  <c r="BQ9" i="23"/>
  <c r="BE12" i="2"/>
  <c r="CA12" i="2"/>
  <c r="M12" i="23"/>
  <c r="CB10" i="2"/>
  <c r="CA10" i="2"/>
  <c r="AL10" i="2"/>
  <c r="A35" i="19"/>
  <c r="BP10" i="2"/>
  <c r="CS10" i="2"/>
  <c r="K10" i="3"/>
  <c r="E40" i="7"/>
  <c r="AQ12" i="2"/>
  <c r="R4" i="6"/>
  <c r="F29" i="19"/>
  <c r="A10" i="19"/>
  <c r="F17" i="19"/>
  <c r="F14" i="20"/>
  <c r="H30" i="20"/>
  <c r="R15" i="6"/>
  <c r="O10" i="21"/>
  <c r="G10" i="21" s="1"/>
  <c r="O11" i="21"/>
  <c r="G11" i="21" s="1"/>
  <c r="G21" i="6"/>
  <c r="E21" i="23" s="1"/>
  <c r="O14" i="21"/>
  <c r="G14" i="21" s="1"/>
  <c r="R6" i="6"/>
  <c r="E31" i="21"/>
  <c r="E27" i="20"/>
  <c r="O32" i="21"/>
  <c r="G32" i="21" s="1"/>
  <c r="F11" i="20"/>
  <c r="Q12" i="20"/>
  <c r="S12" i="20" s="1"/>
  <c r="F12" i="20" s="1"/>
  <c r="H12" i="20"/>
  <c r="Q27" i="20"/>
  <c r="S27" i="20" s="1"/>
  <c r="F27" i="20" s="1"/>
  <c r="P30" i="20"/>
  <c r="P31" i="20"/>
  <c r="G30" i="21"/>
  <c r="R43" i="6"/>
  <c r="E10" i="21"/>
  <c r="R16" i="6"/>
  <c r="I21" i="20"/>
  <c r="M26" i="21"/>
  <c r="O27" i="20"/>
  <c r="Q15" i="19"/>
  <c r="F15" i="19" s="1"/>
  <c r="A28" i="19"/>
  <c r="A8" i="19"/>
  <c r="R20" i="6"/>
  <c r="G26" i="6"/>
  <c r="E29" i="23" s="1"/>
  <c r="P12" i="20"/>
  <c r="P27" i="20"/>
  <c r="A18" i="19"/>
  <c r="O6" i="21"/>
  <c r="R40" i="6"/>
  <c r="R26" i="6"/>
  <c r="R34" i="6"/>
  <c r="O12" i="20"/>
  <c r="O30" i="20"/>
  <c r="A34" i="19"/>
  <c r="A40" i="19"/>
  <c r="M7" i="21"/>
  <c r="F7" i="21" s="1"/>
  <c r="G34" i="21"/>
  <c r="AA12" i="3"/>
  <c r="M12" i="2"/>
  <c r="AB12" i="3" s="1"/>
  <c r="L16" i="23"/>
  <c r="M16" i="23"/>
  <c r="Q16" i="23"/>
  <c r="BP55" i="23"/>
  <c r="M60" i="23"/>
  <c r="BT55" i="23"/>
  <c r="M62" i="23"/>
  <c r="AS12" i="2"/>
  <c r="BN12" i="2"/>
  <c r="X12" i="2"/>
  <c r="DD12" i="2"/>
  <c r="CI12" i="2"/>
  <c r="AA10" i="3"/>
  <c r="F27" i="19"/>
  <c r="CR7" i="1"/>
  <c r="G43" i="6"/>
  <c r="E60" i="23" s="1"/>
  <c r="G23" i="6"/>
  <c r="E26" i="23" s="1"/>
  <c r="M19" i="23"/>
  <c r="F24" i="19"/>
  <c r="P12" i="3"/>
  <c r="E34" i="7"/>
  <c r="F34" i="7"/>
  <c r="BU11" i="23"/>
  <c r="L30" i="23"/>
  <c r="AF42" i="23"/>
  <c r="BT10" i="23"/>
  <c r="G10" i="3"/>
  <c r="F10" i="3"/>
  <c r="F95" i="7"/>
  <c r="E95" i="7"/>
  <c r="F25" i="7"/>
  <c r="E25" i="7"/>
  <c r="E19" i="7"/>
  <c r="F19" i="7"/>
  <c r="E26" i="7"/>
  <c r="F26" i="7"/>
  <c r="L53" i="23"/>
  <c r="BU52" i="23"/>
  <c r="L10" i="23"/>
  <c r="Q10" i="23"/>
  <c r="O33" i="21"/>
  <c r="G33" i="21" s="1"/>
  <c r="F47" i="7"/>
  <c r="E47" i="7"/>
  <c r="F30" i="7"/>
  <c r="E30" i="7"/>
  <c r="BS55" i="23"/>
  <c r="L61" i="23"/>
  <c r="M61" i="23"/>
  <c r="M28" i="23"/>
  <c r="G41" i="6"/>
  <c r="E58" i="23" s="1"/>
  <c r="U10" i="3"/>
  <c r="BR11" i="23"/>
  <c r="O35" i="21"/>
  <c r="G35" i="21" s="1"/>
  <c r="F35" i="21"/>
  <c r="E49" i="7"/>
  <c r="F49" i="7"/>
  <c r="O13" i="21"/>
  <c r="G13" i="21" s="1"/>
  <c r="F13" i="21"/>
  <c r="F74" i="7"/>
  <c r="E74" i="7"/>
  <c r="F89" i="7"/>
  <c r="E89" i="7"/>
  <c r="F44" i="7"/>
  <c r="E44" i="7"/>
  <c r="F31" i="21"/>
  <c r="F101" i="7"/>
  <c r="E53" i="7"/>
  <c r="F35" i="7"/>
  <c r="Q26" i="23"/>
  <c r="N29" i="23"/>
  <c r="M6" i="23"/>
  <c r="L10" i="3"/>
  <c r="L6" i="21"/>
  <c r="G6" i="21" s="1"/>
  <c r="I6" i="21"/>
  <c r="D7" i="21"/>
  <c r="K7" i="21"/>
  <c r="D8" i="21"/>
  <c r="K8" i="21"/>
  <c r="H9" i="21"/>
  <c r="L9" i="21"/>
  <c r="I10" i="21"/>
  <c r="I11" i="21"/>
  <c r="J12" i="21"/>
  <c r="J13" i="21"/>
  <c r="J14" i="21"/>
  <c r="J15" i="21"/>
  <c r="J16" i="21"/>
  <c r="J22" i="21"/>
  <c r="I23" i="21"/>
  <c r="J24" i="21"/>
  <c r="J25" i="21"/>
  <c r="D26" i="21"/>
  <c r="K26" i="21"/>
  <c r="H27" i="21"/>
  <c r="L27" i="21"/>
  <c r="P27" i="21" s="1"/>
  <c r="I28" i="21"/>
  <c r="I29" i="21"/>
  <c r="C12" i="21"/>
  <c r="C15" i="21"/>
  <c r="C16" i="21"/>
  <c r="C22" i="21"/>
  <c r="C23" i="21"/>
  <c r="C24" i="21"/>
  <c r="C25" i="21"/>
  <c r="C29" i="21"/>
  <c r="R16" i="23"/>
  <c r="O37" i="10"/>
  <c r="M67" i="23"/>
  <c r="BQ153" i="1"/>
  <c r="IA151" i="15"/>
  <c r="IA147" i="15"/>
  <c r="IA143" i="15"/>
  <c r="IA123" i="15"/>
  <c r="IA119" i="15"/>
  <c r="IA115" i="15"/>
  <c r="IA111" i="15"/>
  <c r="IA107" i="15"/>
  <c r="IA103" i="15"/>
  <c r="IA13" i="15"/>
  <c r="G16" i="6"/>
  <c r="E16" i="23" s="1"/>
  <c r="G42" i="6"/>
  <c r="E59" i="23" s="1"/>
  <c r="F25" i="19"/>
  <c r="J6" i="21"/>
  <c r="EP4" i="17"/>
  <c r="R15" i="23"/>
  <c r="BQ11" i="23"/>
  <c r="M20" i="23"/>
  <c r="G17" i="6"/>
  <c r="E17" i="23" s="1"/>
  <c r="FZ10" i="2"/>
  <c r="C8" i="21"/>
  <c r="H7" i="21"/>
  <c r="H6" i="21"/>
  <c r="L20" i="8"/>
  <c r="L7" i="8"/>
  <c r="J8" i="6"/>
  <c r="H8" i="23" s="1"/>
  <c r="IA93" i="15"/>
  <c r="IA89" i="15"/>
  <c r="IA73" i="15"/>
  <c r="IA69" i="15"/>
  <c r="IA65" i="15"/>
  <c r="IA25" i="15"/>
  <c r="IA16" i="15"/>
  <c r="IA20" i="15"/>
  <c r="IA12" i="15"/>
  <c r="BQ162" i="1"/>
  <c r="IA160" i="15"/>
  <c r="IA152" i="15"/>
  <c r="IA132" i="15"/>
  <c r="IA128" i="15"/>
  <c r="IA120" i="15"/>
  <c r="IA100" i="15"/>
  <c r="IA88" i="15"/>
  <c r="IA80" i="15"/>
  <c r="IA76" i="15"/>
  <c r="IA72" i="15"/>
  <c r="IA68" i="15"/>
  <c r="IA64" i="15"/>
  <c r="IA60" i="15"/>
  <c r="FE12" i="2"/>
  <c r="EY12" i="2"/>
  <c r="FG12" i="2" s="1"/>
  <c r="DR12" i="2"/>
  <c r="DT12" i="2"/>
  <c r="CH7" i="1"/>
  <c r="CK7" i="1" s="1"/>
  <c r="EX10" i="2"/>
  <c r="BZ7" i="1" s="1"/>
  <c r="FD10" i="2"/>
  <c r="CE7" i="1" s="1"/>
  <c r="FK10" i="2"/>
  <c r="FS10" i="2"/>
  <c r="F71" i="14"/>
  <c r="E31" i="8"/>
  <c r="F36" i="14"/>
  <c r="F113" i="14"/>
  <c r="F80" i="14"/>
  <c r="F8" i="14"/>
  <c r="F79" i="14"/>
  <c r="F48" i="14"/>
  <c r="F17" i="14"/>
  <c r="F101" i="14"/>
  <c r="EY10" i="2"/>
  <c r="FE10" i="2"/>
  <c r="CF7" i="1" s="1"/>
  <c r="DT10" i="2"/>
  <c r="F51" i="14"/>
  <c r="U29" i="10"/>
  <c r="V29" i="10" s="1"/>
  <c r="F14" i="14"/>
  <c r="F82" i="14"/>
  <c r="F35" i="8"/>
  <c r="F84" i="14"/>
  <c r="F77" i="14"/>
  <c r="E32" i="8"/>
  <c r="F107" i="14"/>
  <c r="F55" i="14"/>
  <c r="F83" i="14"/>
  <c r="F22" i="14"/>
  <c r="F6" i="14"/>
  <c r="EX12" i="2"/>
  <c r="FD12" i="2"/>
  <c r="FS12" i="2"/>
  <c r="F117" i="14"/>
  <c r="FC12" i="2"/>
  <c r="EW12" i="2"/>
  <c r="FJ12" i="2"/>
  <c r="F57" i="14"/>
  <c r="F16" i="14"/>
  <c r="U37" i="10"/>
  <c r="V37" i="10" s="1"/>
  <c r="F42" i="14"/>
  <c r="FM12" i="2"/>
  <c r="BQ7" i="1"/>
  <c r="F47" i="14"/>
  <c r="F66" i="14"/>
  <c r="F49" i="14"/>
  <c r="F75" i="14"/>
  <c r="F35" i="14"/>
  <c r="F38" i="14"/>
  <c r="F20" i="14"/>
  <c r="F23" i="14"/>
  <c r="F7" i="14"/>
  <c r="F56" i="14"/>
  <c r="F31" i="8"/>
  <c r="F108" i="14"/>
  <c r="F30" i="8"/>
  <c r="F30" i="14"/>
  <c r="FN12" i="2"/>
  <c r="CI7" i="1"/>
  <c r="DP12" i="2"/>
  <c r="FU12" i="2" s="1"/>
  <c r="EU12" i="2"/>
  <c r="FA12" i="2"/>
  <c r="FR12" i="2"/>
  <c r="FP12" i="2"/>
  <c r="FN10" i="2"/>
  <c r="F74" i="14"/>
  <c r="F13" i="14"/>
  <c r="F59" i="14"/>
  <c r="F61" i="14"/>
  <c r="E30" i="8"/>
  <c r="F103" i="14"/>
  <c r="DQ10" i="2"/>
  <c r="DS10" i="2"/>
  <c r="FO10" i="2"/>
  <c r="FT10" i="2" s="1"/>
  <c r="FV10" i="2" s="1"/>
  <c r="BD10" i="3" s="1"/>
  <c r="EV10" i="2"/>
  <c r="FB10" i="2"/>
  <c r="CC7" i="1" s="1"/>
  <c r="FQ10" i="2"/>
  <c r="FQ12" i="2"/>
  <c r="FM10" i="2"/>
  <c r="F46" i="14"/>
  <c r="F41" i="14"/>
  <c r="FK12" i="2"/>
  <c r="F65" i="14"/>
  <c r="F34" i="8"/>
  <c r="F50" i="14"/>
  <c r="F28" i="14"/>
  <c r="F104" i="14"/>
  <c r="F29" i="14"/>
  <c r="F33" i="8"/>
  <c r="F11" i="14"/>
  <c r="FP10" i="2"/>
  <c r="FR10" i="2"/>
  <c r="EU10" i="2"/>
  <c r="DP10" i="2"/>
  <c r="FU10" i="2" s="1"/>
  <c r="FA10" i="2"/>
  <c r="CB7" i="1" s="1"/>
  <c r="DR10" i="2"/>
  <c r="EV12" i="2"/>
  <c r="FB12" i="2"/>
  <c r="FO12" i="2"/>
  <c r="FT12" i="2" s="1"/>
  <c r="FV12" i="2" s="1"/>
  <c r="BD12" i="3" s="1"/>
  <c r="DS12" i="2"/>
  <c r="DQ12" i="2"/>
  <c r="EW10" i="2"/>
  <c r="BY7" i="1" s="1"/>
  <c r="FJ10" i="2"/>
  <c r="FC10" i="2"/>
  <c r="CD7" i="1" s="1"/>
  <c r="F43" i="14"/>
  <c r="U30" i="10"/>
  <c r="V30" i="10" s="1"/>
  <c r="F32" i="14"/>
  <c r="F52" i="14"/>
  <c r="F54" i="14"/>
  <c r="F115" i="14"/>
  <c r="F63" i="14"/>
  <c r="F110" i="14"/>
  <c r="F37" i="14"/>
  <c r="F39" i="14"/>
  <c r="F86" i="14"/>
  <c r="F87" i="14"/>
  <c r="F27" i="14"/>
  <c r="F76" i="14"/>
  <c r="F85" i="14"/>
  <c r="F26" i="14"/>
  <c r="F62" i="14"/>
  <c r="U38" i="10"/>
  <c r="V38" i="10" s="1"/>
  <c r="F18" i="14"/>
  <c r="E33" i="8"/>
  <c r="F109" i="14"/>
  <c r="F33" i="14"/>
  <c r="F53" i="14"/>
  <c r="BO7" i="1"/>
  <c r="F102" i="14"/>
  <c r="F116" i="14"/>
  <c r="F114" i="14"/>
  <c r="F9" i="14"/>
  <c r="F15" i="14"/>
  <c r="F10" i="14"/>
  <c r="F34" i="14"/>
  <c r="BS7" i="1"/>
  <c r="F60" i="14"/>
  <c r="F58" i="14"/>
  <c r="F70" i="14"/>
  <c r="E34" i="8"/>
  <c r="F118" i="14"/>
  <c r="F19" i="14"/>
  <c r="FL10" i="2"/>
  <c r="F12" i="14"/>
  <c r="F31" i="14"/>
  <c r="F81" i="14"/>
  <c r="F106" i="14"/>
  <c r="F67" i="14"/>
  <c r="FL12" i="2"/>
  <c r="E35" i="8"/>
  <c r="F21" i="14"/>
  <c r="F40" i="14"/>
  <c r="F72" i="14"/>
  <c r="F78" i="14"/>
  <c r="F73" i="14"/>
  <c r="F32" i="8"/>
  <c r="FI4" i="18"/>
  <c r="FD4" i="18"/>
  <c r="EY4" i="18"/>
  <c r="EX4" i="18"/>
  <c r="EW4" i="18"/>
  <c r="FB4" i="18"/>
  <c r="FH4" i="18"/>
  <c r="EZ4" i="18"/>
  <c r="FN4" i="18"/>
  <c r="FG4" i="18"/>
  <c r="FF4" i="18"/>
  <c r="FJ4" i="18"/>
  <c r="FC4" i="18"/>
  <c r="F87" i="7"/>
  <c r="E87" i="7"/>
  <c r="R35" i="6"/>
  <c r="P35" i="6"/>
  <c r="G35" i="6" s="1"/>
  <c r="E52" i="23" s="1"/>
  <c r="L26" i="23"/>
  <c r="BQ10" i="23"/>
  <c r="AL42" i="23"/>
  <c r="BR54" i="23"/>
  <c r="CE10" i="2"/>
  <c r="AO10" i="2"/>
  <c r="CQ10" i="2"/>
  <c r="AF10" i="2"/>
  <c r="CO10" i="2"/>
  <c r="AK10" i="2"/>
  <c r="Z10" i="2"/>
  <c r="AO10" i="3" s="1"/>
  <c r="AU10" i="2"/>
  <c r="G26" i="19"/>
  <c r="A26" i="19"/>
  <c r="BX10" i="2"/>
  <c r="R18" i="23"/>
  <c r="R51" i="23"/>
  <c r="BA10" i="2"/>
  <c r="AY10" i="2"/>
  <c r="AK10" i="3"/>
  <c r="Q12" i="23"/>
  <c r="E31" i="7"/>
  <c r="F31" i="7"/>
  <c r="R17" i="6"/>
  <c r="M29" i="23"/>
  <c r="Q11" i="23"/>
  <c r="M10" i="23"/>
  <c r="BP10" i="23"/>
  <c r="R12" i="6"/>
  <c r="BC10" i="2"/>
  <c r="BU8" i="23"/>
  <c r="R22" i="6"/>
  <c r="DF10" i="2"/>
  <c r="BF10" i="2"/>
  <c r="CG10" i="2"/>
  <c r="E41" i="7"/>
  <c r="F41" i="7"/>
  <c r="E103" i="7"/>
  <c r="F103" i="7"/>
  <c r="F14" i="7"/>
  <c r="E14" i="7"/>
  <c r="R24" i="6"/>
  <c r="I27" i="23"/>
  <c r="Q31" i="19"/>
  <c r="F31" i="19" s="1"/>
  <c r="A31" i="19"/>
  <c r="G14" i="19"/>
  <c r="A14" i="19"/>
  <c r="E106" i="7"/>
  <c r="F106" i="7"/>
  <c r="BK12" i="2"/>
  <c r="DA12" i="2"/>
  <c r="AP12" i="2"/>
  <c r="AR10" i="3"/>
  <c r="W10" i="3"/>
  <c r="AP12" i="3"/>
  <c r="AZ12" i="3"/>
  <c r="B12" i="3"/>
  <c r="I12" i="3"/>
  <c r="T12" i="3"/>
  <c r="M12" i="3"/>
  <c r="AQ12" i="3"/>
  <c r="O13" i="19"/>
  <c r="P9" i="19"/>
  <c r="P6" i="19"/>
  <c r="P14" i="19"/>
  <c r="O8" i="19"/>
  <c r="O16" i="19"/>
  <c r="P29" i="19"/>
  <c r="P37" i="19"/>
  <c r="O29" i="19"/>
  <c r="O40" i="19"/>
  <c r="P30" i="19"/>
  <c r="P40" i="19"/>
  <c r="P31" i="19"/>
  <c r="O25" i="19"/>
  <c r="O33" i="19"/>
  <c r="AC12" i="3"/>
  <c r="C12" i="3"/>
  <c r="AH12" i="3"/>
  <c r="P8" i="19"/>
  <c r="P16" i="19"/>
  <c r="O10" i="19"/>
  <c r="O7" i="19"/>
  <c r="O15" i="19"/>
  <c r="P11" i="19"/>
  <c r="P19" i="19"/>
  <c r="O30" i="19"/>
  <c r="O38" i="19"/>
  <c r="P34" i="19"/>
  <c r="P17" i="19"/>
  <c r="O31" i="19"/>
  <c r="O41" i="19"/>
  <c r="O32" i="19"/>
  <c r="P27" i="19"/>
  <c r="P38" i="19"/>
  <c r="G12" i="3"/>
  <c r="AT12" i="3"/>
  <c r="AR12" i="3"/>
  <c r="AJ12" i="3"/>
  <c r="P12" i="19"/>
  <c r="O6" i="19"/>
  <c r="O14" i="19"/>
  <c r="O11" i="19"/>
  <c r="P7" i="19"/>
  <c r="P15" i="19"/>
  <c r="O26" i="19"/>
  <c r="O34" i="19"/>
  <c r="P28" i="19"/>
  <c r="P39" i="19"/>
  <c r="O19" i="19"/>
  <c r="O36" i="19"/>
  <c r="O27" i="19"/>
  <c r="O37" i="19"/>
  <c r="P32" i="19"/>
  <c r="Y12" i="3"/>
  <c r="U12" i="3"/>
  <c r="W12" i="3"/>
  <c r="AN12" i="3"/>
  <c r="AW12" i="3"/>
  <c r="F12" i="3"/>
  <c r="H14" i="20"/>
  <c r="G14" i="20"/>
  <c r="M58" i="23"/>
  <c r="R9" i="23"/>
  <c r="CI10" i="2"/>
  <c r="R19" i="23"/>
  <c r="M26" i="23"/>
  <c r="G15" i="6"/>
  <c r="E15" i="23" s="1"/>
  <c r="Q20" i="23"/>
  <c r="CV10" i="2"/>
  <c r="AD10" i="2"/>
  <c r="AS10" i="3" s="1"/>
  <c r="N51" i="23"/>
  <c r="F65" i="7"/>
  <c r="E65" i="7"/>
  <c r="E18" i="7"/>
  <c r="F18" i="7"/>
  <c r="G5" i="19"/>
  <c r="T6" i="19"/>
  <c r="O27" i="21"/>
  <c r="G27" i="21" s="1"/>
  <c r="DD10" i="2"/>
  <c r="AS10" i="2"/>
  <c r="Q18" i="23"/>
  <c r="R28" i="23"/>
  <c r="Q19" i="23"/>
  <c r="R26" i="23"/>
  <c r="A6" i="19"/>
  <c r="P10" i="2"/>
  <c r="AE10" i="3" s="1"/>
  <c r="T10" i="2"/>
  <c r="AI10" i="3" s="1"/>
  <c r="BV10" i="2"/>
  <c r="R58" i="23"/>
  <c r="N58" i="23"/>
  <c r="Q29" i="23"/>
  <c r="M11" i="23"/>
  <c r="BN10" i="2"/>
  <c r="M56" i="23"/>
  <c r="F38" i="7"/>
  <c r="R25" i="6"/>
  <c r="R20" i="23"/>
  <c r="M9" i="23"/>
  <c r="M51" i="23"/>
  <c r="M25" i="23"/>
  <c r="AH42" i="23"/>
  <c r="CK10" i="2"/>
  <c r="N25" i="23"/>
  <c r="CZ10" i="2"/>
  <c r="R18" i="6"/>
  <c r="N9" i="23"/>
  <c r="F16" i="7"/>
  <c r="F20" i="7"/>
  <c r="E20" i="7"/>
  <c r="AG42" i="23"/>
  <c r="BR10" i="23"/>
  <c r="R25" i="23"/>
  <c r="L51" i="23"/>
  <c r="BC103" i="23"/>
  <c r="R7" i="23"/>
  <c r="N7" i="23"/>
  <c r="Q7" i="23"/>
  <c r="BC90" i="23"/>
  <c r="BQ53" i="23"/>
  <c r="L54" i="23"/>
  <c r="L60" i="23"/>
  <c r="BQ55" i="23"/>
  <c r="F9" i="19"/>
  <c r="T10" i="3"/>
  <c r="K8" i="6"/>
  <c r="K13" i="6"/>
  <c r="Q14" i="7"/>
  <c r="P14" i="7" s="1"/>
  <c r="I14" i="7" s="1"/>
  <c r="D21" i="7"/>
  <c r="J21" i="7" s="1"/>
  <c r="M48" i="7"/>
  <c r="L33" i="7"/>
  <c r="R35" i="7"/>
  <c r="L24" i="7"/>
  <c r="Q34" i="7"/>
  <c r="P34" i="7" s="1"/>
  <c r="I34" i="7" s="1"/>
  <c r="N37" i="7"/>
  <c r="N43" i="7"/>
  <c r="K66" i="7"/>
  <c r="H49" i="7"/>
  <c r="L67" i="7"/>
  <c r="H88" i="7"/>
  <c r="Q92" i="7"/>
  <c r="P92" i="7" s="1"/>
  <c r="I92" i="7" s="1"/>
  <c r="H96" i="7"/>
  <c r="L102" i="7"/>
  <c r="N107" i="7"/>
  <c r="G48" i="7"/>
  <c r="L65" i="7"/>
  <c r="D76" i="7"/>
  <c r="J76" i="7" s="1"/>
  <c r="D78" i="7"/>
  <c r="J78" i="7" s="1"/>
  <c r="Q78" i="7"/>
  <c r="P78" i="7" s="1"/>
  <c r="I78" i="7" s="1"/>
  <c r="M88" i="7"/>
  <c r="N46" i="7"/>
  <c r="L49" i="7"/>
  <c r="L53" i="7"/>
  <c r="L63" i="7"/>
  <c r="D67" i="7"/>
  <c r="J67" i="7" s="1"/>
  <c r="N70" i="7"/>
  <c r="M72" i="7"/>
  <c r="G74" i="7"/>
  <c r="H75" i="7"/>
  <c r="R79" i="7"/>
  <c r="L87" i="7"/>
  <c r="N88" i="7"/>
  <c r="R43" i="7"/>
  <c r="R47" i="7"/>
  <c r="R51" i="7"/>
  <c r="R55" i="7"/>
  <c r="Q64" i="7"/>
  <c r="P64" i="7" s="1"/>
  <c r="I64" i="7" s="1"/>
  <c r="Q65" i="7"/>
  <c r="P65" i="7" s="1"/>
  <c r="I65" i="7" s="1"/>
  <c r="D69" i="7"/>
  <c r="J69" i="7" s="1"/>
  <c r="Q69" i="7"/>
  <c r="P69" i="7" s="1"/>
  <c r="I69" i="7" s="1"/>
  <c r="K70" i="7"/>
  <c r="G73" i="7"/>
  <c r="H74" i="7"/>
  <c r="G77" i="7"/>
  <c r="N79" i="7"/>
  <c r="K88" i="7"/>
  <c r="K90" i="7"/>
  <c r="K92" i="7"/>
  <c r="K94" i="7"/>
  <c r="K96" i="7"/>
  <c r="K98" i="7"/>
  <c r="K100" i="7"/>
  <c r="K102" i="7"/>
  <c r="K104" i="7"/>
  <c r="K106" i="7"/>
  <c r="K108" i="7"/>
  <c r="K116" i="7"/>
  <c r="J13" i="6"/>
  <c r="H13" i="23" s="1"/>
  <c r="EY4" i="17"/>
  <c r="EZ4" i="17" s="1"/>
  <c r="I6" i="20"/>
  <c r="M6" i="20"/>
  <c r="D7" i="20"/>
  <c r="L7" i="20"/>
  <c r="C8" i="20"/>
  <c r="K8" i="20"/>
  <c r="N8" i="20"/>
  <c r="J9" i="20"/>
  <c r="I10" i="20"/>
  <c r="M10" i="20"/>
  <c r="D11" i="20"/>
  <c r="L11" i="20"/>
  <c r="D12" i="20"/>
  <c r="L12" i="20"/>
  <c r="C13" i="20"/>
  <c r="K13" i="20"/>
  <c r="N13" i="20"/>
  <c r="J14" i="20"/>
  <c r="N14" i="20"/>
  <c r="J22" i="20"/>
  <c r="I23" i="20"/>
  <c r="M23" i="20"/>
  <c r="D24" i="20"/>
  <c r="L24" i="20"/>
  <c r="C25" i="20"/>
  <c r="K25" i="20"/>
  <c r="N25" i="20"/>
  <c r="J26" i="20"/>
  <c r="N26" i="20"/>
  <c r="K6" i="20"/>
  <c r="N6" i="20"/>
  <c r="J7" i="20"/>
  <c r="I8" i="20"/>
  <c r="M8" i="20"/>
  <c r="D9" i="20"/>
  <c r="L9" i="20"/>
  <c r="C10" i="20"/>
  <c r="K10" i="20"/>
  <c r="N10" i="20"/>
  <c r="J11" i="20"/>
  <c r="N11" i="20"/>
  <c r="J12" i="20"/>
  <c r="I13" i="20"/>
  <c r="M13" i="20"/>
  <c r="D14" i="20"/>
  <c r="L14" i="20"/>
  <c r="D22" i="20"/>
  <c r="L22" i="20"/>
  <c r="C23" i="20"/>
  <c r="K23" i="20"/>
  <c r="N23" i="20"/>
  <c r="J24" i="20"/>
  <c r="I25" i="20"/>
  <c r="M25" i="20"/>
  <c r="D26" i="20"/>
  <c r="L26" i="20"/>
  <c r="D27" i="20"/>
  <c r="L27" i="20"/>
  <c r="L22" i="8"/>
  <c r="L9" i="8"/>
  <c r="N68" i="23"/>
  <c r="IA165" i="15"/>
  <c r="IA161" i="15"/>
  <c r="IA157" i="15"/>
  <c r="IA153" i="15"/>
  <c r="BQ151" i="1"/>
  <c r="IA149" i="15"/>
  <c r="BQ147" i="1"/>
  <c r="IA145" i="15"/>
  <c r="BQ145" i="1" s="1"/>
  <c r="IA141" i="15"/>
  <c r="IA137" i="15"/>
  <c r="IA129" i="15"/>
  <c r="IA125" i="15"/>
  <c r="IA121" i="15"/>
  <c r="IA117" i="15"/>
  <c r="IA113" i="15"/>
  <c r="IA109" i="15"/>
  <c r="IA105" i="15"/>
  <c r="IA101" i="15"/>
  <c r="IA97" i="15"/>
  <c r="IA85" i="15"/>
  <c r="IA81" i="15"/>
  <c r="IA77" i="15"/>
  <c r="IA45" i="15"/>
  <c r="N33" i="20"/>
  <c r="K33" i="20"/>
  <c r="C33" i="20"/>
  <c r="L32" i="20"/>
  <c r="D32" i="20"/>
  <c r="M31" i="20"/>
  <c r="I31" i="20"/>
  <c r="J30" i="20"/>
  <c r="N29" i="20"/>
  <c r="K29" i="20"/>
  <c r="C29" i="20"/>
  <c r="K28" i="20"/>
  <c r="C28" i="20"/>
  <c r="K27" i="20"/>
  <c r="M26" i="20"/>
  <c r="N24" i="20"/>
  <c r="C24" i="20"/>
  <c r="D23" i="20"/>
  <c r="I22" i="20"/>
  <c r="I14" i="20"/>
  <c r="J13" i="20"/>
  <c r="K12" i="20"/>
  <c r="K11" i="20"/>
  <c r="L10" i="20"/>
  <c r="M9" i="20"/>
  <c r="N7" i="20"/>
  <c r="C7" i="20"/>
  <c r="D6" i="20"/>
  <c r="L23" i="8"/>
  <c r="L10" i="8"/>
  <c r="P32" i="10"/>
  <c r="R38" i="10"/>
  <c r="R40" i="10"/>
  <c r="BQ160" i="1"/>
  <c r="BQ146" i="1"/>
  <c r="IA163" i="15"/>
  <c r="IA159" i="15"/>
  <c r="IA155" i="15"/>
  <c r="BQ149" i="1"/>
  <c r="BQ143" i="1"/>
  <c r="IA139" i="15"/>
  <c r="BQ139" i="1" s="1"/>
  <c r="IA135" i="15"/>
  <c r="IA131" i="15"/>
  <c r="IA127" i="15"/>
  <c r="IA99" i="15"/>
  <c r="IA95" i="15"/>
  <c r="IA91" i="15"/>
  <c r="IA87" i="15"/>
  <c r="IA75" i="15"/>
  <c r="IA71" i="15"/>
  <c r="IA67" i="15"/>
  <c r="IA63" i="15"/>
  <c r="IA59" i="15"/>
  <c r="IA55" i="15"/>
  <c r="IA51" i="15"/>
  <c r="IA47" i="15"/>
  <c r="BQ152" i="1"/>
  <c r="IA166" i="15"/>
  <c r="IA162" i="15"/>
  <c r="IA158" i="15"/>
  <c r="IA154" i="15"/>
  <c r="IA150" i="15"/>
  <c r="BQ148" i="1"/>
  <c r="IA142" i="15"/>
  <c r="BQ142" i="1" s="1"/>
  <c r="BQ136" i="1"/>
  <c r="IA126" i="15"/>
  <c r="IA114" i="15"/>
  <c r="IA110" i="15"/>
  <c r="IA106" i="15"/>
  <c r="IA94" i="15"/>
  <c r="IA86" i="15"/>
  <c r="IA78" i="15"/>
  <c r="IA74" i="15"/>
  <c r="BQ166" i="1"/>
  <c r="IA164" i="15"/>
  <c r="IA156" i="15"/>
  <c r="BQ154" i="1"/>
  <c r="BQ150" i="1"/>
  <c r="IA148" i="15"/>
  <c r="IA144" i="15"/>
  <c r="BQ144" i="1" s="1"/>
  <c r="IA140" i="15"/>
  <c r="BQ138" i="1"/>
  <c r="IA136" i="15"/>
  <c r="IA124" i="15"/>
  <c r="IA116" i="15"/>
  <c r="IA112" i="15"/>
  <c r="IA108" i="15"/>
  <c r="IA104" i="15"/>
  <c r="IA96" i="15"/>
  <c r="IA92" i="15"/>
  <c r="IA84" i="15"/>
  <c r="IA56" i="15"/>
  <c r="IA52" i="15"/>
  <c r="IA48" i="15"/>
  <c r="AX10" i="3"/>
  <c r="BF10" i="3"/>
  <c r="Z12" i="3" l="1"/>
  <c r="AU12" i="3"/>
  <c r="O7" i="21"/>
  <c r="G7" i="21" s="1"/>
  <c r="O9" i="21"/>
  <c r="F26" i="21"/>
  <c r="O26" i="21"/>
  <c r="G26" i="21" s="1"/>
  <c r="Q12" i="3"/>
  <c r="R12" i="3"/>
  <c r="AM12" i="3"/>
  <c r="DQ8" i="23"/>
  <c r="BP8" i="23"/>
  <c r="E24" i="21"/>
  <c r="M24" i="21"/>
  <c r="M15" i="21"/>
  <c r="E15" i="21"/>
  <c r="M8" i="21"/>
  <c r="E8" i="21"/>
  <c r="M23" i="21"/>
  <c r="E23" i="21"/>
  <c r="E12" i="21"/>
  <c r="M12" i="21"/>
  <c r="CT7" i="1"/>
  <c r="X10" i="2"/>
  <c r="E29" i="21"/>
  <c r="M29" i="21"/>
  <c r="E22" i="21"/>
  <c r="M22" i="21"/>
  <c r="H5" i="21"/>
  <c r="P6" i="21"/>
  <c r="G5" i="21"/>
  <c r="E25" i="21"/>
  <c r="M25" i="21"/>
  <c r="E16" i="21"/>
  <c r="M16" i="21"/>
  <c r="P9" i="21"/>
  <c r="G9" i="21"/>
  <c r="T13" i="20"/>
  <c r="BX7" i="1"/>
  <c r="E7" i="20"/>
  <c r="O7" i="20"/>
  <c r="P7" i="20"/>
  <c r="Q7" i="20"/>
  <c r="S7" i="20" s="1"/>
  <c r="F7" i="20" s="1"/>
  <c r="H7" i="20"/>
  <c r="G7" i="20"/>
  <c r="T31" i="20"/>
  <c r="F31" i="20"/>
  <c r="BQ141" i="1"/>
  <c r="T25" i="20"/>
  <c r="T8" i="20"/>
  <c r="T23" i="20"/>
  <c r="T10" i="20"/>
  <c r="T6" i="20"/>
  <c r="I5" i="20"/>
  <c r="F5" i="20"/>
  <c r="F6" i="20"/>
  <c r="BQ140" i="1"/>
  <c r="T9" i="20"/>
  <c r="F9" i="20"/>
  <c r="G24" i="20"/>
  <c r="H24" i="20"/>
  <c r="O24" i="20"/>
  <c r="Q24" i="20"/>
  <c r="S24" i="20" s="1"/>
  <c r="F24" i="20" s="1"/>
  <c r="E24" i="20"/>
  <c r="P24" i="20"/>
  <c r="Q28" i="20"/>
  <c r="S28" i="20" s="1"/>
  <c r="F28" i="20" s="1"/>
  <c r="H28" i="20"/>
  <c r="O28" i="20"/>
  <c r="P28" i="20"/>
  <c r="G28" i="20"/>
  <c r="E28" i="20"/>
  <c r="Q23" i="20"/>
  <c r="S23" i="20" s="1"/>
  <c r="F23" i="20" s="1"/>
  <c r="G23" i="20"/>
  <c r="H23" i="20"/>
  <c r="E23" i="20"/>
  <c r="P23" i="20"/>
  <c r="O23" i="20"/>
  <c r="Q10" i="20"/>
  <c r="S10" i="20" s="1"/>
  <c r="F10" i="20" s="1"/>
  <c r="P10" i="20"/>
  <c r="G10" i="20"/>
  <c r="O10" i="20"/>
  <c r="E10" i="20"/>
  <c r="H10" i="20"/>
  <c r="Q25" i="20"/>
  <c r="S25" i="20" s="1"/>
  <c r="F25" i="20" s="1"/>
  <c r="O25" i="20"/>
  <c r="G25" i="20"/>
  <c r="H25" i="20"/>
  <c r="P25" i="20"/>
  <c r="E25" i="20"/>
  <c r="G8" i="20"/>
  <c r="O8" i="20"/>
  <c r="Q8" i="20"/>
  <c r="S8" i="20" s="1"/>
  <c r="F8" i="20" s="1"/>
  <c r="H8" i="20"/>
  <c r="P8" i="20"/>
  <c r="E8" i="20"/>
  <c r="F88" i="7"/>
  <c r="E88" i="7"/>
  <c r="I8" i="23"/>
  <c r="R8" i="6"/>
  <c r="ET12" i="2"/>
  <c r="FF12" i="2" s="1"/>
  <c r="FW12" i="2"/>
  <c r="I2" i="14"/>
  <c r="J2" i="14"/>
  <c r="FG10" i="2"/>
  <c r="CL7" i="1" s="1"/>
  <c r="CA7" i="1"/>
  <c r="ET4" i="17"/>
  <c r="EV4" i="17" s="1"/>
  <c r="EU4" i="17"/>
  <c r="EW4" i="17" s="1"/>
  <c r="AU10" i="3"/>
  <c r="Z10" i="3"/>
  <c r="F26" i="20"/>
  <c r="T26" i="20"/>
  <c r="E29" i="20"/>
  <c r="P29" i="20"/>
  <c r="O29" i="20"/>
  <c r="H29" i="20"/>
  <c r="G29" i="20"/>
  <c r="Q29" i="20"/>
  <c r="S29" i="20" s="1"/>
  <c r="F29" i="20" s="1"/>
  <c r="P33" i="20"/>
  <c r="E33" i="20"/>
  <c r="H33" i="20"/>
  <c r="G33" i="20"/>
  <c r="Q33" i="20"/>
  <c r="S33" i="20" s="1"/>
  <c r="F33" i="20" s="1"/>
  <c r="O33" i="20"/>
  <c r="G13" i="20"/>
  <c r="H13" i="20"/>
  <c r="E13" i="20"/>
  <c r="P13" i="20"/>
  <c r="O13" i="20"/>
  <c r="Q13" i="20"/>
  <c r="S13" i="20" s="1"/>
  <c r="F13" i="20" s="1"/>
  <c r="BC91" i="23"/>
  <c r="BR9" i="23"/>
  <c r="DQ13" i="23"/>
  <c r="E70" i="7"/>
  <c r="F70" i="7"/>
  <c r="F107" i="7"/>
  <c r="E107" i="7"/>
  <c r="F43" i="7"/>
  <c r="E43" i="7"/>
  <c r="R27" i="23"/>
  <c r="L27" i="23"/>
  <c r="Q27" i="23"/>
  <c r="BU10" i="23"/>
  <c r="N27" i="23"/>
  <c r="M27" i="23"/>
  <c r="ET10" i="2"/>
  <c r="FW10" i="2"/>
  <c r="FX4" i="17"/>
  <c r="FC4" i="17"/>
  <c r="FL4" i="17" s="1"/>
  <c r="FD4" i="17"/>
  <c r="FM4" i="17" s="1"/>
  <c r="FA4" i="17"/>
  <c r="FB4" i="17"/>
  <c r="FH10" i="2"/>
  <c r="CM7" i="1" s="1"/>
  <c r="FI10" i="2"/>
  <c r="CN7" i="1" s="1"/>
  <c r="FI12" i="2"/>
  <c r="FH12" i="2"/>
  <c r="F79" i="7"/>
  <c r="E79" i="7"/>
  <c r="E46" i="7"/>
  <c r="F46" i="7"/>
  <c r="F37" i="7"/>
  <c r="E37" i="7"/>
  <c r="I13" i="23"/>
  <c r="R13" i="23" s="1"/>
  <c r="R13" i="6"/>
  <c r="AY12" i="3"/>
  <c r="BG12" i="3"/>
  <c r="BW7" i="1"/>
  <c r="AX12" i="3"/>
  <c r="FQ4" i="17"/>
  <c r="BF12" i="3"/>
  <c r="FK4" i="17"/>
  <c r="FR4" i="17"/>
  <c r="FE4" i="17" l="1"/>
  <c r="Q13" i="23"/>
  <c r="FF4" i="17"/>
  <c r="AM10" i="3"/>
  <c r="R10" i="3"/>
  <c r="Q10" i="3"/>
  <c r="O29" i="21"/>
  <c r="G29" i="21" s="1"/>
  <c r="F29" i="21"/>
  <c r="O12" i="21"/>
  <c r="G12" i="21" s="1"/>
  <c r="F12" i="21"/>
  <c r="O24" i="21"/>
  <c r="G24" i="21" s="1"/>
  <c r="F24" i="21"/>
  <c r="O25" i="21"/>
  <c r="G25" i="21" s="1"/>
  <c r="F25" i="21"/>
  <c r="O8" i="21"/>
  <c r="G8" i="21" s="1"/>
  <c r="F8" i="21"/>
  <c r="F22" i="21"/>
  <c r="O22" i="21"/>
  <c r="G22" i="21" s="1"/>
  <c r="F16" i="21"/>
  <c r="O16" i="21"/>
  <c r="G16" i="21" s="1"/>
  <c r="O23" i="21"/>
  <c r="G23" i="21" s="1"/>
  <c r="F23" i="21"/>
  <c r="O15" i="21"/>
  <c r="G15" i="21" s="1"/>
  <c r="F15" i="21"/>
  <c r="FS4" i="17"/>
  <c r="EZ12" i="2"/>
  <c r="AV12" i="3"/>
  <c r="N13" i="23"/>
  <c r="AV10" i="3"/>
  <c r="EZ10" i="2"/>
  <c r="EX4" i="17"/>
  <c r="FU4" i="17" s="1"/>
  <c r="K2" i="14"/>
  <c r="FF10" i="2"/>
  <c r="CG7" i="1" s="1"/>
  <c r="CO7" i="1"/>
  <c r="M13" i="23"/>
  <c r="BQ8" i="23"/>
  <c r="L8" i="23"/>
  <c r="Q8" i="23"/>
  <c r="N8" i="23"/>
  <c r="M8" i="23"/>
  <c r="R8" i="23"/>
  <c r="L13" i="23"/>
  <c r="BS9" i="23"/>
  <c r="FP4" i="17"/>
  <c r="FV4" i="17"/>
  <c r="FJ4" i="17" l="1"/>
  <c r="FW4" i="17"/>
  <c r="FI4" i="17"/>
</calcChain>
</file>

<file path=xl/comments1.xml><?xml version="1.0" encoding="utf-8"?>
<comments xmlns="http://schemas.openxmlformats.org/spreadsheetml/2006/main">
  <authors>
    <author>Callum McKenzie</author>
    <author>Laurie Christian</author>
  </authors>
  <commentList>
    <comment ref="BA7" authorId="0" shapeId="0">
      <text>
        <r>
          <rPr>
            <b/>
            <sz val="8"/>
            <color indexed="81"/>
            <rFont val="Tahoma"/>
            <family val="2"/>
          </rPr>
          <t>Callum McKenzie:</t>
        </r>
        <r>
          <rPr>
            <sz val="8"/>
            <color indexed="81"/>
            <rFont val="Tahoma"/>
            <family val="2"/>
          </rPr>
          <t xml:space="preserve">
This uses the uncorrected C1 value since we haven't measured the temperature at this point. It shouldn't matter because the dials are 1000ppm vs. the C1 variation of 50ppm.</t>
        </r>
      </text>
    </comment>
    <comment ref="BP7" authorId="0" shapeId="0">
      <text>
        <r>
          <rPr>
            <b/>
            <sz val="8"/>
            <color indexed="81"/>
            <rFont val="Tahoma"/>
            <family val="2"/>
          </rPr>
          <t>Callum McKenzie:</t>
        </r>
        <r>
          <rPr>
            <sz val="8"/>
            <color indexed="81"/>
            <rFont val="Tahoma"/>
            <family val="2"/>
          </rPr>
          <t xml:space="preserve">
Clamps added 16/03/2006
Checked Laurie 6/4/2006</t>
        </r>
      </text>
    </comment>
    <comment ref="BR7" authorId="0" shapeId="0">
      <text>
        <r>
          <rPr>
            <b/>
            <sz val="8"/>
            <color indexed="81"/>
            <rFont val="Tahoma"/>
            <family val="2"/>
          </rPr>
          <t>Callum McKenzie:</t>
        </r>
        <r>
          <rPr>
            <sz val="8"/>
            <color indexed="81"/>
            <rFont val="Tahoma"/>
            <family val="2"/>
          </rPr>
          <t xml:space="preserve">
Clamps added 16/03/2006
Checked Laurie 6/4/2006</t>
        </r>
      </text>
    </comment>
    <comment ref="E9" authorId="1" shapeId="0">
      <text>
        <r>
          <rPr>
            <b/>
            <sz val="8"/>
            <color indexed="81"/>
            <rFont val="Tahoma"/>
            <family val="2"/>
          </rPr>
          <t>Laurie Christian:</t>
        </r>
        <r>
          <rPr>
            <sz val="8"/>
            <color indexed="81"/>
            <rFont val="Tahoma"/>
            <family val="2"/>
          </rPr>
          <t xml:space="preserve">
This is the setting for the source being used.  The Tables pages looks at the Watt-bridge.</t>
        </r>
      </text>
    </comment>
  </commentList>
</comments>
</file>

<file path=xl/comments2.xml><?xml version="1.0" encoding="utf-8"?>
<comments xmlns="http://schemas.openxmlformats.org/spreadsheetml/2006/main">
  <authors>
    <author>Industrial Research Limited</author>
  </authors>
  <commentList>
    <comment ref="FG9" authorId="0" shapeId="0">
      <text>
        <r>
          <rPr>
            <b/>
            <sz val="8"/>
            <color indexed="81"/>
            <rFont val="Tahoma"/>
            <family val="2"/>
          </rPr>
          <t>Industrial Research Limited:</t>
        </r>
        <r>
          <rPr>
            <sz val="8"/>
            <color indexed="81"/>
            <rFont val="Tahoma"/>
            <family val="2"/>
          </rPr>
          <t xml:space="preserve">
In version l and onwards, here we reverse the sign of the angle to allow for the European convention</t>
        </r>
      </text>
    </comment>
    <comment ref="FX10" authorId="0" shapeId="0">
      <text>
        <r>
          <rPr>
            <b/>
            <sz val="8"/>
            <color indexed="81"/>
            <rFont val="Tahoma"/>
            <family val="2"/>
          </rPr>
          <t>Industrial Research Limited:</t>
        </r>
        <r>
          <rPr>
            <sz val="8"/>
            <color indexed="81"/>
            <rFont val="Tahoma"/>
            <family val="2"/>
          </rPr>
          <t xml:space="preserve">
Checked Laurie 6/4/2006</t>
        </r>
      </text>
    </comment>
    <comment ref="FX12" authorId="0" shapeId="0">
      <text>
        <r>
          <rPr>
            <b/>
            <sz val="8"/>
            <color indexed="81"/>
            <rFont val="Tahoma"/>
            <family val="2"/>
          </rPr>
          <t>Industrial Research Limited:</t>
        </r>
        <r>
          <rPr>
            <sz val="8"/>
            <color indexed="81"/>
            <rFont val="Tahoma"/>
            <family val="2"/>
          </rPr>
          <t xml:space="preserve">
Checked Laurie 6/4/2006</t>
        </r>
      </text>
    </comment>
  </commentList>
</comments>
</file>

<file path=xl/comments3.xml><?xml version="1.0" encoding="utf-8"?>
<comments xmlns="http://schemas.openxmlformats.org/spreadsheetml/2006/main">
  <authors>
    <author>Tom Stewart</author>
    <author>Laurie Christian</author>
  </authors>
  <commentList>
    <comment ref="Q3" authorId="0" shapeId="0">
      <text>
        <r>
          <rPr>
            <b/>
            <sz val="9"/>
            <color indexed="81"/>
            <rFont val="Tahoma"/>
            <family val="2"/>
          </rPr>
          <t>Tom Stewart:</t>
        </r>
        <r>
          <rPr>
            <sz val="9"/>
            <color indexed="81"/>
            <rFont val="Tahoma"/>
            <family val="2"/>
          </rPr>
          <t xml:space="preserve">
Changed from 23 to 24.
As the uncertainty in phase angle (loss angle) of C1 is 15 urad ie 15 ppm of the susceptance (not conductance).</t>
        </r>
      </text>
    </comment>
    <comment ref="E6" authorId="1" shapeId="0">
      <text>
        <r>
          <rPr>
            <b/>
            <sz val="8"/>
            <color indexed="81"/>
            <rFont val="Tahoma"/>
            <family val="2"/>
          </rPr>
          <t>Laurie Christian:</t>
        </r>
        <r>
          <rPr>
            <sz val="8"/>
            <color indexed="81"/>
            <rFont val="Tahoma"/>
            <family val="2"/>
          </rPr>
          <t xml:space="preserve">
This is for checking to see that the correct PowerCalc column is being referred to.</t>
        </r>
      </text>
    </comment>
  </commentList>
</comments>
</file>

<file path=xl/comments4.xml><?xml version="1.0" encoding="utf-8"?>
<comments xmlns="http://schemas.openxmlformats.org/spreadsheetml/2006/main">
  <authors>
    <author>t.stewart</author>
    <author>Industrial Research Limited</author>
    <author>Laurie Christian</author>
    <author>Andrew Corney</author>
    <author>Callum McKenzie</author>
    <author>A satisfied Microsoft Office user</author>
    <author>Bruce McLennan</author>
    <author>Graeme Woollett</author>
    <author>l.christian</author>
  </authors>
  <commentList>
    <comment ref="D6" authorId="0" shapeId="0">
      <text>
        <r>
          <rPr>
            <b/>
            <sz val="10"/>
            <color indexed="81"/>
            <rFont val="Tahoma"/>
            <family val="2"/>
          </rPr>
          <t>t.stewart:</t>
        </r>
        <r>
          <rPr>
            <sz val="10"/>
            <color indexed="81"/>
            <rFont val="Tahoma"/>
            <family val="2"/>
          </rPr>
          <t xml:space="preserve">
Cell M49 of "Detector Feb 2014" worksheet of "CalPb_Det_auto_Feb 14.xls"</t>
        </r>
      </text>
    </comment>
    <comment ref="P6" authorId="0" shapeId="0">
      <text>
        <r>
          <rPr>
            <b/>
            <sz val="8"/>
            <color indexed="81"/>
            <rFont val="Tahoma"/>
            <family val="2"/>
          </rPr>
          <t>t.stewart:</t>
        </r>
        <r>
          <rPr>
            <sz val="8"/>
            <color indexed="81"/>
            <rFont val="Tahoma"/>
            <family val="2"/>
          </rPr>
          <t xml:space="preserve">
Cell M49 of "Detector May 2012" worksheet of "CalPb_Det_auto_May12.xls"</t>
        </r>
      </text>
    </comment>
    <comment ref="V6" authorId="0" shapeId="0">
      <text>
        <r>
          <rPr>
            <b/>
            <sz val="8"/>
            <color indexed="81"/>
            <rFont val="Tahoma"/>
            <family val="2"/>
          </rPr>
          <t>t.stewart:</t>
        </r>
        <r>
          <rPr>
            <sz val="8"/>
            <color indexed="81"/>
            <rFont val="Tahoma"/>
            <family val="2"/>
          </rPr>
          <t xml:space="preserve">
Cell M49 of "Detector Dec 2010" worksheet of "CalPb_Det_auto_Dec10.xls"</t>
        </r>
      </text>
    </comment>
    <comment ref="AB6" authorId="0" shapeId="0">
      <text>
        <r>
          <rPr>
            <b/>
            <sz val="8"/>
            <color indexed="81"/>
            <rFont val="Tahoma"/>
            <family val="2"/>
          </rPr>
          <t>t.stewart:</t>
        </r>
        <r>
          <rPr>
            <sz val="8"/>
            <color indexed="81"/>
            <rFont val="Tahoma"/>
            <family val="2"/>
          </rPr>
          <t xml:space="preserve">
Cell M49 of "Detector Jan 2009" worksheet of "CalPb_Det_auto_Dec08.xls"</t>
        </r>
      </text>
    </comment>
    <comment ref="D7" authorId="1" shapeId="0">
      <text>
        <r>
          <rPr>
            <b/>
            <sz val="10"/>
            <color indexed="81"/>
            <rFont val="Tahoma"/>
            <family val="2"/>
          </rPr>
          <t>Industrial Research Limited:</t>
        </r>
        <r>
          <rPr>
            <sz val="10"/>
            <color indexed="81"/>
            <rFont val="Tahoma"/>
            <family val="2"/>
          </rPr>
          <t xml:space="preserve">
Cell BS195 of "Date" worksheet HP245dcv2014#9ver1.21.xls (May 14 calibration).  The DMM reads high on positive volts</t>
        </r>
      </text>
    </comment>
    <comment ref="P7" authorId="1" shapeId="0">
      <text>
        <r>
          <rPr>
            <b/>
            <sz val="10"/>
            <color indexed="81"/>
            <rFont val="Tahoma"/>
            <family val="2"/>
          </rPr>
          <t>Industrial Research Limited:</t>
        </r>
        <r>
          <rPr>
            <sz val="10"/>
            <color indexed="81"/>
            <rFont val="Tahoma"/>
            <family val="2"/>
          </rPr>
          <t xml:space="preserve">
Cell BP189 of "23Feb11" worksheet HP245dcv2011#9ver1.13corrected.xls ( Feb 11 calibration).  The DMM reads high on positive volts</t>
        </r>
      </text>
    </comment>
    <comment ref="V7" authorId="1" shapeId="0">
      <text>
        <r>
          <rPr>
            <b/>
            <sz val="10"/>
            <color indexed="81"/>
            <rFont val="Tahoma"/>
            <family val="2"/>
          </rPr>
          <t>Industrial Research Limited:</t>
        </r>
        <r>
          <rPr>
            <sz val="10"/>
            <color indexed="81"/>
            <rFont val="Tahoma"/>
            <family val="2"/>
          </rPr>
          <t xml:space="preserve">
Cell BP189 of "23Feb11" worksheet HP245dcv2011#9ver1.13.xls ( Feb 11 calibration).  The DMM reads high on positive volts</t>
        </r>
      </text>
    </comment>
    <comment ref="AB7" authorId="1" shapeId="0">
      <text>
        <r>
          <rPr>
            <b/>
            <sz val="10"/>
            <color indexed="81"/>
            <rFont val="Tahoma"/>
            <family val="2"/>
          </rPr>
          <t>Industrial Research Limited:</t>
        </r>
        <r>
          <rPr>
            <sz val="10"/>
            <color indexed="81"/>
            <rFont val="Tahoma"/>
            <family val="2"/>
          </rPr>
          <t xml:space="preserve">
Feb 08 calibration.  The DMM reads low on positive volts</t>
        </r>
      </text>
    </comment>
    <comment ref="AH7" authorId="1" shapeId="0">
      <text>
        <r>
          <rPr>
            <b/>
            <sz val="10"/>
            <color indexed="81"/>
            <rFont val="Tahoma"/>
            <family val="2"/>
          </rPr>
          <t>Industrial Research Limited:</t>
        </r>
        <r>
          <rPr>
            <sz val="10"/>
            <color indexed="81"/>
            <rFont val="Tahoma"/>
            <family val="2"/>
          </rPr>
          <t xml:space="preserve">
Feb 08 calibration.  The DMM reads low on positive volts</t>
        </r>
      </text>
    </comment>
    <comment ref="AM7" authorId="1" shapeId="0">
      <text>
        <r>
          <rPr>
            <b/>
            <sz val="8"/>
            <color indexed="81"/>
            <rFont val="Tahoma"/>
            <family val="2"/>
          </rPr>
          <t>Industrial Research Limited:</t>
        </r>
        <r>
          <rPr>
            <sz val="8"/>
            <color indexed="81"/>
            <rFont val="Tahoma"/>
            <family val="2"/>
          </rPr>
          <t xml:space="preserve">
See HP3458CalibrationHistory.xls</t>
        </r>
      </text>
    </comment>
    <comment ref="AQ7" authorId="2" shapeId="0">
      <text>
        <r>
          <rPr>
            <b/>
            <sz val="8"/>
            <color indexed="81"/>
            <rFont val="Tahoma"/>
            <family val="2"/>
          </rPr>
          <t>Laurie Christian:</t>
        </r>
        <r>
          <rPr>
            <sz val="8"/>
            <color indexed="81"/>
            <rFont val="Tahoma"/>
            <family val="2"/>
          </rPr>
          <t xml:space="preserve">
From dcV calibration report for this DVM- May 2004</t>
        </r>
      </text>
    </comment>
    <comment ref="D8" authorId="0" shapeId="0">
      <text>
        <r>
          <rPr>
            <b/>
            <sz val="8"/>
            <color indexed="81"/>
            <rFont val="Tahoma"/>
            <family val="2"/>
          </rPr>
          <t>t.stewart:</t>
        </r>
        <r>
          <rPr>
            <sz val="8"/>
            <color indexed="81"/>
            <rFont val="Tahoma"/>
            <family val="2"/>
          </rPr>
          <t xml:space="preserve">
Cell G13 of "DC Resistance Feb 2014" worksheet of CalPb_Feb14.xls"</t>
        </r>
      </text>
    </comment>
    <comment ref="P8" authorId="0" shapeId="0">
      <text>
        <r>
          <rPr>
            <b/>
            <sz val="8"/>
            <color indexed="81"/>
            <rFont val="Tahoma"/>
            <family val="2"/>
          </rPr>
          <t>t.stewart:</t>
        </r>
        <r>
          <rPr>
            <sz val="8"/>
            <color indexed="81"/>
            <rFont val="Tahoma"/>
            <family val="2"/>
          </rPr>
          <t xml:space="preserve">
Cell G13 of "DC Resistance Apr 2012" worksheet of CalPb_Apr12.xls"</t>
        </r>
      </text>
    </comment>
    <comment ref="V8" authorId="0" shapeId="0">
      <text>
        <r>
          <rPr>
            <b/>
            <sz val="8"/>
            <color indexed="81"/>
            <rFont val="Tahoma"/>
            <family val="2"/>
          </rPr>
          <t>t.stewart:</t>
        </r>
        <r>
          <rPr>
            <sz val="8"/>
            <color indexed="81"/>
            <rFont val="Tahoma"/>
            <family val="2"/>
          </rPr>
          <t xml:space="preserve">
Cell G99 of "DC Resistance Dec 2010" worksheet of CalPb_Dec10.xls"</t>
        </r>
      </text>
    </comment>
    <comment ref="AM8" authorId="2" shapeId="0">
      <text>
        <r>
          <rPr>
            <b/>
            <sz val="8"/>
            <color indexed="81"/>
            <rFont val="Tahoma"/>
            <family val="2"/>
          </rPr>
          <t>Laurie Christian:</t>
        </r>
        <r>
          <rPr>
            <sz val="8"/>
            <color indexed="81"/>
            <rFont val="Tahoma"/>
            <family val="2"/>
          </rPr>
          <t xml:space="preserve">
'DC Resistance Dec 2005' G26</t>
        </r>
      </text>
    </comment>
    <comment ref="AQ8" authorId="2" shapeId="0">
      <text>
        <r>
          <rPr>
            <b/>
            <sz val="8"/>
            <color indexed="81"/>
            <rFont val="Tahoma"/>
            <family val="2"/>
          </rPr>
          <t>Laurie Christian:</t>
        </r>
        <r>
          <rPr>
            <sz val="8"/>
            <color indexed="81"/>
            <rFont val="Tahoma"/>
            <family val="2"/>
          </rPr>
          <t xml:space="preserve">
'DC Resistance' G37</t>
        </r>
      </text>
    </comment>
    <comment ref="B9" authorId="3" shapeId="0">
      <text>
        <r>
          <rPr>
            <b/>
            <sz val="8"/>
            <color indexed="81"/>
            <rFont val="Tahoma"/>
            <family val="2"/>
          </rPr>
          <t>Andrew Corney:</t>
        </r>
        <r>
          <rPr>
            <sz val="8"/>
            <color indexed="81"/>
            <rFont val="Tahoma"/>
            <family val="2"/>
          </rPr>
          <t xml:space="preserve">
L=-CR^2 where C is parallel capacitance</t>
        </r>
      </text>
    </comment>
    <comment ref="AQ9" authorId="2" shapeId="0">
      <text>
        <r>
          <rPr>
            <b/>
            <sz val="8"/>
            <color indexed="81"/>
            <rFont val="Tahoma"/>
            <family val="2"/>
          </rPr>
          <t>Laurie Christian:</t>
        </r>
        <r>
          <rPr>
            <sz val="8"/>
            <color indexed="81"/>
            <rFont val="Tahoma"/>
            <family val="2"/>
          </rPr>
          <t xml:space="preserve">
Historic- measured on universal bridge- minor term at 50 Hz</t>
        </r>
      </text>
    </comment>
    <comment ref="D10" authorId="0" shapeId="0">
      <text>
        <r>
          <rPr>
            <b/>
            <sz val="8"/>
            <color indexed="81"/>
            <rFont val="Tahoma"/>
            <family val="2"/>
          </rPr>
          <t>t.stewart:</t>
        </r>
        <r>
          <rPr>
            <sz val="8"/>
            <color indexed="81"/>
            <rFont val="Tahoma"/>
            <family val="2"/>
          </rPr>
          <t xml:space="preserve">
Cell G14 of "DC Resistance Feb 2014" worksheet of CalPb_Feb14.xls"</t>
        </r>
      </text>
    </comment>
    <comment ref="P10" authorId="0" shapeId="0">
      <text>
        <r>
          <rPr>
            <b/>
            <sz val="8"/>
            <color indexed="81"/>
            <rFont val="Tahoma"/>
            <family val="2"/>
          </rPr>
          <t>t.stewart:</t>
        </r>
        <r>
          <rPr>
            <sz val="8"/>
            <color indexed="81"/>
            <rFont val="Tahoma"/>
            <family val="2"/>
          </rPr>
          <t xml:space="preserve">
Cell G14 of "DC Resistance Apr 2012" worksheet of CalPb_Apr12.xls"</t>
        </r>
      </text>
    </comment>
    <comment ref="V10" authorId="0" shapeId="0">
      <text>
        <r>
          <rPr>
            <b/>
            <sz val="8"/>
            <color indexed="81"/>
            <rFont val="Tahoma"/>
            <family val="2"/>
          </rPr>
          <t>t.stewart:</t>
        </r>
        <r>
          <rPr>
            <sz val="8"/>
            <color indexed="81"/>
            <rFont val="Tahoma"/>
            <family val="2"/>
          </rPr>
          <t xml:space="preserve">
Cell G100 of "DC Resistance Dec 2010" worksheet of CalPb_Dec10.xls"</t>
        </r>
      </text>
    </comment>
    <comment ref="B11" authorId="3" shapeId="0">
      <text>
        <r>
          <rPr>
            <b/>
            <sz val="8"/>
            <color indexed="81"/>
            <rFont val="Tahoma"/>
            <family val="2"/>
          </rPr>
          <t>Andrew Corney:</t>
        </r>
        <r>
          <rPr>
            <sz val="8"/>
            <color indexed="81"/>
            <rFont val="Tahoma"/>
            <family val="2"/>
          </rPr>
          <t xml:space="preserve">
L=-CR^2 where C is parallel capacitance</t>
        </r>
      </text>
    </comment>
    <comment ref="AQ11" authorId="2" shapeId="0">
      <text>
        <r>
          <rPr>
            <b/>
            <sz val="8"/>
            <color indexed="81"/>
            <rFont val="Tahoma"/>
            <family val="2"/>
          </rPr>
          <t>Laurie Christian:</t>
        </r>
        <r>
          <rPr>
            <sz val="8"/>
            <color indexed="81"/>
            <rFont val="Tahoma"/>
            <family val="2"/>
          </rPr>
          <t xml:space="preserve">
Historic- measured on universal bridge- minor term at 50 Hz</t>
        </r>
      </text>
    </comment>
    <comment ref="V12" authorId="4" shapeId="0">
      <text>
        <r>
          <rPr>
            <b/>
            <sz val="8"/>
            <color indexed="81"/>
            <rFont val="Tahoma"/>
            <family val="2"/>
          </rPr>
          <t>Callum McKenzie:</t>
        </r>
        <r>
          <rPr>
            <sz val="8"/>
            <color indexed="81"/>
            <rFont val="Tahoma"/>
            <family val="2"/>
          </rPr>
          <t xml:space="preserve">
Calculated from R1, R2, Ignores terms second-order in L. </t>
        </r>
      </text>
    </comment>
    <comment ref="AB12" authorId="4" shapeId="0">
      <text>
        <r>
          <rPr>
            <b/>
            <sz val="8"/>
            <color indexed="81"/>
            <rFont val="Tahoma"/>
            <family val="2"/>
          </rPr>
          <t>Callum McKenzie:</t>
        </r>
        <r>
          <rPr>
            <sz val="8"/>
            <color indexed="81"/>
            <rFont val="Tahoma"/>
            <family val="2"/>
          </rPr>
          <t xml:space="preserve">
Calculated from R1, R2, Ignores terms second-order in L. </t>
        </r>
      </text>
    </comment>
    <comment ref="AH12" authorId="4" shapeId="0">
      <text>
        <r>
          <rPr>
            <b/>
            <sz val="8"/>
            <color indexed="81"/>
            <rFont val="Tahoma"/>
            <family val="2"/>
          </rPr>
          <t>Callum McKenzie:</t>
        </r>
        <r>
          <rPr>
            <sz val="8"/>
            <color indexed="81"/>
            <rFont val="Tahoma"/>
            <family val="2"/>
          </rPr>
          <t xml:space="preserve">
Calculated from R1, R2, Ignores terms second-order in L. </t>
        </r>
      </text>
    </comment>
    <comment ref="AM12" authorId="4" shapeId="0">
      <text>
        <r>
          <rPr>
            <b/>
            <sz val="8"/>
            <color indexed="81"/>
            <rFont val="Tahoma"/>
            <family val="2"/>
          </rPr>
          <t>Callum McKenzie:</t>
        </r>
        <r>
          <rPr>
            <sz val="8"/>
            <color indexed="81"/>
            <rFont val="Tahoma"/>
            <family val="2"/>
          </rPr>
          <t xml:space="preserve">
Calculated from R1, R2, Ignores terms second-order in L. Previoulsy this was calculated off-line and inserted as a constant.</t>
        </r>
      </text>
    </comment>
    <comment ref="B13" authorId="3" shapeId="0">
      <text>
        <r>
          <rPr>
            <b/>
            <sz val="8"/>
            <color indexed="81"/>
            <rFont val="Tahoma"/>
            <family val="2"/>
          </rPr>
          <t>Andrew Corney:</t>
        </r>
        <r>
          <rPr>
            <sz val="8"/>
            <color indexed="81"/>
            <rFont val="Tahoma"/>
            <family val="2"/>
          </rPr>
          <t xml:space="preserve">
Time consant of ratio. Multiply by omega to get imaginary part of ratio</t>
        </r>
      </text>
    </comment>
    <comment ref="D13" authorId="2" shapeId="0">
      <text>
        <r>
          <rPr>
            <sz val="10"/>
            <color indexed="81"/>
            <rFont val="Tahoma"/>
            <family val="2"/>
          </rPr>
          <t>This is now calculated from R1, R2, L1 and L2 template values. It ignores terms second-order in L. See page 23 of Callum McKenzie Rough Notes and Ideas 1.</t>
        </r>
      </text>
    </comment>
    <comment ref="P13" authorId="2" shapeId="0">
      <text>
        <r>
          <rPr>
            <sz val="10"/>
            <color indexed="81"/>
            <rFont val="Tahoma"/>
            <family val="2"/>
          </rPr>
          <t>This is now calculated from R1, R2, L1 and L2 template values. It ignores terms second-order in L. See page 23 of Callum McKenzie Rough Notes and Ideas 1.</t>
        </r>
      </text>
    </comment>
    <comment ref="V13" authorId="2" shapeId="0">
      <text>
        <r>
          <rPr>
            <sz val="10"/>
            <color indexed="81"/>
            <rFont val="Tahoma"/>
            <family val="2"/>
          </rPr>
          <t>This is now calculated from R1, R2, L1 and L2 template values. It ignores terms second-order in L. See page 23 of Callum McKenzie Rough Notes and Ideas 1.</t>
        </r>
      </text>
    </comment>
    <comment ref="AB13" authorId="2" shapeId="0">
      <text>
        <r>
          <rPr>
            <sz val="10"/>
            <color indexed="81"/>
            <rFont val="Tahoma"/>
            <family val="2"/>
          </rPr>
          <t>This is now calculated from R1, R2, L1 and L2 template values. It ignores terms second-order in L. See page 23 of Callum McKenzie Rough Notes and Ideas 1.</t>
        </r>
      </text>
    </comment>
    <comment ref="AH13" authorId="2" shapeId="0">
      <text>
        <r>
          <rPr>
            <sz val="10"/>
            <color indexed="81"/>
            <rFont val="Tahoma"/>
            <family val="2"/>
          </rPr>
          <t>This is now calculated from R1, R2, L1 and L2 template values. It ignores terms second-order in L. See page 23 of Callum McKenzie Rough Notes and Ideas 1.</t>
        </r>
      </text>
    </comment>
    <comment ref="AM13" authorId="1" shapeId="0">
      <text>
        <r>
          <rPr>
            <b/>
            <sz val="8"/>
            <color indexed="81"/>
            <rFont val="Tahoma"/>
            <family val="2"/>
          </rPr>
          <t>Industrial Research Limited:
Calculated from R1, R2, L1 and L2. Ignores terms second-order in L. Previoulsy this was calculated off-line and inserted as a constant.</t>
        </r>
      </text>
    </comment>
    <comment ref="V14" authorId="0" shapeId="0">
      <text>
        <r>
          <rPr>
            <b/>
            <sz val="8"/>
            <color indexed="81"/>
            <rFont val="Tahoma"/>
            <family val="2"/>
          </rPr>
          <t>t.stewart:</t>
        </r>
        <r>
          <rPr>
            <sz val="8"/>
            <color indexed="81"/>
            <rFont val="Tahoma"/>
            <family val="2"/>
          </rPr>
          <t xml:space="preserve">
From cell BT25 of "CalPb_C1_Dec2010.xls"</t>
        </r>
      </text>
    </comment>
    <comment ref="AB14" authorId="0" shapeId="0">
      <text>
        <r>
          <rPr>
            <b/>
            <sz val="8"/>
            <color indexed="81"/>
            <rFont val="Tahoma"/>
            <family val="2"/>
          </rPr>
          <t>t.stewart:</t>
        </r>
        <r>
          <rPr>
            <sz val="8"/>
            <color indexed="81"/>
            <rFont val="Tahoma"/>
            <family val="2"/>
          </rPr>
          <t xml:space="preserve">
From cell BT77 of From "CalPb_C1_Dec2008.xls"</t>
        </r>
      </text>
    </comment>
    <comment ref="AM14" authorId="2" shapeId="0">
      <text>
        <r>
          <rPr>
            <b/>
            <sz val="8"/>
            <color indexed="81"/>
            <rFont val="Tahoma"/>
            <family val="2"/>
          </rPr>
          <t xml:space="preserve">Callum McKenzie:
C1 at 24.10C with Pt internal thermomter
</t>
        </r>
      </text>
    </comment>
    <comment ref="AQ14" authorId="2" shapeId="0">
      <text>
        <r>
          <rPr>
            <b/>
            <sz val="8"/>
            <color indexed="81"/>
            <rFont val="Tahoma"/>
            <family val="2"/>
          </rPr>
          <t>Laurie Christian:</t>
        </r>
        <r>
          <rPr>
            <sz val="8"/>
            <color indexed="81"/>
            <rFont val="Tahoma"/>
            <family val="2"/>
          </rPr>
          <t xml:space="preserve">
Measured at 23.6 C true diecast box temperature</t>
        </r>
      </text>
    </comment>
    <comment ref="CM16" authorId="5" shapeId="0">
      <text>
        <r>
          <rPr>
            <sz val="8"/>
            <color indexed="81"/>
            <rFont val="Tahoma"/>
            <family val="2"/>
          </rPr>
          <t>A 14 ppm correction is applied here to allow for the increase in resistance at 53 Hz over the dc value.</t>
        </r>
      </text>
    </comment>
    <comment ref="D19" authorId="0" shapeId="0">
      <text>
        <r>
          <rPr>
            <b/>
            <sz val="10"/>
            <color indexed="81"/>
            <rFont val="Tahoma"/>
            <family val="2"/>
          </rPr>
          <t>t.stewart:</t>
        </r>
        <r>
          <rPr>
            <sz val="10"/>
            <color indexed="81"/>
            <rFont val="Tahoma"/>
            <family val="2"/>
          </rPr>
          <t xml:space="preserve">
Cell M48 of "Detector Feb 2014" worksheet of "CalPb_Det_auto_Feb 14.xls"</t>
        </r>
      </text>
    </comment>
    <comment ref="P19" authorId="0" shapeId="0">
      <text>
        <r>
          <rPr>
            <b/>
            <sz val="8"/>
            <color indexed="81"/>
            <rFont val="Tahoma"/>
            <family val="2"/>
          </rPr>
          <t>t.stewart:</t>
        </r>
        <r>
          <rPr>
            <sz val="8"/>
            <color indexed="81"/>
            <rFont val="Tahoma"/>
            <family val="2"/>
          </rPr>
          <t xml:space="preserve">
Cell M48 of "Detector May 2012" worksheet of "CalPb_Det_auto_May 12.xls"</t>
        </r>
      </text>
    </comment>
    <comment ref="V19" authorId="0" shapeId="0">
      <text>
        <r>
          <rPr>
            <b/>
            <sz val="8"/>
            <color indexed="81"/>
            <rFont val="Tahoma"/>
            <family val="2"/>
          </rPr>
          <t>t.stewart:</t>
        </r>
        <r>
          <rPr>
            <sz val="8"/>
            <color indexed="81"/>
            <rFont val="Tahoma"/>
            <family val="2"/>
          </rPr>
          <t xml:space="preserve">
Cell M48 of "Detector Dec 2010" worksheet of "CalPb_Det_auto_Dec10.xls"</t>
        </r>
      </text>
    </comment>
    <comment ref="AB19" authorId="0" shapeId="0">
      <text>
        <r>
          <rPr>
            <b/>
            <sz val="8"/>
            <color indexed="81"/>
            <rFont val="Tahoma"/>
            <family val="2"/>
          </rPr>
          <t>t.stewart:</t>
        </r>
        <r>
          <rPr>
            <sz val="8"/>
            <color indexed="81"/>
            <rFont val="Tahoma"/>
            <family val="2"/>
          </rPr>
          <t xml:space="preserve">
Cell M48 of "Detector Jan 2009" worksheet of "CalPb_Det_auto_Dec08.xls"</t>
        </r>
      </text>
    </comment>
    <comment ref="AM19" authorId="1" shapeId="0">
      <text>
        <r>
          <rPr>
            <b/>
            <sz val="8"/>
            <color indexed="81"/>
            <rFont val="Tahoma"/>
            <family val="2"/>
          </rPr>
          <t>Industrial Research Limited:</t>
        </r>
        <r>
          <rPr>
            <sz val="8"/>
            <color indexed="81"/>
            <rFont val="Tahoma"/>
            <family val="2"/>
          </rPr>
          <t xml:space="preserve">
'Detector 2005(4)' page</t>
        </r>
      </text>
    </comment>
    <comment ref="AN19" authorId="4" shapeId="0">
      <text>
        <r>
          <rPr>
            <b/>
            <sz val="8"/>
            <color indexed="81"/>
            <rFont val="Tahoma"/>
            <family val="2"/>
          </rPr>
          <t>Callum McKenzie:</t>
        </r>
        <r>
          <rPr>
            <sz val="8"/>
            <color indexed="81"/>
            <rFont val="Tahoma"/>
            <family val="2"/>
          </rPr>
          <t xml:space="preserve">
These values are after the grounding problesm were fixed.</t>
        </r>
      </text>
    </comment>
    <comment ref="D20" authorId="0" shapeId="0">
      <text>
        <r>
          <rPr>
            <b/>
            <sz val="10"/>
            <color indexed="81"/>
            <rFont val="Tahoma"/>
            <family val="2"/>
          </rPr>
          <t>t.stewart:</t>
        </r>
        <r>
          <rPr>
            <sz val="10"/>
            <color indexed="81"/>
            <rFont val="Tahoma"/>
            <family val="2"/>
          </rPr>
          <t xml:space="preserve">
Cell M49 of "Detector Feb 2014" worksheet of "CalPb_Det_auto_Feb 14.xls"</t>
        </r>
      </text>
    </comment>
    <comment ref="P20" authorId="0" shapeId="0">
      <text>
        <r>
          <rPr>
            <b/>
            <sz val="8"/>
            <color indexed="81"/>
            <rFont val="Tahoma"/>
            <family val="2"/>
          </rPr>
          <t>t.stewart:</t>
        </r>
        <r>
          <rPr>
            <sz val="8"/>
            <color indexed="81"/>
            <rFont val="Tahoma"/>
            <family val="2"/>
          </rPr>
          <t xml:space="preserve">
Cell M49 of "Detector May 2012" worksheet of "CalPb_Det_auto_May12.xls"</t>
        </r>
      </text>
    </comment>
    <comment ref="V20" authorId="0" shapeId="0">
      <text>
        <r>
          <rPr>
            <b/>
            <sz val="8"/>
            <color indexed="81"/>
            <rFont val="Tahoma"/>
            <family val="2"/>
          </rPr>
          <t>t.stewart:</t>
        </r>
        <r>
          <rPr>
            <sz val="8"/>
            <color indexed="81"/>
            <rFont val="Tahoma"/>
            <family val="2"/>
          </rPr>
          <t xml:space="preserve">
Cell M49 of "Detector Dec 2010" worksheet of "CalPb_Det_auto_Dec10.xls"</t>
        </r>
      </text>
    </comment>
    <comment ref="AB20" authorId="0" shapeId="0">
      <text>
        <r>
          <rPr>
            <b/>
            <sz val="8"/>
            <color indexed="81"/>
            <rFont val="Tahoma"/>
            <family val="2"/>
          </rPr>
          <t>t.stewart:</t>
        </r>
        <r>
          <rPr>
            <sz val="8"/>
            <color indexed="81"/>
            <rFont val="Tahoma"/>
            <family val="2"/>
          </rPr>
          <t xml:space="preserve">
Cell M49 of "Detector Jan 2009" worksheet of "CalPb_Det_auto_Dec08.xls"</t>
        </r>
      </text>
    </comment>
    <comment ref="AM20" authorId="1" shapeId="0">
      <text>
        <r>
          <rPr>
            <b/>
            <sz val="8"/>
            <color indexed="81"/>
            <rFont val="Tahoma"/>
            <family val="2"/>
          </rPr>
          <t>Industrial Research Limited:</t>
        </r>
        <r>
          <rPr>
            <sz val="8"/>
            <color indexed="81"/>
            <rFont val="Tahoma"/>
            <family val="2"/>
          </rPr>
          <t xml:space="preserve">
'Detector 2005(4)' page</t>
        </r>
      </text>
    </comment>
    <comment ref="AN20" authorId="4" shapeId="0">
      <text>
        <r>
          <rPr>
            <b/>
            <sz val="8"/>
            <color indexed="81"/>
            <rFont val="Tahoma"/>
            <family val="2"/>
          </rPr>
          <t>Callum McKenzie:</t>
        </r>
        <r>
          <rPr>
            <sz val="8"/>
            <color indexed="81"/>
            <rFont val="Tahoma"/>
            <family val="2"/>
          </rPr>
          <t xml:space="preserve">
These values are after the grounding problesm were fixed.</t>
        </r>
      </text>
    </comment>
    <comment ref="C22" authorId="2" shapeId="0">
      <text>
        <r>
          <rPr>
            <b/>
            <sz val="8"/>
            <color indexed="81"/>
            <rFont val="Tahoma"/>
            <family val="2"/>
          </rPr>
          <t>Laurie Christian:</t>
        </r>
        <r>
          <rPr>
            <sz val="8"/>
            <color indexed="81"/>
            <rFont val="Tahoma"/>
            <family val="2"/>
          </rPr>
          <t xml:space="preserve">
ESI 10*1 ohm in parallel</t>
        </r>
      </text>
    </comment>
    <comment ref="D22" authorId="1" shapeId="0">
      <text>
        <r>
          <rPr>
            <b/>
            <sz val="10"/>
            <color indexed="81"/>
            <rFont val="Tahoma"/>
            <family val="2"/>
          </rPr>
          <t>Industrial Research Limited:</t>
        </r>
        <r>
          <rPr>
            <sz val="10"/>
            <color indexed="81"/>
            <rFont val="Tahoma"/>
            <family val="2"/>
          </rPr>
          <t xml:space="preserve">
-73.610 ppm
From BuildupESIboxes2014.xls  located "I:\MSL\Private\Electricity\Ongoing\OHM\ESI_Boxes" worksheet "ResultsFromT16_T81", cell E54.  This is a corrected to 20° value dated at 30/1/14.
 TJS
</t>
        </r>
      </text>
    </comment>
    <comment ref="O22" authorId="2" shapeId="0">
      <text>
        <r>
          <rPr>
            <b/>
            <sz val="8"/>
            <color indexed="81"/>
            <rFont val="Tahoma"/>
            <family val="2"/>
          </rPr>
          <t>Laurie Christian:</t>
        </r>
        <r>
          <rPr>
            <sz val="8"/>
            <color indexed="81"/>
            <rFont val="Tahoma"/>
            <family val="2"/>
          </rPr>
          <t xml:space="preserve">
ESI 10*1 ohm in parallel</t>
        </r>
      </text>
    </comment>
    <comment ref="P22" authorId="1" shapeId="0">
      <text>
        <r>
          <rPr>
            <b/>
            <sz val="10"/>
            <color indexed="81"/>
            <rFont val="Tahoma"/>
            <family val="2"/>
          </rPr>
          <t>Industrial Research Limited:</t>
        </r>
        <r>
          <rPr>
            <sz val="10"/>
            <color indexed="81"/>
            <rFont val="Tahoma"/>
            <family val="2"/>
          </rPr>
          <t xml:space="preserve">
-70.877 ppm from cell E10 of "ValuesUsed" worksheet in  "BuildESIboxes2012 2012 Restraint.xls" , located "I:\MSL\Private\Electricity\Ongoing\OHM\ESI_Boxes".  This is a corrected to 20°C number and is dated 16-3-2012.   TJS</t>
        </r>
      </text>
    </comment>
    <comment ref="U22" authorId="2" shapeId="0">
      <text>
        <r>
          <rPr>
            <b/>
            <sz val="8"/>
            <color indexed="81"/>
            <rFont val="Tahoma"/>
            <family val="2"/>
          </rPr>
          <t>Laurie Christian:</t>
        </r>
        <r>
          <rPr>
            <sz val="8"/>
            <color indexed="81"/>
            <rFont val="Tahoma"/>
            <family val="2"/>
          </rPr>
          <t xml:space="preserve">
ESI 10*1 ohm in parallel</t>
        </r>
      </text>
    </comment>
    <comment ref="V22" authorId="1" shapeId="0">
      <text>
        <r>
          <rPr>
            <b/>
            <sz val="10"/>
            <color indexed="81"/>
            <rFont val="Tahoma"/>
            <family val="2"/>
          </rPr>
          <t>Industrial Research Limited:</t>
        </r>
        <r>
          <rPr>
            <sz val="10"/>
            <color indexed="81"/>
            <rFont val="Tahoma"/>
            <family val="2"/>
          </rPr>
          <t xml:space="preserve">
-70.223 ppm from cell AE777 of "Calculations." worksheet in  "BuildESIboxes2006a.xls" August 2006, located "G:\Msl\estds\ONGOING\OHM\ESI_Boxes".  This is a corrected to 20°C number and is dated 14-2-2007.   May be closer to -75ppm in 2009.    BEM.</t>
        </r>
      </text>
    </comment>
    <comment ref="AA22" authorId="2" shapeId="0">
      <text>
        <r>
          <rPr>
            <b/>
            <sz val="8"/>
            <color indexed="81"/>
            <rFont val="Tahoma"/>
            <family val="2"/>
          </rPr>
          <t>Laurie Christian:</t>
        </r>
        <r>
          <rPr>
            <sz val="8"/>
            <color indexed="81"/>
            <rFont val="Tahoma"/>
            <family val="2"/>
          </rPr>
          <t xml:space="preserve">
ESI 10*1 ohm in parallel</t>
        </r>
      </text>
    </comment>
    <comment ref="AB22" authorId="1" shapeId="0">
      <text>
        <r>
          <rPr>
            <b/>
            <sz val="10"/>
            <color indexed="81"/>
            <rFont val="Tahoma"/>
            <family val="2"/>
          </rPr>
          <t>Industrial Research Limited:</t>
        </r>
        <r>
          <rPr>
            <sz val="10"/>
            <color indexed="81"/>
            <rFont val="Tahoma"/>
            <family val="2"/>
          </rPr>
          <t xml:space="preserve">
-70.223 ppm from cell AE777 of "Calculations." worksheet in  "BuildESIboxes2006a.xls" August 2006, located "G:\Msl\estds\ONGOING\OHM\ESI_Boxes".  As of 06/03/09 there is an indication that this has moved to -64ppm. BEM.</t>
        </r>
      </text>
    </comment>
    <comment ref="AG22" authorId="2" shapeId="0">
      <text>
        <r>
          <rPr>
            <b/>
            <sz val="8"/>
            <color indexed="81"/>
            <rFont val="Tahoma"/>
            <family val="2"/>
          </rPr>
          <t>Laurie Christian:</t>
        </r>
        <r>
          <rPr>
            <sz val="8"/>
            <color indexed="81"/>
            <rFont val="Tahoma"/>
            <family val="2"/>
          </rPr>
          <t xml:space="preserve">
ESI 10*1 ohm in parallel</t>
        </r>
      </text>
    </comment>
    <comment ref="AH22" authorId="1" shapeId="0">
      <text>
        <r>
          <rPr>
            <b/>
            <sz val="10"/>
            <color indexed="81"/>
            <rFont val="Tahoma"/>
            <family val="2"/>
          </rPr>
          <t>Industrial Research Limited:</t>
        </r>
        <r>
          <rPr>
            <sz val="10"/>
            <color indexed="81"/>
            <rFont val="Tahoma"/>
            <family val="2"/>
          </rPr>
          <t xml:space="preserve">
-70.223 ppm from cell AE777 of "Calculations." worksheet in  "BuildESIboxes2006a.xls" August 2006, located "G:\Msl\estds\ONGOING\OHM\ESI_Boxes".</t>
        </r>
      </text>
    </comment>
    <comment ref="AM22" authorId="6" shapeId="0">
      <text>
        <r>
          <rPr>
            <b/>
            <sz val="8"/>
            <color indexed="81"/>
            <rFont val="Tahoma"/>
            <family val="2"/>
          </rPr>
          <t>Bruce McLennan:</t>
        </r>
        <r>
          <rPr>
            <sz val="8"/>
            <color indexed="81"/>
            <rFont val="Tahoma"/>
            <family val="2"/>
          </rPr>
          <t xml:space="preserve">
From ESI_History.xls in Ongoing/ESI_Boxes.  August 2006 value for 0.1 ohm configuration</t>
        </r>
      </text>
    </comment>
    <comment ref="AQ22" authorId="2" shapeId="0">
      <text>
        <r>
          <rPr>
            <b/>
            <sz val="8"/>
            <color indexed="81"/>
            <rFont val="Tahoma"/>
            <family val="2"/>
          </rPr>
          <t>Laurie Christian:</t>
        </r>
        <r>
          <rPr>
            <sz val="8"/>
            <color indexed="81"/>
            <rFont val="Tahoma"/>
            <family val="2"/>
          </rPr>
          <t xml:space="preserve">
Cal temp = 19.76 C</t>
        </r>
      </text>
    </comment>
    <comment ref="D23" authorId="1" shapeId="0">
      <text>
        <r>
          <rPr>
            <b/>
            <sz val="10"/>
            <color indexed="81"/>
            <rFont val="Tahoma"/>
            <family val="2"/>
          </rPr>
          <t>Industrial Research Limited:</t>
        </r>
        <r>
          <rPr>
            <sz val="10"/>
            <color indexed="81"/>
            <rFont val="Tahoma"/>
            <family val="2"/>
          </rPr>
          <t xml:space="preserve">
-26 ppm.
From BuildupESIboxes2014.xls located in "I:\MSL\Private\Electricity\Ongoing\OHM\ESI_Boxes" worksheet "ResultsFromT16_T81", average of cells L9:L13.  This is a corrected to 20</t>
        </r>
        <r>
          <rPr>
            <sz val="10"/>
            <color indexed="81"/>
            <rFont val="Calibri"/>
            <family val="2"/>
          </rPr>
          <t>° value dated at 31/1/14.</t>
        </r>
        <r>
          <rPr>
            <sz val="10"/>
            <color indexed="81"/>
            <rFont val="Tahoma"/>
            <family val="2"/>
          </rPr>
          <t xml:space="preserve">
See also report S21895 for supporting information including phase. TJS
</t>
        </r>
      </text>
    </comment>
    <comment ref="P23" authorId="1" shapeId="0">
      <text>
        <r>
          <rPr>
            <b/>
            <sz val="10"/>
            <color indexed="81"/>
            <rFont val="Tahoma"/>
            <family val="2"/>
          </rPr>
          <t>Industrial Research Limited:</t>
        </r>
        <r>
          <rPr>
            <sz val="10"/>
            <color indexed="81"/>
            <rFont val="Tahoma"/>
            <family val="2"/>
          </rPr>
          <t xml:space="preserve">
From cell L32 of "ValuesUsed" worksheet of "Buildup2010.xls" in "G:\Msl\estds\ONGOING\OHM\" and using date of interest as 12 Dec 2011.  BM &amp; TJS 18/4/11</t>
        </r>
      </text>
    </comment>
    <comment ref="V23" authorId="1" shapeId="0">
      <text>
        <r>
          <rPr>
            <b/>
            <sz val="10"/>
            <color indexed="81"/>
            <rFont val="Tahoma"/>
            <family val="2"/>
          </rPr>
          <t>Industrial Research Limited:</t>
        </r>
        <r>
          <rPr>
            <sz val="10"/>
            <color indexed="81"/>
            <rFont val="Tahoma"/>
            <family val="2"/>
          </rPr>
          <t xml:space="preserve">
From cell L32 of "ValuesUsed" worksheet of "Buildup2010.xls" in "G:\Msl\estds\ONGOING\OHM\" and using date of interest as 12 Dec 2011.  BM &amp; TJS 18/4/11</t>
        </r>
      </text>
    </comment>
    <comment ref="AB23" authorId="1" shapeId="0">
      <text>
        <r>
          <rPr>
            <b/>
            <sz val="10"/>
            <color indexed="81"/>
            <rFont val="Tahoma"/>
            <family val="2"/>
          </rPr>
          <t>Industrial Research Limited:</t>
        </r>
        <r>
          <rPr>
            <sz val="10"/>
            <color indexed="81"/>
            <rFont val="Tahoma"/>
            <family val="2"/>
          </rPr>
          <t xml:space="preserve">
From Buildup2008.xls, cell Y983 of Calculations page.  20 C value using 1.43 ppm/C temp co.)</t>
        </r>
      </text>
    </comment>
    <comment ref="AH23" authorId="1" shapeId="0">
      <text>
        <r>
          <rPr>
            <b/>
            <sz val="10"/>
            <color indexed="81"/>
            <rFont val="Tahoma"/>
            <family val="2"/>
          </rPr>
          <t>Industrial Research Limited:</t>
        </r>
        <r>
          <rPr>
            <sz val="10"/>
            <color indexed="81"/>
            <rFont val="Tahoma"/>
            <family val="2"/>
          </rPr>
          <t xml:space="preserve">
From Buildup2008.xls, cell Y983 of "Calculations." worksheet.  20 C value using 1.43 ppm/C temp co.)</t>
        </r>
      </text>
    </comment>
    <comment ref="AM23" authorId="6" shapeId="0">
      <text>
        <r>
          <rPr>
            <b/>
            <sz val="8"/>
            <color indexed="81"/>
            <rFont val="Tahoma"/>
            <family val="2"/>
          </rPr>
          <t>Bruce McLennan:</t>
        </r>
        <r>
          <rPr>
            <sz val="8"/>
            <color indexed="81"/>
            <rFont val="Tahoma"/>
            <family val="2"/>
          </rPr>
          <t xml:space="preserve">
Value from Estds\Ongoing\Shunts\Shunt_hist.xls.  8-Dec-06 value extrapolated to 20 C.  Drift with time is linear with slope of approx 2.2 ppm/year. Heating with cooling from PaddleWheelShunt.xls in Calibrat/Power&amp;Energy/PaddleWheel.  (0.368 ppm/Watt).  Temp Co in Watt0.2.xls in Ongoing/Ohm/Shunts.  Approx 1.4 ppm/C</t>
        </r>
      </text>
    </comment>
    <comment ref="AQ23" authorId="6" shapeId="0">
      <text>
        <r>
          <rPr>
            <b/>
            <sz val="8"/>
            <color indexed="81"/>
            <rFont val="Tahoma"/>
            <family val="2"/>
          </rPr>
          <t>Bruce McLennan:</t>
        </r>
        <r>
          <rPr>
            <sz val="8"/>
            <color indexed="81"/>
            <rFont val="Tahoma"/>
            <family val="2"/>
          </rPr>
          <t xml:space="preserve">
Value from MI_Values in G:\estds\Reports\2004\S21537.  At 20 C.  Heating with cooling from PaddleWheelShunt.xls in Calibrat/Power&amp;Energy/PaddleWheel.  (0.368 ppm/Watt).  Temp Co in Watt0.2.xls in Ongoing/Ohm/Shunts.  Approx 1.4 ppm/C</t>
        </r>
      </text>
    </comment>
    <comment ref="D24" authorId="1" shapeId="0">
      <text>
        <r>
          <rPr>
            <b/>
            <sz val="8"/>
            <color indexed="81"/>
            <rFont val="Tahoma"/>
            <family val="2"/>
          </rPr>
          <t>Industrial Research Limited:</t>
        </r>
        <r>
          <rPr>
            <sz val="8"/>
            <color indexed="81"/>
            <rFont val="Tahoma"/>
            <family val="2"/>
          </rPr>
          <t xml:space="preserve">
From cell F17 of "ValuesUsed" worksheet of "Buildup2012 2012 Restraint.xls" in "\\Electricity\Ongoing\OHM\" and using Date of interest as 19/04/2012.  TJS</t>
        </r>
      </text>
    </comment>
    <comment ref="P24" authorId="1" shapeId="0">
      <text>
        <r>
          <rPr>
            <b/>
            <sz val="8"/>
            <color indexed="81"/>
            <rFont val="Tahoma"/>
            <family val="2"/>
          </rPr>
          <t>Industrial Research Limited:</t>
        </r>
        <r>
          <rPr>
            <sz val="8"/>
            <color indexed="81"/>
            <rFont val="Tahoma"/>
            <family val="2"/>
          </rPr>
          <t xml:space="preserve">
From cell F17 of "ValuesUsed" worksheet of "Buildup2012 2012 Restraint.xls" in "\\Electricity\Ongoing\OHM\" and using Date of interest as 19/04/2012.  TJS</t>
        </r>
      </text>
    </comment>
    <comment ref="V24" authorId="1" shapeId="0">
      <text>
        <r>
          <rPr>
            <b/>
            <sz val="8"/>
            <color indexed="81"/>
            <rFont val="Tahoma"/>
            <family val="2"/>
          </rPr>
          <t>Industrial Research Limited:</t>
        </r>
        <r>
          <rPr>
            <sz val="8"/>
            <color indexed="81"/>
            <rFont val="Tahoma"/>
            <family val="2"/>
          </rPr>
          <t xml:space="preserve">
From cell L33 of "ValuesUsed" worksheet of "Buildup2010.xls" in "G:\Msl\estds\ONGOING\OHM\" and using Date of interest as 14/12/2010.  BM</t>
        </r>
      </text>
    </comment>
    <comment ref="AB24" authorId="1" shapeId="0">
      <text>
        <r>
          <rPr>
            <b/>
            <sz val="8"/>
            <color indexed="81"/>
            <rFont val="Tahoma"/>
            <family val="2"/>
          </rPr>
          <t>Industrial Research Limited:</t>
        </r>
        <r>
          <rPr>
            <sz val="8"/>
            <color indexed="81"/>
            <rFont val="Tahoma"/>
            <family val="2"/>
          </rPr>
          <t xml:space="preserve">
From cell D19 of "Current Value" worksheet of "1ohm_data.xls" in "G:\Msl\estds\ONGOING\OHM\NZ ohm June 2005 with Least squares equations" and using Date of interest as 23/01/2009.
Consistent with Buildup2008.xls</t>
        </r>
      </text>
    </comment>
    <comment ref="AH24" authorId="1" shapeId="0">
      <text>
        <r>
          <rPr>
            <b/>
            <sz val="10"/>
            <color indexed="81"/>
            <rFont val="Tahoma"/>
            <family val="2"/>
          </rPr>
          <t>Industrial Research Limited:</t>
        </r>
        <r>
          <rPr>
            <sz val="10"/>
            <color indexed="81"/>
            <rFont val="Tahoma"/>
            <family val="2"/>
          </rPr>
          <t xml:space="preserve">
From cell D19 of "Current Value" worksheet of "1ohm_data.xls" in "G:\Msl\estds\ONGOING\OHM\NZ ohm June 2005 with Least squares equations" and using Date of interest as 13/11/2008.
Consistent with Buildup2008.xls</t>
        </r>
      </text>
    </comment>
    <comment ref="AM24" authorId="2" shapeId="0">
      <text>
        <r>
          <rPr>
            <b/>
            <sz val="8"/>
            <color indexed="81"/>
            <rFont val="Tahoma"/>
            <family val="2"/>
          </rPr>
          <t>Laurie Christian:</t>
        </r>
        <r>
          <rPr>
            <sz val="8"/>
            <color indexed="81"/>
            <rFont val="Tahoma"/>
            <family val="2"/>
          </rPr>
          <t xml:space="preserve">
8-Dec-2006 value at 20 C.  I n 1ohm_data.xls in G:\estds\ONGOING\OHM\NZ ohm June 2005 with Least squares equations</t>
        </r>
      </text>
    </comment>
    <comment ref="AQ24" authorId="2" shapeId="0">
      <text>
        <r>
          <rPr>
            <b/>
            <sz val="8"/>
            <color indexed="81"/>
            <rFont val="Tahoma"/>
            <family val="2"/>
          </rPr>
          <t>Laurie Christian:</t>
        </r>
        <r>
          <rPr>
            <sz val="8"/>
            <color indexed="81"/>
            <rFont val="Tahoma"/>
            <family val="2"/>
          </rPr>
          <t xml:space="preserve">
At 20 C.  I n Buildup2003a.xls in Ongoing/Ohm/NZ Ohm Feb 2004/</t>
        </r>
      </text>
    </comment>
    <comment ref="D25" authorId="1" shapeId="0">
      <text>
        <r>
          <rPr>
            <b/>
            <sz val="10"/>
            <color indexed="81"/>
            <rFont val="Tahoma"/>
            <family val="2"/>
          </rPr>
          <t>Industrial Research Limited:</t>
        </r>
        <r>
          <rPr>
            <sz val="10"/>
            <color indexed="81"/>
            <rFont val="Tahoma"/>
            <family val="2"/>
          </rPr>
          <t xml:space="preserve">
Value at 1 A and 20 C from LoShunt2008.xls.  Heating at 8 A from 1 A is about 150 ppm.  Can apply temp correction and measured resistor temp for other currents (see 8 A value)</t>
        </r>
      </text>
    </comment>
    <comment ref="P25" authorId="1" shapeId="0">
      <text>
        <r>
          <rPr>
            <b/>
            <sz val="10"/>
            <color indexed="81"/>
            <rFont val="Tahoma"/>
            <family val="2"/>
          </rPr>
          <t>Industrial Research Limited:</t>
        </r>
        <r>
          <rPr>
            <sz val="10"/>
            <color indexed="81"/>
            <rFont val="Tahoma"/>
            <family val="2"/>
          </rPr>
          <t xml:space="preserve">
Value at 1 A and 20 C from LoShunt2008.xls.  Heating at 8 A from 1 A is about 150 ppm.  Can apply temp correction and measured resistor temp for other currents (see 8 A value)</t>
        </r>
      </text>
    </comment>
    <comment ref="V25" authorId="1" shapeId="0">
      <text>
        <r>
          <rPr>
            <b/>
            <sz val="10"/>
            <color indexed="81"/>
            <rFont val="Tahoma"/>
            <family val="2"/>
          </rPr>
          <t>Industrial Research Limited:</t>
        </r>
        <r>
          <rPr>
            <sz val="10"/>
            <color indexed="81"/>
            <rFont val="Tahoma"/>
            <family val="2"/>
          </rPr>
          <t xml:space="preserve">
Value at 1 A and 20 C from LoShunt2008.xls.  Heating at 8 A from 1 A is about 150 ppm.  Can apply temp correction and measured resistor temp for other currents (see 8 A value)</t>
        </r>
      </text>
    </comment>
    <comment ref="AB25" authorId="1" shapeId="0">
      <text>
        <r>
          <rPr>
            <b/>
            <sz val="10"/>
            <color indexed="81"/>
            <rFont val="Tahoma"/>
            <family val="2"/>
          </rPr>
          <t>Industrial Research Limited:</t>
        </r>
        <r>
          <rPr>
            <sz val="10"/>
            <color indexed="81"/>
            <rFont val="Tahoma"/>
            <family val="2"/>
          </rPr>
          <t xml:space="preserve">
Value at 1 A and 20 C from LoShunt2008.xls.  Heating at 8 A from 1 A is about 150 ppm.  Can apply temp correction and measured resistor temp for other currents (see 8 A value)</t>
        </r>
      </text>
    </comment>
    <comment ref="AH25" authorId="1" shapeId="0">
      <text>
        <r>
          <rPr>
            <b/>
            <sz val="10"/>
            <color indexed="81"/>
            <rFont val="Tahoma"/>
            <family val="2"/>
          </rPr>
          <t>Industrial Research Limited:</t>
        </r>
        <r>
          <rPr>
            <sz val="10"/>
            <color indexed="81"/>
            <rFont val="Tahoma"/>
            <family val="2"/>
          </rPr>
          <t xml:space="preserve">
Value at 1 A and 20 C from LoShunt2008.xls.  Heating at 8 A from 1 A is about 150 ppm.  Can apply temp correction and measured resistor temp for other currents (see 8 A value)</t>
        </r>
      </text>
    </comment>
    <comment ref="AM25" authorId="6" shapeId="0">
      <text>
        <r>
          <rPr>
            <b/>
            <sz val="8"/>
            <color indexed="81"/>
            <rFont val="Tahoma"/>
            <family val="2"/>
          </rPr>
          <t>Bruce McLennan:</t>
        </r>
        <r>
          <rPr>
            <sz val="8"/>
            <color indexed="81"/>
            <rFont val="Tahoma"/>
            <family val="2"/>
          </rPr>
          <t xml:space="preserve">
This is the 10 A value extrapolated to 20 C using temperature coefficients of 26.4 ppm/C and -0.6 ppm/C^2 (from Analysis1_Ti122 in G:\estds\Ongoing\Shunts\Lo Shunt 2006.xls).   At present there is no allowance made for the temperature or current dependence.  Between 5 A and 10 A at a fixed ambient temperature the resistor changes by 130 ppm and can't be ignored. </t>
        </r>
      </text>
    </comment>
    <comment ref="AQ25" authorId="6" shapeId="0">
      <text>
        <r>
          <rPr>
            <b/>
            <sz val="8"/>
            <color indexed="81"/>
            <rFont val="Tahoma"/>
            <family val="2"/>
          </rPr>
          <t>Bruce McLennan:</t>
        </r>
        <r>
          <rPr>
            <sz val="8"/>
            <color indexed="81"/>
            <rFont val="Tahoma"/>
            <family val="2"/>
          </rPr>
          <t xml:space="preserve">
From MI_Values in G:\estds\Reports\2004\S21537.  At 20.00 C</t>
        </r>
      </text>
    </comment>
    <comment ref="D26" authorId="1" shapeId="0">
      <text>
        <r>
          <rPr>
            <b/>
            <sz val="8"/>
            <color indexed="81"/>
            <rFont val="Tahoma"/>
            <family val="2"/>
          </rPr>
          <t>Industrial Research Limited:</t>
        </r>
        <r>
          <rPr>
            <sz val="8"/>
            <color indexed="81"/>
            <rFont val="Tahoma"/>
            <family val="2"/>
          </rPr>
          <t xml:space="preserve">
From cell F18 of "ValuesUsed" worksheet of "Buildup2012 2012 Restraint.xls" in "\\Electricity\Ongoing\OHM\" and using Date of interest as 07/05/2012.  TJS</t>
        </r>
      </text>
    </comment>
    <comment ref="P26" authorId="1" shapeId="0">
      <text>
        <r>
          <rPr>
            <b/>
            <sz val="8"/>
            <color indexed="81"/>
            <rFont val="Tahoma"/>
            <family val="2"/>
          </rPr>
          <t>Industrial Research Limited:</t>
        </r>
        <r>
          <rPr>
            <sz val="8"/>
            <color indexed="81"/>
            <rFont val="Tahoma"/>
            <family val="2"/>
          </rPr>
          <t xml:space="preserve">
From cell F18 of "ValuesUsed" worksheet of "Buildup2012 2012 Restraint.xls" in "\\Electricity\Ongoing\OHM\" and using Date of interest as 07/05/2012.  TJS</t>
        </r>
      </text>
    </comment>
    <comment ref="U26" authorId="1" shapeId="0">
      <text>
        <r>
          <rPr>
            <b/>
            <sz val="8"/>
            <color indexed="81"/>
            <rFont val="Tahoma"/>
            <family val="2"/>
          </rPr>
          <t>Industrial Research Limited:</t>
        </r>
        <r>
          <rPr>
            <sz val="8"/>
            <color indexed="81"/>
            <rFont val="Tahoma"/>
            <family val="2"/>
          </rPr>
          <t xml:space="preserve">
TI(924) should not be taken from oil bath</t>
        </r>
      </text>
    </comment>
    <comment ref="V26" authorId="1" shapeId="0">
      <text>
        <r>
          <rPr>
            <b/>
            <sz val="8"/>
            <color indexed="81"/>
            <rFont val="Tahoma"/>
            <family val="2"/>
          </rPr>
          <t>Industrial Research Limited:</t>
        </r>
        <r>
          <rPr>
            <sz val="8"/>
            <color indexed="81"/>
            <rFont val="Tahoma"/>
            <family val="2"/>
          </rPr>
          <t xml:space="preserve">
From cell D19 of "Current Value" worksheet of "10ohm_data.xls" in "G:\Msl\estds\ONGOING\OHM\NZ ohm June 2005 with Least squares equations" and using Date of interest as 23/01/2009.
</t>
        </r>
      </text>
    </comment>
    <comment ref="AA26" authorId="1" shapeId="0">
      <text>
        <r>
          <rPr>
            <b/>
            <sz val="8"/>
            <color indexed="81"/>
            <rFont val="Tahoma"/>
            <family val="2"/>
          </rPr>
          <t>Industrial Research Limited:</t>
        </r>
        <r>
          <rPr>
            <sz val="8"/>
            <color indexed="81"/>
            <rFont val="Tahoma"/>
            <family val="2"/>
          </rPr>
          <t xml:space="preserve">
TI(924) should not be taken from oil bath</t>
        </r>
      </text>
    </comment>
    <comment ref="AB26" authorId="1" shapeId="0">
      <text>
        <r>
          <rPr>
            <b/>
            <sz val="8"/>
            <color indexed="81"/>
            <rFont val="Tahoma"/>
            <family val="2"/>
          </rPr>
          <t>Industrial Research Limited:</t>
        </r>
        <r>
          <rPr>
            <sz val="8"/>
            <color indexed="81"/>
            <rFont val="Tahoma"/>
            <family val="2"/>
          </rPr>
          <t xml:space="preserve">
From cell D19 of "Current Value" worksheet of "10ohm_data.xls" in "G:\Msl\estds\ONGOING\OHM\NZ ohm June 2005 with Least squares equations" and using Date of interest as 23/01/2009.
</t>
        </r>
      </text>
    </comment>
    <comment ref="AG26" authorId="1" shapeId="0">
      <text>
        <r>
          <rPr>
            <b/>
            <sz val="8"/>
            <color indexed="81"/>
            <rFont val="Tahoma"/>
            <family val="2"/>
          </rPr>
          <t>Industrial Research Limited:</t>
        </r>
        <r>
          <rPr>
            <sz val="8"/>
            <color indexed="81"/>
            <rFont val="Tahoma"/>
            <family val="2"/>
          </rPr>
          <t xml:space="preserve">
TI(924) should not be taken from oil bath</t>
        </r>
      </text>
    </comment>
    <comment ref="AH26" authorId="1" shapeId="0">
      <text>
        <r>
          <rPr>
            <b/>
            <sz val="10"/>
            <color indexed="81"/>
            <rFont val="Tahoma"/>
            <family val="2"/>
          </rPr>
          <t>Industrial Research Limited:</t>
        </r>
        <r>
          <rPr>
            <sz val="10"/>
            <color indexed="81"/>
            <rFont val="Tahoma"/>
            <family val="2"/>
          </rPr>
          <t xml:space="preserve">
From cell D19 of "Current Value" worksheet of "10ohm_data.xls" in "G:\Msl\estds\ONGOING\OHM\NZ ohm June 2005 with Least squares equations" and using Date of interest as 13/11/2008.
</t>
        </r>
        <r>
          <rPr>
            <sz val="8"/>
            <color indexed="81"/>
            <rFont val="Tahoma"/>
            <family val="2"/>
          </rPr>
          <t xml:space="preserve">
</t>
        </r>
      </text>
    </comment>
    <comment ref="AM26" authorId="2" shapeId="0">
      <text>
        <r>
          <rPr>
            <b/>
            <sz val="8"/>
            <color indexed="81"/>
            <rFont val="Tahoma"/>
            <family val="2"/>
          </rPr>
          <t>Laurie Christian:</t>
        </r>
        <r>
          <rPr>
            <sz val="8"/>
            <color indexed="81"/>
            <rFont val="Tahoma"/>
            <family val="2"/>
          </rPr>
          <t xml:space="preserve">
8-Dec-2006 value at 20 C.  I n 10ohm_data.xls in G:\estds\ONGOING\OHM\NZ ohm June 2005 with Least squares equations</t>
        </r>
      </text>
    </comment>
    <comment ref="AQ26" authorId="2" shapeId="0">
      <text>
        <r>
          <rPr>
            <b/>
            <sz val="8"/>
            <color indexed="81"/>
            <rFont val="Tahoma"/>
            <family val="2"/>
          </rPr>
          <t>Laurie Christian:</t>
        </r>
        <r>
          <rPr>
            <sz val="8"/>
            <color indexed="81"/>
            <rFont val="Tahoma"/>
            <family val="2"/>
          </rPr>
          <t xml:space="preserve">
At 20 C.  In Buildup2003a in Ongoing.</t>
        </r>
      </text>
    </comment>
    <comment ref="D27" authorId="1" shapeId="0">
      <text>
        <r>
          <rPr>
            <b/>
            <sz val="10"/>
            <color indexed="81"/>
            <rFont val="Tahoma"/>
            <family val="2"/>
          </rPr>
          <t>Industrial Research Limited:</t>
        </r>
        <r>
          <rPr>
            <sz val="10"/>
            <color indexed="81"/>
            <rFont val="Tahoma"/>
            <family val="2"/>
          </rPr>
          <t xml:space="preserve">
-6.439 ppm
From BuildupESIboxes2014.xls  located "I:\MSL\Private\Electricity\Ongoing\OHM\ESI_Boxes" worksheet "ResultsFromT16_T81", cell L54.  This is a corrected to 20° value dated at 31/1/14.
See also report S21895 for supporting information including phase. TJS
</t>
        </r>
      </text>
    </comment>
    <comment ref="P27" authorId="1" shapeId="0">
      <text>
        <r>
          <rPr>
            <b/>
            <sz val="10"/>
            <color indexed="81"/>
            <rFont val="Tahoma"/>
            <family val="2"/>
          </rPr>
          <t>Industrial Research Limited:</t>
        </r>
        <r>
          <rPr>
            <sz val="10"/>
            <color indexed="81"/>
            <rFont val="Tahoma"/>
            <family val="2"/>
          </rPr>
          <t xml:space="preserve">
-5.878ppm from cell E11 of "ValuesUsed" worksheet in  "BuildESIboxes2012 2012 Restraint.xls" , located "I:\MSL\Private\Electricity\Ongoing\OHM\ESI_Boxes".  This is a corrected to 20°C number and is dated 11-3-2012.   TJS</t>
        </r>
      </text>
    </comment>
    <comment ref="V27" authorId="1" shapeId="0">
      <text>
        <r>
          <rPr>
            <b/>
            <sz val="10"/>
            <color indexed="81"/>
            <rFont val="Tahoma"/>
            <family val="2"/>
          </rPr>
          <t>Industrial Research Limited:</t>
        </r>
        <r>
          <rPr>
            <sz val="10"/>
            <color indexed="81"/>
            <rFont val="Tahoma"/>
            <family val="2"/>
          </rPr>
          <t xml:space="preserve">
-6.562 ppm from cell AG39 of "Calculations" worksheet in  "BuildESIboxes2009.xls" .
The test was done in March 2009, the spreadsheet is located in: "G:\Msl\estds\ONGOING\OHM\ESI_Boxes".</t>
        </r>
      </text>
    </comment>
    <comment ref="AB27" authorId="1" shapeId="0">
      <text>
        <r>
          <rPr>
            <b/>
            <sz val="10"/>
            <color indexed="81"/>
            <rFont val="Tahoma"/>
            <family val="2"/>
          </rPr>
          <t>Industrial Research Limited:</t>
        </r>
        <r>
          <rPr>
            <sz val="10"/>
            <color indexed="81"/>
            <rFont val="Tahoma"/>
            <family val="2"/>
          </rPr>
          <t xml:space="preserve">
-7.6007 ppm from cell O46 of "ResultsFromT16_T81" worksheet in  "BuildESIboxes2006a.xls" August 2006 located "G:\Msl\estds\ONGOING\OHM\ESI_Boxes".</t>
        </r>
      </text>
    </comment>
    <comment ref="AH27" authorId="1" shapeId="0">
      <text>
        <r>
          <rPr>
            <b/>
            <sz val="10"/>
            <color indexed="81"/>
            <rFont val="Tahoma"/>
            <family val="2"/>
          </rPr>
          <t>Industrial Research Limited:</t>
        </r>
        <r>
          <rPr>
            <sz val="10"/>
            <color indexed="81"/>
            <rFont val="Tahoma"/>
            <family val="2"/>
          </rPr>
          <t xml:space="preserve">
-7.6007 ppm from cell O46 of "ResultsFromT16_T81" worksheet in  "BuildESIboxes2006a.xls" August 2006 located "G:\Msl\estds\ONGOING\OHM\ESI_Boxes".</t>
        </r>
      </text>
    </comment>
    <comment ref="AM27" authorId="6" shapeId="0">
      <text>
        <r>
          <rPr>
            <b/>
            <sz val="8"/>
            <color indexed="81"/>
            <rFont val="Tahoma"/>
            <family val="2"/>
          </rPr>
          <t>Bruce McLennan:</t>
        </r>
        <r>
          <rPr>
            <sz val="8"/>
            <color indexed="81"/>
            <rFont val="Tahoma"/>
            <family val="2"/>
          </rPr>
          <t xml:space="preserve">
From ESI_History.xls in Ongoing/ESI_Boxes.  August 2006 value for 1 ohm configuration</t>
        </r>
      </text>
    </comment>
    <comment ref="AQ27" authorId="6" shapeId="0">
      <text>
        <r>
          <rPr>
            <b/>
            <sz val="8"/>
            <color indexed="81"/>
            <rFont val="Tahoma"/>
            <family val="2"/>
          </rPr>
          <t>Bruce McLennan:</t>
        </r>
        <r>
          <rPr>
            <sz val="8"/>
            <color indexed="81"/>
            <rFont val="Tahoma"/>
            <family val="2"/>
          </rPr>
          <t xml:space="preserve">
From MI_Values in G:\estds\Reports\2004\S21537.  At 20.514 C</t>
        </r>
      </text>
    </comment>
    <comment ref="D28" authorId="1" shapeId="0">
      <text>
        <r>
          <rPr>
            <b/>
            <sz val="10"/>
            <color indexed="81"/>
            <rFont val="Tahoma"/>
            <family val="2"/>
          </rPr>
          <t>Industrial Research Limited:</t>
        </r>
        <r>
          <rPr>
            <sz val="10"/>
            <color indexed="81"/>
            <rFont val="Tahoma"/>
            <family val="2"/>
          </rPr>
          <t xml:space="preserve">
-4.582 ppm
From BuildupESIboxes2014.xls  located "I:\MSL\Private\Electricity\Ongoing\OHM\ESI_Boxes" worksheet "ResultsFromT16_T81", cell M54.  This is a corrected to 20° value dated at 1/2/14.
See also report S21895 for supporting information including phase. TJS</t>
        </r>
      </text>
    </comment>
    <comment ref="P28" authorId="1" shapeId="0">
      <text>
        <r>
          <rPr>
            <b/>
            <sz val="10"/>
            <color indexed="81"/>
            <rFont val="Tahoma"/>
            <family val="2"/>
          </rPr>
          <t>Industrial Research Limited:</t>
        </r>
        <r>
          <rPr>
            <sz val="10"/>
            <color indexed="81"/>
            <rFont val="Tahoma"/>
            <family val="2"/>
          </rPr>
          <t xml:space="preserve">
-4.283 ppm from cell E12 of "ValuesUsed" worksheet in  "BuildESIboxes2012 2012 Restraint.xls" , located "I:\MSL\Private\Electricity\Ongoing\OHM\ESI_Boxes".  This is a corrected to 20°C number and is dated 6-3-2012.   TJS</t>
        </r>
      </text>
    </comment>
    <comment ref="V28" authorId="1" shapeId="0">
      <text>
        <r>
          <rPr>
            <b/>
            <sz val="10"/>
            <color indexed="81"/>
            <rFont val="Tahoma"/>
            <family val="2"/>
          </rPr>
          <t>Industrial Research Limited:</t>
        </r>
        <r>
          <rPr>
            <sz val="10"/>
            <color indexed="81"/>
            <rFont val="Tahoma"/>
            <family val="2"/>
          </rPr>
          <t xml:space="preserve">
-4.729 ppm from cell AL39 of "Calculations" worksheet in  "BuildESIboxes2009.xls".
The test was done in March 2009, the spreadsheet is located in: "G:\Msl\estds\ONGOING\OHM\ESI_Boxes".</t>
        </r>
      </text>
    </comment>
    <comment ref="AB28" authorId="1" shapeId="0">
      <text>
        <r>
          <rPr>
            <b/>
            <sz val="10"/>
            <color indexed="81"/>
            <rFont val="Tahoma"/>
            <family val="2"/>
          </rPr>
          <t>Industrial Research Limited:</t>
        </r>
        <r>
          <rPr>
            <sz val="10"/>
            <color indexed="81"/>
            <rFont val="Tahoma"/>
            <family val="2"/>
          </rPr>
          <t xml:space="preserve">
-6.112 ppm from cell P46 of "ResultsFromT16_T81" worksheet in  "BuildESIboxes2006a.xls" August 2006, located "G:\Msl\estds\ONGOING\OHM\ESI_Boxes".</t>
        </r>
      </text>
    </comment>
    <comment ref="AH28" authorId="1" shapeId="0">
      <text>
        <r>
          <rPr>
            <b/>
            <sz val="10"/>
            <color indexed="81"/>
            <rFont val="Tahoma"/>
            <family val="2"/>
          </rPr>
          <t>Industrial Research Limited:</t>
        </r>
        <r>
          <rPr>
            <sz val="10"/>
            <color indexed="81"/>
            <rFont val="Tahoma"/>
            <family val="2"/>
          </rPr>
          <t xml:space="preserve">
-6.112 ppm from cell P46 of "ResultsFromT16_T81" worksheet in  "BuildESIboxes2006a.xls" August 2006, located "G:\Msl\estds\ONGOING\OHM\ESI_Boxes".</t>
        </r>
      </text>
    </comment>
    <comment ref="AM28" authorId="6" shapeId="0">
      <text>
        <r>
          <rPr>
            <b/>
            <sz val="8"/>
            <color indexed="81"/>
            <rFont val="Tahoma"/>
            <family val="2"/>
          </rPr>
          <t>Bruce McLennan:</t>
        </r>
        <r>
          <rPr>
            <sz val="8"/>
            <color indexed="81"/>
            <rFont val="Tahoma"/>
            <family val="2"/>
          </rPr>
          <t xml:space="preserve">
From ESI_History.xls in Ongoing/ESI_Boxes.  August 2006 value for 10 ohm configuration</t>
        </r>
      </text>
    </comment>
    <comment ref="AQ28" authorId="6" shapeId="0">
      <text>
        <r>
          <rPr>
            <b/>
            <sz val="8"/>
            <color indexed="81"/>
            <rFont val="Tahoma"/>
            <family val="2"/>
          </rPr>
          <t>Bruce McLennan:</t>
        </r>
        <r>
          <rPr>
            <sz val="8"/>
            <color indexed="81"/>
            <rFont val="Tahoma"/>
            <family val="2"/>
          </rPr>
          <t xml:space="preserve">
From ESI_History.xls in Ongoing</t>
        </r>
      </text>
    </comment>
    <comment ref="D32" authorId="0" shapeId="0">
      <text>
        <r>
          <rPr>
            <b/>
            <sz val="10"/>
            <color indexed="81"/>
            <rFont val="Tahoma"/>
            <family val="2"/>
          </rPr>
          <t>t.stewart:</t>
        </r>
        <r>
          <rPr>
            <sz val="10"/>
            <color indexed="81"/>
            <rFont val="Tahoma"/>
            <family val="2"/>
          </rPr>
          <t xml:space="preserve">
From cells G29, G30 of "AC gains Feb 2014" worksheet of "CalPb_Feb12.xls".</t>
        </r>
        <r>
          <rPr>
            <sz val="8"/>
            <color indexed="81"/>
            <rFont val="Tahoma"/>
            <family val="2"/>
          </rPr>
          <t xml:space="preserve">
</t>
        </r>
      </text>
    </comment>
    <comment ref="P32" authorId="0" shapeId="0">
      <text>
        <r>
          <rPr>
            <b/>
            <sz val="8"/>
            <color indexed="81"/>
            <rFont val="Tahoma"/>
            <family val="2"/>
          </rPr>
          <t>t.stewart:</t>
        </r>
        <r>
          <rPr>
            <sz val="8"/>
            <color indexed="81"/>
            <rFont val="Tahoma"/>
            <family val="2"/>
          </rPr>
          <t xml:space="preserve">
From cells G29, G30 of "AC gains May 2012" worksheet of "CalPb_Apr12.xls".
</t>
        </r>
      </text>
    </comment>
    <comment ref="V32" authorId="0" shapeId="0">
      <text>
        <r>
          <rPr>
            <b/>
            <sz val="8"/>
            <color indexed="81"/>
            <rFont val="Tahoma"/>
            <family val="2"/>
          </rPr>
          <t>t.stewart:</t>
        </r>
        <r>
          <rPr>
            <sz val="8"/>
            <color indexed="81"/>
            <rFont val="Tahoma"/>
            <family val="2"/>
          </rPr>
          <t xml:space="preserve">
From cells G29, G30 of "AC gains Dec 2010" worksheet of "CalPb_Dec10.xls".
</t>
        </r>
      </text>
    </comment>
    <comment ref="AU33" authorId="7" shapeId="0">
      <text>
        <r>
          <rPr>
            <sz val="8"/>
            <color indexed="81"/>
            <rFont val="Tahoma"/>
            <family val="2"/>
          </rPr>
          <t xml:space="preserve">
Andrew Corney:
see Rtk2000a_check.xls cell EP353</t>
        </r>
      </text>
    </comment>
    <comment ref="AU35" authorId="7" shapeId="0">
      <text>
        <r>
          <rPr>
            <sz val="8"/>
            <color indexed="81"/>
            <rFont val="Tahoma"/>
            <family val="2"/>
          </rPr>
          <t xml:space="preserve">
Andrew Corney:
see Rtk2000a_check.xls cell EP353</t>
        </r>
      </text>
    </comment>
    <comment ref="D39" authorId="0" shapeId="0">
      <text>
        <r>
          <rPr>
            <b/>
            <sz val="10"/>
            <color indexed="81"/>
            <rFont val="Tahoma"/>
            <family val="2"/>
          </rPr>
          <t>t.stewart:</t>
        </r>
        <r>
          <rPr>
            <sz val="10"/>
            <color indexed="81"/>
            <rFont val="Tahoma"/>
            <family val="2"/>
          </rPr>
          <t xml:space="preserve">
From cells E137-139 of "HV divider Feb 2014" worksheet of "CalPb_Feb14.xls".
</t>
        </r>
      </text>
    </comment>
    <comment ref="E39" authorId="0" shapeId="0">
      <text>
        <r>
          <rPr>
            <b/>
            <sz val="10"/>
            <color indexed="81"/>
            <rFont val="Tahoma"/>
            <family val="2"/>
          </rPr>
          <t>t.stewart:</t>
        </r>
        <r>
          <rPr>
            <sz val="10"/>
            <color indexed="81"/>
            <rFont val="Tahoma"/>
            <family val="2"/>
          </rPr>
          <t xml:space="preserve">
From cells R89:S91 of "Phase v3 May 2014" worksheet of "CalPb_Feb14.xls".</t>
        </r>
      </text>
    </comment>
    <comment ref="P39" authorId="0" shapeId="0">
      <text>
        <r>
          <rPr>
            <b/>
            <sz val="8"/>
            <color indexed="81"/>
            <rFont val="Tahoma"/>
            <family val="2"/>
          </rPr>
          <t>t.stewart:</t>
        </r>
        <r>
          <rPr>
            <sz val="8"/>
            <color indexed="81"/>
            <rFont val="Tahoma"/>
            <family val="2"/>
          </rPr>
          <t xml:space="preserve">
From cells E137-139 of "HV divider May 2012" worksheet of "CalPb_Apr12.xls".
</t>
        </r>
      </text>
    </comment>
    <comment ref="Q39" authorId="0" shapeId="0">
      <text>
        <r>
          <rPr>
            <b/>
            <sz val="8"/>
            <color indexed="81"/>
            <rFont val="Tahoma"/>
            <family val="2"/>
          </rPr>
          <t>t.stewart:</t>
        </r>
        <r>
          <rPr>
            <sz val="8"/>
            <color indexed="81"/>
            <rFont val="Tahoma"/>
            <family val="2"/>
          </rPr>
          <t xml:space="preserve">
From cells R82:S84 of "Phase v2 May 2012" worksheet of "CalPb_Apr12.xls".</t>
        </r>
      </text>
    </comment>
    <comment ref="V39" authorId="0" shapeId="0">
      <text>
        <r>
          <rPr>
            <b/>
            <sz val="8"/>
            <color indexed="81"/>
            <rFont val="Tahoma"/>
            <family val="2"/>
          </rPr>
          <t>t.stewart:</t>
        </r>
        <r>
          <rPr>
            <sz val="8"/>
            <color indexed="81"/>
            <rFont val="Tahoma"/>
            <family val="2"/>
          </rPr>
          <t xml:space="preserve">
From cells E137-139 of "HV divider Dec 2010" worksheet of "CalPb_Dec10.xls".
</t>
        </r>
      </text>
    </comment>
    <comment ref="W39" authorId="0" shapeId="0">
      <text>
        <r>
          <rPr>
            <b/>
            <sz val="8"/>
            <color indexed="81"/>
            <rFont val="Tahoma"/>
            <family val="2"/>
          </rPr>
          <t>t.stewart:</t>
        </r>
        <r>
          <rPr>
            <sz val="8"/>
            <color indexed="81"/>
            <rFont val="Tahoma"/>
            <family val="2"/>
          </rPr>
          <t xml:space="preserve">
From cells R82:S84 of "Phase v2 Dec 2010" worksheet of "CalPb_Dec10.xls".</t>
        </r>
      </text>
    </comment>
    <comment ref="AM39" authorId="4" shapeId="0">
      <text>
        <r>
          <rPr>
            <b/>
            <sz val="8"/>
            <color indexed="81"/>
            <rFont val="Tahoma"/>
            <family val="2"/>
          </rPr>
          <t>Callum McKenzie:</t>
        </r>
        <r>
          <rPr>
            <sz val="8"/>
            <color indexed="81"/>
            <rFont val="Tahoma"/>
            <family val="2"/>
          </rPr>
          <t xml:space="preserve">
Taken from the HV Divider (3) worksheet.</t>
        </r>
      </text>
    </comment>
    <comment ref="AN39" authorId="1" shapeId="0">
      <text>
        <r>
          <rPr>
            <b/>
            <sz val="8"/>
            <color indexed="81"/>
            <rFont val="Tahoma"/>
            <family val="2"/>
          </rPr>
          <t>Industrial Research Limited:</t>
        </r>
        <r>
          <rPr>
            <sz val="8"/>
            <color indexed="81"/>
            <rFont val="Tahoma"/>
            <family val="2"/>
          </rPr>
          <t xml:space="preserve">
From Phase Dec 2005 page</t>
        </r>
      </text>
    </comment>
    <comment ref="AV40" authorId="7" shapeId="0">
      <text>
        <r>
          <rPr>
            <sz val="8"/>
            <color indexed="81"/>
            <rFont val="Tahoma"/>
            <family val="2"/>
          </rPr>
          <t>Andrew Corney:
from Rtk2000a_check.xls
sheet Calculations! block EQ341</t>
        </r>
      </text>
    </comment>
    <comment ref="AM45" authorId="2" shapeId="0">
      <text>
        <r>
          <rPr>
            <b/>
            <sz val="8"/>
            <color indexed="81"/>
            <rFont val="Tahoma"/>
            <family val="2"/>
          </rPr>
          <t>Laurie Christian:</t>
        </r>
        <r>
          <rPr>
            <sz val="8"/>
            <color indexed="81"/>
            <rFont val="Tahoma"/>
            <family val="2"/>
          </rPr>
          <t xml:space="preserve">
Found columns reversed on 16 June 2004</t>
        </r>
      </text>
    </comment>
    <comment ref="AO45" authorId="4" shapeId="0">
      <text>
        <r>
          <rPr>
            <b/>
            <sz val="8"/>
            <color indexed="81"/>
            <rFont val="Tahoma"/>
            <family val="2"/>
          </rPr>
          <t>Callum McKenzie:</t>
        </r>
        <r>
          <rPr>
            <sz val="8"/>
            <color indexed="81"/>
            <rFont val="Tahoma"/>
            <family val="2"/>
          </rPr>
          <t xml:space="preserve">
These values are after the grounding problesm were fixed.</t>
        </r>
      </text>
    </comment>
    <comment ref="AQ45" authorId="2" shapeId="0">
      <text>
        <r>
          <rPr>
            <b/>
            <sz val="8"/>
            <color indexed="81"/>
            <rFont val="Tahoma"/>
            <family val="2"/>
          </rPr>
          <t>Laurie Christian:</t>
        </r>
        <r>
          <rPr>
            <sz val="8"/>
            <color indexed="81"/>
            <rFont val="Tahoma"/>
            <family val="2"/>
          </rPr>
          <t xml:space="preserve">
Found columns reversed on 16 June 2004</t>
        </r>
      </text>
    </comment>
    <comment ref="D46" authorId="0" shapeId="0">
      <text>
        <r>
          <rPr>
            <b/>
            <sz val="8"/>
            <color indexed="81"/>
            <rFont val="Tahoma"/>
            <family val="2"/>
          </rPr>
          <t>t.stewart:</t>
        </r>
        <r>
          <rPr>
            <sz val="8"/>
            <color indexed="81"/>
            <rFont val="Tahoma"/>
            <family val="2"/>
          </rPr>
          <t xml:space="preserve">
Cells U53:V72 of "Detector Feb 2014" worksheet of "CalPb_Det_auto_Feb14.xls"</t>
        </r>
      </text>
    </comment>
    <comment ref="P46" authorId="0" shapeId="0">
      <text>
        <r>
          <rPr>
            <b/>
            <sz val="8"/>
            <color indexed="81"/>
            <rFont val="Tahoma"/>
            <family val="2"/>
          </rPr>
          <t>t.stewart:</t>
        </r>
        <r>
          <rPr>
            <sz val="8"/>
            <color indexed="81"/>
            <rFont val="Tahoma"/>
            <family val="2"/>
          </rPr>
          <t xml:space="preserve">
Cells U53:V72 of "Detector May 2012" worksheet of "CalPb_Det_auto_May12.xls"</t>
        </r>
      </text>
    </comment>
    <comment ref="V46" authorId="0" shapeId="0">
      <text>
        <r>
          <rPr>
            <b/>
            <sz val="8"/>
            <color indexed="81"/>
            <rFont val="Tahoma"/>
            <family val="2"/>
          </rPr>
          <t>t.stewart:</t>
        </r>
        <r>
          <rPr>
            <sz val="8"/>
            <color indexed="81"/>
            <rFont val="Tahoma"/>
            <family val="2"/>
          </rPr>
          <t xml:space="preserve">
Cells U53:V72 of "Detector Dec 2010" worksheet of "CalPb_Det_auto_Dec10.xls"</t>
        </r>
      </text>
    </comment>
    <comment ref="AB46" authorId="0" shapeId="0">
      <text>
        <r>
          <rPr>
            <b/>
            <sz val="8"/>
            <color indexed="81"/>
            <rFont val="Tahoma"/>
            <family val="2"/>
          </rPr>
          <t>t.stewart:</t>
        </r>
        <r>
          <rPr>
            <sz val="8"/>
            <color indexed="81"/>
            <rFont val="Tahoma"/>
            <family val="2"/>
          </rPr>
          <t xml:space="preserve">
Cells U53:V72 of "Detector Jan 2009" worksheet of "CalPb_Det_auto_Dec08.xls"</t>
        </r>
      </text>
    </comment>
    <comment ref="V65" authorId="8" shapeId="0">
      <text>
        <r>
          <rPr>
            <b/>
            <sz val="8"/>
            <color indexed="81"/>
            <rFont val="Tahoma"/>
            <family val="2"/>
          </rPr>
          <t>l.christian:</t>
        </r>
        <r>
          <rPr>
            <sz val="8"/>
            <color indexed="81"/>
            <rFont val="Tahoma"/>
            <family val="2"/>
          </rPr>
          <t xml:space="preserve">
Is significantly different to the last two times- keep an eye on this.</t>
        </r>
      </text>
    </comment>
    <comment ref="D66" authorId="1" shapeId="0">
      <text>
        <r>
          <rPr>
            <b/>
            <sz val="10"/>
            <color indexed="81"/>
            <rFont val="Tahoma"/>
            <family val="2"/>
          </rPr>
          <t>Industrial Research Limited:</t>
        </r>
        <r>
          <rPr>
            <sz val="10"/>
            <color indexed="81"/>
            <rFont val="Tahoma"/>
            <family val="2"/>
          </rPr>
          <t xml:space="preserve">
Jan 2015 Calibration.  From Cell M8 of "Results"  worksheet of "WG2.xls" located in "I:\MSL\Private\Electricity\Ongoing\OHM\Temperature_PRTs\"  </t>
        </r>
      </text>
    </comment>
    <comment ref="P66" authorId="1" shapeId="0">
      <text>
        <r>
          <rPr>
            <b/>
            <sz val="10"/>
            <color indexed="81"/>
            <rFont val="Tahoma"/>
            <family val="2"/>
          </rPr>
          <t>Industrial Research Limited:</t>
        </r>
        <r>
          <rPr>
            <sz val="10"/>
            <color indexed="81"/>
            <rFont val="Tahoma"/>
            <family val="2"/>
          </rPr>
          <t xml:space="preserve">
Dec 11 Calibration.  From Cell M8 of "Results"  worksheet of "WG2.xls" located in "I:\MSL\Private\Electricity\Ongoing\OHM\Temperature_PRTs\"  </t>
        </r>
      </text>
    </comment>
    <comment ref="V66" authorId="1" shapeId="0">
      <text>
        <r>
          <rPr>
            <b/>
            <sz val="10"/>
            <color indexed="81"/>
            <rFont val="Tahoma"/>
            <family val="2"/>
          </rPr>
          <t>Industrial Research Limited:</t>
        </r>
        <r>
          <rPr>
            <sz val="10"/>
            <color indexed="81"/>
            <rFont val="Tahoma"/>
            <family val="2"/>
          </rPr>
          <t xml:space="preserve">
Nov 10 Calibration.  From Cell M8 of "Results"  worksheet of "WG2.xls" located in "G:\Msl\estds\ONGOING\OHM\Temperature_PRTs\"  </t>
        </r>
      </text>
    </comment>
    <comment ref="AB66" authorId="1" shapeId="0">
      <text>
        <r>
          <rPr>
            <b/>
            <sz val="10"/>
            <color indexed="81"/>
            <rFont val="Tahoma"/>
            <family val="2"/>
          </rPr>
          <t>Industrial Research Limited:</t>
        </r>
        <r>
          <rPr>
            <sz val="10"/>
            <color indexed="81"/>
            <rFont val="Tahoma"/>
            <family val="2"/>
          </rPr>
          <t xml:space="preserve">
Nov 08 Calibration.  From Cell M8 of "Results"  worksheet of "WG2.xls" located in "G:\Msl\estds\ONGOING\OHM\Temperature_PRTs\"  </t>
        </r>
      </text>
    </comment>
    <comment ref="AH66" authorId="1" shapeId="0">
      <text>
        <r>
          <rPr>
            <b/>
            <sz val="10"/>
            <color indexed="81"/>
            <rFont val="Tahoma"/>
            <family val="2"/>
          </rPr>
          <t>Industrial Research Limited:</t>
        </r>
        <r>
          <rPr>
            <sz val="10"/>
            <color indexed="81"/>
            <rFont val="Tahoma"/>
            <family val="2"/>
          </rPr>
          <t xml:space="preserve">
From Temperature/2008/910, 31 October 2008.  Probe dried out prior to these values because it had significant leakage.</t>
        </r>
      </text>
    </comment>
    <comment ref="AM66" authorId="4" shapeId="0">
      <text>
        <r>
          <rPr>
            <b/>
            <sz val="8"/>
            <color indexed="81"/>
            <rFont val="Tahoma"/>
            <family val="2"/>
          </rPr>
          <t>Callum McKenzie:</t>
        </r>
        <r>
          <rPr>
            <sz val="8"/>
            <color indexed="81"/>
            <rFont val="Tahoma"/>
            <family val="2"/>
          </rPr>
          <t xml:space="preserve">
These three from the WG2 spreadsheet.
</t>
        </r>
      </text>
    </comment>
    <comment ref="D67" authorId="1" shapeId="0">
      <text>
        <r>
          <rPr>
            <b/>
            <sz val="10"/>
            <color indexed="81"/>
            <rFont val="Tahoma"/>
            <family val="2"/>
          </rPr>
          <t>Industrial Research Limited:</t>
        </r>
        <r>
          <rPr>
            <sz val="10"/>
            <color indexed="81"/>
            <rFont val="Tahoma"/>
            <family val="2"/>
          </rPr>
          <t xml:space="preserve">
Dec 13 Calibration.  From Cell H8 of "Results"  worksheet of "WG2.xls" located in "I:\MSL\Private\Electricity\Ongoing\OHM\Temperature_PRTs\"  </t>
        </r>
      </text>
    </comment>
    <comment ref="P67" authorId="1" shapeId="0">
      <text>
        <r>
          <rPr>
            <b/>
            <sz val="10"/>
            <color indexed="81"/>
            <rFont val="Tahoma"/>
            <family val="2"/>
          </rPr>
          <t>Industrial Research Limited:</t>
        </r>
        <r>
          <rPr>
            <sz val="10"/>
            <color indexed="81"/>
            <rFont val="Tahoma"/>
            <family val="2"/>
          </rPr>
          <t xml:space="preserve">
Dec 11 Calibration.  From Cell H8 of "Results"  worksheet of "WG2.xls" located in "I:\MSL\Private\Electricity\Ongoing\OHM\Temperature_PRTs\"  </t>
        </r>
      </text>
    </comment>
    <comment ref="V67" authorId="0" shapeId="0">
      <text>
        <r>
          <rPr>
            <b/>
            <sz val="8"/>
            <color indexed="81"/>
            <rFont val="Tahoma"/>
            <family val="2"/>
          </rPr>
          <t>t.stewart:</t>
        </r>
        <r>
          <rPr>
            <sz val="8"/>
            <color indexed="81"/>
            <rFont val="Tahoma"/>
            <family val="2"/>
          </rPr>
          <t xml:space="preserve">
November 2010 Calibration.  From Cell H8 of "Results"  worksheet of "WG2.xls" located in "G:\Msl\estds\ONGOING\OHM\Temperature_PRTs\" </t>
        </r>
      </text>
    </comment>
    <comment ref="AB67" authorId="0" shapeId="0">
      <text>
        <r>
          <rPr>
            <b/>
            <sz val="8"/>
            <color indexed="81"/>
            <rFont val="Tahoma"/>
            <family val="2"/>
          </rPr>
          <t>t.stewart:</t>
        </r>
        <r>
          <rPr>
            <sz val="8"/>
            <color indexed="81"/>
            <rFont val="Tahoma"/>
            <family val="2"/>
          </rPr>
          <t xml:space="preserve">
October 2008 Calibration.  From Cell H8 of "Results"  worksheet of "WG2.xls" located in "G:\Msl\estds\ONGOING\OHM\Temperature_PRTs\" </t>
        </r>
      </text>
    </comment>
    <comment ref="D68" authorId="1" shapeId="0">
      <text>
        <r>
          <rPr>
            <b/>
            <sz val="10"/>
            <color indexed="81"/>
            <rFont val="Tahoma"/>
            <family val="2"/>
          </rPr>
          <t>Industrial Research Limited:</t>
        </r>
        <r>
          <rPr>
            <sz val="10"/>
            <color indexed="81"/>
            <rFont val="Tahoma"/>
            <family val="2"/>
          </rPr>
          <t xml:space="preserve">
Dec 13 Calibration.  From Cell I8 of "Results"  worksheet of "WG2.xls" located in "I:\MSL\Private\Electricity\Ongoing\OHM\Temperature_PRTs\"  </t>
        </r>
      </text>
    </comment>
    <comment ref="P68" authorId="1" shapeId="0">
      <text>
        <r>
          <rPr>
            <b/>
            <sz val="10"/>
            <color indexed="81"/>
            <rFont val="Tahoma"/>
            <family val="2"/>
          </rPr>
          <t>Industrial Research Limited:</t>
        </r>
        <r>
          <rPr>
            <sz val="10"/>
            <color indexed="81"/>
            <rFont val="Tahoma"/>
            <family val="2"/>
          </rPr>
          <t xml:space="preserve">
Dec 11 Calibration.  From Cell I8 of "Results"  worksheet of "WG2.xls" located in "I:\MSL\Private\Electricity\Ongoing\OHM\Temperature_PRTs\"  </t>
        </r>
      </text>
    </comment>
    <comment ref="V68" authorId="0" shapeId="0">
      <text>
        <r>
          <rPr>
            <b/>
            <sz val="8"/>
            <color indexed="81"/>
            <rFont val="Tahoma"/>
            <family val="2"/>
          </rPr>
          <t>t.stewart:</t>
        </r>
        <r>
          <rPr>
            <sz val="8"/>
            <color indexed="81"/>
            <rFont val="Tahoma"/>
            <family val="2"/>
          </rPr>
          <t xml:space="preserve">
November 2010 Calibration.  From Cell I8 of "Results"  worksheet of "WG2.xls" located in "G:\Msl\estds\ONGOING\OHM\Temperature_PRTs\" </t>
        </r>
      </text>
    </comment>
    <comment ref="AB68" authorId="0" shapeId="0">
      <text>
        <r>
          <rPr>
            <b/>
            <sz val="8"/>
            <color indexed="81"/>
            <rFont val="Tahoma"/>
            <family val="2"/>
          </rPr>
          <t>t.stewart:</t>
        </r>
        <r>
          <rPr>
            <sz val="8"/>
            <color indexed="81"/>
            <rFont val="Tahoma"/>
            <family val="2"/>
          </rPr>
          <t xml:space="preserve">
October 2008 Calibration.  From Cell I8 of "Results"  worksheet of "WG2.xls" located in "G:\Msl\estds\ONGOING\OHM\Temperature_PRTs\" </t>
        </r>
      </text>
    </comment>
    <comment ref="D69" authorId="0" shapeId="0">
      <text>
        <r>
          <rPr>
            <b/>
            <sz val="10"/>
            <color indexed="81"/>
            <rFont val="Tahoma"/>
            <family val="2"/>
          </rPr>
          <t>t.stewart:</t>
        </r>
        <r>
          <rPr>
            <sz val="10"/>
            <color indexed="81"/>
            <rFont val="Tahoma"/>
            <family val="2"/>
          </rPr>
          <t xml:space="preserve">
Calibrated 20 Jan 2015 (HP3478A Maintenance Book),  
From cell D20 of Summary page of
Ongoing\DMMs\HP3478A\HP3478A.xls</t>
        </r>
      </text>
    </comment>
    <comment ref="P69" authorId="0" shapeId="0">
      <text>
        <r>
          <rPr>
            <b/>
            <sz val="8"/>
            <color indexed="81"/>
            <rFont val="Tahoma"/>
            <family val="2"/>
          </rPr>
          <t>t.stewart:</t>
        </r>
        <r>
          <rPr>
            <sz val="8"/>
            <color indexed="81"/>
            <rFont val="Tahoma"/>
            <family val="2"/>
          </rPr>
          <t xml:space="preserve">
Calibrated 19 June 2012 (HP3478A Maintenance Book),  
From cell D18 of Summary page of
Ongoing\DMMs\HP3478A\HP3478A.xls</t>
        </r>
      </text>
    </comment>
    <comment ref="V69" authorId="0" shapeId="0">
      <text>
        <r>
          <rPr>
            <b/>
            <sz val="8"/>
            <color indexed="81"/>
            <rFont val="Tahoma"/>
            <family val="2"/>
          </rPr>
          <t>t.stewart:</t>
        </r>
        <r>
          <rPr>
            <sz val="8"/>
            <color indexed="81"/>
            <rFont val="Tahoma"/>
            <family val="2"/>
          </rPr>
          <t xml:space="preserve">
Calibrated in June 2010 (HP3478A Maintenance Book),  error is effectively 0 for this instrument as it only has 4.5 digits.</t>
        </r>
      </text>
    </comment>
    <comment ref="AB69" authorId="0" shapeId="0">
      <text>
        <r>
          <rPr>
            <b/>
            <sz val="8"/>
            <color indexed="81"/>
            <rFont val="Tahoma"/>
            <family val="2"/>
          </rPr>
          <t>t.stewart:</t>
        </r>
        <r>
          <rPr>
            <sz val="8"/>
            <color indexed="81"/>
            <rFont val="Tahoma"/>
            <family val="2"/>
          </rPr>
          <t xml:space="preserve">
Calibrated in April 08 (HP3478A Maintenance Book),  and has an error of -2 ppm.  This is effectively 0 for this instrument as it only has 4.5 digits.</t>
        </r>
      </text>
    </comment>
    <comment ref="AH69" authorId="4" shapeId="0">
      <text>
        <r>
          <rPr>
            <b/>
            <sz val="8"/>
            <color indexed="81"/>
            <rFont val="Tahoma"/>
            <family val="2"/>
          </rPr>
          <t>Callum McKenzie:</t>
        </r>
        <r>
          <rPr>
            <sz val="8"/>
            <color indexed="81"/>
            <rFont val="Tahoma"/>
            <family val="2"/>
          </rPr>
          <t xml:space="preserve">
Nulled out by Bruce.
See 10 Feb 2006 cals and 3478 maintenance book.</t>
        </r>
      </text>
    </comment>
    <comment ref="AM69" authorId="4" shapeId="0">
      <text>
        <r>
          <rPr>
            <b/>
            <sz val="8"/>
            <color indexed="81"/>
            <rFont val="Tahoma"/>
            <family val="2"/>
          </rPr>
          <t>Callum McKenzie:</t>
        </r>
        <r>
          <rPr>
            <sz val="8"/>
            <color indexed="81"/>
            <rFont val="Tahoma"/>
            <family val="2"/>
          </rPr>
          <t xml:space="preserve">
Nulled out by Bruce.
See 10 Feb 2006 cals and 3478 maintenance book.</t>
        </r>
      </text>
    </comment>
    <comment ref="E71" authorId="0" shapeId="0">
      <text>
        <r>
          <rPr>
            <b/>
            <sz val="10"/>
            <color indexed="81"/>
            <rFont val="Tahoma"/>
            <family val="2"/>
          </rPr>
          <t>t.stewart:</t>
        </r>
        <r>
          <rPr>
            <sz val="10"/>
            <color indexed="81"/>
            <rFont val="Tahoma"/>
            <family val="2"/>
          </rPr>
          <t xml:space="preserve">
Measured 28/5/14 against HP3325A locked to D2 of time lab.</t>
        </r>
      </text>
    </comment>
    <comment ref="Q71" authorId="0" shapeId="0">
      <text>
        <r>
          <rPr>
            <b/>
            <sz val="8"/>
            <color indexed="81"/>
            <rFont val="Tahoma"/>
            <family val="2"/>
          </rPr>
          <t>t.stewart:</t>
        </r>
        <r>
          <rPr>
            <sz val="8"/>
            <color indexed="81"/>
            <rFont val="Tahoma"/>
            <family val="2"/>
          </rPr>
          <t xml:space="preserve">
Measured 25/6/12 against HP53132A counter locked to D2 of clock room.</t>
        </r>
      </text>
    </comment>
  </commentList>
</comments>
</file>

<file path=xl/comments5.xml><?xml version="1.0" encoding="utf-8"?>
<comments xmlns="http://schemas.openxmlformats.org/spreadsheetml/2006/main">
  <authors>
    <author>Tom Stewart</author>
    <author>Industrial Research Limited</author>
    <author>Laurie Christian</author>
    <author>Andrew Corney</author>
    <author>t.stewart</author>
  </authors>
  <commentList>
    <comment ref="E5" authorId="0" shapeId="0">
      <text>
        <r>
          <rPr>
            <b/>
            <sz val="9"/>
            <color indexed="81"/>
            <rFont val="Tahoma"/>
            <family val="2"/>
          </rPr>
          <t>Tom Stewart:</t>
        </r>
        <r>
          <rPr>
            <sz val="9"/>
            <color indexed="81"/>
            <rFont val="Tahoma"/>
            <family val="2"/>
          </rPr>
          <t xml:space="preserve">
Changed to 6 dof based on variation of calibrated history.  See history graph on HV divider May 2012 worksheet in CalPB_Apr12.xls </t>
        </r>
      </text>
    </comment>
    <comment ref="AD5" authorId="1" shapeId="0">
      <text>
        <r>
          <rPr>
            <b/>
            <sz val="8"/>
            <color indexed="81"/>
            <rFont val="Tahoma"/>
            <family val="2"/>
          </rPr>
          <t>Industrial Research Limited:</t>
        </r>
        <r>
          <rPr>
            <sz val="8"/>
            <color indexed="81"/>
            <rFont val="Tahoma"/>
            <family val="2"/>
          </rPr>
          <t xml:space="preserve">
Between 10 and 20 ppm change since April 2004- need to keep an eye on this but increase uncertainty in the meantime</t>
        </r>
      </text>
    </comment>
    <comment ref="C6" authorId="0" shapeId="0">
      <text>
        <r>
          <rPr>
            <b/>
            <sz val="9"/>
            <color indexed="81"/>
            <rFont val="Tahoma"/>
            <family val="2"/>
          </rPr>
          <t>Tom Stewart:</t>
        </r>
        <r>
          <rPr>
            <sz val="9"/>
            <color indexed="81"/>
            <rFont val="Tahoma"/>
            <family val="2"/>
          </rPr>
          <t xml:space="preserve">
See GTC calculation WB_divider_phase.py for uncertainty determination of calibration method (&lt;2 urad).  The change over time shows a drift of ~1.5 urad per year.  Also need to account for inverter phase of ~ 1 urad.
5 urad is therefore conservative.</t>
        </r>
      </text>
    </comment>
    <comment ref="C7" authorId="2" shapeId="0">
      <text>
        <r>
          <rPr>
            <b/>
            <sz val="8"/>
            <color indexed="81"/>
            <rFont val="Tahoma"/>
            <family val="2"/>
          </rPr>
          <t xml:space="preserve">Tom Stewart:
</t>
        </r>
        <r>
          <rPr>
            <sz val="8"/>
            <color indexed="81"/>
            <rFont val="Tahoma"/>
            <family val="2"/>
          </rPr>
          <t>3.7 ppm is the AC-DC diff std unc for 1 V on 10 V range as measured in S21559.
2.3 ppm is the DC gain std unc as reported in S21557.</t>
        </r>
      </text>
    </comment>
    <comment ref="H7" authorId="2" shapeId="0">
      <text>
        <r>
          <rPr>
            <b/>
            <sz val="8"/>
            <color indexed="81"/>
            <rFont val="Tahoma"/>
            <family val="2"/>
          </rPr>
          <t>Laurie Christian:</t>
        </r>
        <r>
          <rPr>
            <sz val="8"/>
            <color indexed="81"/>
            <rFont val="Tahoma"/>
            <family val="2"/>
          </rPr>
          <t xml:space="preserve">
S21559 and S21557 = (3.6+4+6)/2</t>
        </r>
      </text>
    </comment>
    <comment ref="S7" authorId="2" shapeId="0">
      <text>
        <r>
          <rPr>
            <b/>
            <sz val="8"/>
            <color indexed="81"/>
            <rFont val="Tahoma"/>
            <family val="2"/>
          </rPr>
          <t>Laurie Christian:</t>
        </r>
        <r>
          <rPr>
            <sz val="8"/>
            <color indexed="81"/>
            <rFont val="Tahoma"/>
            <family val="2"/>
          </rPr>
          <t xml:space="preserve">
S21559 and S21557 = (3.6+4+6)/2</t>
        </r>
      </text>
    </comment>
    <comment ref="AD7" authorId="2" shapeId="0">
      <text>
        <r>
          <rPr>
            <b/>
            <sz val="8"/>
            <color indexed="81"/>
            <rFont val="Tahoma"/>
            <family val="2"/>
          </rPr>
          <t>Laurie Christian:</t>
        </r>
        <r>
          <rPr>
            <sz val="8"/>
            <color indexed="81"/>
            <rFont val="Tahoma"/>
            <family val="2"/>
          </rPr>
          <t xml:space="preserve">
From S21559 and HP3458CalibrationHistory.xls</t>
        </r>
      </text>
    </comment>
    <comment ref="C8" authorId="0" shapeId="0">
      <text>
        <r>
          <rPr>
            <b/>
            <sz val="9"/>
            <color indexed="81"/>
            <rFont val="Tahoma"/>
            <family val="2"/>
          </rPr>
          <t>Tom Stewart:</t>
        </r>
        <r>
          <rPr>
            <sz val="9"/>
            <color indexed="81"/>
            <rFont val="Tahoma"/>
            <family val="2"/>
          </rPr>
          <t xml:space="preserve">
From S21895 10 ppm is std unc for MSL 0.2 ohm shunt.
</t>
        </r>
      </text>
    </comment>
    <comment ref="C9" authorId="0" shapeId="0">
      <text>
        <r>
          <rPr>
            <b/>
            <sz val="9"/>
            <color indexed="81"/>
            <rFont val="Tahoma"/>
            <family val="2"/>
          </rPr>
          <t>Tom Stewart:</t>
        </r>
        <r>
          <rPr>
            <sz val="9"/>
            <color indexed="81"/>
            <rFont val="Tahoma"/>
            <family val="2"/>
          </rPr>
          <t xml:space="preserve">
From S21895</t>
        </r>
      </text>
    </comment>
    <comment ref="C10" authorId="2" shapeId="0">
      <text>
        <r>
          <rPr>
            <b/>
            <sz val="8"/>
            <color indexed="81"/>
            <rFont val="Tahoma"/>
            <family val="2"/>
          </rPr>
          <t>Tom Stewart:  18/5/11</t>
        </r>
        <r>
          <rPr>
            <sz val="8"/>
            <color indexed="81"/>
            <rFont val="Tahoma"/>
            <family val="2"/>
          </rPr>
          <t xml:space="preserve">
Most of the dial non-linarity is based on the variation of the dial offsets.  This is now included as an absolute dial uncertainty (#22 below).
The dial linearity is then taken as 2 ppm of the dial setting.  This is based on measurements in "IVD Gain Check May11.xls" in E044\Supporting info\2011.  2 ppm 1 sigma is a conservative estimate based on both the difference in gain measured at the top of the range and also the step change seen between 511 and 512.
TJS.
</t>
        </r>
      </text>
    </comment>
    <comment ref="H10" authorId="2" shapeId="0">
      <text>
        <r>
          <rPr>
            <b/>
            <sz val="8"/>
            <color indexed="81"/>
            <rFont val="Tahoma"/>
            <family val="2"/>
          </rPr>
          <t>Tom Stewart:  18/5/11</t>
        </r>
        <r>
          <rPr>
            <sz val="8"/>
            <color indexed="81"/>
            <rFont val="Tahoma"/>
            <family val="2"/>
          </rPr>
          <t xml:space="preserve">
Most of the dial non-linarity is based on the variation of the dial offsets.  This is now included as an absolute dial uncertainty (#22 below).
The dial linearity is then taken as 2 ppm of the dial setting.  This is based on measurements in "IVD Gain Check May11.xls" in E044\Supporting info\2011.  2 ppm 1 sigma is a conservative estimate based on both the difference in gain measured at the top of the range and also the step change seen between 511 and 512.
TJS.
</t>
        </r>
      </text>
    </comment>
    <comment ref="S10" authorId="2" shapeId="0">
      <text>
        <r>
          <rPr>
            <b/>
            <sz val="8"/>
            <color indexed="81"/>
            <rFont val="Tahoma"/>
            <family val="2"/>
          </rPr>
          <t>Laurie Christian:</t>
        </r>
        <r>
          <rPr>
            <sz val="8"/>
            <color indexed="81"/>
            <rFont val="Tahoma"/>
            <family val="2"/>
          </rPr>
          <t xml:space="preserve">
Take 5ppm one sigma down to dial readings of 0.4 and flat 15 ppm one sigma below.  Actual curve more complex but this is a conservative estimate.
6/5/11
There is evidence to suggest that the dial linearity issue is complicated by the variation of the IVD offsets.  "IVD offset SR830 readings Mar11.xls" shows that there is a variation in the offset, incuding relaxation, depending on what the previous dial setting was.  "Dial Scan May11.xls" shows that for the Vars dial, a second measure of linearity after the dials had settled for a time at 0000, shows lineartiy within 5 ppm down to 0029 dial setting as opposed to up to 100 ppm.
Current uncertainties are left as the last approved CMC uncertainties, but new uncertainties will be similar to allow for the offset variation affecting low dial settings.
TJS.</t>
        </r>
      </text>
    </comment>
    <comment ref="AD10" authorId="2" shapeId="0">
      <text>
        <r>
          <rPr>
            <b/>
            <sz val="8"/>
            <color indexed="81"/>
            <rFont val="Tahoma"/>
            <family val="2"/>
          </rPr>
          <t>Laurie Christian:</t>
        </r>
        <r>
          <rPr>
            <sz val="8"/>
            <color indexed="81"/>
            <rFont val="Tahoma"/>
            <family val="2"/>
          </rPr>
          <t xml:space="preserve">
Take 5ppm one sigma down to dial readings of 0.2 and flat 15 ppm one sigma below.  Actual curve more complex but this is a conservative estimate.
</t>
        </r>
      </text>
    </comment>
    <comment ref="AD12" authorId="1" shapeId="0">
      <text>
        <r>
          <rPr>
            <b/>
            <sz val="8"/>
            <color indexed="81"/>
            <rFont val="Tahoma"/>
            <family val="2"/>
          </rPr>
          <t>Industrial Research Limited:</t>
        </r>
        <r>
          <rPr>
            <sz val="8"/>
            <color indexed="81"/>
            <rFont val="Tahoma"/>
            <family val="2"/>
          </rPr>
          <t xml:space="preserve">
Seems generous - make it 3 ppm - Andy may have assumed a higher drift rate for new resistors-  Temp co is specified as 2 ppm/C so if want a significantly lower uncertainty would have to track temperature</t>
        </r>
      </text>
    </comment>
    <comment ref="AD13" authorId="1" shapeId="0">
      <text>
        <r>
          <rPr>
            <b/>
            <sz val="8"/>
            <color indexed="81"/>
            <rFont val="Tahoma"/>
            <family val="2"/>
          </rPr>
          <t>Industrial Research Limited:</t>
        </r>
        <r>
          <rPr>
            <sz val="8"/>
            <color indexed="81"/>
            <rFont val="Tahoma"/>
            <family val="2"/>
          </rPr>
          <t xml:space="preserve">
Phase offset observed for zero degree measurements is not consistent with measured L1 and L2.   Origins unknown so incorporate as an uncertainty at this stage (zero-degree tests.xls)  Phase offset is 0.35 mdegree.</t>
        </r>
      </text>
    </comment>
    <comment ref="C14" authorId="2" shapeId="0">
      <text>
        <r>
          <rPr>
            <b/>
            <sz val="8"/>
            <color indexed="81"/>
            <rFont val="Tahoma"/>
            <family val="2"/>
          </rPr>
          <t>Tom Stewart:  18/5/11</t>
        </r>
        <r>
          <rPr>
            <sz val="8"/>
            <color indexed="81"/>
            <rFont val="Tahoma"/>
            <family val="2"/>
          </rPr>
          <t xml:space="preserve">
Most of the dial non-linarity is based on the variation of the dial offsets.  This is now included as an absolute dial uncertainty (#23 below).
The dial linearity is then taken as 2 ppm of the dial setting.  This is based on measurements in "IVD Gain Check May11.xls" in E044\Supporting info\2011.  2 ppm 1 sigma is a conservative estimate based on both the difference in gain measured at the top of the range and also the step change seen between 511 and 512.
TJS.
</t>
        </r>
      </text>
    </comment>
    <comment ref="H14" authorId="2" shapeId="0">
      <text>
        <r>
          <rPr>
            <b/>
            <sz val="8"/>
            <color indexed="81"/>
            <rFont val="Tahoma"/>
            <family val="2"/>
          </rPr>
          <t>Tom Stewart:  18/5/11</t>
        </r>
        <r>
          <rPr>
            <sz val="8"/>
            <color indexed="81"/>
            <rFont val="Tahoma"/>
            <family val="2"/>
          </rPr>
          <t xml:space="preserve">
Most of the dial non-linarity is based on the variation of the dial offsets.  This is now included as an absolute dial uncertainty (#23 below).
The dial linearity is then taken as 2 ppm of the dial setting.  This is based on measurements in "IVD Gain Check May11.xls" in E044\Supporting info\2011.  2 ppm 1 sigma is a conservative estimate based on both the difference in gain measured at the top of the range and also the step change seen between 511 and 512.
TJS.
</t>
        </r>
      </text>
    </comment>
    <comment ref="S14" authorId="3" shapeId="0">
      <text>
        <r>
          <rPr>
            <b/>
            <sz val="8"/>
            <color indexed="81"/>
            <rFont val="Tahoma"/>
            <family val="2"/>
          </rPr>
          <t>Andrew Corney:</t>
        </r>
        <r>
          <rPr>
            <sz val="8"/>
            <color indexed="81"/>
            <rFont val="Tahoma"/>
            <family val="2"/>
          </rPr>
          <t xml:space="preserve">
increase to 15 ppm until offset problem resolved
6/5/11
See comment on watts dial uncertainty (C10).
This uncertainty left as the last approved CMC uncertainty, however there is the possibility to reduce this for high dial settings.
TJS.</t>
        </r>
      </text>
    </comment>
    <comment ref="AD14" authorId="2" shapeId="0">
      <text>
        <r>
          <rPr>
            <b/>
            <sz val="8"/>
            <color indexed="81"/>
            <rFont val="Tahoma"/>
            <family val="2"/>
          </rPr>
          <t>Laurie Christian:</t>
        </r>
        <r>
          <rPr>
            <sz val="8"/>
            <color indexed="81"/>
            <rFont val="Tahoma"/>
            <family val="2"/>
          </rPr>
          <t xml:space="preserve">
Take 5ppm one sigma down to dial readings of 0.2 and flat 15 ppm one sigma below.  Actual curve more complex but this is a conservative estimate.
</t>
        </r>
      </text>
    </comment>
    <comment ref="D16" authorId="0" shapeId="0">
      <text>
        <r>
          <rPr>
            <b/>
            <sz val="9"/>
            <color indexed="81"/>
            <rFont val="Tahoma"/>
            <family val="2"/>
          </rPr>
          <t>Tom Stewart:</t>
        </r>
        <r>
          <rPr>
            <sz val="9"/>
            <color indexed="81"/>
            <rFont val="Tahoma"/>
            <family val="2"/>
          </rPr>
          <t xml:space="preserve">
Change from 30 to 20.  Confidence gained from re-evaluating g_1 as part of APMP.EM-K5.1 comparison.</t>
        </r>
      </text>
    </comment>
    <comment ref="AD16" authorId="1" shapeId="0">
      <text>
        <r>
          <rPr>
            <b/>
            <sz val="8"/>
            <color indexed="81"/>
            <rFont val="Tahoma"/>
            <family val="2"/>
          </rPr>
          <t>Industrial Research Limited:</t>
        </r>
        <r>
          <rPr>
            <sz val="8"/>
            <color indexed="81"/>
            <rFont val="Tahoma"/>
            <family val="2"/>
          </rPr>
          <t xml:space="preserve">
No measurements made- leave as is.</t>
        </r>
      </text>
    </comment>
    <comment ref="C17" authorId="2" shapeId="0">
      <text>
        <r>
          <rPr>
            <b/>
            <sz val="8"/>
            <color indexed="81"/>
            <rFont val="Tahoma"/>
            <family val="2"/>
          </rPr>
          <t>Laurie Christian:
This includes temperature coefficient of capacitor</t>
        </r>
      </text>
    </comment>
    <comment ref="H17" authorId="2" shapeId="0">
      <text>
        <r>
          <rPr>
            <b/>
            <sz val="8"/>
            <color indexed="81"/>
            <rFont val="Tahoma"/>
            <family val="2"/>
          </rPr>
          <t>Laurie Christian:
This includes temperature coefficient of capacitor</t>
        </r>
      </text>
    </comment>
    <comment ref="S17" authorId="2" shapeId="0">
      <text>
        <r>
          <rPr>
            <b/>
            <sz val="8"/>
            <color indexed="81"/>
            <rFont val="Tahoma"/>
            <family val="2"/>
          </rPr>
          <t>Laurie Christian:
This includes temperature coefficient of capacitor</t>
        </r>
      </text>
    </comment>
    <comment ref="AD17" authorId="2" shapeId="0">
      <text>
        <r>
          <rPr>
            <b/>
            <sz val="8"/>
            <color indexed="81"/>
            <rFont val="Tahoma"/>
            <family val="2"/>
          </rPr>
          <t>Laurie Christian:
This includes 0.1 C and 126 ppm/C temperature coefficient of capacitor. Also includes an additional 12ppm (added in quadrature) due to frequency dependence of C1 (see standard deviation of May results).  Also include 45 ppm change suspected to be due to humidity and treat as 2 sigma.</t>
        </r>
      </text>
    </comment>
    <comment ref="AD18" authorId="1" shapeId="0">
      <text>
        <r>
          <rPr>
            <b/>
            <sz val="8"/>
            <color indexed="81"/>
            <rFont val="Tahoma"/>
            <family val="2"/>
          </rPr>
          <t>Industrial Research Limited:</t>
        </r>
        <r>
          <rPr>
            <sz val="8"/>
            <color indexed="81"/>
            <rFont val="Tahoma"/>
            <family val="2"/>
          </rPr>
          <t xml:space="preserve">
Haven't tracked temperature and temp co is 2ppm/C</t>
        </r>
      </text>
    </comment>
    <comment ref="AD19" authorId="1" shapeId="0">
      <text>
        <r>
          <rPr>
            <b/>
            <sz val="8"/>
            <color indexed="81"/>
            <rFont val="Tahoma"/>
            <family val="2"/>
          </rPr>
          <t>Industrial Research Limited:</t>
        </r>
        <r>
          <rPr>
            <sz val="8"/>
            <color indexed="81"/>
            <rFont val="Tahoma"/>
            <family val="2"/>
          </rPr>
          <t xml:space="preserve">
Phase offset observed for zero degree measurements is not consistent with measured L1 and L2.   Origins unknown so incorporate as an uncertainty at this stage (zero-degree tests.xls)  Phase offset is 0.35 mdegree.</t>
        </r>
      </text>
    </comment>
    <comment ref="AD20" authorId="1" shapeId="0">
      <text>
        <r>
          <rPr>
            <b/>
            <sz val="8"/>
            <color indexed="81"/>
            <rFont val="Tahoma"/>
            <family val="2"/>
          </rPr>
          <t>Industrial Research Limited:</t>
        </r>
        <r>
          <rPr>
            <sz val="8"/>
            <color indexed="81"/>
            <rFont val="Tahoma"/>
            <family val="2"/>
          </rPr>
          <t xml:space="preserve">
Probably wrong since should include a fixed noise term.  Is about the right amplitude for 1 V judging by repeatability of RefVolts FFT values</t>
        </r>
      </text>
    </comment>
    <comment ref="AD21" authorId="1" shapeId="0">
      <text>
        <r>
          <rPr>
            <b/>
            <sz val="8"/>
            <color indexed="81"/>
            <rFont val="Tahoma"/>
            <family val="2"/>
          </rPr>
          <t>Industrial Research Limited:</t>
        </r>
        <r>
          <rPr>
            <sz val="8"/>
            <color indexed="81"/>
            <rFont val="Tahoma"/>
            <family val="2"/>
          </rPr>
          <t xml:space="preserve">
Almost certainly an overestimate judging by repeatability of FFT values of Ref Phase</t>
        </r>
      </text>
    </comment>
    <comment ref="AD23" authorId="1" shapeId="0">
      <text>
        <r>
          <rPr>
            <b/>
            <sz val="8"/>
            <color indexed="81"/>
            <rFont val="Tahoma"/>
            <family val="2"/>
          </rPr>
          <t>Industrial Research Limited:</t>
        </r>
        <r>
          <rPr>
            <sz val="8"/>
            <color indexed="81"/>
            <rFont val="Tahoma"/>
            <family val="2"/>
          </rPr>
          <t xml:space="preserve">
Increased because of the change since April 2004</t>
        </r>
      </text>
    </comment>
    <comment ref="C26" authorId="4" shapeId="0">
      <text>
        <r>
          <rPr>
            <b/>
            <sz val="8"/>
            <color indexed="81"/>
            <rFont val="Tahoma"/>
            <family val="2"/>
          </rPr>
          <t>t.stewart: 18/5/11</t>
        </r>
        <r>
          <rPr>
            <sz val="8"/>
            <color indexed="81"/>
            <rFont val="Tahoma"/>
            <family val="2"/>
          </rPr>
          <t xml:space="preserve">
This is a conservative estimate of the absolute variation of dial setting based on measurements in cell CH22 or "31 March 11" page in "IVD offset SR830 readings.xls" located in E044\Supporting info\IVD offsets Mar11.
The variation of the offset depends on the previous setting of the other dial.  Added in the UncCalc page as an absolute uncertainty this starts to have impact at low dial settings.
TJS</t>
        </r>
      </text>
    </comment>
    <comment ref="H26" authorId="4" shapeId="0">
      <text>
        <r>
          <rPr>
            <b/>
            <sz val="8"/>
            <color indexed="81"/>
            <rFont val="Tahoma"/>
            <family val="2"/>
          </rPr>
          <t>t.stewart: 18/5/11</t>
        </r>
        <r>
          <rPr>
            <sz val="8"/>
            <color indexed="81"/>
            <rFont val="Tahoma"/>
            <family val="2"/>
          </rPr>
          <t xml:space="preserve">
This is a conservative estimate of the absolute variation of dial setting based on measurements in cell CH22 or "31 March 11" page in "IVD offset SR830 readings.xls" located in E044\Supporting info\IVD offsets Mar11.
The variation of the offset depends on the previous setting of the other dial.  Added in the UncCalc page as an absolute uncertainty this starts to have impact at low dial settings.
TJS</t>
        </r>
      </text>
    </comment>
    <comment ref="C27" authorId="4" shapeId="0">
      <text>
        <r>
          <rPr>
            <b/>
            <sz val="8"/>
            <color indexed="81"/>
            <rFont val="Tahoma"/>
            <family val="2"/>
          </rPr>
          <t>t.stewart: 18/5/11</t>
        </r>
        <r>
          <rPr>
            <sz val="8"/>
            <color indexed="81"/>
            <rFont val="Tahoma"/>
            <family val="2"/>
          </rPr>
          <t xml:space="preserve">
This is a conservative estimate of the absolute variation of dial setting based on measurements in cell CI22 or "31 March 11" page in "IVD offset SR830 readings.xls" located in E044\Supporting info\IVD offsets Mar11.
The variation of the offset depends on the previous setting of the other dial.  Added in the UncCalc page as an absolute uncertainty this starts to have impact at low dial settings.
TJS</t>
        </r>
      </text>
    </comment>
    <comment ref="H27" authorId="4" shapeId="0">
      <text>
        <r>
          <rPr>
            <b/>
            <sz val="8"/>
            <color indexed="81"/>
            <rFont val="Tahoma"/>
            <family val="2"/>
          </rPr>
          <t>t.stewart: 18/5/11</t>
        </r>
        <r>
          <rPr>
            <sz val="8"/>
            <color indexed="81"/>
            <rFont val="Tahoma"/>
            <family val="2"/>
          </rPr>
          <t xml:space="preserve">
This is a conservative estimate of the absolute variation of dial setting based on measurements in cell CI22 or "31 March 11" page in "IVD offset SR830 readings.xls" located in E044\Supporting info\IVD offsets Mar11.
The variation of the offset depends on the previous setting of the other dial.  Added in the UncCalc page as an absolute uncertainty this starts to have impact at low dial settings.
TJS</t>
        </r>
      </text>
    </comment>
    <comment ref="C28" authorId="0" shapeId="0">
      <text>
        <r>
          <rPr>
            <b/>
            <sz val="9"/>
            <color indexed="81"/>
            <rFont val="Tahoma"/>
            <family val="2"/>
          </rPr>
          <t>Tom Stewart:</t>
        </r>
        <r>
          <rPr>
            <sz val="9"/>
            <color indexed="81"/>
            <rFont val="Tahoma"/>
            <family val="2"/>
          </rPr>
          <t xml:space="preserve">
This is an estimate of the IVD phase angle uncertainty at full dial setting. Based on phase measurements at the input then output carried out in Jul2013</t>
        </r>
      </text>
    </comment>
    <comment ref="H28" authorId="0" shapeId="0">
      <text>
        <r>
          <rPr>
            <b/>
            <sz val="9"/>
            <color indexed="81"/>
            <rFont val="Tahoma"/>
            <family val="2"/>
          </rPr>
          <t>Tom Stewart:</t>
        </r>
        <r>
          <rPr>
            <sz val="9"/>
            <color indexed="81"/>
            <rFont val="Tahoma"/>
            <family val="2"/>
          </rPr>
          <t xml:space="preserve">
This is an estimate of the IVD phase angle uncertainty at full dial setting. Based on phase measurements at the input then output carried out in Jul2013</t>
        </r>
      </text>
    </comment>
    <comment ref="C29" authorId="0" shapeId="0">
      <text>
        <r>
          <rPr>
            <b/>
            <sz val="9"/>
            <color indexed="81"/>
            <rFont val="Tahoma"/>
            <family val="2"/>
          </rPr>
          <t>Tom Stewart:</t>
        </r>
        <r>
          <rPr>
            <sz val="9"/>
            <color indexed="81"/>
            <rFont val="Tahoma"/>
            <family val="2"/>
          </rPr>
          <t xml:space="preserve">
This is an estimate of the IVD phase angle uncertainty at full dial setting. Based on phase measurements at the input then output carried out in Jul2013</t>
        </r>
      </text>
    </comment>
    <comment ref="H29" authorId="0" shapeId="0">
      <text>
        <r>
          <rPr>
            <b/>
            <sz val="9"/>
            <color indexed="81"/>
            <rFont val="Tahoma"/>
            <family val="2"/>
          </rPr>
          <t>Tom Stewart:</t>
        </r>
        <r>
          <rPr>
            <sz val="9"/>
            <color indexed="81"/>
            <rFont val="Tahoma"/>
            <family val="2"/>
          </rPr>
          <t xml:space="preserve">
This is an estimate of the IVD phase angle uncertainty at full dial setting. Based on phase measurements at the input then output carried out in Jul2013</t>
        </r>
      </text>
    </comment>
  </commentList>
</comments>
</file>

<file path=xl/comments6.xml><?xml version="1.0" encoding="utf-8"?>
<comments xmlns="http://schemas.openxmlformats.org/spreadsheetml/2006/main">
  <authors>
    <author>l.christian</author>
  </authors>
  <commentList>
    <comment ref="P4" authorId="0" shapeId="0">
      <text>
        <r>
          <rPr>
            <b/>
            <sz val="8"/>
            <color indexed="81"/>
            <rFont val="Tahoma"/>
            <family val="2"/>
          </rPr>
          <t>l.christian:</t>
        </r>
        <r>
          <rPr>
            <sz val="8"/>
            <color indexed="81"/>
            <rFont val="Tahoma"/>
            <family val="2"/>
          </rPr>
          <t xml:space="preserve">
First part picks out the 0, 90,180, 270 points and the second part the quadrant- 0 to 90 is EVEN, 90 to 180 is ODD, 180 to 270 is EVEN and 270 to 0 is ODD.  Sign of PF handled in col F</t>
        </r>
      </text>
    </comment>
  </commentList>
</comments>
</file>

<file path=xl/comments7.xml><?xml version="1.0" encoding="utf-8"?>
<comments xmlns="http://schemas.openxmlformats.org/spreadsheetml/2006/main">
  <authors>
    <author>t.stewart</author>
    <author>l.christian</author>
  </authors>
  <commentList>
    <comment ref="O5" authorId="0" shapeId="0">
      <text>
        <r>
          <rPr>
            <b/>
            <sz val="8"/>
            <color indexed="81"/>
            <rFont val="Tahoma"/>
            <family val="2"/>
          </rPr>
          <t>t.stewart:</t>
        </r>
        <r>
          <rPr>
            <sz val="8"/>
            <color indexed="81"/>
            <rFont val="Tahoma"/>
            <family val="2"/>
          </rPr>
          <t xml:space="preserve">
Manual checks may be required to ensure the assumption that Type B uncertainty dominates Type A.  (So where Type B is assumed to be positively correlated between CH1 and CH3, adding their uncertainties will be correct.)
</t>
        </r>
      </text>
    </comment>
    <comment ref="Q6" authorId="1" shapeId="0">
      <text>
        <r>
          <rPr>
            <b/>
            <sz val="8"/>
            <color indexed="81"/>
            <rFont val="Tahoma"/>
            <family val="2"/>
          </rPr>
          <t>l.christian:</t>
        </r>
        <r>
          <rPr>
            <sz val="8"/>
            <color indexed="81"/>
            <rFont val="Tahoma"/>
            <family val="2"/>
          </rPr>
          <t xml:space="preserve">
First part picks out the 0, 90,180, 270 points and the second part the quadrant- 0 to 90 is EVEN, 90 to 180 is ODD, 180 to 270 is EVEN and 270 to 0 is ODD.  Sign of PF handled in col F</t>
        </r>
      </text>
    </comment>
  </commentList>
</comments>
</file>

<file path=xl/comments8.xml><?xml version="1.0" encoding="utf-8"?>
<comments xmlns="http://schemas.openxmlformats.org/spreadsheetml/2006/main">
  <authors>
    <author>l.christian</author>
  </authors>
  <commentList>
    <comment ref="O5" authorId="0" shapeId="0">
      <text>
        <r>
          <rPr>
            <b/>
            <sz val="8"/>
            <color indexed="81"/>
            <rFont val="Tahoma"/>
            <family val="2"/>
          </rPr>
          <t>l.christian:</t>
        </r>
        <r>
          <rPr>
            <sz val="8"/>
            <color indexed="81"/>
            <rFont val="Tahoma"/>
            <family val="2"/>
          </rPr>
          <t xml:space="preserve">
First part picks out the 0, 90,180, 270 points and the second part the quadrant- 0 to 90 is EVEN, 90 to 180 is ODD, 180 to 270 is EVEN and 270 to 0 is ODD.  Sign of PF handled in col F</t>
        </r>
      </text>
    </comment>
  </commentList>
</comments>
</file>

<file path=xl/comments9.xml><?xml version="1.0" encoding="utf-8"?>
<comments xmlns="http://schemas.openxmlformats.org/spreadsheetml/2006/main">
  <authors>
    <author>l.christian</author>
  </authors>
  <commentList>
    <comment ref="S6" authorId="0" shapeId="0">
      <text>
        <r>
          <rPr>
            <b/>
            <sz val="8"/>
            <color indexed="81"/>
            <rFont val="Tahoma"/>
            <family val="2"/>
          </rPr>
          <t>l.christian:</t>
        </r>
        <r>
          <rPr>
            <sz val="8"/>
            <color indexed="81"/>
            <rFont val="Tahoma"/>
            <family val="2"/>
          </rPr>
          <t xml:space="preserve">
First part picks out the 0, 90,180, 270 points and the second part the quadrant- 0 to 90 is EVEN, 90 to 180 is ODD, 180 to 270 is EVEN and 270 to 0 is ODD.  Sign of PF handled in col F</t>
        </r>
      </text>
    </comment>
  </commentList>
</comments>
</file>

<file path=xl/comments10.xml><?xml version="1.0" encoding="utf-8"?>
<comments xmlns="http://schemas.openxmlformats.org/spreadsheetml/2006/main">
  <authors>
    <author>Laurie Christian</author>
  </authors>
  <commentList>
    <comment ref="R7" authorId="0" shapeId="0">
      <text>
        <r>
          <rPr>
            <b/>
            <sz val="8"/>
            <color indexed="81"/>
            <rFont val="Tahoma"/>
            <family val="2"/>
          </rPr>
          <t>Laurie Christian:</t>
        </r>
        <r>
          <rPr>
            <sz val="8"/>
            <color indexed="81"/>
            <rFont val="Tahoma"/>
            <family val="2"/>
          </rPr>
          <t xml:space="preserve">
Looks at WattBridge phase so independent of source phase definition</t>
        </r>
      </text>
    </comment>
  </commentList>
</comments>
</file>

<file path=xl/comments11.xml><?xml version="1.0" encoding="utf-8"?>
<comments xmlns="http://schemas.openxmlformats.org/spreadsheetml/2006/main">
  <authors>
    <author>t.stewart</author>
  </authors>
  <commentList>
    <comment ref="E4" authorId="0" shapeId="0">
      <text>
        <r>
          <rPr>
            <b/>
            <sz val="12"/>
            <color indexed="81"/>
            <rFont val="Tahoma"/>
            <family val="2"/>
          </rPr>
          <t>t.stewart:</t>
        </r>
        <r>
          <rPr>
            <sz val="12"/>
            <color indexed="81"/>
            <rFont val="Tahoma"/>
            <family val="2"/>
          </rPr>
          <t xml:space="preserve">
Paste csv file data (from controller.py output) to cell E5 onwards.  
Copy formula down for columns: A:D and EP:FO
Manually enter for watts or vars in column B.
</t>
        </r>
      </text>
    </comment>
  </commentList>
</comments>
</file>

<file path=xl/comments12.xml><?xml version="1.0" encoding="utf-8"?>
<comments xmlns="http://schemas.openxmlformats.org/spreadsheetml/2006/main">
  <authors>
    <author>t.stewart</author>
  </authors>
  <commentList>
    <comment ref="E4" authorId="0" shapeId="0">
      <text>
        <r>
          <rPr>
            <b/>
            <sz val="12"/>
            <color indexed="81"/>
            <rFont val="Tahoma"/>
            <family val="2"/>
          </rPr>
          <t>t.stewart:</t>
        </r>
        <r>
          <rPr>
            <sz val="12"/>
            <color indexed="81"/>
            <rFont val="Tahoma"/>
            <family val="2"/>
          </rPr>
          <t xml:space="preserve">
Paste csv file data (from controller.py output) to cell E5 onwards.  
Copy formula down for columns: A:D and EP:FX
Manually enter for watts or vars in column B.
</t>
        </r>
      </text>
    </comment>
  </commentList>
</comments>
</file>

<file path=xl/sharedStrings.xml><?xml version="1.0" encoding="utf-8"?>
<sst xmlns="http://schemas.openxmlformats.org/spreadsheetml/2006/main" count="4656" uniqueCount="1188">
  <si>
    <t>Set Phase.  For HEG lag is positive angle (IEC), and for CH or FLUKE lag is negative (Non-IEC)</t>
  </si>
  <si>
    <t>Enter: HEG or FLUKE FLUHIGH
CH 
HV
Ioff</t>
  </si>
  <si>
    <t>Updated column B to include FLUKE (6105A &amp; 6106A) and FLUHIGH (52120A) as possible sources.  Column E title (E9-10) updated with phase convention of Fluke sources for correct lead/lag phase setting.</t>
  </si>
  <si>
    <t>RD31 Phase  connected</t>
  </si>
  <si>
    <t>ACal All done.  00.00°C  00.00%.</t>
  </si>
  <si>
    <t>Input phase angles (column E) restricted to being between -360 and 360 degrees. (pb_auto_v1xx will convert phase to between -180 to 180 degrees for the Fluke 6105A system.)</t>
  </si>
  <si>
    <t>Watts dial phase shift</t>
  </si>
  <si>
    <t>Vars dial phaseshift</t>
  </si>
  <si>
    <t>UncCalc and Uncertainties</t>
  </si>
  <si>
    <t>Changed formula in columns K and O to include phase angle of IVD dials.  The values are included in opposite dial and the numerical values are numbers 24 and 25 on the Uncertainties page.</t>
  </si>
  <si>
    <t>Corrected C1 phase angle (loss angle) calculation.  Changed cell Q3 from 23 to 24.  This will result in the loss angle uncertainty being calculated as 15 urad instead of previously being 15 ppm of g_1.</t>
  </si>
  <si>
    <t>Corrected IVD offset calculation to be proportional to V1. (Included multiplication of IVD offset by RefVolts).</t>
  </si>
  <si>
    <t>Uncertainties updated based on APMP K5.1 power comparison (S21885)</t>
  </si>
  <si>
    <t>From "KJ Copy of CalPB_C1_May2012.xls"</t>
  </si>
  <si>
    <t>Updated FZ column calculation of C1 based its temperature when calibrated (23.9 degC)</t>
  </si>
  <si>
    <t>Updated value of g_1 based on value determined for APMP k5.1 comparison</t>
  </si>
  <si>
    <t>changes for ab version</t>
  </si>
  <si>
    <t>Updated uncertainties and Dof's to values evaluated for the APMP K5.1 power comparison (report S21885)</t>
  </si>
  <si>
    <r>
      <t xml:space="preserve">Phase
Difference
</t>
    </r>
    <r>
      <rPr>
        <i/>
        <sz val="11"/>
        <rFont val="Times New Roman"/>
        <family val="1"/>
      </rPr>
      <t>φ</t>
    </r>
    <r>
      <rPr>
        <sz val="11"/>
        <rFont val="Times New Roman"/>
        <family val="1"/>
      </rPr>
      <t xml:space="preserve">
(</t>
    </r>
    <r>
      <rPr>
        <sz val="11"/>
        <rFont val="Calibri"/>
        <family val="2"/>
      </rPr>
      <t>°</t>
    </r>
    <r>
      <rPr>
        <sz val="11"/>
        <rFont val="Times New Roman"/>
        <family val="1"/>
      </rPr>
      <t>)</t>
    </r>
  </si>
  <si>
    <r>
      <t xml:space="preserve">Phase
Difference
</t>
    </r>
    <r>
      <rPr>
        <i/>
        <sz val="10"/>
        <rFont val="Times New Roman"/>
        <family val="1"/>
      </rPr>
      <t>φ</t>
    </r>
    <r>
      <rPr>
        <sz val="10"/>
        <rFont val="Times New Roman"/>
        <family val="1"/>
      </rPr>
      <t xml:space="preserve">
(</t>
    </r>
    <r>
      <rPr>
        <sz val="10"/>
        <rFont val="Calibri"/>
        <family val="2"/>
      </rPr>
      <t>°</t>
    </r>
    <r>
      <rPr>
        <sz val="10"/>
        <rFont val="Times New Roman"/>
        <family val="1"/>
      </rPr>
      <t>)</t>
    </r>
  </si>
  <si>
    <t>Meter % err</t>
  </si>
  <si>
    <t xml:space="preserve">Removed readings </t>
  </si>
  <si>
    <t>Removed readings</t>
  </si>
  <si>
    <t>Table worksheets</t>
  </si>
  <si>
    <t>Added column for phase angle in results tables</t>
  </si>
  <si>
    <t>C1 temp at calibration</t>
  </si>
  <si>
    <t>deg C</t>
  </si>
  <si>
    <t>C_1_CalTemp</t>
  </si>
  <si>
    <t>Added the calibration temperature of C1 as a new constant.  This is to try to better ensure it gets updated when C1 (and WB) is calibrated.</t>
  </si>
  <si>
    <t>ACal All done &amp; RD31 reset  19.55°C  67.95%.</t>
  </si>
  <si>
    <t>Updated FZ column calculation of C1 using the new C_1_CalTemp constant.</t>
  </si>
  <si>
    <t>Tan</t>
  </si>
  <si>
    <t>Blue</t>
  </si>
  <si>
    <t>10.35 urad</t>
  </si>
  <si>
    <t>Not used - This need updating</t>
  </si>
  <si>
    <t>Needs updating but not typically used</t>
  </si>
  <si>
    <t>Feb-May 2014 Calibrations carried out by T. Stewart</t>
  </si>
  <si>
    <t>CalPB_Feb14.xls</t>
  </si>
  <si>
    <t>value at temp of D18</t>
  </si>
  <si>
    <t>Updated constants from Feb-May 2014 calibration of Wattbridge</t>
  </si>
  <si>
    <t>Corrected Ref meter phase label as IEC for RD31.  The sign is changed before being written to the csv file.</t>
  </si>
  <si>
    <t xml:space="preserve"> Ref. phi1 (corrected to IEC for RD31)</t>
  </si>
  <si>
    <t xml:space="preserve"> Ref. phi2 (corrected to IEC for RD31)</t>
  </si>
  <si>
    <t xml:space="preserve"> Ref. phi3 (corrected to IEC for RD31)</t>
  </si>
  <si>
    <t>For impulses per watt hour or var hour the units now have brackets around watt.h and var.h. So now reads  (Imp/(W.h)) or (Imp/(var.h)).  This ensures the 'h' is technically correct as part of the denominator.</t>
  </si>
  <si>
    <t>Update constants for WG2 and 3478A.  Also change counter correction to zero for the change of counter to the Agilent 53230A.</t>
  </si>
  <si>
    <t>For Agilent 53230A</t>
  </si>
  <si>
    <t>Version: Pb_Auto_V1ad, updated 27 Jan 2015, validated by TJS 27 Jan 2015.</t>
  </si>
  <si>
    <t>changes for ad version</t>
  </si>
  <si>
    <t>vars</t>
  </si>
  <si>
    <t>FLUHIGH</t>
  </si>
  <si>
    <t>ACal All done &amp; RD31 reset  19.76°C  65.69%.</t>
  </si>
  <si>
    <t>En vs 2011</t>
  </si>
  <si>
    <t>En vs 2013</t>
  </si>
  <si>
    <t>phase angle set at wrong polarity</t>
  </si>
  <si>
    <t>19.71, 20.24</t>
  </si>
  <si>
    <t>S21785</t>
  </si>
  <si>
    <t>S21722</t>
  </si>
  <si>
    <t>S21659</t>
  </si>
  <si>
    <t>S21588</t>
  </si>
  <si>
    <t>Change (%)</t>
  </si>
  <si>
    <t>Change/EU</t>
  </si>
  <si>
    <t>New EU/</t>
  </si>
  <si>
    <t>S21493</t>
  </si>
  <si>
    <t>S21411</t>
  </si>
  <si>
    <t xml:space="preserve">Power
Factor
</t>
  </si>
  <si>
    <t>Energised Current Input(s)</t>
  </si>
  <si>
    <t>Measured 
Impulses
(Imp/Watt.h)</t>
  </si>
  <si>
    <t>En vs 2009</t>
  </si>
  <si>
    <t>Ratio of uncertainties</t>
  </si>
  <si>
    <t>En vs 2007</t>
  </si>
  <si>
    <t>Voltage
U
(V)</t>
  </si>
  <si>
    <t>Current
I
(A)</t>
  </si>
  <si>
    <t>Error
E
(%)</t>
  </si>
  <si>
    <t>Coverage
Factor
k</t>
  </si>
  <si>
    <t>Watts measurements</t>
  </si>
  <si>
    <t>Change %</t>
  </si>
  <si>
    <t>Change / unc</t>
  </si>
  <si>
    <t>Voltage
V
(V)</t>
  </si>
  <si>
    <t>Energised
Phase(s)</t>
  </si>
  <si>
    <t>Power Bridge phase angle</t>
  </si>
  <si>
    <t>Old EU</t>
  </si>
  <si>
    <t xml:space="preserve">Voltage
V
(V)
</t>
  </si>
  <si>
    <t xml:space="preserve">Current
I
(A)
</t>
  </si>
  <si>
    <t xml:space="preserve">
Power
Factor
</t>
  </si>
  <si>
    <t>Energised 
Phase(s)</t>
  </si>
  <si>
    <t xml:space="preserve">Error
E
(%)
</t>
  </si>
  <si>
    <t>23-2-2001   S21411</t>
  </si>
  <si>
    <t>Change</t>
  </si>
  <si>
    <t xml:space="preserve">Power
Factor
l
</t>
  </si>
  <si>
    <t xml:space="preserve">Energised
Phases
</t>
  </si>
  <si>
    <t xml:space="preserve">1  </t>
  </si>
  <si>
    <t>A</t>
  </si>
  <si>
    <t>ACal All done.  20.90°C  59.26%.  Tc = 24.2°C</t>
  </si>
  <si>
    <t xml:space="preserve"> </t>
  </si>
  <si>
    <t xml:space="preserve">1 </t>
  </si>
  <si>
    <t>0.5 Lag</t>
  </si>
  <si>
    <t>Lag</t>
  </si>
  <si>
    <t>0.8 Lead</t>
  </si>
  <si>
    <t>Lead</t>
  </si>
  <si>
    <t>0.8 lead</t>
  </si>
  <si>
    <t>A B C</t>
  </si>
  <si>
    <t>Repeat row 32</t>
  </si>
  <si>
    <t>50 A 0.8 Lead Watts</t>
  </si>
  <si>
    <t>50 A Unity Watts</t>
  </si>
  <si>
    <t>100 A Unity Vars</t>
  </si>
  <si>
    <t>100 A 0.5 Lag Vars</t>
  </si>
  <si>
    <t>25 A 0.5 Lag Watts</t>
  </si>
  <si>
    <t>50 A 0.5 Lag Vars</t>
  </si>
  <si>
    <t xml:space="preserve">Problems with excel spreadsheet so lost </t>
  </si>
  <si>
    <t>some data with bad readings at 0° &amp; -  36°</t>
  </si>
  <si>
    <t>on 100A &amp; 240V. Needed to change the</t>
  </si>
  <si>
    <t>counter trigger level from 9.2V to 8.2V.</t>
  </si>
  <si>
    <t>Change/</t>
  </si>
  <si>
    <t>Reactive Power Factor</t>
  </si>
  <si>
    <t>Measured 
Impulses
(Imp/Var.h)</t>
  </si>
  <si>
    <t>EN vs 2009</t>
  </si>
  <si>
    <t>Vars measurements</t>
  </si>
  <si>
    <t xml:space="preserve">Var
Factor
</t>
  </si>
  <si>
    <t>Fudge the power factor to positive</t>
  </si>
  <si>
    <t>Exp Uncert</t>
  </si>
  <si>
    <t xml:space="preserve">
Var
Factor
</t>
  </si>
  <si>
    <t xml:space="preserve">Measured 
Impulses
(Imp/var.h)
</t>
  </si>
  <si>
    <t>230/240v</t>
  </si>
  <si>
    <t>unity pf</t>
  </si>
  <si>
    <t>unity var f</t>
  </si>
  <si>
    <t>5 A 0.5 Lag Watts</t>
  </si>
  <si>
    <t>5 A 0.5 Lag Vars</t>
  </si>
  <si>
    <t>Measured Impulses (Imp/var.h)</t>
  </si>
  <si>
    <t>S21864</t>
  </si>
  <si>
    <t>ACal All done &amp; RD31 reset  19.71°C  60.90%.</t>
  </si>
  <si>
    <t>C(.2)</t>
  </si>
  <si>
    <t>WP+</t>
  </si>
  <si>
    <t>VP+</t>
  </si>
  <si>
    <t>WP-</t>
  </si>
  <si>
    <t>VP-</t>
  </si>
  <si>
    <t>Current</t>
  </si>
  <si>
    <t>Voltage</t>
  </si>
  <si>
    <t>Phase</t>
  </si>
  <si>
    <t>DivRange</t>
  </si>
  <si>
    <t>Shunt</t>
  </si>
  <si>
    <t>Freqy</t>
  </si>
  <si>
    <t>Wdail</t>
  </si>
  <si>
    <t>Wsign</t>
  </si>
  <si>
    <t>Vdail</t>
  </si>
  <si>
    <t>Vsign</t>
  </si>
  <si>
    <t>RefVolts</t>
  </si>
  <si>
    <t>ExactFreq</t>
  </si>
  <si>
    <t>Watts</t>
  </si>
  <si>
    <t>W count</t>
  </si>
  <si>
    <t>V count</t>
  </si>
  <si>
    <t>T(122)</t>
  </si>
  <si>
    <t>HP3458corectn</t>
  </si>
  <si>
    <t>T(51)</t>
  </si>
  <si>
    <t>T(924)</t>
  </si>
  <si>
    <t>LOOKUP TABLE OF DIVIDER BUFFER AMP GAIN</t>
  </si>
  <si>
    <t>Range</t>
  </si>
  <si>
    <t xml:space="preserve">Ratio </t>
  </si>
  <si>
    <t>Standard Uncertainties</t>
  </si>
  <si>
    <t>Accuracy of</t>
  </si>
  <si>
    <t>Degrees of</t>
  </si>
  <si>
    <t>u (ppm)</t>
  </si>
  <si>
    <t>uncertainty</t>
  </si>
  <si>
    <t>freedom, v</t>
  </si>
  <si>
    <t>TABLE OF CONSTANTS</t>
  </si>
  <si>
    <t>S</t>
  </si>
  <si>
    <t>Phase_m
radians</t>
  </si>
  <si>
    <t>NomFreq</t>
  </si>
  <si>
    <t>PhaseOffset</t>
  </si>
  <si>
    <t>DetAmpGain</t>
  </si>
  <si>
    <t>LOOKUP TABLE OF DIVIDER RATIOS</t>
  </si>
  <si>
    <t>Power
Factor</t>
  </si>
  <si>
    <t>(%)</t>
  </si>
  <si>
    <t>REPORT TABLES</t>
  </si>
  <si>
    <t>Comment</t>
  </si>
  <si>
    <t>PhOffset,G=1</t>
  </si>
  <si>
    <t>volts</t>
  </si>
  <si>
    <t>radians</t>
  </si>
  <si>
    <t>ohms</t>
  </si>
  <si>
    <t>henries</t>
  </si>
  <si>
    <t>R2/R1</t>
  </si>
  <si>
    <t>L_1</t>
  </si>
  <si>
    <t>R_1</t>
  </si>
  <si>
    <t>R_2</t>
  </si>
  <si>
    <t>L_2</t>
  </si>
  <si>
    <t>R_2byR_1</t>
  </si>
  <si>
    <t>TCR2_R1</t>
  </si>
  <si>
    <t>C_1</t>
  </si>
  <si>
    <t>g_1</t>
  </si>
  <si>
    <t>uF</t>
  </si>
  <si>
    <t>g_d</t>
  </si>
  <si>
    <t>C_d</t>
  </si>
  <si>
    <t>pF</t>
  </si>
  <si>
    <t>seconds</t>
  </si>
  <si>
    <t>det amp Cin</t>
  </si>
  <si>
    <t>det amp Gin</t>
  </si>
  <si>
    <t>Divider
ratio K</t>
  </si>
  <si>
    <t>Ref Volts
V1(cor'd)</t>
  </si>
  <si>
    <t>Watts dial
alpha</t>
  </si>
  <si>
    <t>Watts
buffer
gain</t>
  </si>
  <si>
    <t>Vars dial
beta</t>
  </si>
  <si>
    <t>Vars
buffer
gain</t>
  </si>
  <si>
    <t>Detector
amp
volts</t>
  </si>
  <si>
    <t>Detector
phase</t>
  </si>
  <si>
    <t>Det Amp
Gain G</t>
  </si>
  <si>
    <t>Det Amp
phase Gj</t>
  </si>
  <si>
    <t>Det amp
conductance
g_d</t>
  </si>
  <si>
    <t>Y1
admittance</t>
  </si>
  <si>
    <t>g_1
conductance</t>
  </si>
  <si>
    <t>Vars</t>
  </si>
  <si>
    <t>Amps</t>
  </si>
  <si>
    <t>degrees</t>
  </si>
  <si>
    <t>Line
Current</t>
  </si>
  <si>
    <t>Line
Potential</t>
  </si>
  <si>
    <t xml:space="preserve">Divider Ratio </t>
  </si>
  <si>
    <t>Divider Phase</t>
  </si>
  <si>
    <t>Shunt Resistance</t>
  </si>
  <si>
    <t>Shunt  Phase</t>
  </si>
  <si>
    <t>Watts Dial</t>
  </si>
  <si>
    <t>Watts Buffer</t>
  </si>
  <si>
    <t>R2_R1 ratio</t>
  </si>
  <si>
    <t>R2_R1 Phase</t>
  </si>
  <si>
    <t>Vars Dial</t>
  </si>
  <si>
    <t>Vars Buffer</t>
  </si>
  <si>
    <t>C1 capacitance</t>
  </si>
  <si>
    <t>C1 phase</t>
  </si>
  <si>
    <t>R2 resistance</t>
  </si>
  <si>
    <t>Det Amp Gain</t>
  </si>
  <si>
    <t>Ref Volts DMM Cal</t>
  </si>
  <si>
    <t>Standard Deviations Type B</t>
  </si>
  <si>
    <t>Degrees of Freedom:</t>
  </si>
  <si>
    <t>Det volts</t>
  </si>
  <si>
    <t>Counter</t>
  </si>
  <si>
    <t>Ch 1
Freqy
Hz</t>
  </si>
  <si>
    <t>Ch 2
Freqy
Hz</t>
  </si>
  <si>
    <t>Re</t>
  </si>
  <si>
    <t>Im</t>
  </si>
  <si>
    <t>ohms, Re</t>
  </si>
  <si>
    <t>Ohms, Im</t>
  </si>
  <si>
    <t>ohms Re</t>
  </si>
  <si>
    <t>V1_calsdv</t>
  </si>
  <si>
    <t>Va_calsdv</t>
  </si>
  <si>
    <t>Phi_calsdv</t>
  </si>
  <si>
    <t>K_sdv</t>
  </si>
  <si>
    <t>Kj_sdv</t>
  </si>
  <si>
    <t>S_sdv</t>
  </si>
  <si>
    <t>Sj_sdv</t>
  </si>
  <si>
    <t>Cj_sdv</t>
  </si>
  <si>
    <t>C_sdv</t>
  </si>
  <si>
    <t>Shunt 
impedance
R3</t>
  </si>
  <si>
    <t>Shunt
impedance
R3</t>
  </si>
  <si>
    <t>R2
impedance</t>
  </si>
  <si>
    <t>siemens Re</t>
  </si>
  <si>
    <t>siemens Im</t>
  </si>
  <si>
    <t>Ohms Im</t>
  </si>
  <si>
    <t>Det amp
admittance
Yd</t>
  </si>
  <si>
    <t>Divider
ratio K Re</t>
  </si>
  <si>
    <t>Divider
ratio K Im</t>
  </si>
  <si>
    <t>R2/R1 Re</t>
  </si>
  <si>
    <t>R2/R1 Im</t>
  </si>
  <si>
    <t>Det Amp conductance</t>
  </si>
  <si>
    <t>Det Amp Admittance</t>
  </si>
  <si>
    <t>R2
impedance
Re</t>
  </si>
  <si>
    <t>R2
impedance
Im</t>
  </si>
  <si>
    <t>urad</t>
  </si>
  <si>
    <t>deg of
freedom</t>
  </si>
  <si>
    <t>PB Type B watts
dfm</t>
  </si>
  <si>
    <t>Ch 1 Type B
dfm</t>
  </si>
  <si>
    <t>FFT
RefVolts</t>
  </si>
  <si>
    <t>FFT
Ref phase</t>
  </si>
  <si>
    <t>FFT
Det Volts</t>
  </si>
  <si>
    <t>FFT
Det Phase</t>
  </si>
  <si>
    <t>PB Type B 
std unc %</t>
  </si>
  <si>
    <t>cell number</t>
  </si>
  <si>
    <t>Reading
Number</t>
  </si>
  <si>
    <t>W sign</t>
  </si>
  <si>
    <t>V sign</t>
  </si>
  <si>
    <t>Ch 1 Type B
std unc %
from mfr spec</t>
  </si>
  <si>
    <t xml:space="preserve">Measured 
Impulses
(Imp/W.h)
</t>
  </si>
  <si>
    <r>
      <t>Error</t>
    </r>
    <r>
      <rPr>
        <i/>
        <sz val="10"/>
        <rFont val="Arial"/>
        <family val="2"/>
      </rPr>
      <t xml:space="preserve">
E</t>
    </r>
    <r>
      <rPr>
        <sz val="10"/>
        <rFont val="Arial"/>
        <family val="2"/>
      </rPr>
      <t xml:space="preserve">
(%)
</t>
    </r>
  </si>
  <si>
    <t xml:space="preserve">Expanded
Uncertainty
(%)
</t>
  </si>
  <si>
    <t xml:space="preserve">Coverage
Factor
k
</t>
  </si>
  <si>
    <t>Uncertainty budget for TVH.4</t>
  </si>
  <si>
    <t>1 pf</t>
  </si>
  <si>
    <t>0.5 pf</t>
  </si>
  <si>
    <t>magnetic field, 500 uT</t>
  </si>
  <si>
    <t>influence of temperature, per deg C</t>
  </si>
  <si>
    <t>voltage dependency</t>
  </si>
  <si>
    <t>temp range,  deg C</t>
  </si>
  <si>
    <t>mag field, uT</t>
  </si>
  <si>
    <t>frequency, +/- 5%  variation</t>
  </si>
  <si>
    <t>Active energy</t>
  </si>
  <si>
    <t>accuracy</t>
  </si>
  <si>
    <t>of unc %</t>
  </si>
  <si>
    <t>deg frm</t>
  </si>
  <si>
    <t>overall uncertainty, %</t>
  </si>
  <si>
    <t>degrees of freedom</t>
  </si>
  <si>
    <t>Reactive energy</t>
  </si>
  <si>
    <t>voltage departure from nom</t>
  </si>
  <si>
    <t>freq departure from nom</t>
  </si>
  <si>
    <t>0.8 pf</t>
  </si>
  <si>
    <t>power factor, cos phi</t>
  </si>
  <si>
    <t>var factor, sin phi</t>
  </si>
  <si>
    <t>2 sigma (%)</t>
  </si>
  <si>
    <t>manufacturer's spec</t>
  </si>
  <si>
    <t>1 sigma uncertainty</t>
  </si>
  <si>
    <t>1 var fctr</t>
  </si>
  <si>
    <t>0.8 var fctr</t>
  </si>
  <si>
    <t>0.5 var fctr</t>
  </si>
  <si>
    <t>Type B uncertainties for RM11, to be used when CALIBRATING the RM11.</t>
  </si>
  <si>
    <t>The only type B influence specified in the manual is the effect of temperature.</t>
  </si>
  <si>
    <t xml:space="preserve">This is "0.001 % per degree C maximum". </t>
  </si>
  <si>
    <t xml:space="preserve">For a lab temperature of 20 +/- 1 deg C, take the 2 sigma uncertainty as 0.0005%, with 6 degrees of freedom. </t>
  </si>
  <si>
    <t>Phase values for 24/4/97</t>
  </si>
  <si>
    <t xml:space="preserve">Type B uncertainties for TVE 102/3 </t>
  </si>
  <si>
    <t>ACTIVE ENERGY</t>
  </si>
  <si>
    <t>typ %</t>
  </si>
  <si>
    <t>max %</t>
  </si>
  <si>
    <t>frequency dependency within +/- 5 % of 50 Hz</t>
  </si>
  <si>
    <t>temperature dependency per deg C</t>
  </si>
  <si>
    <t>cos phi</t>
  </si>
  <si>
    <t>In %</t>
  </si>
  <si>
    <t>50 to 120</t>
  </si>
  <si>
    <t>10 to 50</t>
  </si>
  <si>
    <t>external fields, 500 uT</t>
  </si>
  <si>
    <t>unbal load</t>
  </si>
  <si>
    <t xml:space="preserve">Voltage dependency within the range 50 to 350 volts, </t>
  </si>
  <si>
    <t>re base value of 220 volts</t>
  </si>
  <si>
    <t>REACTIVE ENERGY</t>
  </si>
  <si>
    <t>sin phi</t>
  </si>
  <si>
    <t xml:space="preserve">Manufacturers Specifications </t>
  </si>
  <si>
    <t>ASSUMPTIONS</t>
  </si>
  <si>
    <t>Take manufacturers "max" spec to be 2 sigma</t>
  </si>
  <si>
    <t>Take lab temp to be within +/- 1 deg C</t>
  </si>
  <si>
    <t>Take frequency of CH source to be within 0.005 %</t>
  </si>
  <si>
    <t>Take lab mag field to be less than 5 uT</t>
  </si>
  <si>
    <t>freqy</t>
  </si>
  <si>
    <t>Variation in Lab</t>
  </si>
  <si>
    <t>Voltage dependency, for V within 1 % nominal</t>
  </si>
  <si>
    <t>frequency dependency, for f within .0005% 50 Hz</t>
  </si>
  <si>
    <t>voltage</t>
  </si>
  <si>
    <t>temp</t>
  </si>
  <si>
    <t>field</t>
  </si>
  <si>
    <t>Take test voltage to be within 1 % of nominal</t>
  </si>
  <si>
    <t>combined</t>
  </si>
  <si>
    <t>unc 1 sigma</t>
  </si>
  <si>
    <t xml:space="preserve">Overall Type B Uncertainty </t>
  </si>
  <si>
    <t>Active Energy</t>
  </si>
  <si>
    <t>5 to 12</t>
  </si>
  <si>
    <t>1 to 5</t>
  </si>
  <si>
    <t>.5 to 1.2</t>
  </si>
  <si>
    <t>.1 to .5</t>
  </si>
  <si>
    <t>const</t>
  </si>
  <si>
    <t>Unc vs cos phi</t>
  </si>
  <si>
    <t>x cos phi</t>
  </si>
  <si>
    <t>x sin phi</t>
  </si>
  <si>
    <t>Unc vs sin phi</t>
  </si>
  <si>
    <t>Take number of degrees of freedom in final uncertainty to be 8</t>
  </si>
  <si>
    <t>since there is a fairly high confidence in the numbers</t>
  </si>
  <si>
    <t>ESI(1)</t>
  </si>
  <si>
    <t>ESI 10 ohm box parallel</t>
  </si>
  <si>
    <t>ESI(10)</t>
  </si>
  <si>
    <t>ESI 10 ohm box series/parallel</t>
  </si>
  <si>
    <t>D3000 Uncertainty Specifications</t>
  </si>
  <si>
    <t>assume</t>
  </si>
  <si>
    <t>hence</t>
  </si>
  <si>
    <t>Voltage dependency quoted as:</t>
  </si>
  <si>
    <t>2 sigma</t>
  </si>
  <si>
    <t>1 sigma</t>
  </si>
  <si>
    <t>48V to 160 V and 160 V to 320 V, +/- 0.05%</t>
  </si>
  <si>
    <t>Hence % per volt, low range:</t>
  </si>
  <si>
    <t>Hence % per volt, high range:</t>
  </si>
  <si>
    <t xml:space="preserve">Frequency dependency quoted as: </t>
  </si>
  <si>
    <t>47 to 63 Hz, +/- 0.05%</t>
  </si>
  <si>
    <t>Hence % per Hz:</t>
  </si>
  <si>
    <t>Temperature dependency quoted as:</t>
  </si>
  <si>
    <t>0 to 40 deg C, +/- 0.005%</t>
  </si>
  <si>
    <t>Hence % per degree:</t>
  </si>
  <si>
    <t>Low Voltage Range</t>
  </si>
  <si>
    <t>High Voltage Range</t>
  </si>
  <si>
    <t>Uncerty, %</t>
  </si>
  <si>
    <t>Parameter</t>
  </si>
  <si>
    <t>Variation</t>
  </si>
  <si>
    <t>Units</t>
  </si>
  <si>
    <t xml:space="preserve">There is insignificant difference between the high and low voltage ranges.  </t>
  </si>
  <si>
    <t>%</t>
  </si>
  <si>
    <t xml:space="preserve">The assumption that the specs quoted are 2 sigma is probably conservative, </t>
  </si>
  <si>
    <t>Frequency</t>
  </si>
  <si>
    <t>so assume there is 15% confidence in these values.  Hence dfm =</t>
  </si>
  <si>
    <t>Temperature</t>
  </si>
  <si>
    <t>Hz</t>
  </si>
  <si>
    <t>1 sigma unc (%)</t>
  </si>
  <si>
    <t>rss:</t>
  </si>
  <si>
    <t>dfm:</t>
  </si>
  <si>
    <t>values prior</t>
  </si>
  <si>
    <t>values prior July 2000</t>
  </si>
  <si>
    <t>July 2000</t>
  </si>
  <si>
    <t>Phase, G=1k</t>
  </si>
  <si>
    <t>Phase,G=1</t>
  </si>
  <si>
    <t>TVH2.32 Specifications</t>
  </si>
  <si>
    <t>Voltage dependency, 60 to 140% Un,  quoted as:</t>
  </si>
  <si>
    <t>cos phi = 1:  0.015% per 10% delta U</t>
  </si>
  <si>
    <t>Hence % per volt, unity pf</t>
  </si>
  <si>
    <t>cos phi = 0.5, 0.02% per 10% delta U</t>
  </si>
  <si>
    <t>Hence % per volt, 0.5 pf</t>
  </si>
  <si>
    <t>0.01% for 5% delta f</t>
  </si>
  <si>
    <t>0.003% per degree C</t>
  </si>
  <si>
    <t>degree</t>
  </si>
  <si>
    <t>Seeing there is not much difference between active and reactive energy,</t>
  </si>
  <si>
    <t>take worst case for simplicity.</t>
  </si>
  <si>
    <t>TVH2_32Unc</t>
  </si>
  <si>
    <t>TVH2_32DFM</t>
  </si>
  <si>
    <t>Basic Load curve</t>
  </si>
  <si>
    <t>TVH4</t>
  </si>
  <si>
    <t xml:space="preserve">Energised
Phase(s)
</t>
  </si>
  <si>
    <t>Current 
Range
(A)</t>
  </si>
  <si>
    <t>Voltage
Range
(V)</t>
  </si>
  <si>
    <r>
      <t xml:space="preserve">Voltage
</t>
    </r>
    <r>
      <rPr>
        <b/>
        <sz val="10"/>
        <rFont val="Arial"/>
        <family val="2"/>
      </rPr>
      <t>U</t>
    </r>
    <r>
      <rPr>
        <sz val="10"/>
        <rFont val="Arial"/>
        <family val="2"/>
      </rPr>
      <t xml:space="preserve">
(V)
</t>
    </r>
  </si>
  <si>
    <r>
      <t xml:space="preserve">Current
</t>
    </r>
    <r>
      <rPr>
        <b/>
        <sz val="10"/>
        <rFont val="Arial"/>
        <family val="2"/>
      </rPr>
      <t>I</t>
    </r>
    <r>
      <rPr>
        <sz val="10"/>
        <rFont val="Arial"/>
        <family val="2"/>
      </rPr>
      <t xml:space="preserve">
(A)
</t>
    </r>
  </si>
  <si>
    <t>Basic Load curve continued</t>
  </si>
  <si>
    <t>63.5V</t>
  </si>
  <si>
    <t>0pf</t>
  </si>
  <si>
    <t>Top of range</t>
  </si>
  <si>
    <t>Mid range</t>
  </si>
  <si>
    <t>Bottem of range</t>
  </si>
  <si>
    <r>
      <t>Var
Factor</t>
    </r>
    <r>
      <rPr>
        <sz val="10"/>
        <rFont val="Symbol"/>
        <family val="1"/>
        <charset val="2"/>
      </rPr>
      <t xml:space="preserve">
</t>
    </r>
  </si>
  <si>
    <r>
      <t>Power
Factor</t>
    </r>
    <r>
      <rPr>
        <sz val="10"/>
        <rFont val="Symbol"/>
        <family val="1"/>
        <charset val="2"/>
      </rPr>
      <t xml:space="preserve">
</t>
    </r>
  </si>
  <si>
    <t>PB divider
range</t>
  </si>
  <si>
    <t>Exact Freq</t>
  </si>
  <si>
    <t>Divider Range</t>
  </si>
  <si>
    <t>Current Transformer Ratio</t>
  </si>
  <si>
    <t>Number of Readings</t>
  </si>
  <si>
    <t>Trial Balance Data</t>
  </si>
  <si>
    <t>Trial Balance Calculations</t>
  </si>
  <si>
    <t>Parameter:</t>
  </si>
  <si>
    <t>Parameter Number:</t>
  </si>
  <si>
    <t>Uncertainty (ppm if not urad):</t>
  </si>
  <si>
    <t>Lookup:</t>
  </si>
  <si>
    <t>Watt</t>
  </si>
  <si>
    <t>Var</t>
  </si>
  <si>
    <t>WATTS ARRAY</t>
  </si>
  <si>
    <t>MeanWatts</t>
  </si>
  <si>
    <t>MeanVars</t>
  </si>
  <si>
    <t>STANDARD DEVIATION ARRAY</t>
  </si>
  <si>
    <t>Row Number</t>
  </si>
  <si>
    <t>Det gain</t>
  </si>
  <si>
    <t>Min</t>
  </si>
  <si>
    <t>Max</t>
  </si>
  <si>
    <t>Time &amp; Date</t>
  </si>
  <si>
    <t>current_row_number</t>
  </si>
  <si>
    <t>Volts</t>
  </si>
  <si>
    <t>Degrees</t>
  </si>
  <si>
    <t>MeanAmps</t>
  </si>
  <si>
    <t>Meanvolts</t>
  </si>
  <si>
    <t>MeanDeg</t>
  </si>
  <si>
    <t>Ch1 Imp/Wh</t>
  </si>
  <si>
    <t>Reading:</t>
  </si>
  <si>
    <t>Set Voltage</t>
  </si>
  <si>
    <t>Set Current</t>
  </si>
  <si>
    <t>60
120
230</t>
  </si>
  <si>
    <t>watts
vars</t>
  </si>
  <si>
    <t>Impulses/Wh or varh
Ch1</t>
  </si>
  <si>
    <t>Remarks</t>
  </si>
  <si>
    <t>Set source</t>
  </si>
  <si>
    <t>Test Setup Columns: Enter test condition data here.   Test sequence will stop if there is no number in "Row Number"</t>
  </si>
  <si>
    <t xml:space="preserve">watts/vars
</t>
  </si>
  <si>
    <t xml:space="preserve"> This is NOT a data entry block. (Used by trial balance to find dial settings.)</t>
  </si>
  <si>
    <t>Phase_stdev</t>
  </si>
  <si>
    <t>Watts_stdev</t>
  </si>
  <si>
    <t>Var_stdev</t>
  </si>
  <si>
    <t>Volts_stdev</t>
  </si>
  <si>
    <t>Amps_stdev</t>
  </si>
  <si>
    <t>check_std_array</t>
  </si>
  <si>
    <t>Ch 1 Type A
watt-sec/imp
dfm</t>
  </si>
  <si>
    <t>CH</t>
  </si>
  <si>
    <t>source select table</t>
  </si>
  <si>
    <t>HEG</t>
  </si>
  <si>
    <t>HV</t>
  </si>
  <si>
    <t>Type B unc
Ch 1</t>
  </si>
  <si>
    <t>1,2,3 or 123</t>
  </si>
  <si>
    <t>Ch 1 type B deg of freedom</t>
  </si>
  <si>
    <t>Counter
GateTime</t>
  </si>
  <si>
    <t>Relative
Expanded
Uncertainty</t>
  </si>
  <si>
    <t>Coverage
Factor</t>
  </si>
  <si>
    <t>Results</t>
  </si>
  <si>
    <t>enter type B uncertainty of DUT</t>
  </si>
  <si>
    <t>enter type B dof of DUT</t>
  </si>
  <si>
    <t>watts or vars</t>
  </si>
  <si>
    <t>Combined std unc</t>
  </si>
  <si>
    <t>Coverage factor</t>
  </si>
  <si>
    <t>Expanded Uncertainty</t>
  </si>
  <si>
    <t>Power /var factor</t>
  </si>
  <si>
    <t>Error (%)</t>
  </si>
  <si>
    <t>Imp/w-sec  Error (%)</t>
  </si>
  <si>
    <t>IPULSES/WATT-HOUR</t>
  </si>
  <si>
    <t>imp/w-hr</t>
  </si>
  <si>
    <t>MeanImp/W-hr</t>
  </si>
  <si>
    <t>Impulses/w-hr or var-hr</t>
  </si>
  <si>
    <t>ErrorPerCent</t>
  </si>
  <si>
    <t>Error (%) Impulses/w-hr or var-hr</t>
  </si>
  <si>
    <t>imp/watt-hr
combined 
std unc %</t>
  </si>
  <si>
    <t>imp/w-hr
dfm</t>
  </si>
  <si>
    <t xml:space="preserve"> std dev</t>
  </si>
  <si>
    <t>PF/VF</t>
  </si>
  <si>
    <t>13:57 03/15/04</t>
  </si>
  <si>
    <t>Power/var factor</t>
  </si>
  <si>
    <t>Name</t>
  </si>
  <si>
    <t>Unit</t>
  </si>
  <si>
    <t>53 Hz value, close to 50 Hz val</t>
  </si>
  <si>
    <t>Cal Date:</t>
  </si>
  <si>
    <t>Cal Ref:</t>
  </si>
  <si>
    <t>Detector Gain Lookup</t>
  </si>
  <si>
    <t>ohms, uH</t>
  </si>
  <si>
    <t>resistance</t>
  </si>
  <si>
    <t>inductance</t>
  </si>
  <si>
    <t>LOOKUP TABLE OF SHUNT  VALUES</t>
  </si>
  <si>
    <t>from PBCAL.xlsJULY 2000</t>
  </si>
  <si>
    <t>this resistor has large temp co</t>
  </si>
  <si>
    <t>Rtk2000a_check.xls cell EP351</t>
  </si>
  <si>
    <t>correction of -221 ppm from Rtk2000a_check.xls block EQ366</t>
  </si>
  <si>
    <t>Rtk2000a_check.xls</t>
  </si>
  <si>
    <t>sheet Calculations! cell ER341</t>
  </si>
  <si>
    <t>Rtk2000a_check.xls cell EP353</t>
  </si>
  <si>
    <t>14 ppm added to allow for increase in R at 53 Hz over DC</t>
  </si>
  <si>
    <t>sheet Calculations! block EQ341</t>
  </si>
  <si>
    <t>note 1</t>
  </si>
  <si>
    <t>Phase_c</t>
  </si>
  <si>
    <t>CalPBApr04</t>
  </si>
  <si>
    <t>Shunt Volts</t>
  </si>
  <si>
    <t>Ioff</t>
  </si>
  <si>
    <t>NoShunt</t>
  </si>
  <si>
    <t>Mean Ratio</t>
  </si>
  <si>
    <t>Ratio Stdev</t>
  </si>
  <si>
    <t>Mean_ratio</t>
  </si>
  <si>
    <t>Ratio_stdev</t>
  </si>
  <si>
    <t>watts</t>
  </si>
  <si>
    <t>Lookup Table of Uncertainties</t>
  </si>
  <si>
    <t>ESI(.1)</t>
  </si>
  <si>
    <t>ESI 1 ohm box parallel</t>
  </si>
  <si>
    <t>Ch1 Imp/var-hr</t>
  </si>
  <si>
    <t>Impulses per Var-hr</t>
  </si>
  <si>
    <t>Impulses per Watt-hr</t>
  </si>
  <si>
    <t>std dev (%)</t>
  </si>
  <si>
    <t>Impulses/w or var hr</t>
  </si>
  <si>
    <t>Ch 1 Type A
watt-sec/imp
std unc (%)</t>
  </si>
  <si>
    <t>Watt-sec per impulse
std dev (%)</t>
  </si>
  <si>
    <t>Var-sec per impulse
std dev (%)</t>
  </si>
  <si>
    <t>Ch 1 Type A
var-sec/imp
std unc %</t>
  </si>
  <si>
    <t>Ch 1 Type A
var-sec/imp
dfm</t>
  </si>
  <si>
    <t>PB Type B var
dfm</t>
  </si>
  <si>
    <t>IPULSES/VAR-HOUR</t>
  </si>
  <si>
    <t>Rounding for pf</t>
  </si>
  <si>
    <t>Previous reports</t>
  </si>
  <si>
    <t>5(10)  160-320</t>
  </si>
  <si>
    <t>5A   230V</t>
  </si>
  <si>
    <t>All 3 phases</t>
  </si>
  <si>
    <t>pf</t>
  </si>
  <si>
    <t>S21452</t>
  </si>
  <si>
    <t>S21361</t>
  </si>
  <si>
    <t>S21262</t>
  </si>
  <si>
    <t>0.5 lag</t>
  </si>
  <si>
    <t>0.5 lead</t>
  </si>
  <si>
    <t>0.25A   230V</t>
  </si>
  <si>
    <t>Effect of Voltage</t>
  </si>
  <si>
    <t>Current Ranges</t>
  </si>
  <si>
    <t>VA Reactive</t>
  </si>
  <si>
    <t xml:space="preserve">Measured 
Impulses
(Imp/Var.h)
</t>
  </si>
  <si>
    <t>Pb_Auto_V1_cal04.xls</t>
  </si>
  <si>
    <t>Wdial</t>
  </si>
  <si>
    <t>Vdial</t>
  </si>
  <si>
    <t>need to add commentary</t>
  </si>
  <si>
    <t>needs updating</t>
  </si>
  <si>
    <t>Our RM11 suffers from a quantization problem - this may not be the case for all RM11s</t>
  </si>
  <si>
    <t>ESI(.1) (1 ohm P)
T(122)
C(.2)
ESI(1) (10 ohm P)
ESI(10) (10 ohm S-P)
NoShunt</t>
  </si>
  <si>
    <t>See ESI_History.xls Nov 2002</t>
  </si>
  <si>
    <t>Radian RM-11</t>
  </si>
  <si>
    <t>Expanded
Uncertainty
(%)</t>
  </si>
  <si>
    <t>Comments</t>
  </si>
  <si>
    <t>Power factor rounding</t>
  </si>
  <si>
    <t>Row 12 is start row. This row left blank on purpose. Example of the data inserted is in Row 2</t>
  </si>
  <si>
    <t>Example data only</t>
  </si>
  <si>
    <t>Laurie checked this in June 2004.  Recheck by June 30, 2005 or earlier if required.</t>
  </si>
  <si>
    <t xml:space="preserve">The row below is included so that this spreadsheet can be "livened up".  This is necessary if you need to change formula, constants, or uncertainties after making the measurements. </t>
  </si>
  <si>
    <t>The formulae below need to be copied below if the spreadsheet needs to be "livened up".  See PowerCalc A11</t>
  </si>
  <si>
    <t>Shunt 
impedance
R3 Re</t>
  </si>
  <si>
    <t>Shunt
impedance
R3 Im</t>
  </si>
  <si>
    <r>
      <t xml:space="preserve">DVM DCV Range </t>
    </r>
    <r>
      <rPr>
        <sz val="10"/>
        <rFont val="Arial"/>
        <family val="2"/>
      </rPr>
      <t>Test or Ch2 gate time.</t>
    </r>
  </si>
  <si>
    <t>Channel 1</t>
  </si>
  <si>
    <t>Other info if not the above</t>
  </si>
  <si>
    <t>PLT Reading (Ohms)</t>
  </si>
  <si>
    <t>Temperature (°C)</t>
  </si>
  <si>
    <t>C1 (T corrected)</t>
  </si>
  <si>
    <t>Corrected C1 (uF)</t>
  </si>
  <si>
    <t>WG2 PRT coefficients</t>
  </si>
  <si>
    <t>Alpha</t>
  </si>
  <si>
    <t>Beta</t>
  </si>
  <si>
    <t>Ohms</t>
  </si>
  <si>
    <t>ppm</t>
  </si>
  <si>
    <t>R0</t>
  </si>
  <si>
    <t>1/K</t>
  </si>
  <si>
    <t>1/K^2</t>
  </si>
  <si>
    <t>Calibration data from the August/November 2005/February 2006 Calibration (CRM) (post-grounding fixes)</t>
  </si>
  <si>
    <t>Aug 2005 to March 2006</t>
  </si>
  <si>
    <t>CalPB_August05 updated</t>
  </si>
  <si>
    <t>Do not copy this column when livening.</t>
  </si>
  <si>
    <t>Pt Resistance (Ohms)</t>
  </si>
  <si>
    <t>3478A Error</t>
  </si>
  <si>
    <t>Supporting Information\CalPB_August05 updated.xls</t>
  </si>
  <si>
    <t>See WB1 p88-89.</t>
  </si>
  <si>
    <t>See Callum McKenzie, Rough Notes and Ideas No1 p22</t>
  </si>
  <si>
    <t>R2 phase (urad)</t>
  </si>
  <si>
    <t>See New Cal2.xls where it is shown that is not critical</t>
  </si>
  <si>
    <t>Not changed</t>
  </si>
  <si>
    <t>Det Amp Phase (urad)</t>
  </si>
  <si>
    <t>Det phase (urad)</t>
  </si>
  <si>
    <t>Laurie checked this data in April 2006</t>
  </si>
  <si>
    <t>Need rechecking by June 30 2007 or before if required</t>
  </si>
  <si>
    <t>Supporting Information\CalPB_C1_May2006.xls</t>
  </si>
  <si>
    <t>Note: this shunt has large temperature coefficient and self-heating so the 20 C value is current dependent.  Probably better to apply current and ambient temperature correction rather than a single oil temperature correction.</t>
  </si>
  <si>
    <t>Date</t>
  </si>
  <si>
    <t>Changes</t>
  </si>
  <si>
    <t>Change Log</t>
  </si>
  <si>
    <t>Sheet</t>
  </si>
  <si>
    <t>Data</t>
  </si>
  <si>
    <t>Added conditional formatting for the parameter input cells, red cells indicate a failure of some basic sanity checks.</t>
  </si>
  <si>
    <t>Specifically, the source, voltage range, frequency range and watts/vars selector are checked.</t>
  </si>
  <si>
    <t>Unit Tests</t>
  </si>
  <si>
    <t>Module:</t>
  </si>
  <si>
    <t>Wattfuncs</t>
  </si>
  <si>
    <t>Function</t>
  </si>
  <si>
    <t xml:space="preserve">Expected </t>
  </si>
  <si>
    <t>Actual</t>
  </si>
  <si>
    <t>OK?</t>
  </si>
  <si>
    <t>Parameters (if any)</t>
  </si>
  <si>
    <t>Threshold:</t>
  </si>
  <si>
    <t>AlphaCount</t>
  </si>
  <si>
    <t>BetaCount</t>
  </si>
  <si>
    <t>CSUW</t>
  </si>
  <si>
    <t>CSUV</t>
  </si>
  <si>
    <t>DegFmW</t>
  </si>
  <si>
    <t>DegFmV</t>
  </si>
  <si>
    <t>rss</t>
  </si>
  <si>
    <t>DoF_A</t>
  </si>
  <si>
    <t>CoverFactor</t>
  </si>
  <si>
    <t>Uncertainties</t>
  </si>
  <si>
    <t>Status:</t>
  </si>
  <si>
    <t>Pass</t>
  </si>
  <si>
    <t>Fail</t>
  </si>
  <si>
    <t>Total</t>
  </si>
  <si>
    <t>VB</t>
  </si>
  <si>
    <t>Deleted all unused functions from the Wattfuncs module: WorV, WorV2, LagLead, AlphaCountFine, BetaCountFine</t>
  </si>
  <si>
    <t>The test values are taken from the table at http://www.physics.nist.gov/Pubs/guidelines/table.b.1.html</t>
  </si>
  <si>
    <t>Note the necessity of significantly lowering the threshold since this is a rough interpolation (the coarsest coefficient used is 0.5%).</t>
  </si>
  <si>
    <t>Local threshold:</t>
  </si>
  <si>
    <t>Check that unequal lengths are flagged properly</t>
  </si>
  <si>
    <t>Added unit tests for Watts, Vars, Volts, DoF_A and CoverFactor. Removed test for atan2 since it was testing the excel version.</t>
  </si>
  <si>
    <t>Added a unit tests sheet. Currently Incomplete (only atan2 and rss).</t>
  </si>
  <si>
    <t>Corrections to alpha and beta values in the Watts and Vars checks to cancel out the dial offset adjustments and give the nice round answers we desire (rather than calculating the correct answers).</t>
  </si>
  <si>
    <t>Added a unit test for Amps.</t>
  </si>
  <si>
    <t>Added a unit test for Phase.</t>
  </si>
  <si>
    <t>Renamed Sheet 10 to TVH2.32.</t>
  </si>
  <si>
    <t>Sheet 10/TVH2.32</t>
  </si>
  <si>
    <t>PowerCalc</t>
  </si>
  <si>
    <t>Added a negative sign to each of the angle arguments in cells FG10 and FG12 to give us the correct PF or VF for all four quadrants. i.e. we convert our American phase angle to a European one.</t>
  </si>
  <si>
    <t>TABLE RM11</t>
  </si>
  <si>
    <t>Updated the RM-11 template. Table headings: use U instead of V; italicise U, I and k; change var factor to "Reactive Power Factor".</t>
  </si>
  <si>
    <t>12 Feb 2007: Laurie's additions: RM10 specs (errors (% of readings)- note these are expected errors not uncertainties in those errors)</t>
  </si>
  <si>
    <t>Watthour</t>
  </si>
  <si>
    <t>Power Factor</t>
  </si>
  <si>
    <t>Typical</t>
  </si>
  <si>
    <t>Maximum</t>
  </si>
  <si>
    <t>P&lt;0.5</t>
  </si>
  <si>
    <t>0.05/P</t>
  </si>
  <si>
    <t>Assume uncertainty (one sigma) of 0.0005 + 0.01/2/PF as a % of reading for watts</t>
  </si>
  <si>
    <t>VAR hour</t>
  </si>
  <si>
    <t>Reactive power factor</t>
  </si>
  <si>
    <t>Assume uncertainty (one sigma) of 0.0005 + 0.02/2/QF as a % of reading for vars</t>
  </si>
  <si>
    <t>23 March 2007: Laurie's or Bruce's additions: RM11 specs (errors (% of readings)- note these are expected errors not uncertainties in those errors)</t>
  </si>
  <si>
    <t>angle</t>
  </si>
  <si>
    <t>RSS with 0.000645</t>
  </si>
  <si>
    <t>(0.0005+0.001/COS(RADIANS(ABS(CellRef))))</t>
  </si>
  <si>
    <t>From S21672 Watt variance at 50A unity pf =</t>
  </si>
  <si>
    <t>See "This RM11" worksheet (I88)</t>
  </si>
  <si>
    <t>The spec shows a change of 0.002% from unity to 0.5pf,</t>
  </si>
  <si>
    <t>(-0.0005+(0.0025/SIN(RADIANS(ABS(N35)))))</t>
  </si>
  <si>
    <t>0.025/P</t>
  </si>
  <si>
    <t xml:space="preserve"> at 1sigma this would be 0.001%</t>
  </si>
  <si>
    <t>At 0.5pf</t>
  </si>
  <si>
    <t>(-0.008*COS(RADIANS(ABS(CellRef))) + 0.011)/2</t>
  </si>
  <si>
    <t>From S21672 Var variance at 50A unity Qf =</t>
  </si>
  <si>
    <t>(-0.01*SIN(RADIANS(ABS(CellRef)))+ 0.025)/4</t>
  </si>
  <si>
    <t>See "This RM11" worksheet (J112)</t>
  </si>
  <si>
    <t>The spec shows a change of 0.005% from unity to 0.5pf,</t>
  </si>
  <si>
    <t xml:space="preserve"> at 1sigma this would be 0.0025%</t>
  </si>
  <si>
    <t>At 0.5Qf</t>
  </si>
  <si>
    <t>Frequency Spec on Vars</t>
  </si>
  <si>
    <t>Practical formula for row 12</t>
  </si>
  <si>
    <t>50 Hz</t>
  </si>
  <si>
    <t>2% / hz</t>
  </si>
  <si>
    <t>from this spreadsheet our frequency variation using the HEG is:</t>
  </si>
  <si>
    <t>IF(M12="watts",(0.0005+0.001/COS(RADIANS(ABS(E12)))),(0.001+0.001/SIN(RADIANS(ABS(E12)))))</t>
  </si>
  <si>
    <t>Center Freq =</t>
  </si>
  <si>
    <t>hz</t>
  </si>
  <si>
    <t>or</t>
  </si>
  <si>
    <t>1 sd =</t>
  </si>
  <si>
    <t>IF(M12="watts",SQRT((0.0005+0.001/COS(RADIANS(ABS(E12))))^2+0.000645^2),SQRT((0.001+0.001/SIN(RADIANS(ABS(E12))))^2+0.000645^2))</t>
  </si>
  <si>
    <t>1 sd uncert =</t>
  </si>
  <si>
    <t>RSS with the above temperature contribution</t>
  </si>
  <si>
    <t>IF(M12="watts",(0.0005+0.001/COS(RADIANS(ABS(E12)))),IF(M12="vars",(0.001+0.001/SIN(RADIANS(ABS(E12)))),"What are you doing?"))</t>
  </si>
  <si>
    <t>Type B Temperature + frequency =</t>
  </si>
  <si>
    <t>%  (for vars)</t>
  </si>
  <si>
    <t>Bruce</t>
  </si>
  <si>
    <t>IF(M12="watts",SQRT((0.0005+0.001/COS(RADIANS(ABS(E12))))^2+0.0005^2),IF(M12="vars",SQRT((0.001+0.001/SIN(RADIANS(ABS(E12))))^2+0.000645^2),"What are you doing?"))</t>
  </si>
  <si>
    <t>Laurie</t>
  </si>
  <si>
    <t>IF(M12="watts",SQRT(((-0.008*COS(RADIANS(ABS(E12)))+0.011)/2)^2+0.0005^2),IF(M12="vars",SQRT(((-0.01*SIN(RADIANS(ABS(E12)))+ 0.025)/4)^2+0.000645^2),"What are you doing?"))</t>
  </si>
  <si>
    <t>RM11Unc</t>
  </si>
  <si>
    <t>Added Data Validation to the frequency, range, shunt selection, phase selection and source selection cells of the parameters block.</t>
  </si>
  <si>
    <t>Put "#N/A" into Cell N2. Type B uncertainty column.</t>
  </si>
  <si>
    <t>Updated the RM11 uncertainties to accomodate behavior observed in S21672.</t>
  </si>
  <si>
    <t>Corrected wrong spreadsheet version number on Data page</t>
  </si>
  <si>
    <t>Supporting Information\CalPB_April08 updated.xls</t>
  </si>
  <si>
    <t>April 2008 to May 2008</t>
  </si>
  <si>
    <t>April/May 08 Calibrations carried out by B. McLennan and T. Stewart</t>
  </si>
  <si>
    <t>LOOKUP TABLE OF DET AMP PHASE ERRORS</t>
  </si>
  <si>
    <t>constants</t>
  </si>
  <si>
    <t>CalPB_April08 updated Laurie.xls</t>
  </si>
  <si>
    <t>Laurie Christian</t>
  </si>
  <si>
    <t>Version n: new values of constants</t>
  </si>
  <si>
    <t>From "CalPb_C1_May2008.xls"</t>
  </si>
  <si>
    <t>T(707)</t>
  </si>
  <si>
    <t>R_2byR_1 = R_2/R_1</t>
  </si>
  <si>
    <t>TCR2_R1=(L_2*R_1-L_1*R_2)/(R_1*R_1)</t>
  </si>
  <si>
    <t>Added some suggested Prime Points</t>
  </si>
  <si>
    <t>Dec 08/Jan 09 Calibrations carried out by T. Stewart</t>
  </si>
  <si>
    <t>Dec2008 to Jan 2008</t>
  </si>
  <si>
    <t>Cyan</t>
  </si>
  <si>
    <t>Green</t>
  </si>
  <si>
    <t>Lavender</t>
  </si>
  <si>
    <t>Colour Key</t>
  </si>
  <si>
    <t>CalPB_Dec08 updatedLaurieChecked.xls</t>
  </si>
  <si>
    <t>Unchanged</t>
  </si>
  <si>
    <t>This need updating</t>
  </si>
  <si>
    <t>LAC Checked</t>
  </si>
  <si>
    <t>BEM/TJS Checked</t>
  </si>
  <si>
    <t>Supporting Information\CalPb_Det_auto_Dec08.xls</t>
  </si>
  <si>
    <t>Will need updating</t>
  </si>
  <si>
    <t>Version o: new values of constants</t>
  </si>
  <si>
    <t>Updated the RM-11 template. Table headings: use Imp/W.h and Imp/var.h instead of Imp/Watt.h and Imp/Var.h</t>
  </si>
  <si>
    <r>
      <t xml:space="preserve">Voltage
</t>
    </r>
    <r>
      <rPr>
        <i/>
        <sz val="10"/>
        <rFont val="Times New Roman"/>
        <family val="1"/>
      </rPr>
      <t>U</t>
    </r>
    <r>
      <rPr>
        <sz val="10"/>
        <rFont val="Times New Roman"/>
        <family val="1"/>
      </rPr>
      <t xml:space="preserve">
(V)</t>
    </r>
  </si>
  <si>
    <r>
      <t xml:space="preserve">Current
</t>
    </r>
    <r>
      <rPr>
        <i/>
        <sz val="10"/>
        <rFont val="Times New Roman"/>
        <family val="1"/>
      </rPr>
      <t>I</t>
    </r>
    <r>
      <rPr>
        <sz val="10"/>
        <rFont val="Times New Roman"/>
        <family val="1"/>
      </rPr>
      <t xml:space="preserve">
(A)</t>
    </r>
  </si>
  <si>
    <r>
      <t>Error</t>
    </r>
    <r>
      <rPr>
        <i/>
        <sz val="10"/>
        <rFont val="Times New Roman"/>
        <family val="1"/>
      </rPr>
      <t xml:space="preserve">
E</t>
    </r>
    <r>
      <rPr>
        <sz val="10"/>
        <rFont val="Times New Roman"/>
        <family val="1"/>
      </rPr>
      <t xml:space="preserve">
(%)</t>
    </r>
  </si>
  <si>
    <r>
      <t xml:space="preserve">Coverage
Factor
</t>
    </r>
    <r>
      <rPr>
        <i/>
        <sz val="10"/>
        <rFont val="Times New Roman"/>
        <family val="1"/>
      </rPr>
      <t>k</t>
    </r>
  </si>
  <si>
    <t>Uncert/CMC</t>
  </si>
  <si>
    <t>Laurie checked this data in June 2004</t>
  </si>
  <si>
    <t>This uncertainty modified 2/12/04 because of new linearity measurements done- see Pb_Auto_V1d_cal04A.xls</t>
  </si>
  <si>
    <t>Need rechecking by June 30 2005 or before if required</t>
  </si>
  <si>
    <t xml:space="preserve">unexplained dial non-linearity </t>
  </si>
  <si>
    <t>as these were the last approved uncertainties (TJS 14/5/09)</t>
  </si>
  <si>
    <t>Have gone back to Uncertainties from Pb_Auto_V1g (08/02/05)</t>
  </si>
  <si>
    <t>These Uncertainties are yet to be approved (14/05/09)</t>
  </si>
  <si>
    <t>RD-31 Voltage
(V)</t>
  </si>
  <si>
    <t>RD-31 Current
(A)</t>
  </si>
  <si>
    <t>RD-31 Watts</t>
  </si>
  <si>
    <t>RD-31 
VA</t>
  </si>
  <si>
    <t>RD-31
Vars</t>
  </si>
  <si>
    <t>RD-31
Freq
(Hz)</t>
  </si>
  <si>
    <t>RD-31 
Power Factor</t>
  </si>
  <si>
    <t>Input Ch 1</t>
  </si>
  <si>
    <t>Input Ch 2</t>
  </si>
  <si>
    <t>Input Ch 3</t>
  </si>
  <si>
    <t>The standard uncertainty values for the Watt-bridge have been reverted back to the values from Pb_Auto_V1g (Feb 2005), as these are the last approved values consistent with our current CMC's.</t>
  </si>
  <si>
    <t>Included check of expanded uncertainty against current CMC's in column P.  Also changed table font to Times New Roman to match Report font.</t>
  </si>
  <si>
    <t>RD-31 
Analog Sense</t>
  </si>
  <si>
    <t>RD-31 
Delta phase (Volts A &amp; phase read)</t>
  </si>
  <si>
    <t>RD-31
Volts Delta mode</t>
  </si>
  <si>
    <t>RD-31
Watts Delta mode</t>
  </si>
  <si>
    <t>RD-31
VA Delta mode</t>
  </si>
  <si>
    <t>RD-31
Vars Delta mode</t>
  </si>
  <si>
    <t>RD-31
Vars WYE Cross-connected</t>
  </si>
  <si>
    <t>Input Net (Total)</t>
  </si>
  <si>
    <t>Corrected and included further RD-31 data headings to the far right of Data page.</t>
  </si>
  <si>
    <t>!! When copying new constants in, ensure the named cells and lookups from other worksheets stay intact!</t>
  </si>
  <si>
    <t>In version "o" the constants were incorrectly copied across, causing the Vlookups from other worksheets to incorrectly reference the old constants.  This has been corrected.</t>
  </si>
  <si>
    <t>WattFuncs Macro</t>
  </si>
  <si>
    <t>Updated the hard coded constants for IVD offsets.  An error in the way in which they are applied has also been corrected.</t>
  </si>
  <si>
    <t>Row no.</t>
  </si>
  <si>
    <t>watts/vars</t>
  </si>
  <si>
    <t>Ch1 Energised</t>
  </si>
  <si>
    <t>Ch3 Energised</t>
  </si>
  <si>
    <t>Nom. U1</t>
  </si>
  <si>
    <t xml:space="preserve"> Nom. U2</t>
  </si>
  <si>
    <t xml:space="preserve"> Nom. U3</t>
  </si>
  <si>
    <t xml:space="preserve"> Nom I1</t>
  </si>
  <si>
    <t xml:space="preserve"> Nom. I2</t>
  </si>
  <si>
    <t xml:space="preserve"> Nom. I3</t>
  </si>
  <si>
    <t xml:space="preserve"> Nom. f</t>
  </si>
  <si>
    <t xml:space="preserve"> V Range </t>
  </si>
  <si>
    <t xml:space="preserve"> I Range</t>
  </si>
  <si>
    <t xml:space="preserve"> Counts per Wh</t>
  </si>
  <si>
    <t xml:space="preserve"> Type</t>
  </si>
  <si>
    <t xml:space="preserve"> Ref. U1</t>
  </si>
  <si>
    <t xml:space="preserve"> Ref. U2</t>
  </si>
  <si>
    <t xml:space="preserve"> Ref. U3</t>
  </si>
  <si>
    <t xml:space="preserve"> Ref. I1</t>
  </si>
  <si>
    <t xml:space="preserve"> Ref. I2</t>
  </si>
  <si>
    <t xml:space="preserve"> Ref. I3</t>
  </si>
  <si>
    <t xml:space="preserve"> Ref. phi1</t>
  </si>
  <si>
    <t xml:space="preserve"> Ref. phi2</t>
  </si>
  <si>
    <t xml:space="preserve"> Ref. phi3</t>
  </si>
  <si>
    <t xml:space="preserve"> Ref. f</t>
  </si>
  <si>
    <t xml:space="preserve"> Ref. Watts1</t>
  </si>
  <si>
    <t xml:space="preserve"> Ref. Watts2</t>
  </si>
  <si>
    <t xml:space="preserve"> Ref. Watts3</t>
  </si>
  <si>
    <t xml:space="preserve"> Ref. Total Watts</t>
  </si>
  <si>
    <t xml:space="preserve"> Ref. Vars1</t>
  </si>
  <si>
    <t xml:space="preserve"> Ref. Vars2</t>
  </si>
  <si>
    <t xml:space="preserve"> Ref. Vars3</t>
  </si>
  <si>
    <t xml:space="preserve"> Ref. Total Vars</t>
  </si>
  <si>
    <t xml:space="preserve"> Ref. VA1</t>
  </si>
  <si>
    <t xml:space="preserve"> Ref. VA2</t>
  </si>
  <si>
    <t xml:space="preserve"> Ref. VA3</t>
  </si>
  <si>
    <t xml:space="preserve"> Ref. Timestamp</t>
  </si>
  <si>
    <t xml:space="preserve"> Mtr. U1</t>
  </si>
  <si>
    <t xml:space="preserve"> Mtr. U2</t>
  </si>
  <si>
    <t xml:space="preserve"> Mtr. U3</t>
  </si>
  <si>
    <t xml:space="preserve"> Mtr. I1</t>
  </si>
  <si>
    <t xml:space="preserve"> Mtr. I2</t>
  </si>
  <si>
    <t xml:space="preserve"> Mtr. I3</t>
  </si>
  <si>
    <t xml:space="preserve"> Mtr. phi1</t>
  </si>
  <si>
    <t xml:space="preserve"> Mtr. phi2</t>
  </si>
  <si>
    <t xml:space="preserve"> Mtr. phi3</t>
  </si>
  <si>
    <t xml:space="preserve"> Mtr. f</t>
  </si>
  <si>
    <t xml:space="preserve"> Mtr. Watts1</t>
  </si>
  <si>
    <t xml:space="preserve"> Mtr. Watts2</t>
  </si>
  <si>
    <t xml:space="preserve"> Mtr. Watts3</t>
  </si>
  <si>
    <t xml:space="preserve"> Mtr. Total Watts</t>
  </si>
  <si>
    <t xml:space="preserve"> Mtr. Vars1</t>
  </si>
  <si>
    <t xml:space="preserve"> Mtr. Vars2</t>
  </si>
  <si>
    <t xml:space="preserve"> Mtr. Vars3</t>
  </si>
  <si>
    <t xml:space="preserve"> Mtr. Total Vars</t>
  </si>
  <si>
    <t xml:space="preserve"> Mtr. VA1</t>
  </si>
  <si>
    <t xml:space="preserve"> Mtr. VA2</t>
  </si>
  <si>
    <t xml:space="preserve"> Mtr. VA3</t>
  </si>
  <si>
    <t xml:space="preserve"> Mtr. Timestamp</t>
  </si>
  <si>
    <t xml:space="preserve"> Error U1</t>
  </si>
  <si>
    <t xml:space="preserve"> Error U2</t>
  </si>
  <si>
    <t xml:space="preserve"> Error U3</t>
  </si>
  <si>
    <t xml:space="preserve"> Error I1</t>
  </si>
  <si>
    <t xml:space="preserve"> Error I2</t>
  </si>
  <si>
    <t xml:space="preserve"> Error I3</t>
  </si>
  <si>
    <t xml:space="preserve"> Error phi1</t>
  </si>
  <si>
    <t xml:space="preserve"> Error phi2</t>
  </si>
  <si>
    <t xml:space="preserve"> Error phi3</t>
  </si>
  <si>
    <t xml:space="preserve"> Error f</t>
  </si>
  <si>
    <t xml:space="preserve"> Error Watts1</t>
  </si>
  <si>
    <t xml:space="preserve"> Error Watts2</t>
  </si>
  <si>
    <t xml:space="preserve"> Error Watts3</t>
  </si>
  <si>
    <t xml:space="preserve"> Error Total Watts</t>
  </si>
  <si>
    <t xml:space="preserve"> Error Vars1</t>
  </si>
  <si>
    <t xml:space="preserve"> Error Vars2</t>
  </si>
  <si>
    <t xml:space="preserve"> Error Vars3</t>
  </si>
  <si>
    <t xml:space="preserve"> Error Total Vars</t>
  </si>
  <si>
    <t xml:space="preserve"> Error VA1</t>
  </si>
  <si>
    <t xml:space="preserve"> Error VA2</t>
  </si>
  <si>
    <t xml:space="preserve"> Error VA3</t>
  </si>
  <si>
    <t>V.1</t>
  </si>
  <si>
    <t xml:space="preserve"> V.2</t>
  </si>
  <si>
    <t xml:space="preserve"> V.3</t>
  </si>
  <si>
    <t xml:space="preserve"> V.Net</t>
  </si>
  <si>
    <t xml:space="preserve"> A.1</t>
  </si>
  <si>
    <t xml:space="preserve"> A.2</t>
  </si>
  <si>
    <t xml:space="preserve"> A.3</t>
  </si>
  <si>
    <t xml:space="preserve"> A.Net</t>
  </si>
  <si>
    <t xml:space="preserve"> W.1</t>
  </si>
  <si>
    <t xml:space="preserve"> W.2</t>
  </si>
  <si>
    <t xml:space="preserve"> W.3</t>
  </si>
  <si>
    <t xml:space="preserve"> W.Net</t>
  </si>
  <si>
    <t xml:space="preserve"> VA.1</t>
  </si>
  <si>
    <t xml:space="preserve"> VA.2</t>
  </si>
  <si>
    <t xml:space="preserve"> VA.3</t>
  </si>
  <si>
    <t xml:space="preserve"> VA.Net</t>
  </si>
  <si>
    <t xml:space="preserve"> VAR.1</t>
  </si>
  <si>
    <t xml:space="preserve"> VAR.2</t>
  </si>
  <si>
    <t xml:space="preserve"> VAR.3</t>
  </si>
  <si>
    <t xml:space="preserve"> VAR.Net</t>
  </si>
  <si>
    <t xml:space="preserve"> Hz.1</t>
  </si>
  <si>
    <t xml:space="preserve"> Hz.2</t>
  </si>
  <si>
    <t xml:space="preserve"> Hz.3</t>
  </si>
  <si>
    <t xml:space="preserve"> Hz.Net</t>
  </si>
  <si>
    <t xml:space="preserve"> oP.1</t>
  </si>
  <si>
    <t xml:space="preserve"> oP.2</t>
  </si>
  <si>
    <t xml:space="preserve"> oP.3</t>
  </si>
  <si>
    <t xml:space="preserve"> oP.Net</t>
  </si>
  <si>
    <t xml:space="preserve"> PF.1</t>
  </si>
  <si>
    <t xml:space="preserve"> PF.2</t>
  </si>
  <si>
    <t xml:space="preserve"> PF.3</t>
  </si>
  <si>
    <t xml:space="preserve"> PF.Net</t>
  </si>
  <si>
    <t xml:space="preserve"> AnlgSens.1</t>
  </si>
  <si>
    <t xml:space="preserve"> AnlgSens.2</t>
  </si>
  <si>
    <t xml:space="preserve"> AnlgSens.3</t>
  </si>
  <si>
    <t xml:space="preserve"> AnlgSens.Net</t>
  </si>
  <si>
    <t xml:space="preserve"> doP.1</t>
  </si>
  <si>
    <t xml:space="preserve"> doP.2</t>
  </si>
  <si>
    <t xml:space="preserve"> doP.3</t>
  </si>
  <si>
    <t xml:space="preserve"> doP.Net</t>
  </si>
  <si>
    <t xml:space="preserve"> V Delta.1</t>
  </si>
  <si>
    <t xml:space="preserve"> V Delta.2</t>
  </si>
  <si>
    <t xml:space="preserve"> V Delta.3</t>
  </si>
  <si>
    <t xml:space="preserve"> V Delta.Net</t>
  </si>
  <si>
    <t xml:space="preserve"> W Delta.1</t>
  </si>
  <si>
    <t xml:space="preserve"> W Delta.2</t>
  </si>
  <si>
    <t xml:space="preserve"> W Delta.3</t>
  </si>
  <si>
    <t xml:space="preserve"> W Delta.Net</t>
  </si>
  <si>
    <t xml:space="preserve"> VA Delta.1</t>
  </si>
  <si>
    <t xml:space="preserve"> VA Delta.2</t>
  </si>
  <si>
    <t xml:space="preserve"> VA Delta.3</t>
  </si>
  <si>
    <t xml:space="preserve"> VA Delta.Net</t>
  </si>
  <si>
    <t xml:space="preserve"> VAR Delta.1</t>
  </si>
  <si>
    <t xml:space="preserve"> VAR Delta.2</t>
  </si>
  <si>
    <t xml:space="preserve"> VAR Delta.3</t>
  </si>
  <si>
    <t xml:space="preserve"> VAR Delta.Net</t>
  </si>
  <si>
    <t xml:space="preserve"> VAR X WYE.1</t>
  </si>
  <si>
    <t xml:space="preserve"> VAR X WYE.2</t>
  </si>
  <si>
    <t xml:space="preserve"> VAR X WYE.3</t>
  </si>
  <si>
    <t xml:space="preserve"> VAR X WYE.Net</t>
  </si>
  <si>
    <t xml:space="preserve"> VAR X Delta.1</t>
  </si>
  <si>
    <t xml:space="preserve"> VAR X Delta.2</t>
  </si>
  <si>
    <t xml:space="preserve"> VAR X Delta.3</t>
  </si>
  <si>
    <t xml:space="preserve"> VAR X Delta.Net</t>
  </si>
  <si>
    <t>RD31 Ch1</t>
  </si>
  <si>
    <t>RD31 Ch3</t>
  </si>
  <si>
    <t>Ch1 key</t>
  </si>
  <si>
    <t>Ch3 key</t>
  </si>
  <si>
    <t>Ch1 err</t>
  </si>
  <si>
    <t>Ch3 err</t>
  </si>
  <si>
    <t>Crctd Ch1</t>
  </si>
  <si>
    <t>Crctd Ch3</t>
  </si>
  <si>
    <t>Crctd Total  Ref Power</t>
  </si>
  <si>
    <t>Ch1 exp unc</t>
  </si>
  <si>
    <t>Ch3 exp unc</t>
  </si>
  <si>
    <t>Ch1 cover Factor</t>
  </si>
  <si>
    <t>Ch3 cover Factor</t>
  </si>
  <si>
    <t>Ch1 std unc</t>
  </si>
  <si>
    <t>Ch3 std unc</t>
  </si>
  <si>
    <t>stdev readings</t>
  </si>
  <si>
    <t>Total pwr std unc</t>
  </si>
  <si>
    <t>cmb std unc</t>
  </si>
  <si>
    <t>Ch1 dfm</t>
  </si>
  <si>
    <t>Ch3 dfm</t>
  </si>
  <si>
    <t>Type A dfm</t>
  </si>
  <si>
    <t>cmb dfm</t>
  </si>
  <si>
    <t>cmb cover</t>
  </si>
  <si>
    <t>exp unc</t>
  </si>
  <si>
    <t>average</t>
  </si>
  <si>
    <t>Imp/(Wh orVarh)</t>
  </si>
  <si>
    <t>Average V</t>
  </si>
  <si>
    <t>Radian RD31</t>
  </si>
  <si>
    <t>Ch1
 Type A/
 Type B</t>
  </si>
  <si>
    <t>Ch3
 Type A/
 Type B</t>
  </si>
  <si>
    <t>Method std unc 
(enter to cell above)</t>
  </si>
  <si>
    <t>D3000 type B 
(enter to cell above)</t>
  </si>
  <si>
    <t>method dfm 
(enter to cell above)</t>
  </si>
  <si>
    <t>D3000 dfm 
(enter to cell above)</t>
  </si>
  <si>
    <t>manually enter "watts" or "vars"</t>
  </si>
  <si>
    <t>Repeated point count</t>
  </si>
  <si>
    <t>xxx</t>
  </si>
  <si>
    <t>Last reading of a set?</t>
  </si>
  <si>
    <t>D3000 Delta Power Results Summary</t>
  </si>
  <si>
    <t>Energised Phases</t>
  </si>
  <si>
    <t>Nominal Phase</t>
  </si>
  <si>
    <t>IEC phase angle Ch1</t>
  </si>
  <si>
    <t>IEC phase angle Ch3</t>
  </si>
  <si>
    <t xml:space="preserve">PF Phase </t>
  </si>
  <si>
    <t>PF Label</t>
  </si>
  <si>
    <r>
      <t xml:space="preserve">Voltage 
</t>
    </r>
    <r>
      <rPr>
        <i/>
        <sz val="11"/>
        <rFont val="Times New Roman"/>
        <family val="1"/>
      </rPr>
      <t>U</t>
    </r>
    <r>
      <rPr>
        <vertAlign val="subscript"/>
        <sz val="11"/>
        <rFont val="Times New Roman"/>
        <family val="1"/>
      </rPr>
      <t>12</t>
    </r>
    <r>
      <rPr>
        <sz val="11"/>
        <rFont val="Times New Roman"/>
        <family val="1"/>
      </rPr>
      <t xml:space="preserve">, </t>
    </r>
    <r>
      <rPr>
        <i/>
        <sz val="11"/>
        <rFont val="Times New Roman"/>
        <family val="1"/>
      </rPr>
      <t>U</t>
    </r>
    <r>
      <rPr>
        <vertAlign val="subscript"/>
        <sz val="11"/>
        <rFont val="Times New Roman"/>
        <family val="1"/>
      </rPr>
      <t>32</t>
    </r>
    <r>
      <rPr>
        <sz val="11"/>
        <rFont val="Times New Roman"/>
        <family val="1"/>
      </rPr>
      <t xml:space="preserve">
(V)</t>
    </r>
  </si>
  <si>
    <r>
      <t xml:space="preserve">Current
</t>
    </r>
    <r>
      <rPr>
        <i/>
        <sz val="11"/>
        <rFont val="Times New Roman"/>
        <family val="1"/>
      </rPr>
      <t>I</t>
    </r>
    <r>
      <rPr>
        <vertAlign val="subscript"/>
        <sz val="11"/>
        <rFont val="Times New Roman"/>
        <family val="1"/>
      </rPr>
      <t>1</t>
    </r>
    <r>
      <rPr>
        <sz val="11"/>
        <rFont val="Times New Roman"/>
        <family val="1"/>
      </rPr>
      <t xml:space="preserve">, </t>
    </r>
    <r>
      <rPr>
        <i/>
        <sz val="11"/>
        <rFont val="Times New Roman"/>
        <family val="1"/>
      </rPr>
      <t>I</t>
    </r>
    <r>
      <rPr>
        <vertAlign val="subscript"/>
        <sz val="11"/>
        <rFont val="Times New Roman"/>
        <family val="1"/>
      </rPr>
      <t>3</t>
    </r>
    <r>
      <rPr>
        <sz val="11"/>
        <rFont val="Times New Roman"/>
        <family val="1"/>
      </rPr>
      <t xml:space="preserve">
(A)</t>
    </r>
  </si>
  <si>
    <r>
      <t xml:space="preserve">Phase Angle
</t>
    </r>
    <r>
      <rPr>
        <i/>
        <sz val="11"/>
        <rFont val="Times New Roman"/>
        <family val="1"/>
      </rPr>
      <t>U</t>
    </r>
    <r>
      <rPr>
        <vertAlign val="subscript"/>
        <sz val="11"/>
        <rFont val="Times New Roman"/>
        <family val="1"/>
      </rPr>
      <t xml:space="preserve">12 </t>
    </r>
    <r>
      <rPr>
        <i/>
        <sz val="11"/>
        <rFont val="Times New Roman"/>
        <family val="1"/>
      </rPr>
      <t>- I</t>
    </r>
    <r>
      <rPr>
        <vertAlign val="subscript"/>
        <sz val="11"/>
        <rFont val="Times New Roman"/>
        <family val="1"/>
      </rPr>
      <t>1</t>
    </r>
    <r>
      <rPr>
        <i/>
        <sz val="11"/>
        <rFont val="Times New Roman"/>
        <family val="1"/>
      </rPr>
      <t xml:space="preserve">
</t>
    </r>
    <r>
      <rPr>
        <sz val="11"/>
        <rFont val="Times New Roman"/>
        <family val="1"/>
      </rPr>
      <t>(°)</t>
    </r>
  </si>
  <si>
    <r>
      <t xml:space="preserve">Phase Angle
</t>
    </r>
    <r>
      <rPr>
        <i/>
        <sz val="11"/>
        <rFont val="Times New Roman"/>
        <family val="1"/>
      </rPr>
      <t>U</t>
    </r>
    <r>
      <rPr>
        <vertAlign val="subscript"/>
        <sz val="11"/>
        <rFont val="Times New Roman"/>
        <family val="1"/>
      </rPr>
      <t xml:space="preserve">32 </t>
    </r>
    <r>
      <rPr>
        <i/>
        <sz val="11"/>
        <rFont val="Times New Roman"/>
        <family val="1"/>
      </rPr>
      <t>- I</t>
    </r>
    <r>
      <rPr>
        <vertAlign val="subscript"/>
        <sz val="11"/>
        <rFont val="Times New Roman"/>
        <family val="1"/>
      </rPr>
      <t>3</t>
    </r>
    <r>
      <rPr>
        <i/>
        <sz val="11"/>
        <rFont val="Times New Roman"/>
        <family val="1"/>
      </rPr>
      <t xml:space="preserve">
</t>
    </r>
    <r>
      <rPr>
        <sz val="11"/>
        <rFont val="Times New Roman"/>
        <family val="1"/>
      </rPr>
      <t>(°)</t>
    </r>
  </si>
  <si>
    <r>
      <t>Error</t>
    </r>
    <r>
      <rPr>
        <i/>
        <sz val="11"/>
        <rFont val="Times New Roman"/>
        <family val="1"/>
      </rPr>
      <t xml:space="preserve">
E</t>
    </r>
    <r>
      <rPr>
        <sz val="11"/>
        <rFont val="Times New Roman"/>
        <family val="1"/>
      </rPr>
      <t xml:space="preserve">
(%)</t>
    </r>
  </si>
  <si>
    <r>
      <t xml:space="preserve">Coverage
Factor
</t>
    </r>
    <r>
      <rPr>
        <i/>
        <sz val="11"/>
        <rFont val="Times New Roman"/>
        <family val="1"/>
      </rPr>
      <t>k</t>
    </r>
  </si>
  <si>
    <t>xx Amp Watts</t>
  </si>
  <si>
    <t>xx Amp Vars</t>
  </si>
  <si>
    <t>Channel</t>
  </si>
  <si>
    <t>11105.0090watts</t>
  </si>
  <si>
    <t>IEC phase angle</t>
  </si>
  <si>
    <t>row select</t>
  </si>
  <si>
    <t>PF label</t>
  </si>
  <si>
    <t>Key</t>
  </si>
  <si>
    <t>31100.5090watts</t>
  </si>
  <si>
    <t>RD31 Power</t>
  </si>
  <si>
    <t>Point key</t>
  </si>
  <si>
    <t>RD31 Err</t>
  </si>
  <si>
    <t>RD31 exp unc</t>
  </si>
  <si>
    <t>RD31 cover Factor</t>
  </si>
  <si>
    <t>RD31 std unc</t>
  </si>
  <si>
    <t>xx</t>
  </si>
  <si>
    <t>D3000 Star Power Results Summary</t>
  </si>
  <si>
    <t>PF Phase  (IEC)</t>
  </si>
  <si>
    <t>TABLE RD31</t>
  </si>
  <si>
    <t>row select from "Data"</t>
  </si>
  <si>
    <t>row select from
 "Star Data"</t>
  </si>
  <si>
    <t>row select from
 "2W Delta Data"</t>
  </si>
  <si>
    <t>RD31 Ch1 or Ch123</t>
  </si>
  <si>
    <t>Power factor label now calculates for full four quadrant.  The power factor sign is calculated in the table.</t>
  </si>
  <si>
    <t>D3000 Star Table</t>
  </si>
  <si>
    <t>Added worksheet for RD31 results.  Also has a "point key" column added required for looking up corrections for full star and delta 3 phase calibrations.</t>
  </si>
  <si>
    <t>Added worksheet for D3000 Star results.  Table rows are selected from "Star Data" worksheet.  Power factor is full four quadrant calculation</t>
  </si>
  <si>
    <t>Star Data</t>
  </si>
  <si>
    <t>Added worksheet for analysis of csv file output from controller.py.  Data is pasted from E5 and other formula copied down.  Calculates from a group of readings the average error, std unc, exp unc, dfm, cover factor, whilst looking up and applying correction for use of RD31 as calibration transfer.</t>
  </si>
  <si>
    <t>D3000 Delta Table</t>
  </si>
  <si>
    <t>2W Delta Data</t>
  </si>
  <si>
    <t>Added worksheet for analysis of csv file output from controller.py.  Data is pasted from E5 and other formula copied down.  Calculates from a group of readings the average error, std unc, exp unc, dfm, cover factor, whilst looking up and applying correction based on each RD31 channel calibration.</t>
  </si>
  <si>
    <t>Added worksheet for D3000 Delta results.  Table rows are selected from "2W Delta Data" worksheet.  Four quandrant Power factor calculation plus each channel phase angle calculation.</t>
  </si>
  <si>
    <t>Worksheet currently does not support single phase analysis.</t>
  </si>
  <si>
    <t>Updated the hard coded constants for IVD offsets, measured as part of the WB calibration.</t>
  </si>
  <si>
    <t>New values of constants updated from Nov 2010 WB calibration.</t>
  </si>
  <si>
    <t>New values of constants updated from Dec 2010 WB calibration.  Nov calibration values not trusted due to issue with Watt-bridge internal cabling.</t>
  </si>
  <si>
    <t>Dec 10 Calibrations carried out by T. Stewart</t>
  </si>
  <si>
    <t>CalPB_Dec10.xls</t>
  </si>
  <si>
    <t>From "CalPb_C1_Dec2010.xls"</t>
  </si>
  <si>
    <t>TJS Checked</t>
  </si>
  <si>
    <t>Updated shunt and WG2 PRT values</t>
  </si>
  <si>
    <t>LAC and TJS Checked</t>
  </si>
  <si>
    <t>Phase_m
radians/Hz</t>
  </si>
  <si>
    <t>Phase_c (radians)</t>
  </si>
  <si>
    <t>Ti651</t>
  </si>
  <si>
    <t>Yellow diag stripes</t>
  </si>
  <si>
    <t>BEM checked</t>
  </si>
  <si>
    <r>
      <t xml:space="preserve">Voltage 
</t>
    </r>
    <r>
      <rPr>
        <i/>
        <sz val="11"/>
        <rFont val="Times New Roman"/>
        <family val="1"/>
      </rPr>
      <t>U</t>
    </r>
    <r>
      <rPr>
        <sz val="11"/>
        <rFont val="Times New Roman"/>
        <family val="1"/>
      </rPr>
      <t xml:space="preserve">
(V)</t>
    </r>
  </si>
  <si>
    <r>
      <t xml:space="preserve">Current
</t>
    </r>
    <r>
      <rPr>
        <i/>
        <sz val="11"/>
        <rFont val="Times New Roman"/>
        <family val="1"/>
      </rPr>
      <t>I</t>
    </r>
    <r>
      <rPr>
        <sz val="11"/>
        <rFont val="Times New Roman"/>
        <family val="1"/>
      </rPr>
      <t xml:space="preserve">
(A)</t>
    </r>
  </si>
  <si>
    <t>Corrected Voltage and Current table headings.</t>
  </si>
  <si>
    <t>Fixed mistake in RD31 error, unc &amp; cover factor lookup on D3000 Star Data and 2W Delta Data pages.</t>
  </si>
  <si>
    <t>Updated value for MSL 0.2 Ohm shunt.  This is based more on an average value over the period the shunt was calibrated (BM &amp; TJS).</t>
  </si>
  <si>
    <t>The standard uncertainty of 15 ppm for dial settings below 0.4 should be good down to a watts:vars dial combination of 0.02:0 or a watts:vars of 0.05:0, based on the variability of the offset (see "IVD offset SR830 readings Mar11.xls").</t>
  </si>
  <si>
    <t>Changed cells K10, K12 and O10,O12 so that the condition for dial settings below 0.4, an uncertainty of 15 ppm applies.  This matches the comments for when the last CMC's were approved.</t>
  </si>
  <si>
    <t xml:space="preserve">Updated the hard coded constants for the IVD offsets.  The calculation for these have been simplified based on the use of a constant frequency of 53 Hz.  </t>
  </si>
  <si>
    <t>The numbers now represent a figure that is effectively the IVD voltage offset at the bridge centre.</t>
  </si>
  <si>
    <t>Updated values for Buffer amplifier gain (cells D32-D35), this includes ~9 ppm change in gain of the inverter amplifier.  These values apply after the op42 op-amps were changed on the A6 board on 30/3/11.</t>
  </si>
  <si>
    <t>Values for ESI(1) and ESI(10) updated.</t>
  </si>
  <si>
    <r>
      <t>changed cell E1 to read Pb_Auto_V1</t>
    </r>
    <r>
      <rPr>
        <b/>
        <sz val="10"/>
        <rFont val="Arial"/>
        <family val="2"/>
      </rPr>
      <t>u</t>
    </r>
    <r>
      <rPr>
        <sz val="10"/>
        <rFont val="Arial"/>
        <family val="2"/>
      </rPr>
      <t xml:space="preserve"> instead of </t>
    </r>
    <r>
      <rPr>
        <b/>
        <sz val="10"/>
        <rFont val="Arial"/>
        <family val="2"/>
      </rPr>
      <t>t</t>
    </r>
    <r>
      <rPr>
        <sz val="10"/>
        <rFont val="Arial"/>
        <family val="2"/>
      </rPr>
      <t>.</t>
    </r>
  </si>
  <si>
    <t>Added comments to the Dial uncertainty values.</t>
  </si>
  <si>
    <t>Changed the values for each dial linearity to 2 ppm.  Added two more entries for each of Watts and Vars dial offset uncertainty</t>
  </si>
  <si>
    <t>UncCalc</t>
  </si>
  <si>
    <t>This uncertainty modified 18/5/11 because of new linearity measurements done</t>
  </si>
  <si>
    <t xml:space="preserve">Watts dial offset </t>
  </si>
  <si>
    <t>Vars dial offset</t>
  </si>
  <si>
    <t>LAC checked 19 May 2011</t>
  </si>
  <si>
    <t>Modified the formula in cells K10,K12 and O10,O12 to be an uncertainty of dial setting (gain plus linearity) plus offset dial uncertainty.</t>
  </si>
  <si>
    <t>Updated Lead/Lag calculation to use IEC phase angle and to match RD31 &amp; D3000 worksheets.  Changed Power/Reactive Power Factor heading to depend on watts/vars label of first table line.</t>
  </si>
  <si>
    <r>
      <t xml:space="preserve">Placeholder - </t>
    </r>
    <r>
      <rPr>
        <sz val="10"/>
        <rFont val="Arial"/>
        <family val="2"/>
      </rPr>
      <t>need to implement correction for counter crystal error (HP53131A (S# 316A04115) currently measured at -1.2 ppm (19.9 degrees))</t>
    </r>
  </si>
  <si>
    <t>Non-IEC Phase
Difference</t>
  </si>
  <si>
    <t>RD-31 
Phase 
(Non-IEC)
(deg)</t>
  </si>
  <si>
    <t>Degrees 
(Non-IEC)</t>
  </si>
  <si>
    <t>Non-IEC</t>
  </si>
  <si>
    <t>Power Bridge phase angle (Non-IEC)</t>
  </si>
  <si>
    <t xml:space="preserve"> Nom. Phase (IEC)</t>
  </si>
  <si>
    <t>Updated all phase column headings to either IEC phase or Non-IEC.</t>
  </si>
  <si>
    <t>Counter correction</t>
  </si>
  <si>
    <t>CountCorr</t>
  </si>
  <si>
    <t>CalPB_Apr12.xls</t>
  </si>
  <si>
    <t>L Green</t>
  </si>
  <si>
    <t>TJS updated</t>
  </si>
  <si>
    <t>Aqua</t>
  </si>
  <si>
    <t>Checked</t>
  </si>
  <si>
    <t>Updated constants from Apr/May 2012 calibration of Wattbridge</t>
  </si>
  <si>
    <t>Change key to have Mround to 0.5 and "0.0" for voltage text.  Matching changes made to 2W Delta Data</t>
  </si>
  <si>
    <t>Corrected columns ET, EU and FA-FD with correct lookup column of TABLE RD31.</t>
  </si>
  <si>
    <t>Ti(122)</t>
  </si>
  <si>
    <t>Ti(707)</t>
  </si>
  <si>
    <t>Apr/May 2012 Calibrations carried out by T. Stewart</t>
  </si>
  <si>
    <t>For HP53132A (s# KR91200497)</t>
  </si>
  <si>
    <t>Cells DP-DT and FO-FS updated with calculation to correct for counter error - using "CountCorr" on constants page.</t>
  </si>
  <si>
    <t>"CountCorr" named cell added for counter correction.  Measured at -1.58 ppm for HP53132A (S# KR91200497) on 25/6/12</t>
  </si>
  <si>
    <t>Reading 1</t>
  </si>
  <si>
    <t>Reading 2</t>
  </si>
  <si>
    <t>Reading 3</t>
  </si>
  <si>
    <t>Reading 4</t>
  </si>
  <si>
    <t>Reading 5</t>
  </si>
  <si>
    <t>Row</t>
  </si>
  <si>
    <t>RD31 Data</t>
  </si>
  <si>
    <t>Created worksheet putting RD31 readings (RD31 data headings removed from "Data" worksheet)</t>
  </si>
  <si>
    <t>K2006 Data</t>
  </si>
  <si>
    <t>Created worksheet for K2006 readings</t>
  </si>
  <si>
    <t>Correctly updated lead/lag calculation to use IEC phase angle and to match RD31 &amp; D3000 worksheets.</t>
  </si>
  <si>
    <t>Correctly updated lead/lag calculation to other than the first row.</t>
  </si>
  <si>
    <t>Updated value of C1 from recent calibration of capacitor</t>
  </si>
  <si>
    <t>From "CalPb_C1_Jan2013.xls"</t>
  </si>
  <si>
    <t>Read out of system status (SG command)</t>
  </si>
  <si>
    <t>Phase Currents</t>
  </si>
  <si>
    <t>Phase to Neutral Voltages</t>
  </si>
  <si>
    <t>Active Power per Phase</t>
  </si>
  <si>
    <t>Reactive Power per Phase</t>
  </si>
  <si>
    <t>Apparent Power per Phase</t>
  </si>
  <si>
    <t>Active Sum-Power</t>
  </si>
  <si>
    <t>Reactive Sum-Power</t>
  </si>
  <si>
    <t>Apparent Sum-power</t>
  </si>
  <si>
    <t>Phase Angle Current to Voltage</t>
  </si>
  <si>
    <t>Signal Freq</t>
  </si>
  <si>
    <t>Voltage Range</t>
  </si>
  <si>
    <t>Current Range</t>
  </si>
  <si>
    <t>Operating Mode</t>
  </si>
  <si>
    <t>Meter Constant of output1</t>
  </si>
  <si>
    <t>Manual/ Auto Range</t>
  </si>
  <si>
    <t>Time Base (s)</t>
  </si>
  <si>
    <t>Time Base Error</t>
  </si>
  <si>
    <t>DC Measurement 
(0 = OFF)</t>
  </si>
  <si>
    <t>Setting of Current Inputs</t>
  </si>
  <si>
    <t>Setting of Voltage Inputs</t>
  </si>
  <si>
    <t>I1</t>
  </si>
  <si>
    <t>I2</t>
  </si>
  <si>
    <t>I3</t>
  </si>
  <si>
    <t>U1</t>
  </si>
  <si>
    <t>U2</t>
  </si>
  <si>
    <t>U3</t>
  </si>
  <si>
    <t>P1</t>
  </si>
  <si>
    <t>P2</t>
  </si>
  <si>
    <t>P3</t>
  </si>
  <si>
    <t>Q1</t>
  </si>
  <si>
    <t>Q2</t>
  </si>
  <si>
    <t>Q3</t>
  </si>
  <si>
    <t>S1</t>
  </si>
  <si>
    <t>S2</t>
  </si>
  <si>
    <t>S3</t>
  </si>
  <si>
    <r>
      <t>Σ</t>
    </r>
    <r>
      <rPr>
        <sz val="10"/>
        <rFont val="Arial"/>
      </rPr>
      <t>P</t>
    </r>
  </si>
  <si>
    <t>ΣQ</t>
  </si>
  <si>
    <t>ΣS</t>
  </si>
  <si>
    <r>
      <t>φ</t>
    </r>
    <r>
      <rPr>
        <sz val="10"/>
        <rFont val="Arial"/>
      </rPr>
      <t>iu1</t>
    </r>
  </si>
  <si>
    <r>
      <t>φ</t>
    </r>
    <r>
      <rPr>
        <sz val="10"/>
        <rFont val="Arial"/>
      </rPr>
      <t>iu2</t>
    </r>
    <r>
      <rPr>
        <b/>
        <sz val="10"/>
        <rFont val="Arial"/>
      </rPr>
      <t/>
    </r>
  </si>
  <si>
    <r>
      <t>φ</t>
    </r>
    <r>
      <rPr>
        <sz val="10"/>
        <rFont val="Arial"/>
      </rPr>
      <t>iu3</t>
    </r>
    <r>
      <rPr>
        <b/>
        <sz val="10"/>
        <rFont val="Arial"/>
      </rPr>
      <t/>
    </r>
  </si>
  <si>
    <t>Added column headings for K2006 Data.</t>
  </si>
  <si>
    <t>Prime EN</t>
  </si>
  <si>
    <t>Averages</t>
  </si>
  <si>
    <t>Error</t>
  </si>
  <si>
    <t>RD31 Ch1 Prime EN</t>
  </si>
  <si>
    <t>Humidity</t>
  </si>
  <si>
    <t>avg uncorrected</t>
  </si>
  <si>
    <t>correction</t>
  </si>
  <si>
    <t>corrected avg</t>
  </si>
  <si>
    <t>Prime Points</t>
  </si>
  <si>
    <t>ABC</t>
  </si>
  <si>
    <t>Copied from S21739_livened_newIVDconsts_corrctConst Laurie.xls</t>
  </si>
  <si>
    <t>Copied from S21673_livened.xls</t>
  </si>
  <si>
    <t>From report S21583a (a previous report for this Avo MA10-08)</t>
  </si>
  <si>
    <t>Formula from:</t>
  </si>
  <si>
    <t>From an eyeball examination of the std devs, take the overall uncertainty to be</t>
  </si>
  <si>
    <t>% of applied VA</t>
  </si>
  <si>
    <t>S21641</t>
  </si>
  <si>
    <t>E36040065</t>
  </si>
  <si>
    <t>IF(K60="watts",0.0005,0.0015)</t>
  </si>
  <si>
    <t>These uncertainties are based on a large number of measurements, but</t>
  </si>
  <si>
    <t>except at low currents the uncertainties are conservative.</t>
  </si>
  <si>
    <t>S21583a</t>
  </si>
  <si>
    <t>Vircom EMS</t>
  </si>
  <si>
    <t>Last calibration of this Avo</t>
  </si>
  <si>
    <t>Hence take the degrees of freedom to be</t>
  </si>
  <si>
    <t>IF(K64="watts",0.006*Q64*R64/BU64,0.008+0.004*Q64*R64/BV64)</t>
  </si>
  <si>
    <t>Above 0.1 A</t>
  </si>
  <si>
    <t>0.1 A and below</t>
  </si>
  <si>
    <t>E36040081</t>
  </si>
  <si>
    <t>Metrix</t>
  </si>
  <si>
    <t>MA-10-08 specifications</t>
  </si>
  <si>
    <t>No change from traditional .0005%, en's ok except for 50A. (the trigger level in the previous calibration was the problem)</t>
  </si>
  <si>
    <t>Unity</t>
  </si>
  <si>
    <t>0.01% typical</t>
  </si>
  <si>
    <t>0.05% max</t>
  </si>
  <si>
    <t>S21672</t>
  </si>
  <si>
    <t>E36040083</t>
  </si>
  <si>
    <t>Northpower</t>
  </si>
  <si>
    <t>0.02% typical</t>
  </si>
  <si>
    <t>IF(K71="watts",SQRT(((-0.008*COS(RADIANS(ABS(C71)))+0.011)/2)^2+0.0005^2),IF(K71="vars",SQRT(((-0.01*SIN(RADIANS(ABS(C71)))+ 0.025)/4)^2+0.000645^2),"What are you doing?"))</t>
  </si>
  <si>
    <t>Power factor P&lt;0.5 (-60 to -90 degrees)</t>
  </si>
  <si>
    <t>-</t>
  </si>
  <si>
    <t>0.05%/P max</t>
  </si>
  <si>
    <t>0 Lag power factor (-90 degrees)</t>
  </si>
  <si>
    <t>0.025% typical</t>
  </si>
  <si>
    <t>0.1% max</t>
  </si>
  <si>
    <t>0.866 lag (-30 degrees)</t>
  </si>
  <si>
    <t>0.035% typical</t>
  </si>
  <si>
    <t>Q hour- not available on the MA-10-08</t>
  </si>
  <si>
    <t>0 Lag (0 degrees)</t>
  </si>
  <si>
    <t>0.5 Lag (-60 degrees)</t>
  </si>
  <si>
    <t>Vircom MA-10-08 is varying by more than 0.008% from one calibration to next</t>
  </si>
  <si>
    <t>for the unity var factor points.  Increase Type B for them to 0.012%.  See</t>
  </si>
  <si>
    <t>Type B column formula on Data page.</t>
  </si>
  <si>
    <t>For same unit the stability of the watts results is better than 0.008% so</t>
  </si>
  <si>
    <t>have decreased this uncertainty to 0.006%</t>
  </si>
  <si>
    <t>This report: S21739 (2009).   Use uncertainty formula in cell O46 as this is gives reasonable changes in Prime Points, is related to specs, and also give reasonable changes relative to 2007.</t>
  </si>
  <si>
    <t>Not necessary to use S21583 values since these are not warranted by changes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</si>
</sst>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164" formatCode="##0E+0"/>
    <numFmt numFmtId="165" formatCode="0.000000_)"/>
    <numFmt numFmtId="166" formatCode="0.0_)"/>
    <numFmt numFmtId="167" formatCode="0_)"/>
    <numFmt numFmtId="168" formatCode="0.000_)"/>
    <numFmt numFmtId="169" formatCode="0.0000"/>
    <numFmt numFmtId="170" formatCode="0.000"/>
    <numFmt numFmtId="171" formatCode="0.0"/>
    <numFmt numFmtId="172" formatCode="0.00000"/>
    <numFmt numFmtId="173" formatCode="#,##0.00000"/>
    <numFmt numFmtId="174" formatCode="0.000000"/>
    <numFmt numFmtId="175" formatCode="0.0000000"/>
    <numFmt numFmtId="176" formatCode="0.00000000"/>
    <numFmt numFmtId="177" formatCode="0.000000000"/>
    <numFmt numFmtId="178" formatCode="0.00000E+00"/>
    <numFmt numFmtId="179" formatCode="0.0000E+00"/>
    <numFmt numFmtId="180" formatCode="0.000E+00"/>
    <numFmt numFmtId="181" formatCode="\ h:mm\ \ \ dd/mm/yy"/>
    <numFmt numFmtId="182" formatCode="0.00E+00;\⦠"/>
  </numFmts>
  <fonts count="36" x14ac:knownFonts="1">
    <font>
      <sz val="10"/>
      <name val="Arial"/>
    </font>
    <font>
      <b/>
      <sz val="10"/>
      <name val="Arial"/>
    </font>
    <font>
      <sz val="10"/>
      <name val="Arial"/>
      <family val="2"/>
    </font>
    <font>
      <sz val="10"/>
      <name val="Symbol"/>
      <family val="1"/>
      <charset val="2"/>
    </font>
    <font>
      <sz val="10"/>
      <name val="Arial"/>
      <family val="2"/>
    </font>
    <font>
      <sz val="8"/>
      <color indexed="81"/>
      <name val="Tahoma"/>
      <family val="2"/>
    </font>
    <font>
      <b/>
      <sz val="8"/>
      <color indexed="81"/>
      <name val="Tahoma"/>
      <family val="2"/>
    </font>
    <font>
      <b/>
      <sz val="10"/>
      <name val="Arial"/>
      <family val="2"/>
    </font>
    <font>
      <i/>
      <sz val="10"/>
      <name val="Arial"/>
      <family val="2"/>
    </font>
    <font>
      <b/>
      <sz val="16"/>
      <name val="Arial"/>
      <family val="2"/>
    </font>
    <font>
      <b/>
      <sz val="14"/>
      <name val="Arial"/>
      <family val="2"/>
    </font>
    <font>
      <sz val="10"/>
      <color indexed="10"/>
      <name val="Arial"/>
      <family val="2"/>
    </font>
    <font>
      <sz val="10"/>
      <color indexed="8"/>
      <name val="Arial"/>
      <family val="2"/>
    </font>
    <font>
      <sz val="8"/>
      <name val="Arial"/>
      <family val="2"/>
    </font>
    <font>
      <sz val="10"/>
      <color indexed="10"/>
      <name val="Arial"/>
      <family val="2"/>
    </font>
    <font>
      <b/>
      <sz val="20"/>
      <name val="Arial"/>
      <family val="2"/>
    </font>
    <font>
      <b/>
      <sz val="10"/>
      <color indexed="81"/>
      <name val="Tahoma"/>
      <family val="2"/>
    </font>
    <font>
      <sz val="10"/>
      <color indexed="81"/>
      <name val="Tahoma"/>
      <family val="2"/>
    </font>
    <font>
      <sz val="10"/>
      <name val="Times New Roman"/>
      <family val="1"/>
    </font>
    <font>
      <i/>
      <sz val="10"/>
      <name val="Times New Roman"/>
      <family val="1"/>
    </font>
    <font>
      <b/>
      <sz val="10"/>
      <name val="Times New Roman"/>
      <family val="1"/>
    </font>
    <font>
      <b/>
      <sz val="10"/>
      <color indexed="10"/>
      <name val="Arial"/>
      <family val="2"/>
    </font>
    <font>
      <b/>
      <sz val="12"/>
      <color indexed="10"/>
      <name val="Arial"/>
      <family val="2"/>
    </font>
    <font>
      <b/>
      <sz val="12"/>
      <color indexed="81"/>
      <name val="Tahoma"/>
      <family val="2"/>
    </font>
    <font>
      <sz val="12"/>
      <color indexed="81"/>
      <name val="Tahoma"/>
      <family val="2"/>
    </font>
    <font>
      <sz val="11"/>
      <name val="Times New Roman"/>
      <family val="1"/>
    </font>
    <font>
      <i/>
      <sz val="11"/>
      <name val="Times New Roman"/>
      <family val="1"/>
    </font>
    <font>
      <vertAlign val="subscript"/>
      <sz val="11"/>
      <name val="Times New Roman"/>
      <family val="1"/>
    </font>
    <font>
      <sz val="9"/>
      <color indexed="81"/>
      <name val="Tahoma"/>
      <family val="2"/>
    </font>
    <font>
      <b/>
      <sz val="9"/>
      <color indexed="81"/>
      <name val="Tahoma"/>
      <family val="2"/>
    </font>
    <font>
      <sz val="11"/>
      <name val="Calibri"/>
      <family val="2"/>
    </font>
    <font>
      <sz val="10"/>
      <name val="Calibri"/>
      <family val="2"/>
    </font>
    <font>
      <sz val="10"/>
      <color indexed="81"/>
      <name val="Calibri"/>
      <family val="2"/>
    </font>
    <font>
      <sz val="10"/>
      <name val="Arial"/>
      <family val="2"/>
    </font>
    <font>
      <sz val="8"/>
      <name val="Arial"/>
      <family val="2"/>
    </font>
    <font>
      <b/>
      <sz val="10"/>
      <color theme="2" tint="-0.499984740745262"/>
      <name val="Arial"/>
      <family val="2"/>
    </font>
  </fonts>
  <fills count="29">
    <fill>
      <patternFill patternType="none"/>
    </fill>
    <fill>
      <patternFill patternType="gray125"/>
    </fill>
    <fill>
      <patternFill patternType="solid">
        <fgColor indexed="43"/>
        <bgColor indexed="64"/>
      </patternFill>
    </fill>
    <fill>
      <patternFill patternType="solid">
        <fgColor indexed="34"/>
        <bgColor indexed="64"/>
      </patternFill>
    </fill>
    <fill>
      <patternFill patternType="solid">
        <fgColor indexed="11"/>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42"/>
        <bgColor indexed="64"/>
      </patternFill>
    </fill>
    <fill>
      <patternFill patternType="solid">
        <fgColor indexed="40"/>
        <bgColor indexed="64"/>
      </patternFill>
    </fill>
    <fill>
      <patternFill patternType="solid">
        <fgColor indexed="15"/>
        <bgColor indexed="64"/>
      </patternFill>
    </fill>
    <fill>
      <patternFill patternType="solid">
        <fgColor indexed="44"/>
        <bgColor indexed="64"/>
      </patternFill>
    </fill>
    <fill>
      <patternFill patternType="solid">
        <fgColor indexed="41"/>
        <bgColor indexed="64"/>
      </patternFill>
    </fill>
    <fill>
      <patternFill patternType="solid">
        <fgColor indexed="49"/>
        <bgColor indexed="64"/>
      </patternFill>
    </fill>
    <fill>
      <patternFill patternType="solid">
        <fgColor indexed="55"/>
        <bgColor indexed="64"/>
      </patternFill>
    </fill>
    <fill>
      <patternFill patternType="solid">
        <fgColor indexed="10"/>
        <bgColor indexed="64"/>
      </patternFill>
    </fill>
    <fill>
      <patternFill patternType="solid">
        <fgColor indexed="14"/>
        <bgColor indexed="64"/>
      </patternFill>
    </fill>
    <fill>
      <patternFill patternType="solid">
        <fgColor indexed="46"/>
        <bgColor indexed="64"/>
      </patternFill>
    </fill>
    <fill>
      <patternFill patternType="gray125">
        <bgColor indexed="11"/>
      </patternFill>
    </fill>
    <fill>
      <patternFill patternType="lightUp">
        <fgColor indexed="43"/>
        <bgColor indexed="9"/>
      </patternFill>
    </fill>
    <fill>
      <patternFill patternType="lightUp">
        <fgColor indexed="26"/>
        <bgColor indexed="41"/>
      </patternFill>
    </fill>
    <fill>
      <patternFill patternType="solid">
        <fgColor indexed="42"/>
        <bgColor indexed="26"/>
      </patternFill>
    </fill>
    <fill>
      <patternFill patternType="solid">
        <fgColor indexed="26"/>
        <bgColor indexed="64"/>
      </patternFill>
    </fill>
    <fill>
      <patternFill patternType="solid">
        <fgColor indexed="51"/>
        <bgColor indexed="64"/>
      </patternFill>
    </fill>
    <fill>
      <patternFill patternType="solid">
        <fgColor indexed="45"/>
        <bgColor indexed="64"/>
      </patternFill>
    </fill>
    <fill>
      <patternFill patternType="solid">
        <fgColor indexed="44"/>
        <bgColor indexed="26"/>
      </patternFill>
    </fill>
    <fill>
      <patternFill patternType="solid">
        <fgColor indexed="53"/>
        <bgColor indexed="26"/>
      </patternFill>
    </fill>
    <fill>
      <patternFill patternType="solid">
        <fgColor indexed="53"/>
        <bgColor indexed="64"/>
      </patternFill>
    </fill>
    <fill>
      <patternFill patternType="solid">
        <fgColor indexed="17"/>
        <bgColor indexed="64"/>
      </patternFill>
    </fill>
  </fills>
  <borders count="51">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ck">
        <color indexed="12"/>
      </left>
      <right/>
      <top/>
      <bottom/>
      <diagonal/>
    </border>
    <border>
      <left style="thick">
        <color indexed="12"/>
      </left>
      <right/>
      <top style="thick">
        <color indexed="12"/>
      </top>
      <bottom style="thick">
        <color indexed="12"/>
      </bottom>
      <diagonal/>
    </border>
    <border>
      <left/>
      <right/>
      <top style="thick">
        <color indexed="12"/>
      </top>
      <bottom style="thick">
        <color indexed="12"/>
      </bottom>
      <diagonal/>
    </border>
    <border>
      <left/>
      <right style="thick">
        <color indexed="12"/>
      </right>
      <top style="thick">
        <color indexed="12"/>
      </top>
      <bottom style="thick">
        <color indexed="12"/>
      </bottom>
      <diagonal/>
    </border>
    <border>
      <left/>
      <right/>
      <top style="thick">
        <color indexed="12"/>
      </top>
      <bottom/>
      <diagonal/>
    </border>
    <border>
      <left/>
      <right style="thick">
        <color indexed="12"/>
      </right>
      <top style="thick">
        <color indexed="12"/>
      </top>
      <bottom/>
      <diagonal/>
    </border>
    <border>
      <left/>
      <right style="thick">
        <color indexed="12"/>
      </right>
      <top/>
      <bottom/>
      <diagonal/>
    </border>
    <border>
      <left style="thick">
        <color indexed="12"/>
      </left>
      <right/>
      <top style="medium">
        <color indexed="64"/>
      </top>
      <bottom/>
      <diagonal/>
    </border>
    <border>
      <left style="thick">
        <color indexed="12"/>
      </left>
      <right/>
      <top/>
      <bottom style="medium">
        <color indexed="64"/>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style="thick">
        <color theme="2" tint="-0.499984740745262"/>
      </left>
      <right/>
      <top style="thick">
        <color theme="2" tint="-0.499984740745262"/>
      </top>
      <bottom/>
      <diagonal/>
    </border>
    <border>
      <left/>
      <right/>
      <top style="thick">
        <color theme="2" tint="-0.499984740745262"/>
      </top>
      <bottom/>
      <diagonal/>
    </border>
    <border>
      <left/>
      <right style="thick">
        <color theme="2" tint="-0.499984740745262"/>
      </right>
      <top style="thick">
        <color theme="2" tint="-0.499984740745262"/>
      </top>
      <bottom/>
      <diagonal/>
    </border>
    <border>
      <left style="thick">
        <color theme="2" tint="-0.499984740745262"/>
      </left>
      <right/>
      <top/>
      <bottom/>
      <diagonal/>
    </border>
    <border>
      <left/>
      <right style="thick">
        <color theme="2" tint="-0.499984740745262"/>
      </right>
      <top/>
      <bottom/>
      <diagonal/>
    </border>
    <border>
      <left style="thick">
        <color theme="2" tint="-0.499984740745262"/>
      </left>
      <right/>
      <top/>
      <bottom style="thick">
        <color theme="2" tint="-0.499984740745262"/>
      </bottom>
      <diagonal/>
    </border>
    <border>
      <left/>
      <right/>
      <top/>
      <bottom style="thick">
        <color theme="2" tint="-0.499984740745262"/>
      </bottom>
      <diagonal/>
    </border>
    <border>
      <left/>
      <right style="thick">
        <color theme="2" tint="-0.499984740745262"/>
      </right>
      <top/>
      <bottom style="thick">
        <color theme="2" tint="-0.499984740745262"/>
      </bottom>
      <diagonal/>
    </border>
  </borders>
  <cellStyleXfs count="1">
    <xf numFmtId="0" fontId="0" fillId="0" borderId="0"/>
  </cellStyleXfs>
  <cellXfs count="902">
    <xf numFmtId="0" fontId="0" fillId="0" borderId="0" xfId="0"/>
    <xf numFmtId="164" fontId="0" fillId="0" borderId="0" xfId="0" applyNumberFormat="1"/>
    <xf numFmtId="11" fontId="0" fillId="0" borderId="0" xfId="0" applyNumberFormat="1"/>
    <xf numFmtId="165" fontId="0" fillId="0" borderId="0" xfId="0" applyNumberFormat="1" applyProtection="1"/>
    <xf numFmtId="166" fontId="0" fillId="0" borderId="0" xfId="0" applyNumberFormat="1" applyProtection="1"/>
    <xf numFmtId="167" fontId="0" fillId="0" borderId="0" xfId="0" applyNumberFormat="1" applyProtection="1"/>
    <xf numFmtId="0" fontId="0" fillId="0" borderId="0" xfId="0" applyFill="1"/>
    <xf numFmtId="1" fontId="0" fillId="0" borderId="0" xfId="0" applyNumberFormat="1"/>
    <xf numFmtId="0" fontId="1" fillId="0" borderId="0" xfId="0" applyFont="1"/>
    <xf numFmtId="169" fontId="0" fillId="0" borderId="0" xfId="0" applyNumberFormat="1"/>
    <xf numFmtId="171" fontId="0" fillId="0" borderId="0" xfId="0" applyNumberFormat="1"/>
    <xf numFmtId="0" fontId="0" fillId="0" borderId="1" xfId="0" applyBorder="1"/>
    <xf numFmtId="0" fontId="0" fillId="0" borderId="2" xfId="0" applyBorder="1"/>
    <xf numFmtId="0" fontId="0" fillId="2" borderId="0" xfId="0" applyFill="1" applyBorder="1"/>
    <xf numFmtId="0" fontId="0" fillId="0" borderId="0" xfId="0" applyFill="1" applyBorder="1"/>
    <xf numFmtId="0" fontId="0" fillId="0" borderId="0" xfId="0" applyBorder="1"/>
    <xf numFmtId="170" fontId="0" fillId="0" borderId="0" xfId="0" applyNumberFormat="1" applyBorder="1"/>
    <xf numFmtId="170" fontId="0" fillId="0" borderId="0" xfId="0" applyNumberFormat="1"/>
    <xf numFmtId="169" fontId="0" fillId="0" borderId="0" xfId="0" applyNumberFormat="1" applyBorder="1"/>
    <xf numFmtId="0" fontId="0" fillId="0" borderId="0" xfId="0" applyAlignment="1">
      <alignment wrapText="1"/>
    </xf>
    <xf numFmtId="0" fontId="7" fillId="0" borderId="0" xfId="0" applyFont="1"/>
    <xf numFmtId="0" fontId="0" fillId="0" borderId="0" xfId="0" applyAlignment="1">
      <alignment horizontal="center"/>
    </xf>
    <xf numFmtId="1" fontId="0" fillId="0" borderId="0" xfId="0" applyNumberFormat="1" applyAlignment="1">
      <alignment horizontal="center"/>
    </xf>
    <xf numFmtId="170" fontId="0" fillId="0" borderId="0" xfId="0" applyNumberFormat="1" applyAlignment="1">
      <alignment horizontal="center"/>
    </xf>
    <xf numFmtId="171" fontId="0" fillId="0" borderId="0" xfId="0" applyNumberFormat="1" applyAlignment="1">
      <alignment horizontal="center"/>
    </xf>
    <xf numFmtId="0" fontId="0" fillId="0" borderId="0" xfId="0" applyAlignment="1">
      <alignment horizontal="left" wrapText="1"/>
    </xf>
    <xf numFmtId="2" fontId="0" fillId="0" borderId="0" xfId="0" applyNumberFormat="1" applyAlignment="1">
      <alignment horizontal="center"/>
    </xf>
    <xf numFmtId="172" fontId="0" fillId="0" borderId="0" xfId="0" applyNumberFormat="1" applyBorder="1"/>
    <xf numFmtId="174" fontId="0" fillId="0" borderId="0" xfId="0" applyNumberFormat="1" applyBorder="1"/>
    <xf numFmtId="171" fontId="0" fillId="0" borderId="0" xfId="0" applyNumberFormat="1" applyBorder="1"/>
    <xf numFmtId="0" fontId="0" fillId="3" borderId="0" xfId="0" applyFill="1"/>
    <xf numFmtId="171" fontId="0" fillId="3" borderId="0" xfId="0" applyNumberFormat="1" applyFill="1"/>
    <xf numFmtId="180" fontId="0" fillId="0" borderId="0" xfId="0" applyNumberFormat="1"/>
    <xf numFmtId="0" fontId="0" fillId="4" borderId="0" xfId="0" applyFill="1" applyBorder="1" applyAlignment="1">
      <alignment horizontal="center" wrapText="1"/>
    </xf>
    <xf numFmtId="0" fontId="0" fillId="3" borderId="0" xfId="0" applyFill="1" applyAlignment="1">
      <alignment horizontal="right"/>
    </xf>
    <xf numFmtId="0" fontId="0" fillId="5" borderId="0" xfId="0" applyFill="1"/>
    <xf numFmtId="21" fontId="0" fillId="5" borderId="0" xfId="0" applyNumberFormat="1" applyFill="1"/>
    <xf numFmtId="11" fontId="0" fillId="5" borderId="0" xfId="0" applyNumberFormat="1" applyFill="1"/>
    <xf numFmtId="0" fontId="0" fillId="6" borderId="3" xfId="0" applyFill="1" applyBorder="1"/>
    <xf numFmtId="0" fontId="0" fillId="6" borderId="0" xfId="0" applyFill="1" applyBorder="1"/>
    <xf numFmtId="1" fontId="0" fillId="0" borderId="0" xfId="0" applyNumberFormat="1" applyBorder="1"/>
    <xf numFmtId="0" fontId="0" fillId="0" borderId="0" xfId="0" quotePrefix="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Fill="1" applyBorder="1" applyProtection="1">
      <protection locked="0"/>
    </xf>
    <xf numFmtId="170" fontId="0" fillId="0" borderId="0" xfId="0" applyNumberFormat="1" applyAlignment="1">
      <alignment horizontal="right"/>
    </xf>
    <xf numFmtId="170" fontId="0" fillId="0" borderId="0" xfId="0" applyNumberFormat="1" applyAlignment="1"/>
    <xf numFmtId="171" fontId="0" fillId="0" borderId="0" xfId="0" applyNumberFormat="1" applyAlignment="1"/>
    <xf numFmtId="172" fontId="0" fillId="0" borderId="7" xfId="0" applyNumberFormat="1" applyBorder="1"/>
    <xf numFmtId="2" fontId="0" fillId="0" borderId="1" xfId="0" applyNumberFormat="1" applyBorder="1"/>
    <xf numFmtId="2" fontId="0" fillId="0" borderId="8" xfId="0" applyNumberFormat="1" applyBorder="1"/>
    <xf numFmtId="0" fontId="10" fillId="0" borderId="0" xfId="0" applyFont="1"/>
    <xf numFmtId="1" fontId="0" fillId="0" borderId="0" xfId="0" applyNumberFormat="1" applyFill="1" applyBorder="1" applyAlignment="1" applyProtection="1">
      <alignment horizontal="center"/>
      <protection locked="0"/>
    </xf>
    <xf numFmtId="2" fontId="0" fillId="0" borderId="0" xfId="0" applyNumberFormat="1"/>
    <xf numFmtId="176" fontId="0" fillId="0" borderId="0" xfId="0" applyNumberFormat="1"/>
    <xf numFmtId="0" fontId="7" fillId="0" borderId="3" xfId="0" applyFont="1" applyBorder="1"/>
    <xf numFmtId="0" fontId="7" fillId="0" borderId="5" xfId="0" applyFont="1" applyBorder="1"/>
    <xf numFmtId="0" fontId="7" fillId="0" borderId="0" xfId="0" applyFont="1" applyBorder="1"/>
    <xf numFmtId="0" fontId="0" fillId="0" borderId="7" xfId="0" applyBorder="1"/>
    <xf numFmtId="0" fontId="0" fillId="0" borderId="8" xfId="0" applyBorder="1"/>
    <xf numFmtId="0" fontId="0" fillId="0" borderId="5" xfId="0" quotePrefix="1" applyBorder="1"/>
    <xf numFmtId="176" fontId="0" fillId="0" borderId="0" xfId="0" applyNumberFormat="1" applyBorder="1"/>
    <xf numFmtId="169" fontId="0" fillId="0" borderId="4" xfId="0" applyNumberFormat="1" applyBorder="1"/>
    <xf numFmtId="171" fontId="2" fillId="0" borderId="0" xfId="0" applyNumberFormat="1" applyFont="1" applyBorder="1" applyAlignment="1">
      <alignment horizontal="center"/>
    </xf>
    <xf numFmtId="0" fontId="0" fillId="7" borderId="0" xfId="0" applyFill="1"/>
    <xf numFmtId="0" fontId="0" fillId="8" borderId="0" xfId="0" applyFill="1"/>
    <xf numFmtId="1" fontId="2" fillId="0" borderId="0" xfId="0" applyNumberFormat="1" applyFont="1" applyBorder="1" applyAlignment="1">
      <alignment horizontal="center"/>
    </xf>
    <xf numFmtId="171" fontId="7" fillId="0" borderId="0" xfId="0" applyNumberFormat="1" applyFont="1" applyBorder="1" applyAlignment="1">
      <alignment horizontal="left"/>
    </xf>
    <xf numFmtId="1" fontId="2" fillId="0" borderId="9" xfId="0" applyNumberFormat="1" applyFont="1" applyBorder="1" applyAlignment="1">
      <alignment horizontal="center"/>
    </xf>
    <xf numFmtId="1" fontId="2" fillId="0" borderId="10" xfId="0" applyNumberFormat="1" applyFont="1" applyBorder="1" applyAlignment="1">
      <alignment horizontal="center"/>
    </xf>
    <xf numFmtId="1" fontId="2" fillId="0" borderId="11" xfId="0" applyNumberFormat="1" applyFont="1" applyBorder="1" applyAlignment="1">
      <alignment horizontal="center"/>
    </xf>
    <xf numFmtId="171" fontId="2" fillId="0" borderId="11" xfId="0" applyNumberFormat="1" applyFont="1" applyBorder="1" applyAlignment="1">
      <alignment horizontal="center"/>
    </xf>
    <xf numFmtId="0" fontId="4" fillId="0" borderId="0" xfId="0" applyFont="1"/>
    <xf numFmtId="0" fontId="0" fillId="0" borderId="9" xfId="0" applyBorder="1"/>
    <xf numFmtId="0" fontId="0" fillId="0" borderId="12" xfId="0" applyBorder="1"/>
    <xf numFmtId="0" fontId="0" fillId="0" borderId="13" xfId="0" applyBorder="1"/>
    <xf numFmtId="0" fontId="0" fillId="0" borderId="14" xfId="0" applyBorder="1"/>
    <xf numFmtId="0" fontId="4" fillId="0" borderId="11"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171" fontId="2" fillId="0" borderId="16" xfId="0" applyNumberFormat="1" applyFont="1" applyBorder="1" applyAlignment="1">
      <alignment horizontal="center" vertical="center" wrapText="1"/>
    </xf>
    <xf numFmtId="0" fontId="2" fillId="0" borderId="16" xfId="0" applyFont="1" applyBorder="1" applyAlignment="1">
      <alignment horizontal="center" vertical="center" wrapText="1"/>
    </xf>
    <xf numFmtId="0" fontId="0" fillId="0" borderId="19" xfId="0" applyBorder="1" applyAlignment="1">
      <alignment horizontal="center" vertical="center" wrapText="1"/>
    </xf>
    <xf numFmtId="170" fontId="0" fillId="0" borderId="0" xfId="0" applyNumberFormat="1" applyAlignment="1">
      <alignment horizontal="left"/>
    </xf>
    <xf numFmtId="11" fontId="0" fillId="0" borderId="0" xfId="0" applyNumberFormat="1" applyFill="1" applyBorder="1" applyProtection="1">
      <protection locked="0"/>
    </xf>
    <xf numFmtId="0" fontId="0" fillId="0" borderId="0" xfId="0" applyBorder="1" applyProtection="1"/>
    <xf numFmtId="0" fontId="0" fillId="2" borderId="0" xfId="0" applyFill="1" applyBorder="1" applyAlignment="1">
      <alignment wrapText="1"/>
    </xf>
    <xf numFmtId="0" fontId="0" fillId="8" borderId="0" xfId="0" applyFill="1" applyBorder="1" applyAlignment="1">
      <alignment wrapText="1"/>
    </xf>
    <xf numFmtId="0" fontId="0" fillId="8" borderId="0" xfId="0" applyFill="1" applyBorder="1"/>
    <xf numFmtId="0" fontId="0" fillId="6" borderId="2" xfId="0" applyFill="1" applyBorder="1"/>
    <xf numFmtId="0" fontId="0" fillId="9" borderId="0" xfId="0" applyFill="1" applyBorder="1" applyAlignment="1">
      <alignment wrapText="1"/>
    </xf>
    <xf numFmtId="0" fontId="0" fillId="0" borderId="0" xfId="0" applyFill="1" applyBorder="1" applyProtection="1"/>
    <xf numFmtId="176" fontId="0" fillId="0" borderId="0" xfId="0" applyNumberFormat="1" applyBorder="1" applyProtection="1"/>
    <xf numFmtId="174" fontId="0" fillId="0" borderId="0" xfId="0" applyNumberFormat="1" applyBorder="1" applyProtection="1"/>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2" fontId="0" fillId="0" borderId="0" xfId="0" applyNumberFormat="1" applyFill="1" applyBorder="1" applyProtection="1">
      <protection locked="0"/>
    </xf>
    <xf numFmtId="174" fontId="0" fillId="0" borderId="0" xfId="0" applyNumberFormat="1" applyFill="1" applyBorder="1" applyProtection="1">
      <protection locked="0"/>
    </xf>
    <xf numFmtId="0" fontId="0" fillId="2" borderId="0" xfId="0" applyFill="1" applyBorder="1" applyAlignment="1">
      <alignment horizontal="center" vertical="center" wrapText="1"/>
    </xf>
    <xf numFmtId="0" fontId="0" fillId="8" borderId="0" xfId="0" applyFill="1" applyBorder="1" applyAlignment="1">
      <alignment horizontal="center" vertical="center" wrapText="1"/>
    </xf>
    <xf numFmtId="0" fontId="0" fillId="6" borderId="2" xfId="0" applyFill="1" applyBorder="1" applyAlignment="1">
      <alignment horizontal="center"/>
    </xf>
    <xf numFmtId="0" fontId="0" fillId="6" borderId="4" xfId="0" applyFill="1" applyBorder="1" applyAlignment="1">
      <alignment horizontal="center"/>
    </xf>
    <xf numFmtId="0" fontId="0" fillId="6" borderId="0" xfId="0" applyFill="1" applyBorder="1" applyAlignment="1">
      <alignment horizontal="center"/>
    </xf>
    <xf numFmtId="0" fontId="0" fillId="6" borderId="7" xfId="0" applyFill="1" applyBorder="1" applyAlignment="1">
      <alignment horizontal="center"/>
    </xf>
    <xf numFmtId="0" fontId="0" fillId="6" borderId="1" xfId="0" applyFill="1" applyBorder="1" applyProtection="1">
      <protection locked="0"/>
    </xf>
    <xf numFmtId="0" fontId="0" fillId="6" borderId="1" xfId="0" applyFill="1" applyBorder="1" applyAlignment="1" applyProtection="1">
      <alignment horizontal="center"/>
      <protection locked="0"/>
    </xf>
    <xf numFmtId="173" fontId="0" fillId="6" borderId="1" xfId="0" applyNumberFormat="1" applyFill="1" applyBorder="1" applyAlignment="1" applyProtection="1">
      <alignment horizontal="center"/>
      <protection locked="0"/>
    </xf>
    <xf numFmtId="0" fontId="0" fillId="6" borderId="8" xfId="0" applyFill="1" applyBorder="1" applyAlignment="1" applyProtection="1">
      <alignment horizontal="center"/>
      <protection locked="0"/>
    </xf>
    <xf numFmtId="0" fontId="7" fillId="6" borderId="5" xfId="0" applyFont="1" applyFill="1" applyBorder="1" applyAlignment="1">
      <alignment horizontal="center" vertical="center" wrapText="1"/>
    </xf>
    <xf numFmtId="0" fontId="0" fillId="2" borderId="0" xfId="0" applyFill="1"/>
    <xf numFmtId="176" fontId="0" fillId="0" borderId="0" xfId="0" applyNumberFormat="1" applyFill="1" applyBorder="1" applyProtection="1">
      <protection locked="0"/>
    </xf>
    <xf numFmtId="176" fontId="0" fillId="0" borderId="0" xfId="0" applyNumberFormat="1" applyFill="1" applyProtection="1">
      <protection locked="0"/>
    </xf>
    <xf numFmtId="172" fontId="0" fillId="0" borderId="0" xfId="0" applyNumberFormat="1" applyFill="1" applyBorder="1" applyProtection="1">
      <protection locked="0"/>
    </xf>
    <xf numFmtId="0" fontId="0" fillId="0" borderId="0" xfId="0" applyFill="1" applyBorder="1" applyAlignment="1">
      <alignment horizontal="right"/>
    </xf>
    <xf numFmtId="0" fontId="0" fillId="0" borderId="0" xfId="0" applyFill="1" applyBorder="1" applyAlignment="1">
      <alignment horizontal="right" wrapText="1"/>
    </xf>
    <xf numFmtId="174" fontId="0" fillId="0" borderId="0" xfId="0" applyNumberFormat="1"/>
    <xf numFmtId="178" fontId="0" fillId="0" borderId="0" xfId="0" applyNumberFormat="1"/>
    <xf numFmtId="0" fontId="0" fillId="3" borderId="1" xfId="0" applyFill="1" applyBorder="1"/>
    <xf numFmtId="1" fontId="0" fillId="8" borderId="0" xfId="0" applyNumberFormat="1" applyFill="1"/>
    <xf numFmtId="0" fontId="0" fillId="4" borderId="2" xfId="0" applyFill="1" applyBorder="1"/>
    <xf numFmtId="0" fontId="0" fillId="10" borderId="2" xfId="0" applyFill="1" applyBorder="1"/>
    <xf numFmtId="1" fontId="0" fillId="8" borderId="1" xfId="0" applyNumberFormat="1" applyFill="1" applyBorder="1" applyAlignment="1">
      <alignment wrapText="1"/>
    </xf>
    <xf numFmtId="0" fontId="0" fillId="4"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20" xfId="0" applyFill="1" applyBorder="1" applyAlignment="1">
      <alignment wrapText="1"/>
    </xf>
    <xf numFmtId="0" fontId="0" fillId="8" borderId="21" xfId="0" applyFill="1" applyBorder="1" applyAlignment="1">
      <alignment wrapText="1"/>
    </xf>
    <xf numFmtId="0" fontId="0" fillId="4" borderId="21" xfId="0" applyFill="1" applyBorder="1" applyAlignment="1">
      <alignment wrapText="1"/>
    </xf>
    <xf numFmtId="0" fontId="0" fillId="4" borderId="22" xfId="0" applyFill="1" applyBorder="1" applyAlignment="1">
      <alignment wrapText="1"/>
    </xf>
    <xf numFmtId="0" fontId="0" fillId="9" borderId="0" xfId="0" applyFill="1"/>
    <xf numFmtId="171" fontId="7" fillId="9" borderId="0" xfId="0" applyNumberFormat="1" applyFont="1" applyFill="1"/>
    <xf numFmtId="171" fontId="0" fillId="9" borderId="0" xfId="0" applyNumberFormat="1" applyFill="1"/>
    <xf numFmtId="0" fontId="0" fillId="9" borderId="0" xfId="0" applyFill="1" applyBorder="1" applyAlignment="1">
      <alignment horizontal="center" vertical="center" wrapText="1"/>
    </xf>
    <xf numFmtId="0" fontId="0" fillId="9" borderId="0" xfId="0" applyFill="1" applyBorder="1"/>
    <xf numFmtId="0" fontId="7" fillId="10" borderId="2" xfId="0" applyFont="1" applyFill="1" applyBorder="1"/>
    <xf numFmtId="0" fontId="0" fillId="9" borderId="2" xfId="0" applyFill="1" applyBorder="1"/>
    <xf numFmtId="0" fontId="0" fillId="9" borderId="4" xfId="0" applyFill="1" applyBorder="1"/>
    <xf numFmtId="170" fontId="0" fillId="9" borderId="1" xfId="0" applyNumberFormat="1" applyFill="1" applyBorder="1"/>
    <xf numFmtId="0" fontId="0" fillId="9" borderId="1" xfId="0" applyFill="1" applyBorder="1"/>
    <xf numFmtId="171" fontId="0" fillId="9" borderId="1" xfId="0" applyNumberFormat="1" applyFill="1" applyBorder="1"/>
    <xf numFmtId="1" fontId="0" fillId="9" borderId="1" xfId="0" applyNumberFormat="1" applyFill="1" applyBorder="1"/>
    <xf numFmtId="171" fontId="0" fillId="9" borderId="0" xfId="0" applyNumberFormat="1" applyFill="1" applyBorder="1"/>
    <xf numFmtId="170" fontId="0" fillId="9" borderId="0" xfId="0" applyNumberFormat="1" applyFill="1"/>
    <xf numFmtId="0" fontId="0" fillId="6" borderId="0" xfId="0" applyFill="1" applyBorder="1" applyAlignment="1">
      <alignment horizontal="center" vertical="center" wrapText="1"/>
    </xf>
    <xf numFmtId="2" fontId="0" fillId="6" borderId="6" xfId="0" applyNumberFormat="1" applyFill="1" applyBorder="1" applyProtection="1">
      <protection locked="0"/>
    </xf>
    <xf numFmtId="0" fontId="7" fillId="11" borderId="3" xfId="0" applyFont="1" applyFill="1" applyBorder="1"/>
    <xf numFmtId="0" fontId="0" fillId="11" borderId="2" xfId="0" applyFill="1" applyBorder="1"/>
    <xf numFmtId="0" fontId="0" fillId="11" borderId="5" xfId="0" applyFill="1" applyBorder="1"/>
    <xf numFmtId="0" fontId="0" fillId="11" borderId="0" xfId="0" applyFill="1" applyBorder="1" applyAlignment="1">
      <alignment wrapText="1"/>
    </xf>
    <xf numFmtId="0" fontId="0" fillId="11" borderId="0" xfId="0" applyFill="1" applyBorder="1"/>
    <xf numFmtId="0" fontId="0" fillId="11" borderId="6" xfId="0" applyFill="1" applyBorder="1"/>
    <xf numFmtId="0" fontId="0" fillId="11" borderId="0" xfId="0" applyFill="1" applyBorder="1" applyProtection="1"/>
    <xf numFmtId="176" fontId="0" fillId="11" borderId="0" xfId="0" applyNumberFormat="1" applyFill="1" applyBorder="1" applyProtection="1"/>
    <xf numFmtId="174" fontId="0" fillId="11" borderId="0" xfId="0" applyNumberFormat="1" applyFill="1" applyBorder="1" applyProtection="1"/>
    <xf numFmtId="11" fontId="0" fillId="11" borderId="0" xfId="0" applyNumberFormat="1" applyFill="1" applyBorder="1" applyProtection="1"/>
    <xf numFmtId="2" fontId="0" fillId="5" borderId="0" xfId="0" applyNumberFormat="1" applyFill="1"/>
    <xf numFmtId="181" fontId="0" fillId="0" borderId="0" xfId="0" applyNumberFormat="1"/>
    <xf numFmtId="0" fontId="0" fillId="12" borderId="22" xfId="0" applyFill="1" applyBorder="1"/>
    <xf numFmtId="2" fontId="0" fillId="0" borderId="0" xfId="0" applyNumberFormat="1" applyFill="1" applyBorder="1" applyProtection="1"/>
    <xf numFmtId="0" fontId="0" fillId="12" borderId="20" xfId="0" applyFill="1" applyBorder="1"/>
    <xf numFmtId="0" fontId="0" fillId="12" borderId="21" xfId="0" applyFill="1" applyBorder="1" applyAlignment="1">
      <alignment horizontal="right"/>
    </xf>
    <xf numFmtId="170" fontId="0" fillId="0" borderId="0" xfId="0" applyNumberFormat="1" applyFill="1" applyBorder="1" applyProtection="1">
      <protection locked="0"/>
    </xf>
    <xf numFmtId="2" fontId="0" fillId="6" borderId="0" xfId="0" applyNumberFormat="1" applyFill="1" applyBorder="1" applyProtection="1">
      <protection locked="0"/>
    </xf>
    <xf numFmtId="0" fontId="0" fillId="6" borderId="0" xfId="0" applyFill="1" applyBorder="1" applyProtection="1">
      <protection locked="0"/>
    </xf>
    <xf numFmtId="21" fontId="0" fillId="6" borderId="0" xfId="0" applyNumberFormat="1" applyFill="1" applyBorder="1" applyProtection="1">
      <protection locked="0"/>
    </xf>
    <xf numFmtId="0" fontId="0" fillId="6" borderId="0" xfId="0" applyFill="1" applyBorder="1" applyAlignment="1" applyProtection="1">
      <alignment horizontal="center"/>
      <protection locked="0"/>
    </xf>
    <xf numFmtId="173" fontId="0" fillId="6" borderId="0" xfId="0" applyNumberFormat="1" applyFill="1" applyBorder="1" applyAlignment="1" applyProtection="1">
      <alignment horizontal="center"/>
      <protection locked="0"/>
    </xf>
    <xf numFmtId="170" fontId="0" fillId="9" borderId="0" xfId="0" applyNumberFormat="1" applyFill="1" applyBorder="1"/>
    <xf numFmtId="1" fontId="0" fillId="9" borderId="0" xfId="0" applyNumberFormat="1" applyFill="1" applyBorder="1"/>
    <xf numFmtId="1" fontId="0" fillId="0" borderId="0" xfId="0" applyNumberFormat="1" applyFill="1" applyAlignment="1" applyProtection="1">
      <alignment horizontal="center"/>
      <protection locked="0"/>
    </xf>
    <xf numFmtId="2" fontId="0" fillId="0" borderId="0" xfId="0" applyNumberFormat="1" applyFill="1" applyBorder="1" applyAlignment="1" applyProtection="1">
      <alignment horizontal="center"/>
      <protection locked="0"/>
    </xf>
    <xf numFmtId="49" fontId="0" fillId="0" borderId="0" xfId="0" applyNumberFormat="1" applyFill="1" applyBorder="1" applyAlignment="1" applyProtection="1">
      <alignment horizontal="center"/>
      <protection locked="0"/>
    </xf>
    <xf numFmtId="0" fontId="0" fillId="0" borderId="0" xfId="0" applyBorder="1" applyAlignment="1">
      <alignment horizontal="center"/>
    </xf>
    <xf numFmtId="0" fontId="0" fillId="0" borderId="0" xfId="0" applyFill="1" applyBorder="1" applyAlignment="1" applyProtection="1">
      <alignment horizontal="center"/>
      <protection locked="0"/>
    </xf>
    <xf numFmtId="0" fontId="0" fillId="10" borderId="15"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20" xfId="0" applyFill="1" applyBorder="1" applyAlignment="1">
      <alignment horizontal="center" vertical="center" wrapText="1"/>
    </xf>
    <xf numFmtId="0" fontId="0" fillId="6" borderId="4" xfId="0" applyFill="1" applyBorder="1"/>
    <xf numFmtId="0" fontId="7" fillId="6" borderId="5" xfId="0" applyFont="1" applyFill="1" applyBorder="1"/>
    <xf numFmtId="0" fontId="0" fillId="6" borderId="7" xfId="0" applyFill="1" applyBorder="1"/>
    <xf numFmtId="0" fontId="0" fillId="8" borderId="9" xfId="0" applyFill="1" applyBorder="1" applyAlignment="1">
      <alignment horizontal="center" vertical="center" wrapText="1"/>
    </xf>
    <xf numFmtId="0" fontId="0" fillId="8" borderId="13"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11" xfId="0" applyFill="1" applyBorder="1"/>
    <xf numFmtId="0" fontId="0" fillId="8" borderId="17" xfId="0" applyFill="1" applyBorder="1"/>
    <xf numFmtId="0" fontId="0" fillId="8" borderId="19" xfId="0" applyFill="1" applyBorder="1"/>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1" xfId="0" applyFill="1" applyBorder="1"/>
    <xf numFmtId="0" fontId="0" fillId="2" borderId="17" xfId="0" applyFill="1" applyBorder="1"/>
    <xf numFmtId="0" fontId="0" fillId="2" borderId="17" xfId="0" applyFill="1" applyBorder="1" applyAlignment="1">
      <alignment wrapText="1"/>
    </xf>
    <xf numFmtId="0" fontId="0" fillId="2" borderId="19" xfId="0" applyFill="1" applyBorder="1" applyAlignment="1">
      <alignment wrapText="1"/>
    </xf>
    <xf numFmtId="0" fontId="0" fillId="8" borderId="17" xfId="0" applyFill="1" applyBorder="1" applyAlignment="1">
      <alignment wrapText="1"/>
    </xf>
    <xf numFmtId="0" fontId="0" fillId="8" borderId="19" xfId="0" applyFill="1" applyBorder="1" applyAlignment="1">
      <alignment wrapText="1"/>
    </xf>
    <xf numFmtId="0" fontId="0" fillId="11" borderId="4" xfId="0" applyFill="1" applyBorder="1"/>
    <xf numFmtId="0" fontId="0" fillId="11" borderId="7" xfId="0" applyFill="1" applyBorder="1" applyAlignment="1">
      <alignment wrapText="1"/>
    </xf>
    <xf numFmtId="0" fontId="0" fillId="11" borderId="1" xfId="0" applyFill="1" applyBorder="1" applyProtection="1"/>
    <xf numFmtId="176" fontId="0" fillId="11" borderId="1" xfId="0" applyNumberFormat="1" applyFill="1" applyBorder="1" applyProtection="1"/>
    <xf numFmtId="174" fontId="0" fillId="11" borderId="1" xfId="0" applyNumberFormat="1" applyFill="1" applyBorder="1" applyProtection="1"/>
    <xf numFmtId="11" fontId="0" fillId="11" borderId="1" xfId="0" applyNumberFormat="1" applyFill="1" applyBorder="1" applyProtection="1"/>
    <xf numFmtId="0" fontId="0" fillId="11" borderId="8" xfId="0" applyFill="1" applyBorder="1" applyProtection="1"/>
    <xf numFmtId="0" fontId="0" fillId="9" borderId="3" xfId="0" applyFill="1" applyBorder="1"/>
    <xf numFmtId="0" fontId="0" fillId="9" borderId="5" xfId="0" applyFill="1" applyBorder="1"/>
    <xf numFmtId="0" fontId="0" fillId="9" borderId="7" xfId="0" applyFill="1" applyBorder="1"/>
    <xf numFmtId="170" fontId="0" fillId="9" borderId="6" xfId="0" applyNumberFormat="1" applyFill="1" applyBorder="1"/>
    <xf numFmtId="170" fontId="0" fillId="9" borderId="8" xfId="0" applyNumberFormat="1" applyFill="1" applyBorder="1"/>
    <xf numFmtId="2" fontId="0" fillId="10" borderId="0" xfId="0" applyNumberFormat="1" applyFill="1" applyBorder="1" applyProtection="1">
      <protection locked="0"/>
    </xf>
    <xf numFmtId="1" fontId="7" fillId="0" borderId="0" xfId="0" applyNumberFormat="1" applyFont="1" applyFill="1" applyAlignment="1" applyProtection="1">
      <alignment horizontal="left"/>
      <protection locked="0"/>
    </xf>
    <xf numFmtId="0" fontId="0" fillId="0" borderId="0" xfId="0" applyAlignment="1">
      <alignment horizontal="center" vertical="center" wrapText="1"/>
    </xf>
    <xf numFmtId="0" fontId="0" fillId="0" borderId="0" xfId="0" applyFill="1" applyBorder="1" applyAlignment="1" applyProtection="1">
      <alignment horizontal="center"/>
    </xf>
    <xf numFmtId="49" fontId="0" fillId="6" borderId="1" xfId="0" applyNumberFormat="1" applyFill="1" applyBorder="1" applyProtection="1">
      <protection locked="0"/>
    </xf>
    <xf numFmtId="0" fontId="0" fillId="3" borderId="20" xfId="0" applyFill="1" applyBorder="1"/>
    <xf numFmtId="0" fontId="0" fillId="9" borderId="21" xfId="0" applyFill="1" applyBorder="1" applyAlignment="1">
      <alignment wrapText="1"/>
    </xf>
    <xf numFmtId="169" fontId="0" fillId="4" borderId="0" xfId="0" applyNumberFormat="1" applyFill="1"/>
    <xf numFmtId="177" fontId="0" fillId="4" borderId="0" xfId="0" applyNumberFormat="1" applyFill="1"/>
    <xf numFmtId="0" fontId="0" fillId="4" borderId="0" xfId="0" applyFill="1"/>
    <xf numFmtId="0" fontId="7" fillId="4" borderId="0" xfId="0" applyFont="1" applyFill="1"/>
    <xf numFmtId="0" fontId="7" fillId="10" borderId="9" xfId="0" applyFont="1" applyFill="1" applyBorder="1"/>
    <xf numFmtId="0" fontId="0" fillId="10" borderId="13" xfId="0" applyFill="1" applyBorder="1"/>
    <xf numFmtId="0" fontId="0" fillId="10" borderId="14" xfId="0" applyFill="1" applyBorder="1"/>
    <xf numFmtId="0" fontId="4" fillId="10" borderId="10" xfId="0" applyFont="1" applyFill="1" applyBorder="1" applyAlignment="1">
      <alignment horizontal="center"/>
    </xf>
    <xf numFmtId="0" fontId="4" fillId="10" borderId="0" xfId="0" applyFont="1" applyFill="1" applyBorder="1" applyAlignment="1">
      <alignment horizontal="center"/>
    </xf>
    <xf numFmtId="0" fontId="0" fillId="10" borderId="11" xfId="0" applyFill="1" applyBorder="1" applyAlignment="1">
      <alignment horizontal="center"/>
    </xf>
    <xf numFmtId="0" fontId="0" fillId="10" borderId="17" xfId="0" applyFill="1" applyBorder="1" applyAlignment="1">
      <alignment horizontal="center"/>
    </xf>
    <xf numFmtId="0" fontId="0" fillId="10" borderId="15" xfId="0" applyFill="1" applyBorder="1" applyAlignment="1">
      <alignment horizontal="center" wrapText="1"/>
    </xf>
    <xf numFmtId="0" fontId="0" fillId="0" borderId="0" xfId="0" applyFill="1" applyBorder="1" applyAlignment="1">
      <alignment horizontal="center" wrapText="1"/>
    </xf>
    <xf numFmtId="2" fontId="0" fillId="6" borderId="23" xfId="0" applyNumberFormat="1" applyFill="1" applyBorder="1" applyAlignment="1" applyProtection="1">
      <alignment horizontal="center"/>
      <protection locked="0"/>
    </xf>
    <xf numFmtId="2" fontId="0" fillId="6" borderId="24" xfId="0" applyNumberFormat="1" applyFill="1" applyBorder="1" applyAlignment="1">
      <alignment horizontal="center"/>
    </xf>
    <xf numFmtId="0" fontId="0" fillId="10" borderId="16" xfId="0" applyFill="1" applyBorder="1" applyAlignment="1">
      <alignment horizontal="center" vertical="center" wrapText="1"/>
    </xf>
    <xf numFmtId="0" fontId="0" fillId="10" borderId="16" xfId="0" applyFill="1" applyBorder="1"/>
    <xf numFmtId="2" fontId="0" fillId="6" borderId="5" xfId="0" applyNumberFormat="1" applyFill="1" applyBorder="1" applyProtection="1">
      <protection locked="0"/>
    </xf>
    <xf numFmtId="2" fontId="0" fillId="6" borderId="7" xfId="0" applyNumberFormat="1" applyFill="1" applyBorder="1" applyProtection="1">
      <protection locked="0"/>
    </xf>
    <xf numFmtId="0" fontId="7" fillId="10" borderId="0" xfId="0" applyFont="1" applyFill="1" applyBorder="1"/>
    <xf numFmtId="0" fontId="0" fillId="10" borderId="0" xfId="0" applyFill="1" applyBorder="1" applyProtection="1">
      <protection locked="0"/>
    </xf>
    <xf numFmtId="0" fontId="7" fillId="10" borderId="0" xfId="0" applyFont="1" applyFill="1" applyBorder="1" applyProtection="1">
      <protection locked="0"/>
    </xf>
    <xf numFmtId="3" fontId="0" fillId="10" borderId="16" xfId="0" applyNumberFormat="1" applyFill="1" applyBorder="1" applyAlignment="1">
      <alignment horizontal="center" wrapText="1"/>
    </xf>
    <xf numFmtId="0" fontId="0" fillId="9" borderId="4" xfId="0" applyFill="1" applyBorder="1" applyProtection="1">
      <protection locked="0"/>
    </xf>
    <xf numFmtId="0" fontId="0" fillId="9" borderId="8" xfId="0" applyFill="1" applyBorder="1"/>
    <xf numFmtId="0" fontId="0" fillId="9" borderId="25" xfId="0" applyFill="1" applyBorder="1"/>
    <xf numFmtId="0" fontId="0" fillId="9" borderId="0" xfId="0" applyFill="1" applyBorder="1" applyAlignment="1">
      <alignment horizontal="center" wrapText="1"/>
    </xf>
    <xf numFmtId="0" fontId="0" fillId="12" borderId="0" xfId="0" applyFill="1" applyBorder="1" applyProtection="1">
      <protection locked="0"/>
    </xf>
    <xf numFmtId="0" fontId="0" fillId="9" borderId="24" xfId="0" applyFill="1" applyBorder="1" applyAlignment="1">
      <alignment horizontal="center"/>
    </xf>
    <xf numFmtId="0" fontId="0" fillId="9" borderId="25" xfId="0" applyFill="1" applyBorder="1" applyAlignment="1">
      <alignment horizontal="center" vertical="center" wrapText="1"/>
    </xf>
    <xf numFmtId="0" fontId="0" fillId="9" borderId="24" xfId="0" applyFill="1" applyBorder="1" applyAlignment="1">
      <alignment horizontal="center" wrapText="1"/>
    </xf>
    <xf numFmtId="0" fontId="0" fillId="9" borderId="26" xfId="0" applyFill="1" applyBorder="1" applyProtection="1">
      <protection locked="0"/>
    </xf>
    <xf numFmtId="0" fontId="0" fillId="9" borderId="4" xfId="0" applyFill="1" applyBorder="1" applyAlignment="1">
      <alignment horizontal="center" vertical="center" wrapText="1"/>
    </xf>
    <xf numFmtId="0" fontId="0" fillId="9" borderId="6" xfId="0" applyFill="1" applyBorder="1"/>
    <xf numFmtId="0" fontId="7" fillId="9" borderId="27" xfId="0" applyFont="1" applyFill="1" applyBorder="1" applyProtection="1">
      <protection locked="0"/>
    </xf>
    <xf numFmtId="0" fontId="0" fillId="9" borderId="7" xfId="0" applyFill="1" applyBorder="1" applyAlignment="1">
      <alignment horizontal="center"/>
    </xf>
    <xf numFmtId="0" fontId="0" fillId="9" borderId="8" xfId="0" applyFill="1" applyBorder="1" applyAlignment="1">
      <alignment horizontal="center" vertical="center" wrapText="1"/>
    </xf>
    <xf numFmtId="0" fontId="0" fillId="12" borderId="16" xfId="0" applyFill="1" applyBorder="1" applyAlignment="1">
      <alignment horizontal="center" vertical="center" wrapText="1"/>
    </xf>
    <xf numFmtId="0" fontId="7" fillId="9" borderId="2" xfId="0" applyFont="1" applyFill="1" applyBorder="1" applyProtection="1">
      <protection locked="0"/>
    </xf>
    <xf numFmtId="11" fontId="0" fillId="0" borderId="0" xfId="0" applyNumberFormat="1" applyBorder="1"/>
    <xf numFmtId="172" fontId="0" fillId="0" borderId="0" xfId="0" applyNumberFormat="1"/>
    <xf numFmtId="0" fontId="7" fillId="0" borderId="0" xfId="0" applyFont="1" applyAlignment="1">
      <alignment horizontal="right"/>
    </xf>
    <xf numFmtId="0" fontId="0" fillId="0" borderId="10" xfId="0" applyBorder="1"/>
    <xf numFmtId="0" fontId="0" fillId="0" borderId="28" xfId="0" applyBorder="1"/>
    <xf numFmtId="176" fontId="0" fillId="0" borderId="10" xfId="0" applyNumberFormat="1" applyBorder="1"/>
    <xf numFmtId="11" fontId="0" fillId="0" borderId="10" xfId="0" applyNumberFormat="1" applyBorder="1"/>
    <xf numFmtId="0" fontId="0" fillId="7" borderId="10" xfId="0" applyFill="1" applyBorder="1"/>
    <xf numFmtId="0" fontId="0" fillId="0" borderId="10" xfId="0" applyBorder="1" applyAlignment="1">
      <alignment wrapText="1"/>
    </xf>
    <xf numFmtId="0" fontId="0" fillId="0" borderId="28" xfId="0" applyBorder="1" applyAlignment="1">
      <alignment wrapText="1"/>
    </xf>
    <xf numFmtId="176" fontId="0" fillId="7" borderId="10" xfId="0" applyNumberFormat="1" applyFill="1" applyBorder="1"/>
    <xf numFmtId="0" fontId="0" fillId="2" borderId="10" xfId="0" applyFill="1" applyBorder="1"/>
    <xf numFmtId="2" fontId="0" fillId="2" borderId="10" xfId="0" applyNumberFormat="1" applyFill="1" applyBorder="1"/>
    <xf numFmtId="2" fontId="0" fillId="2" borderId="28" xfId="0" applyNumberFormat="1" applyFill="1" applyBorder="1"/>
    <xf numFmtId="2" fontId="0" fillId="2" borderId="11" xfId="0" applyNumberFormat="1" applyFill="1" applyBorder="1"/>
    <xf numFmtId="2" fontId="0" fillId="2" borderId="19" xfId="0" applyNumberFormat="1" applyFill="1" applyBorder="1"/>
    <xf numFmtId="0" fontId="0" fillId="0" borderId="0" xfId="0" applyBorder="1" applyAlignment="1">
      <alignment wrapText="1"/>
    </xf>
    <xf numFmtId="0" fontId="0" fillId="7" borderId="0" xfId="0" applyFill="1" applyBorder="1"/>
    <xf numFmtId="2" fontId="0" fillId="2" borderId="0" xfId="0" applyNumberFormat="1" applyFill="1" applyBorder="1"/>
    <xf numFmtId="0" fontId="0" fillId="0" borderId="28" xfId="0" applyFill="1" applyBorder="1"/>
    <xf numFmtId="2" fontId="0" fillId="2" borderId="17" xfId="0" applyNumberFormat="1" applyFill="1" applyBorder="1"/>
    <xf numFmtId="172" fontId="0" fillId="0" borderId="0" xfId="0" applyNumberFormat="1" applyBorder="1" applyProtection="1"/>
    <xf numFmtId="175" fontId="0" fillId="0" borderId="0" xfId="0" applyNumberFormat="1" applyBorder="1" applyProtection="1"/>
    <xf numFmtId="0" fontId="0" fillId="13" borderId="15" xfId="0" applyFill="1" applyBorder="1" applyAlignment="1">
      <alignment horizontal="center" vertical="center" wrapText="1"/>
    </xf>
    <xf numFmtId="11" fontId="0" fillId="6" borderId="1" xfId="0" applyNumberFormat="1" applyFill="1" applyBorder="1" applyAlignment="1" applyProtection="1">
      <alignment horizontal="center"/>
      <protection locked="0"/>
    </xf>
    <xf numFmtId="0" fontId="0" fillId="10" borderId="19" xfId="0" applyFill="1" applyBorder="1"/>
    <xf numFmtId="169" fontId="0" fillId="0" borderId="0" xfId="0" applyNumberFormat="1" applyFill="1" applyBorder="1" applyProtection="1"/>
    <xf numFmtId="174" fontId="0" fillId="0" borderId="0" xfId="0" applyNumberFormat="1" applyFill="1" applyBorder="1" applyProtection="1"/>
    <xf numFmtId="2" fontId="0" fillId="0" borderId="28" xfId="0" applyNumberFormat="1" applyBorder="1"/>
    <xf numFmtId="0" fontId="0" fillId="0" borderId="11" xfId="0" applyBorder="1"/>
    <xf numFmtId="0" fontId="0" fillId="0" borderId="17" xfId="0" applyBorder="1"/>
    <xf numFmtId="172" fontId="0" fillId="0" borderId="17" xfId="0" applyNumberFormat="1" applyBorder="1"/>
    <xf numFmtId="2" fontId="0" fillId="0" borderId="19" xfId="0" applyNumberFormat="1" applyBorder="1"/>
    <xf numFmtId="0" fontId="7" fillId="0" borderId="9" xfId="0" applyFont="1" applyBorder="1"/>
    <xf numFmtId="1" fontId="0" fillId="0" borderId="10" xfId="0" applyNumberFormat="1" applyBorder="1"/>
    <xf numFmtId="0" fontId="0" fillId="7" borderId="0" xfId="0" applyFill="1" applyBorder="1" applyAlignment="1">
      <alignment wrapText="1"/>
    </xf>
    <xf numFmtId="0" fontId="7" fillId="2" borderId="0" xfId="0" applyFont="1" applyFill="1"/>
    <xf numFmtId="0" fontId="0" fillId="2" borderId="0" xfId="0" applyFill="1" applyBorder="1" applyAlignment="1">
      <alignment horizontal="center" wrapText="1"/>
    </xf>
    <xf numFmtId="0" fontId="0" fillId="2" borderId="20" xfId="0" applyFill="1" applyBorder="1" applyAlignment="1">
      <alignment wrapText="1"/>
    </xf>
    <xf numFmtId="0" fontId="0" fillId="2" borderId="21" xfId="0" applyFill="1" applyBorder="1" applyAlignment="1">
      <alignment wrapText="1"/>
    </xf>
    <xf numFmtId="0" fontId="0" fillId="2" borderId="22" xfId="0" applyFill="1" applyBorder="1" applyAlignment="1">
      <alignment wrapText="1"/>
    </xf>
    <xf numFmtId="169" fontId="0" fillId="2" borderId="0" xfId="0" applyNumberFormat="1" applyFill="1"/>
    <xf numFmtId="177" fontId="0" fillId="2" borderId="0" xfId="0" applyNumberFormat="1" applyFill="1"/>
    <xf numFmtId="0" fontId="0" fillId="9" borderId="23" xfId="0" applyFill="1" applyBorder="1" applyAlignment="1">
      <alignment horizontal="center" wrapText="1"/>
    </xf>
    <xf numFmtId="0" fontId="0" fillId="6" borderId="0" xfId="0" applyFill="1"/>
    <xf numFmtId="0" fontId="0" fillId="14" borderId="0" xfId="0" applyFill="1"/>
    <xf numFmtId="0" fontId="0" fillId="9" borderId="0" xfId="0" applyFill="1" applyAlignment="1">
      <alignment horizontal="left"/>
    </xf>
    <xf numFmtId="169" fontId="7" fillId="4" borderId="0" xfId="0" applyNumberFormat="1" applyFont="1" applyFill="1"/>
    <xf numFmtId="169" fontId="7" fillId="2" borderId="0" xfId="0" applyNumberFormat="1" applyFont="1" applyFill="1"/>
    <xf numFmtId="171" fontId="2" fillId="0" borderId="12" xfId="0" applyNumberFormat="1" applyFont="1" applyBorder="1" applyAlignment="1">
      <alignment horizontal="center"/>
    </xf>
    <xf numFmtId="2" fontId="2" fillId="0" borderId="13" xfId="0" applyNumberFormat="1" applyFont="1" applyBorder="1" applyAlignment="1">
      <alignment horizontal="center"/>
    </xf>
    <xf numFmtId="2" fontId="2" fillId="0" borderId="12" xfId="0" applyNumberFormat="1" applyFont="1" applyBorder="1" applyAlignment="1">
      <alignment horizontal="center"/>
    </xf>
    <xf numFmtId="170" fontId="2" fillId="0" borderId="13" xfId="0" applyNumberFormat="1" applyFont="1" applyBorder="1" applyAlignment="1">
      <alignment horizontal="center"/>
    </xf>
    <xf numFmtId="170" fontId="2" fillId="0" borderId="12" xfId="0" applyNumberFormat="1" applyFont="1" applyBorder="1" applyAlignment="1">
      <alignment horizontal="center"/>
    </xf>
    <xf numFmtId="171" fontId="2" fillId="0" borderId="14" xfId="0" applyNumberFormat="1" applyFont="1" applyBorder="1" applyAlignment="1">
      <alignment horizontal="center"/>
    </xf>
    <xf numFmtId="171" fontId="2" fillId="0" borderId="0" xfId="0" applyNumberFormat="1" applyFont="1" applyBorder="1" applyAlignment="1">
      <alignment horizontal="left"/>
    </xf>
    <xf numFmtId="171" fontId="2" fillId="0" borderId="28" xfId="0" applyNumberFormat="1" applyFont="1" applyBorder="1" applyAlignment="1">
      <alignment horizontal="center"/>
    </xf>
    <xf numFmtId="171" fontId="2" fillId="0" borderId="18" xfId="0" applyNumberFormat="1" applyFont="1" applyBorder="1" applyAlignment="1">
      <alignment horizontal="center"/>
    </xf>
    <xf numFmtId="2" fontId="2" fillId="0" borderId="0" xfId="0" applyNumberFormat="1" applyFont="1" applyBorder="1" applyAlignment="1">
      <alignment horizontal="center"/>
    </xf>
    <xf numFmtId="2" fontId="2" fillId="0" borderId="18" xfId="0" applyNumberFormat="1" applyFont="1" applyBorder="1" applyAlignment="1">
      <alignment horizontal="center"/>
    </xf>
    <xf numFmtId="170" fontId="2" fillId="0" borderId="0" xfId="0" applyNumberFormat="1" applyFont="1" applyBorder="1" applyAlignment="1">
      <alignment horizontal="center"/>
    </xf>
    <xf numFmtId="170" fontId="2" fillId="0" borderId="18" xfId="0" applyNumberFormat="1" applyFont="1" applyBorder="1" applyAlignment="1">
      <alignment horizontal="center"/>
    </xf>
    <xf numFmtId="14" fontId="0" fillId="0" borderId="0" xfId="0" applyNumberFormat="1" applyAlignment="1">
      <alignment horizontal="center"/>
    </xf>
    <xf numFmtId="171" fontId="2" fillId="0" borderId="16" xfId="0" applyNumberFormat="1" applyFont="1" applyBorder="1" applyAlignment="1">
      <alignment horizontal="center"/>
    </xf>
    <xf numFmtId="2" fontId="2" fillId="0" borderId="17" xfId="0" applyNumberFormat="1" applyFont="1" applyBorder="1" applyAlignment="1">
      <alignment horizontal="center"/>
    </xf>
    <xf numFmtId="170" fontId="2" fillId="0" borderId="17" xfId="0" applyNumberFormat="1" applyFont="1" applyBorder="1" applyAlignment="1">
      <alignment horizontal="center"/>
    </xf>
    <xf numFmtId="170" fontId="2" fillId="0" borderId="16" xfId="0" applyNumberFormat="1" applyFont="1" applyBorder="1" applyAlignment="1">
      <alignment horizontal="center"/>
    </xf>
    <xf numFmtId="171" fontId="2" fillId="0" borderId="19" xfId="0" applyNumberFormat="1" applyFont="1" applyBorder="1" applyAlignment="1">
      <alignment horizontal="center"/>
    </xf>
    <xf numFmtId="178" fontId="2" fillId="0" borderId="0" xfId="0" applyNumberFormat="1" applyFont="1" applyBorder="1" applyAlignment="1">
      <alignment horizontal="center"/>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171" fontId="2" fillId="0" borderId="18" xfId="0" applyNumberFormat="1" applyFont="1" applyBorder="1" applyAlignment="1">
      <alignment horizontal="center" vertical="center" wrapText="1"/>
    </xf>
    <xf numFmtId="0" fontId="2" fillId="0" borderId="18" xfId="0" applyFont="1" applyBorder="1" applyAlignment="1">
      <alignment horizontal="center" vertical="center" wrapText="1"/>
    </xf>
    <xf numFmtId="0" fontId="0" fillId="0" borderId="28" xfId="0" applyBorder="1" applyAlignment="1">
      <alignment horizontal="center" vertical="center" wrapText="1"/>
    </xf>
    <xf numFmtId="178" fontId="2" fillId="0" borderId="17" xfId="0" applyNumberFormat="1" applyFont="1" applyBorder="1" applyAlignment="1">
      <alignment horizontal="center"/>
    </xf>
    <xf numFmtId="172" fontId="2" fillId="0" borderId="0" xfId="0" applyNumberFormat="1" applyFont="1" applyBorder="1" applyAlignment="1">
      <alignment horizontal="center"/>
    </xf>
    <xf numFmtId="169" fontId="2" fillId="0" borderId="0" xfId="0" applyNumberFormat="1" applyFont="1" applyBorder="1" applyAlignment="1">
      <alignment horizontal="center"/>
    </xf>
    <xf numFmtId="171" fontId="0" fillId="4" borderId="0" xfId="0" applyNumberFormat="1" applyFill="1"/>
    <xf numFmtId="165" fontId="0" fillId="4" borderId="0" xfId="0" applyNumberFormat="1" applyFill="1" applyProtection="1"/>
    <xf numFmtId="2" fontId="0" fillId="4" borderId="10" xfId="0" applyNumberFormat="1" applyFill="1" applyBorder="1"/>
    <xf numFmtId="2" fontId="0" fillId="4" borderId="11" xfId="0" applyNumberFormat="1" applyFill="1" applyBorder="1"/>
    <xf numFmtId="2" fontId="0" fillId="4" borderId="0" xfId="0" applyNumberFormat="1" applyFill="1" applyBorder="1"/>
    <xf numFmtId="2" fontId="0" fillId="4" borderId="17" xfId="0" applyNumberFormat="1" applyFill="1" applyBorder="1"/>
    <xf numFmtId="17" fontId="0" fillId="4" borderId="9" xfId="0" applyNumberFormat="1" applyFill="1" applyBorder="1"/>
    <xf numFmtId="0" fontId="0" fillId="4" borderId="10" xfId="0" applyFill="1" applyBorder="1"/>
    <xf numFmtId="176" fontId="0" fillId="4" borderId="10" xfId="0" applyNumberFormat="1" applyFill="1" applyBorder="1"/>
    <xf numFmtId="0" fontId="0" fillId="4" borderId="0" xfId="0" quotePrefix="1" applyFill="1" applyAlignment="1">
      <alignment horizontal="right"/>
    </xf>
    <xf numFmtId="182" fontId="0" fillId="4" borderId="0" xfId="0" applyNumberFormat="1" applyFill="1" applyBorder="1"/>
    <xf numFmtId="11" fontId="0" fillId="4" borderId="28" xfId="0" applyNumberFormat="1" applyFill="1" applyBorder="1"/>
    <xf numFmtId="0" fontId="0" fillId="4" borderId="0" xfId="0" quotePrefix="1" applyFill="1"/>
    <xf numFmtId="11" fontId="0" fillId="4" borderId="0" xfId="0" applyNumberFormat="1" applyFill="1" applyBorder="1"/>
    <xf numFmtId="172" fontId="0" fillId="0" borderId="0" xfId="0" applyNumberFormat="1" applyFill="1"/>
    <xf numFmtId="11" fontId="0" fillId="4" borderId="10" xfId="0" applyNumberFormat="1" applyFill="1" applyBorder="1"/>
    <xf numFmtId="169" fontId="0" fillId="4" borderId="10" xfId="0" applyNumberFormat="1" applyFill="1" applyBorder="1"/>
    <xf numFmtId="170" fontId="0" fillId="4" borderId="10" xfId="0" applyNumberFormat="1" applyFill="1" applyBorder="1"/>
    <xf numFmtId="0" fontId="2" fillId="4" borderId="10" xfId="0" applyFont="1" applyFill="1" applyBorder="1"/>
    <xf numFmtId="177" fontId="0" fillId="4" borderId="10" xfId="0" applyNumberFormat="1" applyFill="1" applyBorder="1"/>
    <xf numFmtId="0" fontId="4" fillId="4" borderId="10" xfId="0" applyFont="1" applyFill="1" applyBorder="1"/>
    <xf numFmtId="170" fontId="2" fillId="0" borderId="12" xfId="0" applyNumberFormat="1" applyFont="1" applyFill="1" applyBorder="1" applyAlignment="1">
      <alignment horizontal="center"/>
    </xf>
    <xf numFmtId="170" fontId="2" fillId="0" borderId="18" xfId="0" applyNumberFormat="1" applyFont="1" applyFill="1" applyBorder="1" applyAlignment="1">
      <alignment horizontal="center"/>
    </xf>
    <xf numFmtId="2" fontId="2" fillId="0" borderId="12" xfId="0" applyNumberFormat="1" applyFont="1" applyFill="1" applyBorder="1" applyAlignment="1">
      <alignment horizontal="center"/>
    </xf>
    <xf numFmtId="2" fontId="2" fillId="0" borderId="18" xfId="0" applyNumberFormat="1" applyFont="1" applyFill="1" applyBorder="1" applyAlignment="1">
      <alignment horizontal="center"/>
    </xf>
    <xf numFmtId="1" fontId="2" fillId="0" borderId="0" xfId="0" applyNumberFormat="1" applyFont="1" applyBorder="1" applyAlignment="1">
      <alignment horizontal="center" wrapText="1"/>
    </xf>
    <xf numFmtId="1" fontId="2" fillId="0" borderId="0" xfId="0" applyNumberFormat="1" applyFont="1" applyBorder="1" applyAlignment="1">
      <alignment horizontal="left"/>
    </xf>
    <xf numFmtId="0" fontId="2" fillId="0" borderId="0" xfId="0" applyFont="1" applyFill="1"/>
    <xf numFmtId="0" fontId="9" fillId="4" borderId="0" xfId="0" applyFont="1" applyFill="1"/>
    <xf numFmtId="2" fontId="0" fillId="4" borderId="0" xfId="0" applyNumberFormat="1" applyFill="1"/>
    <xf numFmtId="21" fontId="0" fillId="4" borderId="0" xfId="0" applyNumberFormat="1" applyFill="1"/>
    <xf numFmtId="1" fontId="0" fillId="4" borderId="0" xfId="0" applyNumberFormat="1" applyFill="1" applyAlignment="1" applyProtection="1">
      <alignment horizontal="center"/>
      <protection locked="0"/>
    </xf>
    <xf numFmtId="2" fontId="0" fillId="4" borderId="0" xfId="0" applyNumberFormat="1" applyFill="1" applyBorder="1" applyAlignment="1" applyProtection="1">
      <alignment horizontal="center"/>
      <protection locked="0"/>
    </xf>
    <xf numFmtId="170" fontId="0" fillId="4" borderId="0" xfId="0" applyNumberFormat="1" applyFill="1" applyBorder="1" applyAlignment="1" applyProtection="1">
      <alignment horizontal="center"/>
      <protection locked="0"/>
    </xf>
    <xf numFmtId="49" fontId="0" fillId="4" borderId="0" xfId="0" applyNumberFormat="1" applyFill="1" applyBorder="1" applyAlignment="1" applyProtection="1">
      <alignment horizontal="center"/>
      <protection locked="0"/>
    </xf>
    <xf numFmtId="2" fontId="0" fillId="4" borderId="0" xfId="0" applyNumberFormat="1" applyFill="1" applyAlignment="1">
      <alignment horizontal="center"/>
    </xf>
    <xf numFmtId="1" fontId="0" fillId="4" borderId="0" xfId="0" applyNumberFormat="1" applyFill="1" applyAlignment="1">
      <alignment horizontal="center"/>
    </xf>
    <xf numFmtId="0" fontId="0" fillId="4" borderId="0" xfId="0" applyFill="1" applyBorder="1" applyAlignment="1">
      <alignment horizontal="center"/>
    </xf>
    <xf numFmtId="0" fontId="0" fillId="4" borderId="0" xfId="0" applyFill="1" applyAlignment="1">
      <alignment horizontal="center"/>
    </xf>
    <xf numFmtId="1" fontId="0" fillId="0" borderId="0" xfId="0" applyNumberFormat="1" applyFill="1" applyAlignment="1" applyProtection="1">
      <alignment horizontal="left"/>
      <protection locked="0"/>
    </xf>
    <xf numFmtId="172" fontId="0" fillId="4" borderId="0" xfId="0" applyNumberFormat="1" applyFill="1" applyBorder="1" applyProtection="1"/>
    <xf numFmtId="174" fontId="0" fillId="4" borderId="0" xfId="0" applyNumberFormat="1" applyFill="1"/>
    <xf numFmtId="169" fontId="0" fillId="4" borderId="0" xfId="0" applyNumberFormat="1" applyFill="1" applyBorder="1" applyProtection="1"/>
    <xf numFmtId="0" fontId="0" fillId="4" borderId="0" xfId="0" applyFill="1" applyBorder="1" applyProtection="1"/>
    <xf numFmtId="176" fontId="0" fillId="4" borderId="0" xfId="0" applyNumberFormat="1" applyFill="1" applyBorder="1" applyProtection="1"/>
    <xf numFmtId="174" fontId="0" fillId="4" borderId="0" xfId="0" applyNumberFormat="1" applyFill="1" applyBorder="1" applyProtection="1"/>
    <xf numFmtId="175" fontId="0" fillId="4" borderId="0" xfId="0" applyNumberFormat="1" applyFill="1" applyBorder="1" applyProtection="1"/>
    <xf numFmtId="0" fontId="0" fillId="4" borderId="0" xfId="0" applyFill="1" applyBorder="1" applyAlignment="1" applyProtection="1">
      <alignment horizontal="center"/>
    </xf>
    <xf numFmtId="2" fontId="0" fillId="4" borderId="0" xfId="0" applyNumberFormat="1" applyFill="1" applyBorder="1" applyProtection="1"/>
    <xf numFmtId="172" fontId="0" fillId="4" borderId="0" xfId="0" applyNumberFormat="1" applyFill="1"/>
    <xf numFmtId="176" fontId="0" fillId="4" borderId="0" xfId="0" applyNumberFormat="1" applyFill="1"/>
    <xf numFmtId="0" fontId="12" fillId="4" borderId="0" xfId="0" applyFont="1" applyFill="1"/>
    <xf numFmtId="175" fontId="12" fillId="4" borderId="0" xfId="0" applyNumberFormat="1" applyFont="1" applyFill="1"/>
    <xf numFmtId="0" fontId="11" fillId="0" borderId="0" xfId="0" applyFont="1" applyFill="1"/>
    <xf numFmtId="175" fontId="11" fillId="0" borderId="0" xfId="0" applyNumberFormat="1" applyFont="1" applyFill="1"/>
    <xf numFmtId="0" fontId="12" fillId="0" borderId="0" xfId="0" applyFont="1" applyFill="1"/>
    <xf numFmtId="175" fontId="12" fillId="0" borderId="0" xfId="0" applyNumberFormat="1" applyFont="1" applyFill="1"/>
    <xf numFmtId="1" fontId="7" fillId="4" borderId="0" xfId="0" applyNumberFormat="1" applyFont="1" applyFill="1" applyAlignment="1" applyProtection="1">
      <alignment horizontal="left"/>
      <protection locked="0"/>
    </xf>
    <xf numFmtId="0" fontId="0" fillId="0" borderId="0" xfId="0" applyProtection="1">
      <protection locked="0"/>
    </xf>
    <xf numFmtId="0" fontId="0" fillId="0" borderId="0" xfId="0" applyFill="1" applyProtection="1">
      <protection locked="0"/>
    </xf>
    <xf numFmtId="2" fontId="0" fillId="0" borderId="0" xfId="0" applyNumberFormat="1" applyProtection="1">
      <protection locked="0"/>
    </xf>
    <xf numFmtId="181" fontId="0" fillId="0" borderId="0" xfId="0" applyNumberFormat="1" applyProtection="1">
      <protection locked="0"/>
    </xf>
    <xf numFmtId="174" fontId="0" fillId="0" borderId="0" xfId="0" applyNumberFormat="1" applyProtection="1">
      <protection locked="0"/>
    </xf>
    <xf numFmtId="175" fontId="0" fillId="0" borderId="0" xfId="0" applyNumberFormat="1" applyProtection="1">
      <protection locked="0"/>
    </xf>
    <xf numFmtId="11" fontId="0" fillId="0" borderId="0" xfId="0" applyNumberFormat="1" applyProtection="1">
      <protection locked="0"/>
    </xf>
    <xf numFmtId="170" fontId="0" fillId="0" borderId="0" xfId="0" applyNumberFormat="1" applyProtection="1">
      <protection locked="0"/>
    </xf>
    <xf numFmtId="176" fontId="0" fillId="0" borderId="0" xfId="0" applyNumberFormat="1" applyProtection="1">
      <protection locked="0"/>
    </xf>
    <xf numFmtId="171" fontId="0" fillId="0" borderId="0" xfId="0" applyNumberFormat="1" applyProtection="1">
      <protection locked="0"/>
    </xf>
    <xf numFmtId="0" fontId="0" fillId="10" borderId="0" xfId="0" applyFill="1"/>
    <xf numFmtId="171" fontId="0" fillId="10" borderId="0" xfId="0" applyNumberFormat="1" applyFill="1"/>
    <xf numFmtId="2" fontId="0" fillId="10" borderId="0" xfId="0" applyNumberFormat="1" applyFill="1"/>
    <xf numFmtId="178" fontId="0" fillId="10" borderId="0" xfId="0" applyNumberFormat="1" applyFill="1"/>
    <xf numFmtId="0" fontId="7" fillId="10" borderId="0" xfId="0" applyFont="1" applyFill="1"/>
    <xf numFmtId="0" fontId="10" fillId="10" borderId="0" xfId="0" applyFont="1" applyFill="1"/>
    <xf numFmtId="178" fontId="0" fillId="0" borderId="0" xfId="0" applyNumberFormat="1" applyProtection="1">
      <protection locked="0"/>
    </xf>
    <xf numFmtId="2" fontId="0" fillId="4" borderId="9" xfId="0" applyNumberFormat="1" applyFill="1" applyBorder="1"/>
    <xf numFmtId="2" fontId="0" fillId="4" borderId="13" xfId="0" applyNumberFormat="1" applyFill="1" applyBorder="1"/>
    <xf numFmtId="2" fontId="0" fillId="2" borderId="14" xfId="0" applyNumberFormat="1" applyFill="1" applyBorder="1"/>
    <xf numFmtId="0" fontId="0" fillId="2" borderId="28" xfId="0" applyFill="1" applyBorder="1"/>
    <xf numFmtId="0" fontId="0" fillId="2" borderId="19" xfId="0" applyFill="1" applyBorder="1"/>
    <xf numFmtId="0" fontId="2" fillId="7" borderId="0" xfId="0" applyFont="1" applyFill="1"/>
    <xf numFmtId="0" fontId="0" fillId="10" borderId="15" xfId="0" applyFill="1" applyBorder="1" applyAlignment="1">
      <alignment horizontal="center" vertical="center"/>
    </xf>
    <xf numFmtId="0" fontId="0" fillId="4" borderId="0" xfId="0" applyFill="1" applyBorder="1"/>
    <xf numFmtId="0" fontId="0" fillId="4" borderId="28" xfId="0" applyFill="1" applyBorder="1"/>
    <xf numFmtId="0" fontId="0" fillId="15" borderId="0" xfId="0" applyFill="1" applyAlignment="1">
      <alignment wrapText="1"/>
    </xf>
    <xf numFmtId="0" fontId="0" fillId="0" borderId="0" xfId="0" applyFill="1" applyAlignment="1">
      <alignment horizontal="center" vertical="center" wrapText="1"/>
    </xf>
    <xf numFmtId="0" fontId="0" fillId="0" borderId="10" xfId="0" applyFill="1" applyBorder="1"/>
    <xf numFmtId="11" fontId="0" fillId="0" borderId="10" xfId="0" applyNumberFormat="1" applyFill="1" applyBorder="1"/>
    <xf numFmtId="11" fontId="0" fillId="4" borderId="0" xfId="0" applyNumberFormat="1" applyFill="1"/>
    <xf numFmtId="0" fontId="0" fillId="4" borderId="0" xfId="0" applyFill="1" applyBorder="1" applyAlignment="1">
      <alignment wrapText="1"/>
    </xf>
    <xf numFmtId="174" fontId="0" fillId="4" borderId="10" xfId="0" applyNumberFormat="1" applyFill="1" applyBorder="1"/>
    <xf numFmtId="182" fontId="0" fillId="0" borderId="0" xfId="0" applyNumberFormat="1"/>
    <xf numFmtId="182" fontId="0" fillId="0" borderId="0" xfId="0" applyNumberFormat="1" applyFill="1"/>
    <xf numFmtId="0" fontId="14" fillId="4" borderId="10" xfId="0" applyFont="1" applyFill="1" applyBorder="1"/>
    <xf numFmtId="0" fontId="11" fillId="4" borderId="28" xfId="0" applyFont="1" applyFill="1" applyBorder="1"/>
    <xf numFmtId="0" fontId="11" fillId="4" borderId="0" xfId="0" applyFont="1" applyFill="1" applyBorder="1"/>
    <xf numFmtId="175" fontId="0" fillId="4" borderId="10" xfId="0" applyNumberFormat="1" applyFill="1" applyBorder="1"/>
    <xf numFmtId="175" fontId="0" fillId="4" borderId="10" xfId="0" applyNumberFormat="1" applyFill="1" applyBorder="1" applyAlignment="1">
      <alignment wrapText="1"/>
    </xf>
    <xf numFmtId="0" fontId="0" fillId="0" borderId="0" xfId="0" applyFill="1" applyAlignment="1">
      <alignment horizontal="center"/>
    </xf>
    <xf numFmtId="172" fontId="0" fillId="0" borderId="0" xfId="0" applyNumberFormat="1" applyFill="1" applyBorder="1" applyProtection="1"/>
    <xf numFmtId="176" fontId="0" fillId="0" borderId="0" xfId="0" applyNumberFormat="1" applyFill="1" applyBorder="1" applyProtection="1"/>
    <xf numFmtId="175" fontId="0" fillId="0" borderId="0" xfId="0" applyNumberFormat="1" applyFill="1" applyBorder="1" applyProtection="1"/>
    <xf numFmtId="176" fontId="0" fillId="0" borderId="0" xfId="0" applyNumberFormat="1" applyFill="1"/>
    <xf numFmtId="171" fontId="0" fillId="0" borderId="0" xfId="0" applyNumberFormat="1" applyFill="1"/>
    <xf numFmtId="174" fontId="0" fillId="0" borderId="0" xfId="0" applyNumberFormat="1" applyFill="1"/>
    <xf numFmtId="0" fontId="15" fillId="0" borderId="0" xfId="0" applyFont="1"/>
    <xf numFmtId="1" fontId="0" fillId="15" borderId="0" xfId="0" applyNumberFormat="1" applyFill="1" applyBorder="1" applyAlignment="1" applyProtection="1">
      <alignment horizontal="center"/>
      <protection locked="0"/>
    </xf>
    <xf numFmtId="2" fontId="0" fillId="15" borderId="0" xfId="0" applyNumberFormat="1" applyFill="1" applyBorder="1" applyAlignment="1" applyProtection="1">
      <alignment horizontal="center"/>
      <protection locked="0"/>
    </xf>
    <xf numFmtId="0" fontId="0" fillId="15" borderId="0" xfId="0" applyFill="1" applyBorder="1" applyAlignment="1" applyProtection="1">
      <alignment horizontal="center"/>
      <protection locked="0"/>
    </xf>
    <xf numFmtId="15" fontId="0" fillId="0" borderId="0" xfId="0" applyNumberFormat="1"/>
    <xf numFmtId="0" fontId="0" fillId="15" borderId="0" xfId="0" applyFill="1"/>
    <xf numFmtId="0" fontId="0" fillId="16" borderId="0" xfId="0" applyFill="1"/>
    <xf numFmtId="11" fontId="0" fillId="0" borderId="0" xfId="0" applyNumberFormat="1" applyFill="1" applyBorder="1" applyProtection="1"/>
    <xf numFmtId="0" fontId="0" fillId="0" borderId="0" xfId="0" applyFill="1" applyBorder="1" applyAlignment="1">
      <alignment wrapText="1"/>
    </xf>
    <xf numFmtId="0" fontId="0" fillId="0" borderId="0" xfId="0" applyNumberFormat="1" applyFill="1" applyBorder="1" applyProtection="1"/>
    <xf numFmtId="0" fontId="0" fillId="0" borderId="0" xfId="0" applyAlignment="1"/>
    <xf numFmtId="169" fontId="7" fillId="0" borderId="0" xfId="0" applyNumberFormat="1" applyFont="1"/>
    <xf numFmtId="0" fontId="0" fillId="0" borderId="0" xfId="0" applyAlignment="1">
      <alignment horizontal="right"/>
    </xf>
    <xf numFmtId="15" fontId="0" fillId="7" borderId="0" xfId="0" applyNumberFormat="1" applyFill="1"/>
    <xf numFmtId="0" fontId="0" fillId="0" borderId="0" xfId="0" quotePrefix="1" applyFill="1" applyAlignment="1">
      <alignment horizontal="right"/>
    </xf>
    <xf numFmtId="0" fontId="0" fillId="0" borderId="0" xfId="0" quotePrefix="1" applyFill="1"/>
    <xf numFmtId="0" fontId="11" fillId="0" borderId="0" xfId="0" applyFont="1" applyFill="1" applyBorder="1"/>
    <xf numFmtId="0" fontId="7" fillId="4" borderId="0" xfId="0" applyFont="1" applyFill="1" applyBorder="1" applyAlignment="1">
      <alignment horizontal="right"/>
    </xf>
    <xf numFmtId="0" fontId="7" fillId="0" borderId="0" xfId="0" applyFont="1" applyBorder="1" applyAlignment="1">
      <alignment horizontal="right"/>
    </xf>
    <xf numFmtId="0" fontId="4" fillId="4" borderId="10" xfId="0" applyFont="1" applyFill="1" applyBorder="1" applyAlignment="1">
      <alignment horizontal="left"/>
    </xf>
    <xf numFmtId="0" fontId="7" fillId="0" borderId="28" xfId="0" applyFont="1" applyBorder="1" applyAlignment="1">
      <alignment horizontal="right"/>
    </xf>
    <xf numFmtId="0" fontId="7" fillId="0" borderId="28" xfId="0" applyFont="1" applyBorder="1"/>
    <xf numFmtId="0" fontId="0" fillId="4" borderId="28" xfId="0" applyFill="1" applyBorder="1" applyAlignment="1">
      <alignment wrapText="1"/>
    </xf>
    <xf numFmtId="0" fontId="0" fillId="0" borderId="28" xfId="0" quotePrefix="1" applyFill="1" applyBorder="1" applyAlignment="1">
      <alignment horizontal="right"/>
    </xf>
    <xf numFmtId="0" fontId="0" fillId="0" borderId="28" xfId="0" quotePrefix="1" applyFill="1" applyBorder="1"/>
    <xf numFmtId="0" fontId="0" fillId="4" borderId="9" xfId="0" applyFill="1" applyBorder="1"/>
    <xf numFmtId="0" fontId="0" fillId="4" borderId="13" xfId="0" applyFill="1" applyBorder="1"/>
    <xf numFmtId="0" fontId="0" fillId="4" borderId="14" xfId="0" applyFill="1" applyBorder="1"/>
    <xf numFmtId="0" fontId="0" fillId="0" borderId="17" xfId="0" applyFill="1" applyBorder="1"/>
    <xf numFmtId="0" fontId="0" fillId="0" borderId="19" xfId="0" applyFill="1" applyBorder="1"/>
    <xf numFmtId="0" fontId="0" fillId="16" borderId="10" xfId="0" applyFill="1" applyBorder="1"/>
    <xf numFmtId="11" fontId="0" fillId="16" borderId="10" xfId="0" applyNumberFormat="1" applyFill="1" applyBorder="1"/>
    <xf numFmtId="169" fontId="0" fillId="16" borderId="10" xfId="0" applyNumberFormat="1" applyFill="1" applyBorder="1"/>
    <xf numFmtId="176" fontId="0" fillId="16" borderId="10" xfId="0" applyNumberFormat="1" applyFill="1" applyBorder="1"/>
    <xf numFmtId="0" fontId="0" fillId="16" borderId="0" xfId="0" applyFill="1" applyBorder="1"/>
    <xf numFmtId="0" fontId="0" fillId="16" borderId="28" xfId="0" applyFill="1" applyBorder="1"/>
    <xf numFmtId="175" fontId="0" fillId="16" borderId="10" xfId="0" applyNumberFormat="1" applyFill="1" applyBorder="1" applyAlignment="1">
      <alignment wrapText="1"/>
    </xf>
    <xf numFmtId="0" fontId="7" fillId="16" borderId="10" xfId="0" applyFont="1" applyFill="1" applyBorder="1"/>
    <xf numFmtId="0" fontId="7" fillId="16" borderId="0" xfId="0" applyFont="1" applyFill="1" applyBorder="1"/>
    <xf numFmtId="170" fontId="0" fillId="16" borderId="10" xfId="0" applyNumberFormat="1" applyFill="1" applyBorder="1"/>
    <xf numFmtId="170" fontId="0" fillId="16" borderId="0" xfId="0" applyNumberFormat="1" applyFill="1" applyBorder="1"/>
    <xf numFmtId="0" fontId="0" fillId="16" borderId="11" xfId="0" applyFill="1" applyBorder="1"/>
    <xf numFmtId="1" fontId="0" fillId="7" borderId="0" xfId="0" applyNumberFormat="1" applyFill="1" applyAlignment="1">
      <alignment horizontal="center"/>
    </xf>
    <xf numFmtId="0" fontId="0" fillId="7" borderId="0" xfId="0" applyFill="1" applyAlignment="1">
      <alignment horizontal="center"/>
    </xf>
    <xf numFmtId="0" fontId="0" fillId="0" borderId="0" xfId="0" quotePrefix="1" applyFill="1" applyBorder="1" applyAlignment="1">
      <alignment horizontal="right"/>
    </xf>
    <xf numFmtId="0" fontId="0" fillId="0" borderId="0" xfId="0" quotePrefix="1" applyFill="1" applyBorder="1"/>
    <xf numFmtId="0" fontId="7" fillId="0" borderId="10" xfId="0" applyFont="1" applyBorder="1"/>
    <xf numFmtId="0" fontId="0" fillId="17" borderId="10" xfId="0" applyFill="1" applyBorder="1"/>
    <xf numFmtId="0" fontId="4" fillId="12" borderId="0" xfId="0" applyFont="1" applyFill="1" applyBorder="1"/>
    <xf numFmtId="0" fontId="0" fillId="17" borderId="0" xfId="0" applyFill="1" applyBorder="1"/>
    <xf numFmtId="0" fontId="4" fillId="0" borderId="0" xfId="0" applyFont="1" applyBorder="1" applyAlignment="1">
      <alignment horizontal="left"/>
    </xf>
    <xf numFmtId="0" fontId="0" fillId="17" borderId="18" xfId="0" applyFill="1" applyBorder="1"/>
    <xf numFmtId="0" fontId="4" fillId="12" borderId="18" xfId="0" applyFont="1" applyFill="1" applyBorder="1"/>
    <xf numFmtId="169" fontId="0" fillId="5" borderId="10" xfId="0" applyNumberFormat="1" applyFill="1" applyBorder="1"/>
    <xf numFmtId="0" fontId="0" fillId="5" borderId="10" xfId="0" applyFill="1" applyBorder="1"/>
    <xf numFmtId="0" fontId="2" fillId="5" borderId="10" xfId="0" applyFont="1" applyFill="1" applyBorder="1"/>
    <xf numFmtId="11" fontId="0" fillId="11" borderId="10" xfId="0" applyNumberFormat="1" applyFill="1" applyBorder="1"/>
    <xf numFmtId="0" fontId="0" fillId="5" borderId="0" xfId="0" applyFill="1" applyBorder="1"/>
    <xf numFmtId="0" fontId="0" fillId="11" borderId="10" xfId="0" applyFill="1" applyBorder="1"/>
    <xf numFmtId="176" fontId="0" fillId="5" borderId="10" xfId="0" applyNumberFormat="1" applyFill="1" applyBorder="1"/>
    <xf numFmtId="0" fontId="0" fillId="5" borderId="28" xfId="0" applyFill="1" applyBorder="1"/>
    <xf numFmtId="2" fontId="0" fillId="5" borderId="10" xfId="0" applyNumberFormat="1" applyFill="1" applyBorder="1"/>
    <xf numFmtId="175" fontId="0" fillId="12" borderId="10" xfId="0" applyNumberFormat="1" applyFill="1" applyBorder="1" applyAlignment="1">
      <alignment wrapText="1"/>
    </xf>
    <xf numFmtId="0" fontId="0" fillId="12" borderId="11" xfId="0" applyFill="1" applyBorder="1"/>
    <xf numFmtId="172" fontId="0" fillId="12" borderId="10" xfId="0" applyNumberFormat="1" applyFill="1" applyBorder="1"/>
    <xf numFmtId="11" fontId="0" fillId="12" borderId="10" xfId="0" applyNumberFormat="1" applyFill="1" applyBorder="1"/>
    <xf numFmtId="0" fontId="0" fillId="5" borderId="18" xfId="0" applyFill="1" applyBorder="1"/>
    <xf numFmtId="0" fontId="18" fillId="0" borderId="15"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1" fontId="18" fillId="0" borderId="12" xfId="0" applyNumberFormat="1" applyFont="1" applyBorder="1" applyAlignment="1">
      <alignment horizontal="center"/>
    </xf>
    <xf numFmtId="171" fontId="18" fillId="0" borderId="13" xfId="0" applyNumberFormat="1" applyFont="1" applyBorder="1" applyAlignment="1">
      <alignment horizontal="center"/>
    </xf>
    <xf numFmtId="171" fontId="18" fillId="0" borderId="12" xfId="0" applyNumberFormat="1" applyFont="1" applyBorder="1" applyAlignment="1">
      <alignment horizontal="center"/>
    </xf>
    <xf numFmtId="1" fontId="18" fillId="0" borderId="13" xfId="0" applyNumberFormat="1" applyFont="1" applyBorder="1" applyAlignment="1">
      <alignment horizontal="center"/>
    </xf>
    <xf numFmtId="169" fontId="18" fillId="0" borderId="12" xfId="0" applyNumberFormat="1" applyFont="1" applyBorder="1" applyAlignment="1">
      <alignment horizontal="center"/>
    </xf>
    <xf numFmtId="171" fontId="18" fillId="0" borderId="14" xfId="0" applyNumberFormat="1" applyFont="1" applyBorder="1" applyAlignment="1">
      <alignment horizontal="center"/>
    </xf>
    <xf numFmtId="1" fontId="18" fillId="0" borderId="18" xfId="0" applyNumberFormat="1" applyFont="1" applyBorder="1" applyAlignment="1">
      <alignment horizontal="center"/>
    </xf>
    <xf numFmtId="171" fontId="18" fillId="0" borderId="0" xfId="0" applyNumberFormat="1" applyFont="1" applyBorder="1" applyAlignment="1">
      <alignment horizontal="center"/>
    </xf>
    <xf numFmtId="171" fontId="18" fillId="0" borderId="18" xfId="0" applyNumberFormat="1" applyFont="1" applyBorder="1" applyAlignment="1">
      <alignment horizontal="center"/>
    </xf>
    <xf numFmtId="1" fontId="18" fillId="0" borderId="0" xfId="0" applyNumberFormat="1" applyFont="1" applyBorder="1" applyAlignment="1">
      <alignment horizontal="center"/>
    </xf>
    <xf numFmtId="169" fontId="18" fillId="0" borderId="18" xfId="0" applyNumberFormat="1" applyFont="1" applyBorder="1" applyAlignment="1">
      <alignment horizontal="center"/>
    </xf>
    <xf numFmtId="171" fontId="18" fillId="0" borderId="28" xfId="0" applyNumberFormat="1" applyFont="1" applyBorder="1" applyAlignment="1">
      <alignment horizontal="center"/>
    </xf>
    <xf numFmtId="2" fontId="18" fillId="0" borderId="0" xfId="0" applyNumberFormat="1" applyFont="1" applyBorder="1" applyAlignment="1">
      <alignment horizontal="center"/>
    </xf>
    <xf numFmtId="170" fontId="18" fillId="0" borderId="18" xfId="0" applyNumberFormat="1" applyFont="1" applyBorder="1" applyAlignment="1">
      <alignment horizontal="center"/>
    </xf>
    <xf numFmtId="1" fontId="18" fillId="0" borderId="16" xfId="0" applyNumberFormat="1" applyFont="1" applyBorder="1" applyAlignment="1">
      <alignment horizontal="center"/>
    </xf>
    <xf numFmtId="171" fontId="18" fillId="0" borderId="17" xfId="0" applyNumberFormat="1" applyFont="1" applyBorder="1" applyAlignment="1">
      <alignment horizontal="center"/>
    </xf>
    <xf numFmtId="171" fontId="18" fillId="0" borderId="16" xfId="0" applyNumberFormat="1" applyFont="1" applyBorder="1" applyAlignment="1">
      <alignment horizontal="center"/>
    </xf>
    <xf numFmtId="170" fontId="18" fillId="0" borderId="16" xfId="0" applyNumberFormat="1" applyFont="1" applyBorder="1" applyAlignment="1">
      <alignment horizontal="center"/>
    </xf>
    <xf numFmtId="171" fontId="18" fillId="0" borderId="19" xfId="0" applyNumberFormat="1" applyFont="1" applyBorder="1" applyAlignment="1">
      <alignment horizontal="center"/>
    </xf>
    <xf numFmtId="178" fontId="18" fillId="0" borderId="0" xfId="0" applyNumberFormat="1" applyFont="1" applyBorder="1" applyAlignment="1">
      <alignment horizontal="center"/>
    </xf>
    <xf numFmtId="170" fontId="18" fillId="0" borderId="0" xfId="0" applyNumberFormat="1" applyFont="1" applyBorder="1" applyAlignment="1">
      <alignment horizontal="center"/>
    </xf>
    <xf numFmtId="171" fontId="20" fillId="0" borderId="0" xfId="0" applyNumberFormat="1" applyFont="1" applyBorder="1" applyAlignment="1">
      <alignment horizontal="left"/>
    </xf>
    <xf numFmtId="0" fontId="20" fillId="0" borderId="0" xfId="0" applyFont="1"/>
    <xf numFmtId="170" fontId="18" fillId="0" borderId="12" xfId="0" applyNumberFormat="1" applyFont="1" applyBorder="1" applyAlignment="1">
      <alignment horizontal="center"/>
    </xf>
    <xf numFmtId="0" fontId="2" fillId="4" borderId="0" xfId="0" applyFont="1" applyFill="1"/>
    <xf numFmtId="171" fontId="0" fillId="7" borderId="0" xfId="0" applyNumberFormat="1" applyFill="1"/>
    <xf numFmtId="0" fontId="0" fillId="7" borderId="0" xfId="0" applyFill="1" applyAlignment="1">
      <alignment horizontal="left"/>
    </xf>
    <xf numFmtId="168" fontId="0" fillId="7" borderId="0" xfId="0" applyNumberFormat="1" applyFill="1" applyProtection="1"/>
    <xf numFmtId="165" fontId="0" fillId="18" borderId="0" xfId="0" applyNumberFormat="1" applyFill="1" applyProtection="1"/>
    <xf numFmtId="0" fontId="0" fillId="18" borderId="0" xfId="0" applyFill="1"/>
    <xf numFmtId="0" fontId="0" fillId="1" borderId="0" xfId="0" applyFill="1"/>
    <xf numFmtId="165" fontId="0" fillId="1" borderId="0" xfId="0" applyNumberFormat="1" applyFill="1" applyProtection="1"/>
    <xf numFmtId="167" fontId="0" fillId="1" borderId="0" xfId="0" applyNumberFormat="1" applyFill="1" applyProtection="1"/>
    <xf numFmtId="166" fontId="0" fillId="18" borderId="0" xfId="0" applyNumberFormat="1" applyFill="1" applyProtection="1"/>
    <xf numFmtId="166" fontId="0" fillId="1" borderId="0" xfId="0" applyNumberFormat="1" applyFill="1" applyProtection="1"/>
    <xf numFmtId="171" fontId="2" fillId="18" borderId="0" xfId="0" applyNumberFormat="1" applyFont="1" applyFill="1"/>
    <xf numFmtId="171" fontId="0" fillId="18" borderId="0" xfId="0" applyNumberFormat="1" applyFill="1"/>
    <xf numFmtId="171" fontId="0" fillId="1" borderId="0" xfId="0" applyNumberFormat="1" applyFill="1"/>
    <xf numFmtId="1" fontId="0" fillId="18" borderId="0" xfId="0" applyNumberFormat="1" applyFill="1"/>
    <xf numFmtId="0" fontId="21" fillId="2" borderId="0" xfId="0" applyFont="1" applyFill="1"/>
    <xf numFmtId="0" fontId="21" fillId="0" borderId="0" xfId="0" applyFont="1"/>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22" fillId="2" borderId="0" xfId="0" applyFont="1" applyFill="1"/>
    <xf numFmtId="0" fontId="14" fillId="0" borderId="0" xfId="0" applyFont="1"/>
    <xf numFmtId="0" fontId="0" fillId="6" borderId="1" xfId="0" applyFill="1" applyBorder="1" applyAlignment="1">
      <alignment wrapText="1"/>
    </xf>
    <xf numFmtId="0" fontId="0" fillId="12" borderId="0" xfId="0" applyFill="1"/>
    <xf numFmtId="0" fontId="0" fillId="0" borderId="29" xfId="0" applyBorder="1" applyAlignment="1">
      <alignment wrapText="1"/>
    </xf>
    <xf numFmtId="0" fontId="0" fillId="0" borderId="1" xfId="0" applyBorder="1" applyAlignment="1">
      <alignment wrapText="1"/>
    </xf>
    <xf numFmtId="0" fontId="0" fillId="12" borderId="29" xfId="0" applyFill="1" applyBorder="1" applyAlignment="1">
      <alignment wrapText="1"/>
    </xf>
    <xf numFmtId="0" fontId="0" fillId="12"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170" fontId="0" fillId="0" borderId="0" xfId="0" applyNumberFormat="1" applyFill="1"/>
    <xf numFmtId="0" fontId="0" fillId="12" borderId="10" xfId="0" applyFill="1" applyBorder="1"/>
    <xf numFmtId="2" fontId="0" fillId="8" borderId="0" xfId="0" applyNumberFormat="1" applyFill="1"/>
    <xf numFmtId="172" fontId="0" fillId="2" borderId="0" xfId="0" applyNumberFormat="1" applyFill="1"/>
    <xf numFmtId="170" fontId="2" fillId="0" borderId="0" xfId="0" applyNumberFormat="1" applyFont="1" applyBorder="1" applyAlignment="1">
      <alignment horizontal="left"/>
    </xf>
    <xf numFmtId="170" fontId="0" fillId="0" borderId="0" xfId="0" applyNumberFormat="1" applyFill="1" applyBorder="1" applyAlignment="1" applyProtection="1">
      <alignment horizontal="center"/>
    </xf>
    <xf numFmtId="0" fontId="0" fillId="17" borderId="15" xfId="0" applyFill="1" applyBorder="1"/>
    <xf numFmtId="0" fontId="0" fillId="2" borderId="1" xfId="0" applyFill="1" applyBorder="1" applyAlignment="1">
      <alignment horizontal="center" wrapText="1"/>
    </xf>
    <xf numFmtId="0" fontId="0" fillId="8" borderId="1" xfId="0" applyFill="1" applyBorder="1" applyAlignment="1">
      <alignment horizontal="center" wrapText="1"/>
    </xf>
    <xf numFmtId="0" fontId="0" fillId="4" borderId="0" xfId="0" applyFill="1" applyBorder="1" applyAlignment="1" applyProtection="1">
      <alignment horizontal="center"/>
      <protection locked="0"/>
    </xf>
    <xf numFmtId="0" fontId="7" fillId="0" borderId="0" xfId="0" applyFont="1" applyFill="1" applyAlignment="1">
      <alignment horizontal="center"/>
    </xf>
    <xf numFmtId="0" fontId="25" fillId="0" borderId="15" xfId="0" applyFont="1" applyFill="1" applyBorder="1" applyAlignment="1">
      <alignment horizontal="center" vertical="center" wrapText="1"/>
    </xf>
    <xf numFmtId="171" fontId="25" fillId="0" borderId="15" xfId="0" applyNumberFormat="1" applyFont="1" applyFill="1" applyBorder="1" applyAlignment="1">
      <alignment horizontal="center" vertical="center" wrapText="1"/>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25" fillId="0" borderId="18" xfId="0" applyFont="1" applyFill="1" applyBorder="1" applyAlignment="1">
      <alignment horizontal="center"/>
    </xf>
    <xf numFmtId="1" fontId="25" fillId="0" borderId="18" xfId="0" applyNumberFormat="1" applyFont="1" applyFill="1" applyBorder="1" applyAlignment="1">
      <alignment horizontal="center"/>
    </xf>
    <xf numFmtId="2" fontId="25" fillId="0" borderId="18" xfId="0" applyNumberFormat="1" applyFont="1" applyFill="1" applyBorder="1" applyAlignment="1">
      <alignment horizontal="center"/>
    </xf>
    <xf numFmtId="1" fontId="25" fillId="0" borderId="0" xfId="0" applyNumberFormat="1" applyFont="1" applyFill="1" applyAlignment="1">
      <alignment horizontal="center"/>
    </xf>
    <xf numFmtId="1" fontId="25" fillId="0" borderId="12" xfId="0" applyNumberFormat="1" applyFont="1" applyFill="1" applyBorder="1" applyAlignment="1">
      <alignment horizontal="center"/>
    </xf>
    <xf numFmtId="170" fontId="25" fillId="0" borderId="18" xfId="0" applyNumberFormat="1" applyFont="1" applyFill="1" applyBorder="1" applyAlignment="1">
      <alignment horizontal="center"/>
    </xf>
    <xf numFmtId="171" fontId="25" fillId="0" borderId="18" xfId="0" applyNumberFormat="1" applyFont="1" applyFill="1" applyBorder="1" applyAlignment="1">
      <alignment horizontal="center"/>
    </xf>
    <xf numFmtId="171" fontId="0" fillId="0" borderId="0" xfId="0" applyNumberFormat="1" applyAlignment="1">
      <alignment horizontal="right"/>
    </xf>
    <xf numFmtId="0" fontId="25" fillId="0" borderId="16" xfId="0" applyFont="1" applyFill="1" applyBorder="1" applyAlignment="1">
      <alignment horizontal="center"/>
    </xf>
    <xf numFmtId="171" fontId="25" fillId="0" borderId="16" xfId="0" applyNumberFormat="1" applyFont="1" applyFill="1" applyBorder="1" applyAlignment="1">
      <alignment horizontal="center"/>
    </xf>
    <xf numFmtId="2" fontId="25" fillId="0" borderId="16" xfId="0" applyNumberFormat="1" applyFont="1" applyFill="1" applyBorder="1" applyAlignment="1">
      <alignment horizontal="center"/>
    </xf>
    <xf numFmtId="170" fontId="25" fillId="0" borderId="16" xfId="0" applyNumberFormat="1" applyFont="1" applyFill="1" applyBorder="1" applyAlignment="1">
      <alignment horizontal="center"/>
    </xf>
    <xf numFmtId="0" fontId="18" fillId="0" borderId="0" xfId="0" applyFont="1" applyFill="1" applyAlignment="1">
      <alignment horizontal="center"/>
    </xf>
    <xf numFmtId="171" fontId="18" fillId="0" borderId="0" xfId="0" applyNumberFormat="1" applyFont="1" applyFill="1" applyAlignment="1">
      <alignment horizontal="center"/>
    </xf>
    <xf numFmtId="2" fontId="18" fillId="0" borderId="0" xfId="0" applyNumberFormat="1" applyFont="1" applyFill="1" applyAlignment="1">
      <alignment horizontal="center"/>
    </xf>
    <xf numFmtId="170" fontId="18" fillId="0" borderId="0" xfId="0" applyNumberFormat="1" applyFont="1" applyFill="1" applyAlignment="1">
      <alignment horizontal="center"/>
    </xf>
    <xf numFmtId="0" fontId="18" fillId="0" borderId="0" xfId="0" applyFont="1" applyFill="1" applyBorder="1" applyAlignment="1">
      <alignment horizontal="right" vertical="center" wrapText="1"/>
    </xf>
    <xf numFmtId="171" fontId="0" fillId="0" borderId="0" xfId="0" applyNumberFormat="1" applyFill="1" applyAlignment="1">
      <alignment horizontal="right"/>
    </xf>
    <xf numFmtId="0" fontId="20" fillId="0" borderId="0" xfId="0" applyFont="1" applyFill="1" applyAlignment="1">
      <alignment horizontal="center"/>
    </xf>
    <xf numFmtId="171" fontId="18" fillId="0" borderId="15" xfId="0" applyNumberFormat="1" applyFont="1" applyFill="1" applyBorder="1" applyAlignment="1">
      <alignment horizontal="center" vertical="center" wrapText="1"/>
    </xf>
    <xf numFmtId="1" fontId="2" fillId="0" borderId="0" xfId="0" applyNumberFormat="1" applyFont="1" applyFill="1" applyBorder="1" applyAlignment="1">
      <alignment horizontal="center" wrapText="1"/>
    </xf>
    <xf numFmtId="169" fontId="18" fillId="0" borderId="28" xfId="0" applyNumberFormat="1" applyFont="1" applyBorder="1" applyAlignment="1">
      <alignment horizontal="center"/>
    </xf>
    <xf numFmtId="170" fontId="18" fillId="0" borderId="28" xfId="0" applyNumberFormat="1" applyFont="1" applyBorder="1" applyAlignment="1">
      <alignment horizontal="center"/>
    </xf>
    <xf numFmtId="169" fontId="0" fillId="12" borderId="0" xfId="0" applyNumberFormat="1" applyFill="1"/>
    <xf numFmtId="0" fontId="7" fillId="0" borderId="0" xfId="0" quotePrefix="1" applyFont="1" applyFill="1" applyAlignment="1">
      <alignment horizontal="center"/>
    </xf>
    <xf numFmtId="169" fontId="25" fillId="0" borderId="18" xfId="0" applyNumberFormat="1" applyFont="1" applyFill="1" applyBorder="1" applyAlignment="1">
      <alignment horizontal="center"/>
    </xf>
    <xf numFmtId="0" fontId="20" fillId="0" borderId="0" xfId="0" quotePrefix="1" applyFont="1" applyFill="1" applyAlignment="1">
      <alignment horizontal="center"/>
    </xf>
    <xf numFmtId="1" fontId="0" fillId="0" borderId="0" xfId="0" applyNumberFormat="1" applyFill="1" applyBorder="1" applyAlignment="1" applyProtection="1">
      <alignment horizontal="center" wrapText="1"/>
      <protection locked="0"/>
    </xf>
    <xf numFmtId="17" fontId="4" fillId="4" borderId="10" xfId="0" applyNumberFormat="1" applyFont="1" applyFill="1" applyBorder="1" applyAlignment="1">
      <alignment horizontal="left"/>
    </xf>
    <xf numFmtId="0" fontId="0" fillId="12" borderId="0" xfId="0" applyFill="1" applyBorder="1"/>
    <xf numFmtId="180" fontId="0" fillId="5" borderId="0" xfId="0" applyNumberFormat="1" applyFill="1" applyBorder="1"/>
    <xf numFmtId="180" fontId="0" fillId="5" borderId="28" xfId="0" applyNumberFormat="1" applyFill="1" applyBorder="1"/>
    <xf numFmtId="175" fontId="0" fillId="5" borderId="10" xfId="0" applyNumberFormat="1" applyFill="1" applyBorder="1"/>
    <xf numFmtId="11" fontId="0" fillId="5" borderId="10" xfId="0" applyNumberFormat="1" applyFill="1" applyBorder="1"/>
    <xf numFmtId="174" fontId="0" fillId="5" borderId="10" xfId="0" applyNumberFormat="1" applyFill="1" applyBorder="1"/>
    <xf numFmtId="0" fontId="0" fillId="19" borderId="0" xfId="0" applyFill="1" applyBorder="1"/>
    <xf numFmtId="0" fontId="0" fillId="19" borderId="28" xfId="0" applyFill="1" applyBorder="1"/>
    <xf numFmtId="0" fontId="0" fillId="20" borderId="10" xfId="0" applyFill="1" applyBorder="1"/>
    <xf numFmtId="174" fontId="0" fillId="20" borderId="10" xfId="0" applyNumberFormat="1" applyFill="1" applyBorder="1"/>
    <xf numFmtId="172" fontId="0" fillId="20" borderId="10" xfId="0" applyNumberFormat="1" applyFill="1" applyBorder="1"/>
    <xf numFmtId="0" fontId="21" fillId="4" borderId="27" xfId="0" applyFont="1" applyFill="1" applyBorder="1"/>
    <xf numFmtId="0" fontId="0" fillId="4" borderId="26" xfId="0" applyFill="1" applyBorder="1"/>
    <xf numFmtId="1" fontId="0" fillId="7" borderId="0" xfId="0" applyNumberFormat="1" applyFill="1"/>
    <xf numFmtId="167" fontId="0" fillId="0" borderId="0" xfId="0" applyNumberFormat="1"/>
    <xf numFmtId="0" fontId="0" fillId="4" borderId="1" xfId="0" applyFill="1" applyBorder="1"/>
    <xf numFmtId="0" fontId="0" fillId="13" borderId="0" xfId="0" applyFill="1" applyBorder="1"/>
    <xf numFmtId="169" fontId="0" fillId="8" borderId="10" xfId="0" applyNumberFormat="1" applyFill="1" applyBorder="1"/>
    <xf numFmtId="0" fontId="4" fillId="0" borderId="28" xfId="0" applyFont="1" applyBorder="1" applyAlignment="1">
      <alignment horizontal="right"/>
    </xf>
    <xf numFmtId="0" fontId="2" fillId="8" borderId="10" xfId="0" applyFont="1" applyFill="1" applyBorder="1"/>
    <xf numFmtId="0" fontId="0" fillId="8" borderId="10" xfId="0" applyFill="1" applyBorder="1"/>
    <xf numFmtId="11" fontId="0" fillId="8" borderId="10" xfId="0" applyNumberFormat="1" applyFill="1" applyBorder="1"/>
    <xf numFmtId="174" fontId="0" fillId="8" borderId="10" xfId="0" applyNumberFormat="1" applyFill="1" applyBorder="1"/>
    <xf numFmtId="176" fontId="0" fillId="8" borderId="10" xfId="0" applyNumberFormat="1" applyFill="1" applyBorder="1"/>
    <xf numFmtId="180" fontId="0" fillId="8" borderId="0" xfId="0" applyNumberFormat="1" applyFill="1" applyBorder="1"/>
    <xf numFmtId="180" fontId="0" fillId="8" borderId="28" xfId="0" applyNumberFormat="1" applyFill="1" applyBorder="1"/>
    <xf numFmtId="175" fontId="0" fillId="8" borderId="10" xfId="0" applyNumberFormat="1" applyFill="1" applyBorder="1"/>
    <xf numFmtId="174" fontId="0" fillId="21" borderId="10" xfId="0" applyNumberFormat="1" applyFill="1" applyBorder="1"/>
    <xf numFmtId="172" fontId="0" fillId="21" borderId="10" xfId="0" applyNumberFormat="1" applyFill="1" applyBorder="1"/>
    <xf numFmtId="0" fontId="0" fillId="21" borderId="10" xfId="0" applyFill="1" applyBorder="1"/>
    <xf numFmtId="2" fontId="0" fillId="21" borderId="10" xfId="0" applyNumberFormat="1" applyFill="1" applyBorder="1"/>
    <xf numFmtId="172" fontId="0" fillId="8" borderId="10" xfId="0" applyNumberFormat="1" applyFill="1" applyBorder="1"/>
    <xf numFmtId="0" fontId="0" fillId="9" borderId="10" xfId="0" applyFill="1" applyBorder="1"/>
    <xf numFmtId="0" fontId="0" fillId="0" borderId="0" xfId="0" applyFill="1" applyBorder="1" applyAlignment="1">
      <alignment horizontal="center" vertical="center"/>
    </xf>
    <xf numFmtId="0" fontId="0" fillId="0" borderId="0" xfId="0" applyFill="1" applyBorder="1" applyAlignment="1">
      <alignment horizontal="center"/>
    </xf>
    <xf numFmtId="0" fontId="18" fillId="0" borderId="18" xfId="0" applyFont="1" applyFill="1" applyBorder="1" applyAlignment="1">
      <alignment horizontal="center"/>
    </xf>
    <xf numFmtId="0" fontId="0" fillId="2" borderId="15" xfId="0" applyFill="1" applyBorder="1"/>
    <xf numFmtId="0" fontId="0" fillId="10" borderId="15" xfId="0" applyFill="1" applyBorder="1" applyAlignment="1">
      <alignment vertical="center"/>
    </xf>
    <xf numFmtId="0" fontId="0" fillId="0" borderId="0" xfId="0" applyFill="1" applyBorder="1" applyAlignment="1">
      <alignment vertical="center"/>
    </xf>
    <xf numFmtId="0" fontId="0" fillId="10" borderId="15" xfId="0" applyFill="1" applyBorder="1" applyAlignment="1">
      <alignment horizontal="center"/>
    </xf>
    <xf numFmtId="0" fontId="18" fillId="10" borderId="15" xfId="0" applyFont="1" applyFill="1" applyBorder="1" applyAlignment="1">
      <alignment horizontal="center"/>
    </xf>
    <xf numFmtId="0" fontId="0" fillId="0" borderId="10" xfId="0" applyFill="1" applyBorder="1" applyAlignment="1">
      <alignment horizontal="center"/>
    </xf>
    <xf numFmtId="2" fontId="0" fillId="10" borderId="16" xfId="0" applyNumberFormat="1" applyFill="1" applyBorder="1" applyAlignment="1">
      <alignment wrapText="1"/>
    </xf>
    <xf numFmtId="0" fontId="4" fillId="10" borderId="15" xfId="0" applyFont="1" applyFill="1" applyBorder="1" applyAlignment="1">
      <alignment horizontal="center" vertical="center" wrapText="1"/>
    </xf>
    <xf numFmtId="0" fontId="4" fillId="4" borderId="0" xfId="0" applyFont="1" applyFill="1"/>
    <xf numFmtId="0" fontId="2" fillId="0" borderId="0" xfId="0" applyFont="1"/>
    <xf numFmtId="177" fontId="0" fillId="0" borderId="0" xfId="0" applyNumberFormat="1" applyBorder="1"/>
    <xf numFmtId="165" fontId="2" fillId="22" borderId="0" xfId="0" applyNumberFormat="1" applyFont="1" applyFill="1" applyProtection="1"/>
    <xf numFmtId="0" fontId="0" fillId="22" borderId="0" xfId="0" applyFill="1"/>
    <xf numFmtId="171" fontId="2" fillId="4" borderId="0" xfId="0" applyNumberFormat="1" applyFont="1" applyFill="1"/>
    <xf numFmtId="167" fontId="0" fillId="7" borderId="0" xfId="0" applyNumberFormat="1" applyFill="1" applyProtection="1"/>
    <xf numFmtId="11" fontId="0" fillId="23" borderId="10" xfId="0" applyNumberFormat="1" applyFill="1" applyBorder="1"/>
    <xf numFmtId="0" fontId="2" fillId="23" borderId="0" xfId="0" applyFont="1" applyFill="1" applyBorder="1"/>
    <xf numFmtId="0" fontId="2" fillId="23" borderId="0" xfId="0" applyFont="1" applyFill="1"/>
    <xf numFmtId="0" fontId="0" fillId="23" borderId="0" xfId="0" applyFill="1"/>
    <xf numFmtId="0" fontId="25" fillId="0" borderId="15" xfId="0" applyFont="1" applyBorder="1" applyAlignment="1">
      <alignment horizontal="center" vertical="center" wrapText="1"/>
    </xf>
    <xf numFmtId="0" fontId="2" fillId="0" borderId="1" xfId="0" applyFont="1" applyFill="1" applyBorder="1" applyAlignment="1">
      <alignment wrapText="1"/>
    </xf>
    <xf numFmtId="0" fontId="2" fillId="0" borderId="1" xfId="0" applyFont="1" applyBorder="1" applyAlignment="1">
      <alignment wrapText="1"/>
    </xf>
    <xf numFmtId="170" fontId="0" fillId="10" borderId="0" xfId="0" applyNumberFormat="1" applyFill="1"/>
    <xf numFmtId="0" fontId="4" fillId="0" borderId="0" xfId="0" applyFont="1" applyBorder="1" applyAlignment="1">
      <alignment horizontal="right"/>
    </xf>
    <xf numFmtId="0" fontId="11" fillId="0" borderId="0" xfId="0" applyFont="1"/>
    <xf numFmtId="17" fontId="2" fillId="4" borderId="10" xfId="0" applyNumberFormat="1" applyFont="1" applyFill="1" applyBorder="1" applyAlignment="1">
      <alignment horizontal="left"/>
    </xf>
    <xf numFmtId="0" fontId="2" fillId="4" borderId="10" xfId="0" applyFont="1" applyFill="1" applyBorder="1" applyAlignment="1">
      <alignment horizontal="left"/>
    </xf>
    <xf numFmtId="0" fontId="2" fillId="0" borderId="0" xfId="0" applyFont="1" applyBorder="1" applyAlignment="1">
      <alignment horizontal="left"/>
    </xf>
    <xf numFmtId="0" fontId="2" fillId="8" borderId="0" xfId="0" applyFont="1" applyFill="1" applyBorder="1"/>
    <xf numFmtId="0" fontId="2" fillId="8" borderId="28" xfId="0" applyFont="1" applyFill="1" applyBorder="1" applyAlignment="1">
      <alignment horizontal="right"/>
    </xf>
    <xf numFmtId="0" fontId="2" fillId="13" borderId="28" xfId="0" applyFont="1" applyFill="1" applyBorder="1" applyAlignment="1">
      <alignment horizontal="right"/>
    </xf>
    <xf numFmtId="0" fontId="2" fillId="17" borderId="28" xfId="0" applyFont="1" applyFill="1" applyBorder="1" applyAlignment="1">
      <alignment horizontal="right"/>
    </xf>
    <xf numFmtId="0" fontId="2" fillId="0" borderId="28" xfId="0" applyFont="1" applyBorder="1" applyAlignment="1">
      <alignment horizontal="right"/>
    </xf>
    <xf numFmtId="2" fontId="0" fillId="8" borderId="10" xfId="0" applyNumberFormat="1" applyFill="1" applyBorder="1"/>
    <xf numFmtId="0" fontId="2" fillId="22" borderId="0" xfId="0" applyFont="1" applyFill="1" applyBorder="1"/>
    <xf numFmtId="0" fontId="4" fillId="22" borderId="28" xfId="0" applyFont="1" applyFill="1" applyBorder="1" applyAlignment="1">
      <alignment horizontal="right"/>
    </xf>
    <xf numFmtId="0" fontId="4" fillId="22" borderId="0" xfId="0" applyFont="1" applyFill="1" applyBorder="1" applyAlignment="1">
      <alignment horizontal="right"/>
    </xf>
    <xf numFmtId="0" fontId="0" fillId="24" borderId="0" xfId="0" applyFill="1" applyBorder="1"/>
    <xf numFmtId="0" fontId="4" fillId="24" borderId="28" xfId="0" applyFont="1" applyFill="1" applyBorder="1" applyAlignment="1">
      <alignment horizontal="right"/>
    </xf>
    <xf numFmtId="0" fontId="4" fillId="24" borderId="0" xfId="0" applyFont="1" applyFill="1" applyBorder="1" applyAlignment="1">
      <alignment horizontal="right"/>
    </xf>
    <xf numFmtId="0" fontId="2" fillId="11" borderId="0" xfId="0" applyFont="1" applyFill="1" applyBorder="1"/>
    <xf numFmtId="0" fontId="4" fillId="11" borderId="0" xfId="0" applyFont="1" applyFill="1" applyBorder="1" applyAlignment="1">
      <alignment horizontal="right"/>
    </xf>
    <xf numFmtId="0" fontId="0" fillId="24" borderId="10" xfId="0" applyFill="1" applyBorder="1"/>
    <xf numFmtId="0" fontId="2" fillId="24" borderId="10" xfId="0" applyFont="1" applyFill="1" applyBorder="1"/>
    <xf numFmtId="0" fontId="0" fillId="22" borderId="0" xfId="0" applyFill="1" applyBorder="1"/>
    <xf numFmtId="0" fontId="2" fillId="0" borderId="0" xfId="0" applyFont="1" applyFill="1" applyBorder="1"/>
    <xf numFmtId="170" fontId="0" fillId="0" borderId="28" xfId="0" applyNumberFormat="1" applyFill="1" applyBorder="1"/>
    <xf numFmtId="0" fontId="2" fillId="24" borderId="0" xfId="0" applyFont="1" applyFill="1" applyBorder="1" applyAlignment="1">
      <alignment wrapText="1"/>
    </xf>
    <xf numFmtId="0" fontId="2" fillId="0" borderId="0" xfId="0" applyFont="1" applyBorder="1"/>
    <xf numFmtId="0" fontId="2" fillId="22" borderId="9" xfId="0" applyFont="1" applyFill="1" applyBorder="1"/>
    <xf numFmtId="0" fontId="0" fillId="22" borderId="13" xfId="0" applyFill="1" applyBorder="1"/>
    <xf numFmtId="17" fontId="4" fillId="22" borderId="10" xfId="0" applyNumberFormat="1" applyFont="1" applyFill="1" applyBorder="1" applyAlignment="1">
      <alignment horizontal="left"/>
    </xf>
    <xf numFmtId="0" fontId="7" fillId="22" borderId="0" xfId="0" applyFont="1" applyFill="1" applyBorder="1" applyAlignment="1">
      <alignment horizontal="right"/>
    </xf>
    <xf numFmtId="0" fontId="2" fillId="22" borderId="10" xfId="0" applyFont="1" applyFill="1" applyBorder="1" applyAlignment="1">
      <alignment horizontal="left"/>
    </xf>
    <xf numFmtId="0" fontId="0" fillId="22" borderId="14" xfId="0" applyFill="1" applyBorder="1"/>
    <xf numFmtId="0" fontId="2" fillId="11" borderId="28" xfId="0" applyFont="1" applyFill="1" applyBorder="1" applyAlignment="1">
      <alignment horizontal="right"/>
    </xf>
    <xf numFmtId="169" fontId="0" fillId="11" borderId="10" xfId="0" applyNumberFormat="1" applyFill="1" applyBorder="1"/>
    <xf numFmtId="172" fontId="0" fillId="11" borderId="10" xfId="0" applyNumberFormat="1" applyFill="1" applyBorder="1"/>
    <xf numFmtId="0" fontId="2" fillId="11" borderId="10" xfId="0" applyFont="1" applyFill="1" applyBorder="1"/>
    <xf numFmtId="174" fontId="0" fillId="11" borderId="10" xfId="0" applyNumberFormat="1" applyFill="1" applyBorder="1"/>
    <xf numFmtId="176" fontId="0" fillId="11" borderId="10" xfId="0" applyNumberFormat="1" applyFill="1" applyBorder="1"/>
    <xf numFmtId="180" fontId="0" fillId="11" borderId="0" xfId="0" applyNumberFormat="1" applyFill="1" applyBorder="1"/>
    <xf numFmtId="180" fontId="0" fillId="11" borderId="28" xfId="0" applyNumberFormat="1" applyFill="1" applyBorder="1"/>
    <xf numFmtId="175" fontId="0" fillId="11" borderId="10" xfId="0" applyNumberFormat="1" applyFill="1" applyBorder="1"/>
    <xf numFmtId="2" fontId="0" fillId="11" borderId="0" xfId="0" applyNumberFormat="1" applyFill="1"/>
    <xf numFmtId="2" fontId="0" fillId="11" borderId="10" xfId="0" applyNumberFormat="1" applyFill="1" applyBorder="1"/>
    <xf numFmtId="174" fontId="0" fillId="25" borderId="10" xfId="0" applyNumberFormat="1" applyFill="1" applyBorder="1"/>
    <xf numFmtId="172" fontId="0" fillId="25" borderId="10" xfId="0" applyNumberFormat="1" applyFill="1" applyBorder="1"/>
    <xf numFmtId="0" fontId="0" fillId="25" borderId="10" xfId="0" applyFill="1" applyBorder="1"/>
    <xf numFmtId="2" fontId="0" fillId="25" borderId="10" xfId="0" applyNumberFormat="1" applyFill="1" applyBorder="1"/>
    <xf numFmtId="0" fontId="0" fillId="11" borderId="0" xfId="0" applyFill="1"/>
    <xf numFmtId="0" fontId="2" fillId="11" borderId="0" xfId="0" applyFont="1" applyFill="1" applyBorder="1" applyAlignment="1">
      <alignment horizontal="right"/>
    </xf>
    <xf numFmtId="170" fontId="0" fillId="0" borderId="0" xfId="0" applyNumberFormat="1" applyFill="1" applyBorder="1"/>
    <xf numFmtId="174" fontId="0" fillId="26" borderId="10" xfId="0" applyNumberFormat="1" applyFill="1" applyBorder="1"/>
    <xf numFmtId="2" fontId="0" fillId="26" borderId="10" xfId="0" applyNumberFormat="1" applyFill="1" applyBorder="1"/>
    <xf numFmtId="0" fontId="0" fillId="27" borderId="0" xfId="0" applyFill="1"/>
    <xf numFmtId="0" fontId="2" fillId="28" borderId="0" xfId="0" applyFont="1" applyFill="1"/>
    <xf numFmtId="0" fontId="0" fillId="28" borderId="0" xfId="0" applyFill="1"/>
    <xf numFmtId="169" fontId="0" fillId="7" borderId="0" xfId="0" applyNumberFormat="1" applyFill="1" applyAlignment="1">
      <alignment horizontal="center"/>
    </xf>
    <xf numFmtId="0" fontId="0" fillId="0" borderId="10" xfId="0" applyFill="1" applyBorder="1" applyAlignment="1">
      <alignment horizontal="center" vertical="center" wrapText="1"/>
    </xf>
    <xf numFmtId="2" fontId="7" fillId="9" borderId="0" xfId="0" applyNumberFormat="1" applyFont="1" applyFill="1"/>
    <xf numFmtId="2" fontId="0" fillId="6" borderId="2" xfId="0" applyNumberFormat="1" applyFill="1" applyBorder="1"/>
    <xf numFmtId="2" fontId="0" fillId="6" borderId="0" xfId="0" applyNumberFormat="1" applyFill="1" applyBorder="1"/>
    <xf numFmtId="171" fontId="0" fillId="4" borderId="0" xfId="0" applyNumberFormat="1" applyFill="1" applyBorder="1" applyAlignment="1" applyProtection="1">
      <alignment horizontal="center"/>
      <protection locked="0"/>
    </xf>
    <xf numFmtId="171" fontId="7" fillId="0" borderId="0" xfId="0" applyNumberFormat="1" applyFont="1" applyFill="1" applyBorder="1" applyAlignment="1">
      <alignment horizontal="left"/>
    </xf>
    <xf numFmtId="0" fontId="7" fillId="0" borderId="0" xfId="0" applyFont="1" applyFill="1"/>
    <xf numFmtId="171" fontId="33" fillId="0" borderId="0" xfId="0" applyNumberFormat="1" applyFont="1" applyFill="1" applyBorder="1" applyAlignment="1">
      <alignment horizontal="center"/>
    </xf>
    <xf numFmtId="2" fontId="33" fillId="0" borderId="0" xfId="0" applyNumberFormat="1" applyFont="1" applyFill="1" applyBorder="1" applyAlignment="1">
      <alignment horizontal="center"/>
    </xf>
    <xf numFmtId="178" fontId="33" fillId="0" borderId="0" xfId="0" applyNumberFormat="1" applyFont="1" applyFill="1" applyBorder="1" applyAlignment="1">
      <alignment horizontal="center"/>
    </xf>
    <xf numFmtId="170" fontId="33" fillId="0" borderId="0" xfId="0" applyNumberFormat="1" applyFont="1" applyFill="1" applyBorder="1" applyAlignment="1">
      <alignment horizontal="center"/>
    </xf>
    <xf numFmtId="1" fontId="33" fillId="0" borderId="0" xfId="0" applyNumberFormat="1" applyFont="1" applyFill="1" applyBorder="1" applyAlignment="1">
      <alignment horizontal="center"/>
    </xf>
    <xf numFmtId="0" fontId="18" fillId="0" borderId="15" xfId="0" applyFont="1" applyFill="1" applyBorder="1" applyAlignment="1">
      <alignment horizontal="center" vertical="center" wrapText="1"/>
    </xf>
    <xf numFmtId="0" fontId="18" fillId="0" borderId="13" xfId="0" applyFont="1" applyFill="1" applyBorder="1" applyAlignment="1">
      <alignment horizontal="center" vertical="center" wrapText="1"/>
    </xf>
    <xf numFmtId="0" fontId="18" fillId="0" borderId="14" xfId="0" applyFont="1" applyFill="1" applyBorder="1" applyAlignment="1">
      <alignment horizontal="center" vertical="center" wrapText="1"/>
    </xf>
    <xf numFmtId="171" fontId="0" fillId="0" borderId="0" xfId="0" applyNumberFormat="1" applyFill="1" applyAlignment="1">
      <alignment horizontal="center"/>
    </xf>
    <xf numFmtId="0" fontId="0" fillId="0" borderId="15" xfId="0" applyFill="1" applyBorder="1" applyAlignment="1">
      <alignment horizontal="center" vertical="center" wrapText="1"/>
    </xf>
    <xf numFmtId="0" fontId="7" fillId="0" borderId="0" xfId="0" applyFont="1" applyFill="1" applyAlignment="1">
      <alignment horizontal="left"/>
    </xf>
    <xf numFmtId="0" fontId="2" fillId="0" borderId="0" xfId="0" applyFont="1" applyFill="1" applyBorder="1" applyAlignment="1">
      <alignment horizontal="center" vertical="center" wrapText="1"/>
    </xf>
    <xf numFmtId="0" fontId="2" fillId="0" borderId="15" xfId="0" applyFont="1" applyFill="1" applyBorder="1" applyAlignment="1">
      <alignment horizontal="center" vertical="center" wrapText="1"/>
    </xf>
    <xf numFmtId="1" fontId="2" fillId="0" borderId="15" xfId="0" applyNumberFormat="1" applyFont="1" applyFill="1" applyBorder="1" applyAlignment="1">
      <alignment horizontal="center" vertical="center" wrapText="1"/>
    </xf>
    <xf numFmtId="171" fontId="33" fillId="0" borderId="15" xfId="0" applyNumberFormat="1" applyFont="1" applyFill="1" applyBorder="1" applyAlignment="1">
      <alignment horizontal="center" vertical="center" wrapText="1"/>
    </xf>
    <xf numFmtId="0" fontId="2" fillId="0" borderId="13" xfId="0" applyFont="1" applyFill="1" applyBorder="1" applyAlignment="1">
      <alignment horizontal="center" vertical="center" wrapText="1"/>
    </xf>
    <xf numFmtId="0" fontId="33" fillId="0" borderId="15" xfId="0" applyFont="1" applyFill="1" applyBorder="1" applyAlignment="1">
      <alignment horizontal="center" vertical="center" wrapText="1"/>
    </xf>
    <xf numFmtId="0" fontId="0" fillId="0" borderId="14" xfId="0" applyFill="1" applyBorder="1" applyAlignment="1">
      <alignment horizontal="center" vertical="center" wrapText="1"/>
    </xf>
    <xf numFmtId="1" fontId="33" fillId="0" borderId="0" xfId="0" applyNumberFormat="1" applyFont="1" applyFill="1" applyBorder="1" applyAlignment="1">
      <alignment horizontal="center" wrapText="1"/>
    </xf>
    <xf numFmtId="170" fontId="0" fillId="0" borderId="0" xfId="0" applyNumberFormat="1" applyFill="1" applyAlignment="1">
      <alignment horizontal="center"/>
    </xf>
    <xf numFmtId="0" fontId="0" fillId="0" borderId="0" xfId="0" applyFill="1" applyAlignment="1">
      <alignment wrapText="1"/>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171" fontId="33" fillId="0" borderId="13" xfId="0" applyNumberFormat="1" applyFont="1" applyFill="1" applyBorder="1" applyAlignment="1">
      <alignment horizontal="center" vertical="center" wrapText="1"/>
    </xf>
    <xf numFmtId="0" fontId="33" fillId="0" borderId="13"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0" fillId="0" borderId="12" xfId="0" applyFill="1" applyBorder="1" applyAlignment="1">
      <alignment horizontal="center" vertical="center" wrapText="1"/>
    </xf>
    <xf numFmtId="1" fontId="18" fillId="0" borderId="18" xfId="0" applyNumberFormat="1" applyFont="1" applyFill="1" applyBorder="1" applyAlignment="1">
      <alignment horizontal="center"/>
    </xf>
    <xf numFmtId="171" fontId="18" fillId="0" borderId="18" xfId="0" applyNumberFormat="1" applyFont="1" applyFill="1" applyBorder="1" applyAlignment="1">
      <alignment horizontal="center"/>
    </xf>
    <xf numFmtId="170" fontId="18" fillId="0" borderId="12" xfId="0" applyNumberFormat="1" applyFont="1" applyFill="1" applyBorder="1" applyAlignment="1">
      <alignment horizontal="center"/>
    </xf>
    <xf numFmtId="170" fontId="18" fillId="0" borderId="18" xfId="0" applyNumberFormat="1" applyFont="1" applyFill="1" applyBorder="1" applyAlignment="1">
      <alignment horizontal="center"/>
    </xf>
    <xf numFmtId="171" fontId="18" fillId="0" borderId="14" xfId="0" applyNumberFormat="1" applyFont="1" applyFill="1" applyBorder="1" applyAlignment="1">
      <alignment horizontal="center"/>
    </xf>
    <xf numFmtId="171" fontId="18" fillId="0" borderId="0" xfId="0" applyNumberFormat="1" applyFont="1" applyFill="1" applyBorder="1" applyAlignment="1">
      <alignment horizontal="center"/>
    </xf>
    <xf numFmtId="169" fontId="18" fillId="0" borderId="18" xfId="0" applyNumberFormat="1" applyFont="1" applyFill="1" applyBorder="1" applyAlignment="1">
      <alignment horizontal="center"/>
    </xf>
    <xf numFmtId="1" fontId="18" fillId="0" borderId="0" xfId="0" applyNumberFormat="1" applyFont="1" applyFill="1" applyBorder="1" applyAlignment="1">
      <alignment horizontal="center"/>
    </xf>
    <xf numFmtId="171" fontId="18" fillId="0" borderId="28" xfId="0" applyNumberFormat="1" applyFont="1" applyFill="1" applyBorder="1" applyAlignment="1">
      <alignment horizontal="center"/>
    </xf>
    <xf numFmtId="1" fontId="0" fillId="0" borderId="18" xfId="0" applyNumberFormat="1" applyFill="1" applyBorder="1" applyAlignment="1">
      <alignment horizontal="center"/>
    </xf>
    <xf numFmtId="170" fontId="0" fillId="0" borderId="18" xfId="0" applyNumberFormat="1" applyFill="1" applyBorder="1" applyAlignment="1">
      <alignment horizontal="center"/>
    </xf>
    <xf numFmtId="171" fontId="0" fillId="0" borderId="18" xfId="0" applyNumberFormat="1" applyFill="1" applyBorder="1" applyAlignment="1">
      <alignment horizontal="center"/>
    </xf>
    <xf numFmtId="169" fontId="0" fillId="0" borderId="0" xfId="0" applyNumberFormat="1" applyFill="1"/>
    <xf numFmtId="2" fontId="0" fillId="0" borderId="0" xfId="0" applyNumberFormat="1" applyFill="1"/>
    <xf numFmtId="1" fontId="33" fillId="0" borderId="18" xfId="0" applyNumberFormat="1" applyFont="1" applyFill="1" applyBorder="1" applyAlignment="1">
      <alignment horizontal="center"/>
    </xf>
    <xf numFmtId="171" fontId="33" fillId="0" borderId="18" xfId="0" applyNumberFormat="1" applyFont="1" applyFill="1" applyBorder="1" applyAlignment="1">
      <alignment horizontal="center"/>
    </xf>
    <xf numFmtId="170" fontId="33" fillId="0" borderId="18" xfId="0" applyNumberFormat="1" applyFont="1" applyFill="1" applyBorder="1" applyAlignment="1">
      <alignment horizontal="center"/>
    </xf>
    <xf numFmtId="171" fontId="33" fillId="0" borderId="28" xfId="0" applyNumberFormat="1" applyFont="1" applyFill="1" applyBorder="1" applyAlignment="1">
      <alignment horizontal="center"/>
    </xf>
    <xf numFmtId="1" fontId="33" fillId="0" borderId="0" xfId="0" applyNumberFormat="1" applyFont="1" applyFill="1" applyBorder="1" applyAlignment="1">
      <alignment horizontal="left"/>
    </xf>
    <xf numFmtId="1" fontId="33" fillId="0" borderId="10" xfId="0" applyNumberFormat="1" applyFont="1" applyFill="1" applyBorder="1" applyAlignment="1">
      <alignment horizontal="center"/>
    </xf>
    <xf numFmtId="1" fontId="0" fillId="0" borderId="0" xfId="0" applyNumberFormat="1" applyFill="1"/>
    <xf numFmtId="1" fontId="0" fillId="0" borderId="0" xfId="0" applyNumberFormat="1" applyFill="1" applyAlignment="1">
      <alignment horizontal="center"/>
    </xf>
    <xf numFmtId="2" fontId="18" fillId="0" borderId="0" xfId="0" applyNumberFormat="1" applyFont="1" applyFill="1" applyBorder="1" applyAlignment="1">
      <alignment horizontal="center"/>
    </xf>
    <xf numFmtId="1" fontId="0" fillId="0" borderId="16" xfId="0" applyNumberFormat="1" applyFill="1" applyBorder="1" applyAlignment="1">
      <alignment horizontal="center"/>
    </xf>
    <xf numFmtId="170" fontId="0" fillId="0" borderId="16" xfId="0" applyNumberFormat="1" applyFill="1" applyBorder="1" applyAlignment="1">
      <alignment horizontal="center"/>
    </xf>
    <xf numFmtId="171" fontId="0" fillId="0" borderId="16" xfId="0" applyNumberFormat="1" applyFill="1" applyBorder="1" applyAlignment="1">
      <alignment horizontal="center"/>
    </xf>
    <xf numFmtId="1" fontId="18" fillId="0" borderId="16" xfId="0" applyNumberFormat="1" applyFont="1" applyFill="1" applyBorder="1" applyAlignment="1">
      <alignment horizontal="center"/>
    </xf>
    <xf numFmtId="171" fontId="18" fillId="0" borderId="17" xfId="0" applyNumberFormat="1" applyFont="1" applyFill="1" applyBorder="1" applyAlignment="1">
      <alignment horizontal="center"/>
    </xf>
    <xf numFmtId="171" fontId="18" fillId="0" borderId="16" xfId="0" applyNumberFormat="1" applyFont="1" applyFill="1" applyBorder="1" applyAlignment="1">
      <alignment horizontal="center"/>
    </xf>
    <xf numFmtId="178" fontId="18" fillId="0" borderId="16" xfId="0" applyNumberFormat="1" applyFont="1" applyFill="1" applyBorder="1" applyAlignment="1">
      <alignment horizontal="center"/>
    </xf>
    <xf numFmtId="170" fontId="18" fillId="0" borderId="16" xfId="0" applyNumberFormat="1" applyFont="1" applyFill="1" applyBorder="1" applyAlignment="1">
      <alignment horizontal="center"/>
    </xf>
    <xf numFmtId="171" fontId="18" fillId="0" borderId="19" xfId="0" applyNumberFormat="1" applyFont="1" applyFill="1" applyBorder="1" applyAlignment="1">
      <alignment horizontal="center"/>
    </xf>
    <xf numFmtId="178" fontId="18" fillId="0" borderId="17" xfId="0" applyNumberFormat="1" applyFont="1" applyFill="1" applyBorder="1" applyAlignment="1">
      <alignment horizontal="center"/>
    </xf>
    <xf numFmtId="1" fontId="33" fillId="0" borderId="29" xfId="0" applyNumberFormat="1" applyFont="1" applyFill="1" applyBorder="1" applyAlignment="1">
      <alignment horizontal="center"/>
    </xf>
    <xf numFmtId="1" fontId="33" fillId="0" borderId="1" xfId="0" applyNumberFormat="1" applyFont="1" applyFill="1" applyBorder="1" applyAlignment="1">
      <alignment horizontal="center"/>
    </xf>
    <xf numFmtId="2" fontId="33" fillId="0" borderId="1" xfId="0" applyNumberFormat="1" applyFont="1" applyFill="1" applyBorder="1" applyAlignment="1">
      <alignment horizontal="center"/>
    </xf>
    <xf numFmtId="178" fontId="33" fillId="0" borderId="1" xfId="0" applyNumberFormat="1" applyFont="1" applyFill="1" applyBorder="1" applyAlignment="1">
      <alignment horizontal="center"/>
    </xf>
    <xf numFmtId="170" fontId="33" fillId="0" borderId="1" xfId="0" applyNumberFormat="1" applyFont="1" applyFill="1" applyBorder="1" applyAlignment="1">
      <alignment horizontal="center"/>
    </xf>
    <xf numFmtId="171" fontId="33" fillId="0" borderId="30" xfId="0" applyNumberFormat="1" applyFont="1" applyFill="1" applyBorder="1" applyAlignment="1">
      <alignment horizontal="center"/>
    </xf>
    <xf numFmtId="1" fontId="33" fillId="0" borderId="16" xfId="0" applyNumberFormat="1" applyFont="1" applyFill="1" applyBorder="1" applyAlignment="1">
      <alignment horizontal="center"/>
    </xf>
    <xf numFmtId="1" fontId="33" fillId="0" borderId="17" xfId="0" applyNumberFormat="1" applyFont="1" applyFill="1" applyBorder="1" applyAlignment="1">
      <alignment horizontal="center"/>
    </xf>
    <xf numFmtId="171" fontId="33" fillId="0" borderId="16" xfId="0" applyNumberFormat="1" applyFont="1" applyFill="1" applyBorder="1" applyAlignment="1">
      <alignment horizontal="center"/>
    </xf>
    <xf numFmtId="178" fontId="33" fillId="0" borderId="17" xfId="0" applyNumberFormat="1" applyFont="1" applyFill="1" applyBorder="1" applyAlignment="1">
      <alignment horizontal="center"/>
    </xf>
    <xf numFmtId="170" fontId="33" fillId="0" borderId="16" xfId="0" applyNumberFormat="1" applyFont="1" applyFill="1" applyBorder="1" applyAlignment="1">
      <alignment horizontal="center"/>
    </xf>
    <xf numFmtId="171" fontId="33" fillId="0" borderId="19" xfId="0" applyNumberFormat="1" applyFont="1" applyFill="1" applyBorder="1" applyAlignment="1">
      <alignment horizontal="center"/>
    </xf>
    <xf numFmtId="171" fontId="20" fillId="0" borderId="0" xfId="0" applyNumberFormat="1" applyFont="1" applyFill="1" applyBorder="1" applyAlignment="1">
      <alignment horizontal="left"/>
    </xf>
    <xf numFmtId="0" fontId="20" fillId="0" borderId="0" xfId="0" applyFont="1" applyFill="1"/>
    <xf numFmtId="178" fontId="18" fillId="0" borderId="0" xfId="0" applyNumberFormat="1" applyFont="1" applyFill="1" applyBorder="1" applyAlignment="1">
      <alignment horizontal="center"/>
    </xf>
    <xf numFmtId="170" fontId="18" fillId="0" borderId="0" xfId="0" applyNumberFormat="1" applyFont="1" applyFill="1" applyBorder="1" applyAlignment="1">
      <alignment horizontal="center"/>
    </xf>
    <xf numFmtId="1" fontId="7" fillId="0" borderId="0" xfId="0" applyNumberFormat="1" applyFont="1" applyFill="1"/>
    <xf numFmtId="178" fontId="33" fillId="0" borderId="15" xfId="0" applyNumberFormat="1" applyFont="1" applyFill="1" applyBorder="1" applyAlignment="1">
      <alignment horizontal="center" vertical="center" wrapText="1"/>
    </xf>
    <xf numFmtId="170" fontId="2" fillId="0" borderId="13" xfId="0" applyNumberFormat="1" applyFont="1" applyFill="1" applyBorder="1" applyAlignment="1">
      <alignment horizontal="center" vertical="center" wrapText="1"/>
    </xf>
    <xf numFmtId="170" fontId="33" fillId="0" borderId="15" xfId="0" applyNumberFormat="1" applyFont="1" applyFill="1" applyBorder="1" applyAlignment="1">
      <alignment horizontal="center" vertical="center" wrapText="1"/>
    </xf>
    <xf numFmtId="171" fontId="33" fillId="0" borderId="21" xfId="0" applyNumberFormat="1" applyFont="1" applyFill="1" applyBorder="1" applyAlignment="1">
      <alignment horizontal="center" vertical="center" wrapText="1"/>
    </xf>
    <xf numFmtId="0" fontId="33" fillId="0" borderId="21" xfId="0" applyFont="1" applyFill="1" applyBorder="1" applyAlignment="1">
      <alignment horizontal="center" vertical="center" wrapText="1"/>
    </xf>
    <xf numFmtId="1" fontId="18" fillId="0" borderId="12" xfId="0" applyNumberFormat="1" applyFont="1" applyFill="1" applyBorder="1" applyAlignment="1">
      <alignment horizontal="center"/>
    </xf>
    <xf numFmtId="171" fontId="18" fillId="0" borderId="13" xfId="0" applyNumberFormat="1" applyFont="1" applyFill="1" applyBorder="1" applyAlignment="1">
      <alignment horizontal="center"/>
    </xf>
    <xf numFmtId="171" fontId="18" fillId="0" borderId="12" xfId="0" applyNumberFormat="1" applyFont="1" applyFill="1" applyBorder="1" applyAlignment="1">
      <alignment horizontal="center"/>
    </xf>
    <xf numFmtId="1" fontId="18" fillId="0" borderId="13" xfId="0" applyNumberFormat="1" applyFont="1" applyFill="1" applyBorder="1" applyAlignment="1">
      <alignment horizontal="center"/>
    </xf>
    <xf numFmtId="1" fontId="33" fillId="0" borderId="12" xfId="0" applyNumberFormat="1" applyFont="1" applyFill="1" applyBorder="1" applyAlignment="1">
      <alignment horizontal="center"/>
    </xf>
    <xf numFmtId="1" fontId="33" fillId="0" borderId="13" xfId="0" applyNumberFormat="1" applyFont="1" applyFill="1" applyBorder="1" applyAlignment="1">
      <alignment horizontal="center"/>
    </xf>
    <xf numFmtId="171" fontId="33" fillId="0" borderId="12" xfId="0" applyNumberFormat="1" applyFont="1" applyFill="1" applyBorder="1" applyAlignment="1">
      <alignment horizontal="center"/>
    </xf>
    <xf numFmtId="178" fontId="33" fillId="0" borderId="13" xfId="0" applyNumberFormat="1" applyFont="1" applyFill="1" applyBorder="1" applyAlignment="1">
      <alignment horizontal="center"/>
    </xf>
    <xf numFmtId="170" fontId="33" fillId="0" borderId="12" xfId="0" applyNumberFormat="1" applyFont="1" applyFill="1" applyBorder="1" applyAlignment="1">
      <alignment horizontal="center"/>
    </xf>
    <xf numFmtId="171" fontId="33" fillId="0" borderId="14" xfId="0" applyNumberFormat="1" applyFont="1" applyFill="1" applyBorder="1" applyAlignment="1">
      <alignment horizontal="center"/>
    </xf>
    <xf numFmtId="1" fontId="33" fillId="0" borderId="9" xfId="0" applyNumberFormat="1" applyFont="1" applyFill="1" applyBorder="1" applyAlignment="1">
      <alignment horizontal="center"/>
    </xf>
    <xf numFmtId="171" fontId="33" fillId="0" borderId="13" xfId="0" applyNumberFormat="1" applyFont="1" applyFill="1" applyBorder="1" applyAlignment="1">
      <alignment horizontal="center"/>
    </xf>
    <xf numFmtId="179" fontId="33" fillId="0" borderId="13" xfId="0" applyNumberFormat="1" applyFont="1" applyFill="1" applyBorder="1" applyAlignment="1">
      <alignment horizontal="center"/>
    </xf>
    <xf numFmtId="2" fontId="33" fillId="0" borderId="13" xfId="0" applyNumberFormat="1" applyFont="1" applyFill="1" applyBorder="1" applyAlignment="1">
      <alignment horizontal="center"/>
    </xf>
    <xf numFmtId="170" fontId="33" fillId="0" borderId="13" xfId="0" applyNumberFormat="1" applyFont="1" applyFill="1" applyBorder="1" applyAlignment="1">
      <alignment horizontal="center"/>
    </xf>
    <xf numFmtId="179" fontId="33" fillId="0" borderId="0" xfId="0" applyNumberFormat="1" applyFont="1" applyFill="1" applyBorder="1" applyAlignment="1">
      <alignment horizontal="center"/>
    </xf>
    <xf numFmtId="14" fontId="0" fillId="0" borderId="0" xfId="0" applyNumberFormat="1" applyFill="1"/>
    <xf numFmtId="171" fontId="7" fillId="4" borderId="0" xfId="0" applyNumberFormat="1" applyFont="1" applyFill="1"/>
    <xf numFmtId="0" fontId="2" fillId="0" borderId="0" xfId="0" applyFont="1" applyProtection="1">
      <protection locked="0"/>
    </xf>
    <xf numFmtId="171" fontId="2" fillId="0" borderId="0" xfId="0" applyNumberFormat="1" applyFont="1" applyProtection="1">
      <protection locked="0"/>
    </xf>
    <xf numFmtId="0" fontId="18" fillId="0" borderId="0" xfId="0" applyFont="1" applyFill="1" applyBorder="1" applyAlignment="1">
      <alignment horizontal="center"/>
    </xf>
    <xf numFmtId="171" fontId="18" fillId="0" borderId="20" xfId="0" applyNumberFormat="1" applyFont="1" applyFill="1" applyBorder="1" applyAlignment="1">
      <alignment horizontal="center" vertical="center" wrapText="1"/>
    </xf>
    <xf numFmtId="178" fontId="18" fillId="0" borderId="16" xfId="0" applyNumberFormat="1" applyFont="1" applyBorder="1" applyAlignment="1">
      <alignment horizontal="center"/>
    </xf>
    <xf numFmtId="0" fontId="0" fillId="0" borderId="43" xfId="0" applyBorder="1"/>
    <xf numFmtId="0" fontId="35" fillId="0" borderId="44" xfId="0" applyFont="1" applyBorder="1"/>
    <xf numFmtId="0" fontId="0" fillId="0" borderId="44" xfId="0" applyBorder="1"/>
    <xf numFmtId="0" fontId="0" fillId="0" borderId="45" xfId="0" applyBorder="1"/>
    <xf numFmtId="0" fontId="0" fillId="0" borderId="46" xfId="0" applyBorder="1"/>
    <xf numFmtId="0" fontId="0" fillId="0" borderId="47" xfId="0" applyBorder="1"/>
    <xf numFmtId="0" fontId="8" fillId="2" borderId="31" xfId="0" applyFont="1" applyFill="1" applyBorder="1"/>
    <xf numFmtId="0" fontId="0" fillId="2" borderId="47" xfId="0" applyFill="1" applyBorder="1"/>
    <xf numFmtId="0" fontId="7" fillId="0" borderId="32" xfId="0" applyFont="1" applyBorder="1"/>
    <xf numFmtId="0" fontId="0" fillId="0" borderId="33" xfId="0" applyBorder="1"/>
    <xf numFmtId="0" fontId="0" fillId="0" borderId="34" xfId="0" applyBorder="1"/>
    <xf numFmtId="0" fontId="0" fillId="0" borderId="35" xfId="0" applyBorder="1"/>
    <xf numFmtId="0" fontId="0" fillId="0" borderId="36" xfId="0" applyBorder="1"/>
    <xf numFmtId="0" fontId="8" fillId="0" borderId="31" xfId="0" applyFont="1" applyBorder="1"/>
    <xf numFmtId="0" fontId="0" fillId="0" borderId="37" xfId="0" applyBorder="1"/>
    <xf numFmtId="0" fontId="0" fillId="0" borderId="38" xfId="0" applyBorder="1"/>
    <xf numFmtId="0" fontId="0" fillId="0" borderId="31" xfId="0" applyBorder="1"/>
    <xf numFmtId="0" fontId="0" fillId="0" borderId="39" xfId="0" applyBorder="1"/>
    <xf numFmtId="0" fontId="7" fillId="4" borderId="31" xfId="0" applyFont="1" applyFill="1" applyBorder="1"/>
    <xf numFmtId="0" fontId="0" fillId="4" borderId="37" xfId="0" applyFill="1" applyBorder="1"/>
    <xf numFmtId="0" fontId="0" fillId="4" borderId="31" xfId="0" applyFill="1" applyBorder="1"/>
    <xf numFmtId="0" fontId="7" fillId="4" borderId="0" xfId="0" applyFont="1" applyFill="1" applyBorder="1" applyAlignment="1">
      <alignment horizontal="center"/>
    </xf>
    <xf numFmtId="0" fontId="7" fillId="4" borderId="0" xfId="0" applyFont="1" applyFill="1" applyBorder="1"/>
    <xf numFmtId="0" fontId="7" fillId="4" borderId="40" xfId="0" applyFont="1" applyFill="1" applyBorder="1"/>
    <xf numFmtId="0" fontId="0" fillId="4" borderId="41" xfId="0" applyFill="1" applyBorder="1"/>
    <xf numFmtId="0" fontId="0" fillId="4" borderId="42" xfId="0" applyFill="1" applyBorder="1"/>
    <xf numFmtId="0" fontId="0" fillId="0" borderId="48" xfId="0" applyBorder="1"/>
    <xf numFmtId="0" fontId="0" fillId="0" borderId="49" xfId="0" applyBorder="1"/>
    <xf numFmtId="0" fontId="0" fillId="0" borderId="50" xfId="0" applyBorder="1"/>
    <xf numFmtId="2" fontId="0" fillId="10" borderId="12" xfId="0" applyNumberFormat="1" applyFill="1" applyBorder="1" applyAlignment="1">
      <alignment horizontal="center" vertical="center" wrapText="1"/>
    </xf>
    <xf numFmtId="2" fontId="0" fillId="10" borderId="16" xfId="0" applyNumberFormat="1" applyFill="1" applyBorder="1" applyAlignment="1">
      <alignment horizontal="center" vertical="center" wrapText="1"/>
    </xf>
    <xf numFmtId="0" fontId="0" fillId="12" borderId="20" xfId="0" applyFill="1" applyBorder="1" applyAlignment="1">
      <alignment horizontal="center"/>
    </xf>
    <xf numFmtId="0" fontId="0" fillId="0" borderId="21" xfId="0" applyBorder="1" applyAlignment="1"/>
    <xf numFmtId="0" fontId="0" fillId="0" borderId="22" xfId="0" applyBorder="1" applyAlignment="1"/>
    <xf numFmtId="0" fontId="0" fillId="8" borderId="20" xfId="0" applyFill="1"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2" borderId="20" xfId="0" applyFill="1" applyBorder="1" applyAlignment="1">
      <alignment horizontal="center"/>
    </xf>
    <xf numFmtId="0" fontId="0" fillId="11" borderId="20" xfId="0" applyFill="1" applyBorder="1" applyAlignment="1">
      <alignment horizontal="center"/>
    </xf>
    <xf numFmtId="0" fontId="0" fillId="0" borderId="20" xfId="0" applyBorder="1" applyAlignment="1">
      <alignment horizontal="center"/>
    </xf>
    <xf numFmtId="0" fontId="0" fillId="8" borderId="21" xfId="0" applyFill="1" applyBorder="1" applyAlignment="1">
      <alignment horizontal="center"/>
    </xf>
    <xf numFmtId="0" fontId="0" fillId="2" borderId="21" xfId="0" applyFill="1" applyBorder="1" applyAlignment="1">
      <alignment horizontal="center"/>
    </xf>
    <xf numFmtId="0" fontId="0" fillId="2" borderId="21" xfId="0" applyFill="1" applyBorder="1" applyAlignment="1"/>
    <xf numFmtId="0" fontId="0" fillId="2" borderId="22" xfId="0" applyFill="1" applyBorder="1" applyAlignment="1"/>
    <xf numFmtId="0" fontId="0" fillId="11" borderId="21" xfId="0" applyFill="1" applyBorder="1" applyAlignment="1">
      <alignment horizontal="center"/>
    </xf>
    <xf numFmtId="0" fontId="0" fillId="11" borderId="21" xfId="0" applyFill="1" applyBorder="1" applyAlignment="1"/>
    <xf numFmtId="0" fontId="0" fillId="11" borderId="22" xfId="0" applyFill="1" applyBorder="1" applyAlignment="1"/>
    <xf numFmtId="0" fontId="0" fillId="12" borderId="21" xfId="0" applyFill="1" applyBorder="1" applyAlignment="1">
      <alignment horizontal="center"/>
    </xf>
    <xf numFmtId="0" fontId="0" fillId="12" borderId="21" xfId="0" applyFill="1" applyBorder="1" applyAlignment="1"/>
    <xf numFmtId="0" fontId="0" fillId="12" borderId="22" xfId="0" applyFill="1" applyBorder="1" applyAlignment="1"/>
    <xf numFmtId="0" fontId="0" fillId="10" borderId="15" xfId="0" applyFill="1" applyBorder="1" applyAlignment="1">
      <alignment horizontal="center" vertical="center"/>
    </xf>
    <xf numFmtId="0" fontId="0" fillId="8" borderId="15" xfId="0" applyFill="1" applyBorder="1" applyAlignment="1">
      <alignment horizontal="center"/>
    </xf>
    <xf numFmtId="0" fontId="0" fillId="2" borderId="15" xfId="0" applyFill="1" applyBorder="1" applyAlignment="1">
      <alignment horizontal="center"/>
    </xf>
    <xf numFmtId="0" fontId="0" fillId="8" borderId="9" xfId="0" applyFill="1"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10" borderId="9" xfId="0" applyFill="1" applyBorder="1" applyAlignment="1">
      <alignment horizontal="center"/>
    </xf>
    <xf numFmtId="0" fontId="0" fillId="10" borderId="13" xfId="0" applyFill="1" applyBorder="1" applyAlignment="1">
      <alignment horizontal="center"/>
    </xf>
    <xf numFmtId="0" fontId="0" fillId="10" borderId="14" xfId="0" applyFill="1" applyBorder="1" applyAlignment="1">
      <alignment horizont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xf>
  </cellXfs>
  <cellStyles count="1">
    <cellStyle name="Normal" xfId="0" builtinId="0"/>
  </cellStyles>
  <dxfs count="18">
    <dxf>
      <fill>
        <patternFill>
          <bgColor indexed="11"/>
        </patternFill>
      </fill>
    </dxf>
    <dxf>
      <fill>
        <patternFill>
          <bgColor indexed="10"/>
        </patternFill>
      </fill>
    </dxf>
    <dxf>
      <fill>
        <patternFill>
          <bgColor indexed="11"/>
        </patternFill>
      </fill>
    </dxf>
    <dxf>
      <fill>
        <patternFill>
          <bgColor indexed="11"/>
        </patternFill>
      </fill>
    </dxf>
    <dxf>
      <fill>
        <patternFill>
          <bgColor indexed="11"/>
        </patternFill>
      </fill>
    </dxf>
    <dxf>
      <fill>
        <patternFill>
          <bgColor indexed="11"/>
        </patternFill>
      </fill>
    </dxf>
    <dxf>
      <fill>
        <patternFill>
          <bgColor indexed="11"/>
        </patternFill>
      </fill>
    </dxf>
    <dxf>
      <fill>
        <patternFill>
          <bgColor indexed="46"/>
        </patternFill>
      </fill>
    </dxf>
    <dxf>
      <fill>
        <patternFill>
          <bgColor rgb="FFFF0000"/>
        </patternFill>
      </fill>
    </dxf>
    <dxf>
      <fill>
        <patternFill>
          <bgColor indexed="11"/>
        </patternFill>
      </fill>
    </dxf>
    <dxf>
      <fill>
        <patternFill>
          <bgColor indexed="11"/>
        </patternFill>
      </fill>
    </dxf>
    <dxf>
      <fill>
        <patternFill>
          <bgColor indexed="11"/>
        </patternFill>
      </fill>
    </dxf>
    <dxf>
      <fill>
        <patternFill>
          <bgColor indexed="11"/>
        </patternFill>
      </fill>
    </dxf>
    <dxf>
      <fill>
        <patternFill>
          <bgColor indexed="11"/>
        </patternFill>
      </fill>
    </dxf>
    <dxf>
      <fill>
        <patternFill>
          <bgColor indexed="11"/>
        </patternFill>
      </fill>
    </dxf>
    <dxf>
      <fill>
        <patternFill>
          <bgColor indexed="11"/>
        </patternFill>
      </fill>
    </dxf>
    <dxf>
      <fill>
        <patternFill>
          <bgColor indexed="11"/>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5365966619514608E-2"/>
          <c:y val="5.9907834101382486E-2"/>
          <c:w val="0.74661345408496105"/>
          <c:h val="0.88248847926267282"/>
        </c:manualLayout>
      </c:layout>
      <c:scatterChart>
        <c:scatterStyle val="lineMarker"/>
        <c:varyColors val="0"/>
        <c:ser>
          <c:idx val="0"/>
          <c:order val="0"/>
          <c:tx>
            <c:strRef>
              <c:f>'Metrix RM11 History'!$DP$13</c:f>
              <c:strCache>
                <c:ptCount val="1"/>
                <c:pt idx="0">
                  <c:v>1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'Metrix RM11 History'!$DQ$3:$DX$3</c:f>
              <c:numCache>
                <c:formatCode>General</c:formatCode>
                <c:ptCount val="8"/>
                <c:pt idx="0">
                  <c:v>2015</c:v>
                </c:pt>
                <c:pt idx="1">
                  <c:v>2013</c:v>
                </c:pt>
                <c:pt idx="2">
                  <c:v>2011</c:v>
                </c:pt>
                <c:pt idx="3">
                  <c:v>2009</c:v>
                </c:pt>
                <c:pt idx="4">
                  <c:v>2007</c:v>
                </c:pt>
                <c:pt idx="5">
                  <c:v>2005</c:v>
                </c:pt>
                <c:pt idx="6">
                  <c:v>2003</c:v>
                </c:pt>
                <c:pt idx="7">
                  <c:v>2001</c:v>
                </c:pt>
              </c:numCache>
            </c:numRef>
          </c:xVal>
          <c:yVal>
            <c:numRef>
              <c:f>'Metrix RM11 History'!$DQ$13:$DX$13</c:f>
              <c:numCache>
                <c:formatCode>0.000</c:formatCode>
                <c:ptCount val="8"/>
                <c:pt idx="0">
                  <c:v>2.9853179999999998E-3</c:v>
                </c:pt>
                <c:pt idx="1">
                  <c:v>-1.224052E-3</c:v>
                </c:pt>
                <c:pt idx="2">
                  <c:v>-3.4762230820550855E-4</c:v>
                </c:pt>
                <c:pt idx="3">
                  <c:v>-1.2860631084188334E-3</c:v>
                </c:pt>
                <c:pt idx="4">
                  <c:v>-2.5649330000000001E-3</c:v>
                </c:pt>
                <c:pt idx="5">
                  <c:v>-1.6932332968955244E-3</c:v>
                </c:pt>
                <c:pt idx="6">
                  <c:v>2.7778549404029037E-3</c:v>
                </c:pt>
                <c:pt idx="7">
                  <c:v>-3.4126552005327541E-3</c:v>
                </c:pt>
              </c:numCache>
            </c:numRef>
          </c:yVal>
          <c:smooth val="0"/>
          <c:extLst>
            <c:ext xmlns:c16="http://schemas.microsoft.com/office/drawing/2014/chart" uri="{C3380CC4-5D6E-409C-BE32-E72D297353CC}">
              <c16:uniqueId val="{00000000-3F2F-4473-B434-6C10D9EBF030}"/>
            </c:ext>
          </c:extLst>
        </c:ser>
        <c:ser>
          <c:idx val="1"/>
          <c:order val="1"/>
          <c:tx>
            <c:strRef>
              <c:f>'Metrix RM11 History'!$DP$14</c:f>
              <c:strCache>
                <c:ptCount val="1"/>
                <c:pt idx="0">
                  <c:v>0.5 Lag</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'Metrix RM11 History'!$DQ$3:$DX$3</c:f>
              <c:numCache>
                <c:formatCode>General</c:formatCode>
                <c:ptCount val="8"/>
                <c:pt idx="0">
                  <c:v>2015</c:v>
                </c:pt>
                <c:pt idx="1">
                  <c:v>2013</c:v>
                </c:pt>
                <c:pt idx="2">
                  <c:v>2011</c:v>
                </c:pt>
                <c:pt idx="3">
                  <c:v>2009</c:v>
                </c:pt>
                <c:pt idx="4">
                  <c:v>2007</c:v>
                </c:pt>
                <c:pt idx="5">
                  <c:v>2005</c:v>
                </c:pt>
                <c:pt idx="6">
                  <c:v>2003</c:v>
                </c:pt>
                <c:pt idx="7">
                  <c:v>2001</c:v>
                </c:pt>
              </c:numCache>
            </c:numRef>
          </c:xVal>
          <c:yVal>
            <c:numRef>
              <c:f>'Metrix RM11 History'!$DQ$14:$DX$14</c:f>
              <c:numCache>
                <c:formatCode>0.000</c:formatCode>
                <c:ptCount val="8"/>
                <c:pt idx="0">
                  <c:v>-4.2056300000000001E-3</c:v>
                </c:pt>
                <c:pt idx="1">
                  <c:v>-7.2903359999999997E-3</c:v>
                </c:pt>
                <c:pt idx="2">
                  <c:v>-2.0098936963308667E-3</c:v>
                </c:pt>
                <c:pt idx="3">
                  <c:v>-8.1633193560470829E-5</c:v>
                </c:pt>
                <c:pt idx="4">
                  <c:v>-3.8663180000000001E-3</c:v>
                </c:pt>
                <c:pt idx="5">
                  <c:v>-2.5358631832506084E-3</c:v>
                </c:pt>
                <c:pt idx="6">
                  <c:v>4.4446419840824094E-3</c:v>
                </c:pt>
                <c:pt idx="7">
                  <c:v>-1.1833530620919191E-2</c:v>
                </c:pt>
              </c:numCache>
            </c:numRef>
          </c:yVal>
          <c:smooth val="0"/>
          <c:extLst>
            <c:ext xmlns:c16="http://schemas.microsoft.com/office/drawing/2014/chart" uri="{C3380CC4-5D6E-409C-BE32-E72D297353CC}">
              <c16:uniqueId val="{00000001-3F2F-4473-B434-6C10D9EBF030}"/>
            </c:ext>
          </c:extLst>
        </c:ser>
        <c:ser>
          <c:idx val="2"/>
          <c:order val="2"/>
          <c:tx>
            <c:strRef>
              <c:f>'Metrix RM11 History'!$DP$15</c:f>
              <c:strCache>
                <c:ptCount val="1"/>
                <c:pt idx="0">
                  <c:v>0.8 Lead</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xVal>
            <c:numRef>
              <c:f>'Metrix RM11 History'!$DQ$3:$DX$3</c:f>
              <c:numCache>
                <c:formatCode>General</c:formatCode>
                <c:ptCount val="8"/>
                <c:pt idx="0">
                  <c:v>2015</c:v>
                </c:pt>
                <c:pt idx="1">
                  <c:v>2013</c:v>
                </c:pt>
                <c:pt idx="2">
                  <c:v>2011</c:v>
                </c:pt>
                <c:pt idx="3">
                  <c:v>2009</c:v>
                </c:pt>
                <c:pt idx="4">
                  <c:v>2007</c:v>
                </c:pt>
                <c:pt idx="5">
                  <c:v>2005</c:v>
                </c:pt>
                <c:pt idx="6">
                  <c:v>2003</c:v>
                </c:pt>
                <c:pt idx="7">
                  <c:v>2001</c:v>
                </c:pt>
              </c:numCache>
            </c:numRef>
          </c:xVal>
          <c:yVal>
            <c:numRef>
              <c:f>'Metrix RM11 History'!$DQ$15:$DX$15</c:f>
              <c:numCache>
                <c:formatCode>0.000</c:formatCode>
                <c:ptCount val="8"/>
                <c:pt idx="0">
                  <c:v>6.410832E-3</c:v>
                </c:pt>
                <c:pt idx="1">
                  <c:v>1.7512300000000001E-3</c:v>
                </c:pt>
                <c:pt idx="2">
                  <c:v>1.0164806247381364E-3</c:v>
                </c:pt>
                <c:pt idx="3">
                  <c:v>-1.9027504969293396E-3</c:v>
                </c:pt>
                <c:pt idx="4">
                  <c:v>-1.7073189999999999E-3</c:v>
                </c:pt>
                <c:pt idx="5">
                  <c:v>-8.451987715374365E-4</c:v>
                </c:pt>
                <c:pt idx="6">
                  <c:v>1.4551915228366852E-14</c:v>
                </c:pt>
                <c:pt idx="7">
                  <c:v>-2.5601816752459853E-3</c:v>
                </c:pt>
              </c:numCache>
            </c:numRef>
          </c:yVal>
          <c:smooth val="0"/>
          <c:extLst>
            <c:ext xmlns:c16="http://schemas.microsoft.com/office/drawing/2014/chart" uri="{C3380CC4-5D6E-409C-BE32-E72D297353CC}">
              <c16:uniqueId val="{00000002-3F2F-4473-B434-6C10D9EBF030}"/>
            </c:ext>
          </c:extLst>
        </c:ser>
        <c:dLbls>
          <c:showLegendKey val="0"/>
          <c:showVal val="0"/>
          <c:showCatName val="0"/>
          <c:showSerName val="0"/>
          <c:showPercent val="0"/>
          <c:showBubbleSize val="0"/>
        </c:dLbls>
        <c:axId val="359954624"/>
        <c:axId val="1"/>
      </c:scatterChart>
      <c:valAx>
        <c:axId val="35995462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majorGridlines>
          <c:spPr>
            <a:ln w="3175">
              <a:solidFill>
                <a:srgbClr val="000000"/>
              </a:solidFill>
              <a:prstDash val="solid"/>
            </a:ln>
          </c:spPr>
        </c:majorGridlines>
        <c:numFmt formatCode="0.00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359954624"/>
        <c:crosses val="autoZero"/>
        <c:crossBetween val="midCat"/>
      </c:valAx>
      <c:spPr>
        <a:solidFill>
          <a:srgbClr val="C0C0C0"/>
        </a:solidFill>
        <a:ln w="12700">
          <a:solidFill>
            <a:srgbClr val="808080"/>
          </a:solidFill>
          <a:prstDash val="solid"/>
        </a:ln>
      </c:spPr>
    </c:plotArea>
    <c:legend>
      <c:legendPos val="r"/>
      <c:layout>
        <c:manualLayout>
          <c:xMode val="edge"/>
          <c:yMode val="edge"/>
          <c:x val="0.86449978305557329"/>
          <c:y val="0.42165898617511521"/>
          <c:w val="0.12059634822070009"/>
          <c:h val="0.14746543778801846"/>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'Metrix RM11 History'!$BP$7</c:f>
              <c:strCache>
                <c:ptCount val="1"/>
                <c:pt idx="0">
                  <c:v>-60.000</c:v>
                </c:pt>
              </c:strCache>
            </c:strRef>
          </c:tx>
          <c:xVal>
            <c:numRef>
              <c:f>'Metrix RM11 History'!$BO$8:$BO$11</c:f>
              <c:numCache>
                <c:formatCode>General</c:formatCode>
                <c:ptCount val="4"/>
                <c:pt idx="0">
                  <c:v>1</c:v>
                </c:pt>
                <c:pt idx="1">
                  <c:v>5</c:v>
                </c:pt>
                <c:pt idx="2" formatCode="0">
                  <c:v>50</c:v>
                </c:pt>
                <c:pt idx="3" formatCode="0">
                  <c:v>100</c:v>
                </c:pt>
              </c:numCache>
            </c:numRef>
          </c:xVal>
          <c:yVal>
            <c:numRef>
              <c:f>'Metrix RM11 History'!$BP$8:$BP$11</c:f>
              <c:numCache>
                <c:formatCode>0.000</c:formatCode>
                <c:ptCount val="4"/>
                <c:pt idx="0">
                  <c:v>-5.7302489999999998E-3</c:v>
                </c:pt>
                <c:pt idx="1">
                  <c:v>-4.2056300000000001E-3</c:v>
                </c:pt>
                <c:pt idx="2">
                  <c:v>-2.1244100000000002E-3</c:v>
                </c:pt>
                <c:pt idx="3">
                  <c:v>-1.7473650000000001E-3</c:v>
                </c:pt>
              </c:numCache>
            </c:numRef>
          </c:yVal>
          <c:smooth val="0"/>
          <c:extLst>
            <c:ext xmlns:c16="http://schemas.microsoft.com/office/drawing/2014/chart" uri="{C3380CC4-5D6E-409C-BE32-E72D297353CC}">
              <c16:uniqueId val="{00000000-FAA2-4A33-AE88-89B279655DA6}"/>
            </c:ext>
          </c:extLst>
        </c:ser>
        <c:ser>
          <c:idx val="1"/>
          <c:order val="1"/>
          <c:tx>
            <c:strRef>
              <c:f>'Metrix RM11 History'!$BR$7</c:f>
              <c:strCache>
                <c:ptCount val="1"/>
                <c:pt idx="0">
                  <c:v>0.0000</c:v>
                </c:pt>
              </c:strCache>
            </c:strRef>
          </c:tx>
          <c:xVal>
            <c:numRef>
              <c:f>'Metrix RM11 History'!$BO$8:$BO$11</c:f>
              <c:numCache>
                <c:formatCode>General</c:formatCode>
                <c:ptCount val="4"/>
                <c:pt idx="0">
                  <c:v>1</c:v>
                </c:pt>
                <c:pt idx="1">
                  <c:v>5</c:v>
                </c:pt>
                <c:pt idx="2" formatCode="0">
                  <c:v>50</c:v>
                </c:pt>
                <c:pt idx="3" formatCode="0">
                  <c:v>100</c:v>
                </c:pt>
              </c:numCache>
            </c:numRef>
          </c:xVal>
          <c:yVal>
            <c:numRef>
              <c:f>'Metrix RM11 History'!$BR$8:$BR$11</c:f>
              <c:numCache>
                <c:formatCode>0.0000</c:formatCode>
                <c:ptCount val="4"/>
                <c:pt idx="0" formatCode="0.000">
                  <c:v>2.5232409999999999E-3</c:v>
                </c:pt>
                <c:pt idx="1">
                  <c:v>2.9853179999999998E-3</c:v>
                </c:pt>
                <c:pt idx="2" formatCode="0.000">
                  <c:v>3.9287849999999997E-3</c:v>
                </c:pt>
                <c:pt idx="3" formatCode="0.000">
                  <c:v>5.0557700000000002E-3</c:v>
                </c:pt>
              </c:numCache>
            </c:numRef>
          </c:yVal>
          <c:smooth val="0"/>
          <c:extLst>
            <c:ext xmlns:c16="http://schemas.microsoft.com/office/drawing/2014/chart" uri="{C3380CC4-5D6E-409C-BE32-E72D297353CC}">
              <c16:uniqueId val="{00000001-FAA2-4A33-AE88-89B279655DA6}"/>
            </c:ext>
          </c:extLst>
        </c:ser>
        <c:ser>
          <c:idx val="2"/>
          <c:order val="2"/>
          <c:tx>
            <c:strRef>
              <c:f>'Metrix RM11 History'!$BT$7</c:f>
              <c:strCache>
                <c:ptCount val="1"/>
                <c:pt idx="0">
                  <c:v>36.900</c:v>
                </c:pt>
              </c:strCache>
            </c:strRef>
          </c:tx>
          <c:errBars>
            <c:errDir val="y"/>
            <c:errBarType val="both"/>
            <c:errValType val="cust"/>
            <c:noEndCap val="0"/>
            <c:plus>
              <c:numRef>
                <c:f>'Metrix RM11 History'!$BQ$8:$BQ$11</c:f>
                <c:numCache>
                  <c:formatCode>General</c:formatCode>
                  <c:ptCount val="4"/>
                  <c:pt idx="0">
                    <c:v>8.6366789999999995E-3</c:v>
                  </c:pt>
                  <c:pt idx="1">
                    <c:v>8.6097610000000005E-3</c:v>
                  </c:pt>
                  <c:pt idx="2">
                    <c:v>8.6206219999999997E-3</c:v>
                  </c:pt>
                  <c:pt idx="3">
                    <c:v>8.6924169999999992E-3</c:v>
                  </c:pt>
                </c:numCache>
              </c:numRef>
            </c:plus>
            <c:minus>
              <c:numRef>
                <c:f>'Metrix RM11 History'!$BQ$8:$BQ$11</c:f>
                <c:numCache>
                  <c:formatCode>General</c:formatCode>
                  <c:ptCount val="4"/>
                  <c:pt idx="0">
                    <c:v>8.6366789999999995E-3</c:v>
                  </c:pt>
                  <c:pt idx="1">
                    <c:v>8.6097610000000005E-3</c:v>
                  </c:pt>
                  <c:pt idx="2">
                    <c:v>8.6206219999999997E-3</c:v>
                  </c:pt>
                  <c:pt idx="3">
                    <c:v>8.6924169999999992E-3</c:v>
                  </c:pt>
                </c:numCache>
              </c:numRef>
            </c:minus>
            <c:spPr>
              <a:ln>
                <a:solidFill>
                  <a:srgbClr val="92D050"/>
                </a:solidFill>
              </a:ln>
            </c:spPr>
          </c:errBars>
          <c:xVal>
            <c:numRef>
              <c:f>'Metrix RM11 History'!$BO$8:$BO$11</c:f>
              <c:numCache>
                <c:formatCode>General</c:formatCode>
                <c:ptCount val="4"/>
                <c:pt idx="0">
                  <c:v>1</c:v>
                </c:pt>
                <c:pt idx="1">
                  <c:v>5</c:v>
                </c:pt>
                <c:pt idx="2" formatCode="0">
                  <c:v>50</c:v>
                </c:pt>
                <c:pt idx="3" formatCode="0">
                  <c:v>100</c:v>
                </c:pt>
              </c:numCache>
            </c:numRef>
          </c:xVal>
          <c:yVal>
            <c:numRef>
              <c:f>'Metrix RM11 History'!$BT$8:$BT$11</c:f>
              <c:numCache>
                <c:formatCode>0.000</c:formatCode>
                <c:ptCount val="4"/>
                <c:pt idx="0">
                  <c:v>6.2851749999999996E-3</c:v>
                </c:pt>
                <c:pt idx="1">
                  <c:v>6.410832E-3</c:v>
                </c:pt>
                <c:pt idx="2">
                  <c:v>6.9410540000000003E-3</c:v>
                </c:pt>
                <c:pt idx="3">
                  <c:v>7.454301E-3</c:v>
                </c:pt>
              </c:numCache>
            </c:numRef>
          </c:yVal>
          <c:smooth val="0"/>
          <c:extLst>
            <c:ext xmlns:c16="http://schemas.microsoft.com/office/drawing/2014/chart" uri="{C3380CC4-5D6E-409C-BE32-E72D297353CC}">
              <c16:uniqueId val="{00000002-FAA2-4A33-AE88-89B279655DA6}"/>
            </c:ext>
          </c:extLst>
        </c:ser>
        <c:dLbls>
          <c:showLegendKey val="0"/>
          <c:showVal val="0"/>
          <c:showCatName val="0"/>
          <c:showSerName val="0"/>
          <c:showPercent val="0"/>
          <c:showBubbleSize val="0"/>
        </c:dLbls>
        <c:axId val="359956920"/>
        <c:axId val="1"/>
      </c:scatterChart>
      <c:valAx>
        <c:axId val="359956920"/>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0.000" sourceLinked="1"/>
        <c:majorTickMark val="out"/>
        <c:minorTickMark val="none"/>
        <c:tickLblPos val="nextTo"/>
        <c:crossAx val="359956920"/>
        <c:crosses val="autoZero"/>
        <c:crossBetween val="midCat"/>
      </c:valAx>
    </c:plotArea>
    <c:legend>
      <c:legendPos val="r"/>
      <c:layout>
        <c:manualLayout>
          <c:xMode val="edge"/>
          <c:yMode val="edge"/>
          <c:x val="0.84983636946371799"/>
          <c:y val="0.36690647482014388"/>
          <c:w val="0.1336635395823047"/>
          <c:h val="0.25899280575539568"/>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'Metrix RM11 History'!$BO$8</c:f>
              <c:strCache>
                <c:ptCount val="1"/>
                <c:pt idx="0">
                  <c:v>1</c:v>
                </c:pt>
              </c:strCache>
            </c:strRef>
          </c:tx>
          <c:xVal>
            <c:numRef>
              <c:f>'Metrix RM11 History'!$BP$7:$BT$7</c:f>
              <c:numCache>
                <c:formatCode>0.000</c:formatCode>
                <c:ptCount val="5"/>
                <c:pt idx="0">
                  <c:v>-60</c:v>
                </c:pt>
                <c:pt idx="2" formatCode="0.0000">
                  <c:v>0</c:v>
                </c:pt>
                <c:pt idx="4">
                  <c:v>36.9</c:v>
                </c:pt>
              </c:numCache>
            </c:numRef>
          </c:xVal>
          <c:yVal>
            <c:numRef>
              <c:f>'Metrix RM11 History'!$BP$8:$BT$8</c:f>
              <c:numCache>
                <c:formatCode>0.000</c:formatCode>
                <c:ptCount val="5"/>
                <c:pt idx="0">
                  <c:v>-5.7302489999999998E-3</c:v>
                </c:pt>
                <c:pt idx="1">
                  <c:v>8.6366789999999995E-3</c:v>
                </c:pt>
                <c:pt idx="2">
                  <c:v>2.5232409999999999E-3</c:v>
                </c:pt>
                <c:pt idx="3">
                  <c:v>4.7127660000000002E-3</c:v>
                </c:pt>
                <c:pt idx="4">
                  <c:v>6.2851749999999996E-3</c:v>
                </c:pt>
              </c:numCache>
            </c:numRef>
          </c:yVal>
          <c:smooth val="0"/>
          <c:extLst>
            <c:ext xmlns:c16="http://schemas.microsoft.com/office/drawing/2014/chart" uri="{C3380CC4-5D6E-409C-BE32-E72D297353CC}">
              <c16:uniqueId val="{00000000-ED43-4BBE-B936-F3F62C6AE760}"/>
            </c:ext>
          </c:extLst>
        </c:ser>
        <c:ser>
          <c:idx val="1"/>
          <c:order val="1"/>
          <c:tx>
            <c:strRef>
              <c:f>'Metrix RM11 History'!$BO$9</c:f>
              <c:strCache>
                <c:ptCount val="1"/>
                <c:pt idx="0">
                  <c:v>5</c:v>
                </c:pt>
              </c:strCache>
            </c:strRef>
          </c:tx>
          <c:xVal>
            <c:numRef>
              <c:f>'Metrix RM11 History'!$BP$7:$BT$7</c:f>
              <c:numCache>
                <c:formatCode>0.000</c:formatCode>
                <c:ptCount val="5"/>
                <c:pt idx="0">
                  <c:v>-60</c:v>
                </c:pt>
                <c:pt idx="2" formatCode="0.0000">
                  <c:v>0</c:v>
                </c:pt>
                <c:pt idx="4">
                  <c:v>36.9</c:v>
                </c:pt>
              </c:numCache>
            </c:numRef>
          </c:xVal>
          <c:yVal>
            <c:numRef>
              <c:f>'Metrix RM11 History'!$BP$9:$BT$9</c:f>
              <c:numCache>
                <c:formatCode>0.000</c:formatCode>
                <c:ptCount val="5"/>
                <c:pt idx="0">
                  <c:v>-4.2056300000000001E-3</c:v>
                </c:pt>
                <c:pt idx="1">
                  <c:v>8.6097610000000005E-3</c:v>
                </c:pt>
                <c:pt idx="2" formatCode="0.0000">
                  <c:v>2.9853179999999998E-3</c:v>
                </c:pt>
                <c:pt idx="3" formatCode="0.0000">
                  <c:v>4.7236609999999997E-3</c:v>
                </c:pt>
                <c:pt idx="4">
                  <c:v>6.410832E-3</c:v>
                </c:pt>
              </c:numCache>
            </c:numRef>
          </c:yVal>
          <c:smooth val="0"/>
          <c:extLst>
            <c:ext xmlns:c16="http://schemas.microsoft.com/office/drawing/2014/chart" uri="{C3380CC4-5D6E-409C-BE32-E72D297353CC}">
              <c16:uniqueId val="{00000001-ED43-4BBE-B936-F3F62C6AE760}"/>
            </c:ext>
          </c:extLst>
        </c:ser>
        <c:ser>
          <c:idx val="2"/>
          <c:order val="2"/>
          <c:tx>
            <c:strRef>
              <c:f>'Metrix RM11 History'!$BO$10</c:f>
              <c:strCache>
                <c:ptCount val="1"/>
                <c:pt idx="0">
                  <c:v>50</c:v>
                </c:pt>
              </c:strCache>
            </c:strRef>
          </c:tx>
          <c:xVal>
            <c:numRef>
              <c:f>'Metrix RM11 History'!$BP$7:$BT$7</c:f>
              <c:numCache>
                <c:formatCode>0.000</c:formatCode>
                <c:ptCount val="5"/>
                <c:pt idx="0">
                  <c:v>-60</c:v>
                </c:pt>
                <c:pt idx="2" formatCode="0.0000">
                  <c:v>0</c:v>
                </c:pt>
                <c:pt idx="4">
                  <c:v>36.9</c:v>
                </c:pt>
              </c:numCache>
            </c:numRef>
          </c:xVal>
          <c:yVal>
            <c:numRef>
              <c:f>'Metrix RM11 History'!$BP$10:$BT$10</c:f>
              <c:numCache>
                <c:formatCode>0.000</c:formatCode>
                <c:ptCount val="5"/>
                <c:pt idx="0">
                  <c:v>-2.1244100000000002E-3</c:v>
                </c:pt>
                <c:pt idx="1">
                  <c:v>8.6206219999999997E-3</c:v>
                </c:pt>
                <c:pt idx="2">
                  <c:v>3.9287849999999997E-3</c:v>
                </c:pt>
                <c:pt idx="3">
                  <c:v>4.7629769999999998E-3</c:v>
                </c:pt>
                <c:pt idx="4">
                  <c:v>6.9410540000000003E-3</c:v>
                </c:pt>
              </c:numCache>
            </c:numRef>
          </c:yVal>
          <c:smooth val="0"/>
          <c:extLst>
            <c:ext xmlns:c16="http://schemas.microsoft.com/office/drawing/2014/chart" uri="{C3380CC4-5D6E-409C-BE32-E72D297353CC}">
              <c16:uniqueId val="{00000002-ED43-4BBE-B936-F3F62C6AE760}"/>
            </c:ext>
          </c:extLst>
        </c:ser>
        <c:ser>
          <c:idx val="3"/>
          <c:order val="3"/>
          <c:tx>
            <c:strRef>
              <c:f>'Metrix RM11 History'!$BO$11</c:f>
              <c:strCache>
                <c:ptCount val="1"/>
                <c:pt idx="0">
                  <c:v>100</c:v>
                </c:pt>
              </c:strCache>
            </c:strRef>
          </c:tx>
          <c:xVal>
            <c:numRef>
              <c:f>'Metrix RM11 History'!$BP$7:$BT$7</c:f>
              <c:numCache>
                <c:formatCode>0.000</c:formatCode>
                <c:ptCount val="5"/>
                <c:pt idx="0">
                  <c:v>-60</c:v>
                </c:pt>
                <c:pt idx="2" formatCode="0.0000">
                  <c:v>0</c:v>
                </c:pt>
                <c:pt idx="4">
                  <c:v>36.9</c:v>
                </c:pt>
              </c:numCache>
            </c:numRef>
          </c:xVal>
          <c:yVal>
            <c:numRef>
              <c:f>'Metrix RM11 History'!$BP$11:$BT$11</c:f>
              <c:numCache>
                <c:formatCode>0.000</c:formatCode>
                <c:ptCount val="5"/>
                <c:pt idx="0">
                  <c:v>-1.7473650000000001E-3</c:v>
                </c:pt>
                <c:pt idx="1">
                  <c:v>8.6924169999999992E-3</c:v>
                </c:pt>
                <c:pt idx="2">
                  <c:v>5.0557700000000002E-3</c:v>
                </c:pt>
                <c:pt idx="3">
                  <c:v>4.7357789999999999E-3</c:v>
                </c:pt>
                <c:pt idx="4">
                  <c:v>7.454301E-3</c:v>
                </c:pt>
              </c:numCache>
            </c:numRef>
          </c:yVal>
          <c:smooth val="0"/>
          <c:extLst>
            <c:ext xmlns:c16="http://schemas.microsoft.com/office/drawing/2014/chart" uri="{C3380CC4-5D6E-409C-BE32-E72D297353CC}">
              <c16:uniqueId val="{00000003-ED43-4BBE-B936-F3F62C6AE760}"/>
            </c:ext>
          </c:extLst>
        </c:ser>
        <c:dLbls>
          <c:showLegendKey val="0"/>
          <c:showVal val="0"/>
          <c:showCatName val="0"/>
          <c:showSerName val="0"/>
          <c:showPercent val="0"/>
          <c:showBubbleSize val="0"/>
        </c:dLbls>
        <c:axId val="360138896"/>
        <c:axId val="1"/>
      </c:scatterChart>
      <c:valAx>
        <c:axId val="360138896"/>
        <c:scaling>
          <c:orientation val="minMax"/>
        </c:scaling>
        <c:delete val="0"/>
        <c:axPos val="b"/>
        <c:numFmt formatCode="0.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0.000" sourceLinked="1"/>
        <c:majorTickMark val="out"/>
        <c:minorTickMark val="none"/>
        <c:tickLblPos val="nextTo"/>
        <c:crossAx val="360138896"/>
        <c:crosses val="autoZero"/>
        <c:crossBetween val="midCat"/>
      </c:valAx>
    </c:plotArea>
    <c:legend>
      <c:legendPos val="r"/>
      <c:layout>
        <c:manualLayout>
          <c:xMode val="edge"/>
          <c:yMode val="edge"/>
          <c:x val="0.88107343365998847"/>
          <c:y val="0.34472114898681139"/>
          <c:w val="0.10050268842022891"/>
          <c:h val="0.29813697200893363"/>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'Metrix RM11 History'!$BP$51</c:f>
              <c:strCache>
                <c:ptCount val="1"/>
                <c:pt idx="0">
                  <c:v>90</c:v>
                </c:pt>
              </c:strCache>
            </c:strRef>
          </c:tx>
          <c:errBars>
            <c:errDir val="y"/>
            <c:errBarType val="both"/>
            <c:errValType val="cust"/>
            <c:noEndCap val="0"/>
            <c:plus>
              <c:numRef>
                <c:f>'Metrix RM11 History'!$BQ$52:$BQ$55</c:f>
                <c:numCache>
                  <c:formatCode>General</c:formatCode>
                  <c:ptCount val="4"/>
                  <c:pt idx="0">
                    <c:v>1.3794666000000001E-2</c:v>
                  </c:pt>
                  <c:pt idx="1">
                    <c:v>1.3810889999999999E-2</c:v>
                  </c:pt>
                  <c:pt idx="2">
                    <c:v>1.3797393E-2</c:v>
                  </c:pt>
                  <c:pt idx="3">
                    <c:v>1.379912E-2</c:v>
                  </c:pt>
                </c:numCache>
              </c:numRef>
            </c:plus>
            <c:minus>
              <c:numRef>
                <c:f>'Metrix RM11 History'!$BQ$52:$BQ$55</c:f>
                <c:numCache>
                  <c:formatCode>General</c:formatCode>
                  <c:ptCount val="4"/>
                  <c:pt idx="0">
                    <c:v>1.3794666000000001E-2</c:v>
                  </c:pt>
                  <c:pt idx="1">
                    <c:v>1.3810889999999999E-2</c:v>
                  </c:pt>
                  <c:pt idx="2">
                    <c:v>1.3797393E-2</c:v>
                  </c:pt>
                  <c:pt idx="3">
                    <c:v>1.379912E-2</c:v>
                  </c:pt>
                </c:numCache>
              </c:numRef>
            </c:minus>
            <c:spPr>
              <a:ln>
                <a:solidFill>
                  <a:schemeClr val="tx2">
                    <a:lumMod val="40000"/>
                    <a:lumOff val="60000"/>
                  </a:schemeClr>
                </a:solidFill>
              </a:ln>
            </c:spPr>
          </c:errBars>
          <c:xVal>
            <c:numRef>
              <c:f>'Metrix RM11 History'!$BO$52:$BO$55</c:f>
              <c:numCache>
                <c:formatCode>0</c:formatCode>
                <c:ptCount val="4"/>
                <c:pt idx="0">
                  <c:v>0.99996155600000003</c:v>
                </c:pt>
                <c:pt idx="1">
                  <c:v>1.9999256400000001</c:v>
                </c:pt>
                <c:pt idx="2">
                  <c:v>4.9998779860000004</c:v>
                </c:pt>
                <c:pt idx="3">
                  <c:v>5.9998917250000003</c:v>
                </c:pt>
              </c:numCache>
            </c:numRef>
          </c:xVal>
          <c:yVal>
            <c:numRef>
              <c:f>'Metrix RM11 History'!$BP$52:$BP$55</c:f>
              <c:numCache>
                <c:formatCode>0.000</c:formatCode>
                <c:ptCount val="4"/>
                <c:pt idx="0">
                  <c:v>2.4670740000000001E-3</c:v>
                </c:pt>
                <c:pt idx="1">
                  <c:v>1.431816E-3</c:v>
                </c:pt>
                <c:pt idx="2">
                  <c:v>3.5218800000000002E-4</c:v>
                </c:pt>
                <c:pt idx="3">
                  <c:v>2.1203229999999999E-3</c:v>
                </c:pt>
              </c:numCache>
            </c:numRef>
          </c:yVal>
          <c:smooth val="0"/>
          <c:extLst>
            <c:ext xmlns:c16="http://schemas.microsoft.com/office/drawing/2014/chart" uri="{C3380CC4-5D6E-409C-BE32-E72D297353CC}">
              <c16:uniqueId val="{00000000-4435-4801-84F1-CA68A1753B97}"/>
            </c:ext>
          </c:extLst>
        </c:ser>
        <c:ser>
          <c:idx val="1"/>
          <c:order val="1"/>
          <c:tx>
            <c:strRef>
              <c:f>'Metrix RM11 History'!$BR$51</c:f>
              <c:strCache>
                <c:ptCount val="1"/>
                <c:pt idx="0">
                  <c:v>30</c:v>
                </c:pt>
              </c:strCache>
            </c:strRef>
          </c:tx>
          <c:xVal>
            <c:numRef>
              <c:f>'Metrix RM11 History'!$BO$52:$BO$55</c:f>
              <c:numCache>
                <c:formatCode>0</c:formatCode>
                <c:ptCount val="4"/>
                <c:pt idx="0">
                  <c:v>0.99996155600000003</c:v>
                </c:pt>
                <c:pt idx="1">
                  <c:v>1.9999256400000001</c:v>
                </c:pt>
                <c:pt idx="2">
                  <c:v>4.9998779860000004</c:v>
                </c:pt>
                <c:pt idx="3">
                  <c:v>5.9998917250000003</c:v>
                </c:pt>
              </c:numCache>
            </c:numRef>
          </c:xVal>
          <c:yVal>
            <c:numRef>
              <c:f>'Metrix RM11 History'!$BR$52:$BR$55</c:f>
              <c:numCache>
                <c:formatCode>0.000</c:formatCode>
                <c:ptCount val="4"/>
                <c:pt idx="0">
                  <c:v>5.4934700000000005E-4</c:v>
                </c:pt>
                <c:pt idx="1">
                  <c:v>-2.7283310000000001E-3</c:v>
                </c:pt>
                <c:pt idx="2">
                  <c:v>-6.4105800000000001E-4</c:v>
                </c:pt>
                <c:pt idx="3">
                  <c:v>2.27772E-4</c:v>
                </c:pt>
              </c:numCache>
            </c:numRef>
          </c:yVal>
          <c:smooth val="0"/>
          <c:extLst>
            <c:ext xmlns:c16="http://schemas.microsoft.com/office/drawing/2014/chart" uri="{C3380CC4-5D6E-409C-BE32-E72D297353CC}">
              <c16:uniqueId val="{00000001-4435-4801-84F1-CA68A1753B97}"/>
            </c:ext>
          </c:extLst>
        </c:ser>
        <c:ser>
          <c:idx val="2"/>
          <c:order val="2"/>
          <c:tx>
            <c:strRef>
              <c:f>'Metrix RM11 History'!$BT$51</c:f>
              <c:strCache>
                <c:ptCount val="1"/>
                <c:pt idx="0">
                  <c:v>127</c:v>
                </c:pt>
              </c:strCache>
            </c:strRef>
          </c:tx>
          <c:xVal>
            <c:numRef>
              <c:f>'Metrix RM11 History'!$BO$52:$BO$55</c:f>
              <c:numCache>
                <c:formatCode>0</c:formatCode>
                <c:ptCount val="4"/>
                <c:pt idx="0">
                  <c:v>0.99996155600000003</c:v>
                </c:pt>
                <c:pt idx="1">
                  <c:v>1.9999256400000001</c:v>
                </c:pt>
                <c:pt idx="2">
                  <c:v>4.9998779860000004</c:v>
                </c:pt>
                <c:pt idx="3">
                  <c:v>5.9998917250000003</c:v>
                </c:pt>
              </c:numCache>
            </c:numRef>
          </c:xVal>
          <c:yVal>
            <c:numRef>
              <c:f>'Metrix RM11 History'!$BT$52:$BT$55</c:f>
              <c:numCache>
                <c:formatCode>0.000</c:formatCode>
                <c:ptCount val="4"/>
                <c:pt idx="0">
                  <c:v>3.4863599999999999E-4</c:v>
                </c:pt>
                <c:pt idx="1">
                  <c:v>-1.4386500000000001E-3</c:v>
                </c:pt>
                <c:pt idx="2">
                  <c:v>-2.0332E-4</c:v>
                </c:pt>
                <c:pt idx="3">
                  <c:v>5.9537499999999998E-4</c:v>
                </c:pt>
              </c:numCache>
            </c:numRef>
          </c:yVal>
          <c:smooth val="0"/>
          <c:extLst>
            <c:ext xmlns:c16="http://schemas.microsoft.com/office/drawing/2014/chart" uri="{C3380CC4-5D6E-409C-BE32-E72D297353CC}">
              <c16:uniqueId val="{00000002-4435-4801-84F1-CA68A1753B97}"/>
            </c:ext>
          </c:extLst>
        </c:ser>
        <c:dLbls>
          <c:showLegendKey val="0"/>
          <c:showVal val="0"/>
          <c:showCatName val="0"/>
          <c:showSerName val="0"/>
          <c:showPercent val="0"/>
          <c:showBubbleSize val="0"/>
        </c:dLbls>
        <c:axId val="360141192"/>
        <c:axId val="1"/>
      </c:scatterChart>
      <c:valAx>
        <c:axId val="360141192"/>
        <c:scaling>
          <c:orientation val="minMax"/>
        </c:scaling>
        <c:delete val="0"/>
        <c:axPos val="b"/>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0.000" sourceLinked="1"/>
        <c:majorTickMark val="out"/>
        <c:minorTickMark val="none"/>
        <c:tickLblPos val="nextTo"/>
        <c:crossAx val="360141192"/>
        <c:crosses val="autoZero"/>
        <c:crossBetween val="midCat"/>
      </c:valAx>
    </c:plotArea>
    <c:legend>
      <c:legendPos val="r"/>
      <c:layout>
        <c:manualLayout>
          <c:xMode val="edge"/>
          <c:yMode val="edge"/>
          <c:wMode val="edge"/>
          <c:hMode val="edge"/>
          <c:x val="0.88486842105263153"/>
          <c:y val="0.36879544312280116"/>
          <c:w val="0.98355263157894735"/>
          <c:h val="0.62411533664674901"/>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Watts Unity PF History</a:t>
            </a:r>
          </a:p>
        </c:rich>
      </c:tx>
      <c:overlay val="0"/>
      <c:spPr>
        <a:noFill/>
        <a:ln w="25400">
          <a:noFill/>
        </a:ln>
      </c:spPr>
    </c:title>
    <c:autoTitleDeleted val="0"/>
    <c:plotArea>
      <c:layout/>
      <c:scatterChart>
        <c:scatterStyle val="smoothMarker"/>
        <c:varyColors val="0"/>
        <c:ser>
          <c:idx val="0"/>
          <c:order val="0"/>
          <c:tx>
            <c:strRef>
              <c:f>'Metrix RM11 History'!$BB$90</c:f>
              <c:strCache>
                <c:ptCount val="1"/>
                <c:pt idx="0">
                  <c:v>1</c:v>
                </c:pt>
              </c:strCache>
            </c:strRef>
          </c:tx>
          <c:xVal>
            <c:numRef>
              <c:f>'Metrix RM11 History'!$BC$89:$BJ$89</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History'!$BC$90:$BJ$90</c:f>
              <c:numCache>
                <c:formatCode>0.0000</c:formatCode>
                <c:ptCount val="8"/>
                <c:pt idx="0" formatCode="0.000">
                  <c:v>2.5232409999999999E-3</c:v>
                </c:pt>
                <c:pt idx="1">
                  <c:v>-8.7427800000000003E-4</c:v>
                </c:pt>
                <c:pt idx="2" formatCode="0.000">
                  <c:v>-9.1797393749759593E-4</c:v>
                </c:pt>
                <c:pt idx="3" formatCode="0.000">
                  <c:v>-2.0295985953100448E-3</c:v>
                </c:pt>
                <c:pt idx="4" formatCode="0.000">
                  <c:v>-1.2436369999999999E-3</c:v>
                </c:pt>
                <c:pt idx="5" formatCode="0.000">
                  <c:v>-1.0000516905250834E-3</c:v>
                </c:pt>
                <c:pt idx="6" formatCode="0.000">
                  <c:v>2.7778549404029037E-3</c:v>
                </c:pt>
                <c:pt idx="7" formatCode="General">
                  <c:v>-7.0000000000000001E-3</c:v>
                </c:pt>
              </c:numCache>
            </c:numRef>
          </c:yVal>
          <c:smooth val="1"/>
          <c:extLst>
            <c:ext xmlns:c16="http://schemas.microsoft.com/office/drawing/2014/chart" uri="{C3380CC4-5D6E-409C-BE32-E72D297353CC}">
              <c16:uniqueId val="{00000000-5D43-4FD2-B8C0-84EDA20D1183}"/>
            </c:ext>
          </c:extLst>
        </c:ser>
        <c:ser>
          <c:idx val="1"/>
          <c:order val="1"/>
          <c:tx>
            <c:strRef>
              <c:f>'Metrix RM11 History'!$BB$91</c:f>
              <c:strCache>
                <c:ptCount val="1"/>
                <c:pt idx="0">
                  <c:v>5</c:v>
                </c:pt>
              </c:strCache>
            </c:strRef>
          </c:tx>
          <c:xVal>
            <c:numRef>
              <c:f>'Metrix RM11 History'!$BC$89:$BJ$89</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History'!$BC$91:$BJ$91</c:f>
              <c:numCache>
                <c:formatCode>0.000</c:formatCode>
                <c:ptCount val="8"/>
                <c:pt idx="0">
                  <c:v>2.9853179999999998E-3</c:v>
                </c:pt>
                <c:pt idx="1">
                  <c:v>-1.224052E-3</c:v>
                </c:pt>
                <c:pt idx="2">
                  <c:v>-3.4762230820550855E-4</c:v>
                </c:pt>
                <c:pt idx="3">
                  <c:v>-1.2860631084188334E-3</c:v>
                </c:pt>
                <c:pt idx="4">
                  <c:v>-2.5649330000000001E-3</c:v>
                </c:pt>
                <c:pt idx="5">
                  <c:v>-1.6932332968955244E-3</c:v>
                </c:pt>
                <c:pt idx="6">
                  <c:v>2.7778549404029037E-3</c:v>
                </c:pt>
                <c:pt idx="7" formatCode="General">
                  <c:v>-3.0000000000000001E-3</c:v>
                </c:pt>
              </c:numCache>
            </c:numRef>
          </c:yVal>
          <c:smooth val="1"/>
          <c:extLst>
            <c:ext xmlns:c16="http://schemas.microsoft.com/office/drawing/2014/chart" uri="{C3380CC4-5D6E-409C-BE32-E72D297353CC}">
              <c16:uniqueId val="{00000001-5D43-4FD2-B8C0-84EDA20D1183}"/>
            </c:ext>
          </c:extLst>
        </c:ser>
        <c:ser>
          <c:idx val="2"/>
          <c:order val="2"/>
          <c:tx>
            <c:strRef>
              <c:f>'Metrix RM11 History'!$BB$92</c:f>
              <c:strCache>
                <c:ptCount val="1"/>
                <c:pt idx="0">
                  <c:v>25</c:v>
                </c:pt>
              </c:strCache>
            </c:strRef>
          </c:tx>
          <c:xVal>
            <c:numRef>
              <c:f>'Metrix RM11 History'!$BC$89:$BJ$89</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History'!$BC$92:$BJ$92</c:f>
              <c:numCache>
                <c:formatCode>General</c:formatCode>
                <c:ptCount val="8"/>
                <c:pt idx="2" formatCode="0.000">
                  <c:v>2.2076163277429117E-4</c:v>
                </c:pt>
                <c:pt idx="3" formatCode="0.000">
                  <c:v>-1.0909555114624325E-3</c:v>
                </c:pt>
                <c:pt idx="4" formatCode="0.000">
                  <c:v>-1.1660850000000001E-3</c:v>
                </c:pt>
                <c:pt idx="5" formatCode="0.000">
                  <c:v>-2.9944948110260938E-3</c:v>
                </c:pt>
                <c:pt idx="6" formatCode="0.000">
                  <c:v>3.3334444481297396E-3</c:v>
                </c:pt>
                <c:pt idx="7">
                  <c:v>-2E-3</c:v>
                </c:pt>
              </c:numCache>
            </c:numRef>
          </c:yVal>
          <c:smooth val="1"/>
          <c:extLst>
            <c:ext xmlns:c16="http://schemas.microsoft.com/office/drawing/2014/chart" uri="{C3380CC4-5D6E-409C-BE32-E72D297353CC}">
              <c16:uniqueId val="{00000002-5D43-4FD2-B8C0-84EDA20D1183}"/>
            </c:ext>
          </c:extLst>
        </c:ser>
        <c:ser>
          <c:idx val="3"/>
          <c:order val="3"/>
          <c:tx>
            <c:strRef>
              <c:f>'Metrix RM11 History'!$BB$93</c:f>
              <c:strCache>
                <c:ptCount val="1"/>
                <c:pt idx="0">
                  <c:v>50</c:v>
                </c:pt>
              </c:strCache>
            </c:strRef>
          </c:tx>
          <c:xVal>
            <c:numRef>
              <c:f>'Metrix RM11 History'!$BC$89:$BJ$89</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History'!$BC$93:$BJ$93</c:f>
              <c:numCache>
                <c:formatCode>0.000</c:formatCode>
                <c:ptCount val="8"/>
                <c:pt idx="0">
                  <c:v>3.9287849999999997E-3</c:v>
                </c:pt>
                <c:pt idx="1">
                  <c:v>-3.719787E-3</c:v>
                </c:pt>
                <c:pt idx="2">
                  <c:v>-2.6011027474126536E-3</c:v>
                </c:pt>
                <c:pt idx="3">
                  <c:v>-1.0860438109827619E-3</c:v>
                </c:pt>
                <c:pt idx="4">
                  <c:v>-6.5399560000000004E-3</c:v>
                </c:pt>
                <c:pt idx="5">
                  <c:v>-2.2335431101261349E-2</c:v>
                </c:pt>
                <c:pt idx="6">
                  <c:v>-1.2220728577609407E-2</c:v>
                </c:pt>
                <c:pt idx="7" formatCode="General">
                  <c:v>-1.0999999999999999E-2</c:v>
                </c:pt>
              </c:numCache>
            </c:numRef>
          </c:yVal>
          <c:smooth val="1"/>
          <c:extLst>
            <c:ext xmlns:c16="http://schemas.microsoft.com/office/drawing/2014/chart" uri="{C3380CC4-5D6E-409C-BE32-E72D297353CC}">
              <c16:uniqueId val="{00000003-5D43-4FD2-B8C0-84EDA20D1183}"/>
            </c:ext>
          </c:extLst>
        </c:ser>
        <c:ser>
          <c:idx val="4"/>
          <c:order val="4"/>
          <c:tx>
            <c:strRef>
              <c:f>'Metrix RM11 History'!$BB$94</c:f>
              <c:strCache>
                <c:ptCount val="1"/>
                <c:pt idx="0">
                  <c:v>100</c:v>
                </c:pt>
              </c:strCache>
            </c:strRef>
          </c:tx>
          <c:xVal>
            <c:numRef>
              <c:f>'Metrix RM11 History'!$BC$89:$BJ$89</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History'!$BC$94:$BJ$94</c:f>
              <c:numCache>
                <c:formatCode>0.000</c:formatCode>
                <c:ptCount val="8"/>
                <c:pt idx="0">
                  <c:v>5.0557700000000002E-3</c:v>
                </c:pt>
                <c:pt idx="1">
                  <c:v>1.049557E-3</c:v>
                </c:pt>
                <c:pt idx="2">
                  <c:v>2.8779283287816426E-3</c:v>
                </c:pt>
                <c:pt idx="3">
                  <c:v>-2.0434856421003289E-3</c:v>
                </c:pt>
                <c:pt idx="4">
                  <c:v>4.07524E-5</c:v>
                </c:pt>
                <c:pt idx="5">
                  <c:v>-1.55842863346356E-3</c:v>
                </c:pt>
                <c:pt idx="6">
                  <c:v>1.6666944449098082E-3</c:v>
                </c:pt>
                <c:pt idx="7" formatCode="General">
                  <c:v>-6.0000000000000001E-3</c:v>
                </c:pt>
              </c:numCache>
            </c:numRef>
          </c:yVal>
          <c:smooth val="1"/>
          <c:extLst>
            <c:ext xmlns:c16="http://schemas.microsoft.com/office/drawing/2014/chart" uri="{C3380CC4-5D6E-409C-BE32-E72D297353CC}">
              <c16:uniqueId val="{00000004-5D43-4FD2-B8C0-84EDA20D1183}"/>
            </c:ext>
          </c:extLst>
        </c:ser>
        <c:dLbls>
          <c:showLegendKey val="0"/>
          <c:showVal val="0"/>
          <c:showCatName val="0"/>
          <c:showSerName val="0"/>
          <c:showPercent val="0"/>
          <c:showBubbleSize val="0"/>
        </c:dLbls>
        <c:axId val="360207136"/>
        <c:axId val="1"/>
      </c:scatterChart>
      <c:valAx>
        <c:axId val="360207136"/>
        <c:scaling>
          <c:orientation val="minMax"/>
        </c:scaling>
        <c:delete val="0"/>
        <c:axPos val="b"/>
        <c:numFmt formatCode="m/d/yyyy"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0.000" sourceLinked="1"/>
        <c:majorTickMark val="out"/>
        <c:minorTickMark val="none"/>
        <c:tickLblPos val="nextTo"/>
        <c:crossAx val="360207136"/>
        <c:crosses val="autoZero"/>
        <c:crossBetween val="midCat"/>
      </c:valAx>
    </c:plotArea>
    <c:legend>
      <c:legendPos val="r"/>
      <c:layout>
        <c:manualLayout>
          <c:xMode val="edge"/>
          <c:yMode val="edge"/>
          <c:wMode val="edge"/>
          <c:hMode val="edge"/>
          <c:x val="0.9230773845576995"/>
          <c:y val="0.41075359128496031"/>
          <c:w val="0.98901145049176542"/>
          <c:h val="0.66881855897045117"/>
        </c:manualLayout>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Vars Unity PF History</a:t>
            </a:r>
          </a:p>
        </c:rich>
      </c:tx>
      <c:overlay val="0"/>
      <c:spPr>
        <a:noFill/>
        <a:ln w="25400">
          <a:noFill/>
        </a:ln>
      </c:spPr>
    </c:title>
    <c:autoTitleDeleted val="0"/>
    <c:plotArea>
      <c:layout/>
      <c:scatterChart>
        <c:scatterStyle val="smoothMarker"/>
        <c:varyColors val="0"/>
        <c:ser>
          <c:idx val="0"/>
          <c:order val="0"/>
          <c:tx>
            <c:strRef>
              <c:f>'Metrix RM11 History'!$BB$103</c:f>
              <c:strCache>
                <c:ptCount val="1"/>
                <c:pt idx="0">
                  <c:v>1</c:v>
                </c:pt>
              </c:strCache>
            </c:strRef>
          </c:tx>
          <c:xVal>
            <c:numRef>
              <c:f>'Metrix RM11 History'!$BC$102:$BJ$102</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History'!$BC$103:$BJ$103</c:f>
              <c:numCache>
                <c:formatCode>0.000</c:formatCode>
                <c:ptCount val="8"/>
                <c:pt idx="0">
                  <c:v>2.4670740000000001E-3</c:v>
                </c:pt>
                <c:pt idx="1">
                  <c:v>-5.9005749999999999E-3</c:v>
                </c:pt>
                <c:pt idx="2">
                  <c:v>2.2391196675908276E-3</c:v>
                </c:pt>
                <c:pt idx="3">
                  <c:v>4.4679979999999999E-3</c:v>
                </c:pt>
                <c:pt idx="4">
                  <c:v>4.4679979999999999E-3</c:v>
                </c:pt>
                <c:pt idx="5">
                  <c:v>-8.2323324812616505E-3</c:v>
                </c:pt>
                <c:pt idx="6">
                  <c:v>1.6669444907485741E-2</c:v>
                </c:pt>
                <c:pt idx="7">
                  <c:v>-1.7000000000000001E-2</c:v>
                </c:pt>
              </c:numCache>
            </c:numRef>
          </c:yVal>
          <c:smooth val="1"/>
          <c:extLst>
            <c:ext xmlns:c16="http://schemas.microsoft.com/office/drawing/2014/chart" uri="{C3380CC4-5D6E-409C-BE32-E72D297353CC}">
              <c16:uniqueId val="{00000000-A699-4E54-8DAA-4B2401AC3697}"/>
            </c:ext>
          </c:extLst>
        </c:ser>
        <c:ser>
          <c:idx val="1"/>
          <c:order val="1"/>
          <c:tx>
            <c:strRef>
              <c:f>'Metrix RM11 History'!$BB$104</c:f>
              <c:strCache>
                <c:ptCount val="1"/>
                <c:pt idx="0">
                  <c:v>5</c:v>
                </c:pt>
              </c:strCache>
            </c:strRef>
          </c:tx>
          <c:xVal>
            <c:numRef>
              <c:f>'Metrix RM11 History'!$BC$102:$BJ$102</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History'!$BC$104:$BJ$104</c:f>
              <c:numCache>
                <c:formatCode>0.000</c:formatCode>
                <c:ptCount val="8"/>
                <c:pt idx="0">
                  <c:v>3.5218800000000002E-4</c:v>
                </c:pt>
                <c:pt idx="1">
                  <c:v>-6.7447490000000004E-3</c:v>
                </c:pt>
                <c:pt idx="2">
                  <c:v>3.3609295715830712E-3</c:v>
                </c:pt>
                <c:pt idx="3">
                  <c:v>1.4207200000000001E-3</c:v>
                </c:pt>
                <c:pt idx="4">
                  <c:v>1.4207200000000001E-3</c:v>
                </c:pt>
                <c:pt idx="5">
                  <c:v>-9.3161992240298197E-3</c:v>
                </c:pt>
                <c:pt idx="6">
                  <c:v>1.3890818169194971E-2</c:v>
                </c:pt>
                <c:pt idx="7">
                  <c:v>-1.7999999999999999E-2</c:v>
                </c:pt>
              </c:numCache>
            </c:numRef>
          </c:yVal>
          <c:smooth val="1"/>
          <c:extLst>
            <c:ext xmlns:c16="http://schemas.microsoft.com/office/drawing/2014/chart" uri="{C3380CC4-5D6E-409C-BE32-E72D297353CC}">
              <c16:uniqueId val="{00000001-A699-4E54-8DAA-4B2401AC3697}"/>
            </c:ext>
          </c:extLst>
        </c:ser>
        <c:ser>
          <c:idx val="2"/>
          <c:order val="2"/>
          <c:tx>
            <c:strRef>
              <c:f>'Metrix RM11 History'!$BB$105</c:f>
              <c:strCache>
                <c:ptCount val="1"/>
                <c:pt idx="0">
                  <c:v>25</c:v>
                </c:pt>
              </c:strCache>
            </c:strRef>
          </c:tx>
          <c:xVal>
            <c:numRef>
              <c:f>'Metrix RM11 History'!$BC$102:$BJ$102</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History'!$BC$105:$BJ$105</c:f>
              <c:numCache>
                <c:formatCode>General</c:formatCode>
                <c:ptCount val="8"/>
                <c:pt idx="2" formatCode="0.000">
                  <c:v>2.1931672839814453E-3</c:v>
                </c:pt>
                <c:pt idx="3" formatCode="0.000">
                  <c:v>-1.596833E-3</c:v>
                </c:pt>
                <c:pt idx="4" formatCode="0.000">
                  <c:v>-1.596833E-3</c:v>
                </c:pt>
                <c:pt idx="5" formatCode="0.000">
                  <c:v>-9.831668583093478E-3</c:v>
                </c:pt>
                <c:pt idx="6" formatCode="0.000">
                  <c:v>1.9448226043939941E-2</c:v>
                </c:pt>
                <c:pt idx="7" formatCode="0.000">
                  <c:v>-0.02</c:v>
                </c:pt>
              </c:numCache>
            </c:numRef>
          </c:yVal>
          <c:smooth val="1"/>
          <c:extLst>
            <c:ext xmlns:c16="http://schemas.microsoft.com/office/drawing/2014/chart" uri="{C3380CC4-5D6E-409C-BE32-E72D297353CC}">
              <c16:uniqueId val="{00000002-A699-4E54-8DAA-4B2401AC3697}"/>
            </c:ext>
          </c:extLst>
        </c:ser>
        <c:ser>
          <c:idx val="3"/>
          <c:order val="3"/>
          <c:tx>
            <c:strRef>
              <c:f>'Metrix RM11 History'!$BB$106</c:f>
              <c:strCache>
                <c:ptCount val="1"/>
                <c:pt idx="0">
                  <c:v>50</c:v>
                </c:pt>
              </c:strCache>
            </c:strRef>
          </c:tx>
          <c:xVal>
            <c:numRef>
              <c:f>'Metrix RM11 History'!$BC$102:$BJ$102</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History'!$BC$106:$BJ$106</c:f>
              <c:numCache>
                <c:formatCode>General</c:formatCode>
                <c:ptCount val="8"/>
                <c:pt idx="2" formatCode="0.000">
                  <c:v>-4.9102886803042978E-3</c:v>
                </c:pt>
                <c:pt idx="3" formatCode="0.000">
                  <c:v>-1.2531852E-2</c:v>
                </c:pt>
                <c:pt idx="4" formatCode="0.000">
                  <c:v>-1.2531852E-2</c:v>
                </c:pt>
                <c:pt idx="5" formatCode="0.000">
                  <c:v>-2.2082040064386188E-2</c:v>
                </c:pt>
                <c:pt idx="6" formatCode="0.000">
                  <c:v>-5.5552469307294811E-3</c:v>
                </c:pt>
                <c:pt idx="7" formatCode="0.000">
                  <c:v>-3.5999999999999997E-2</c:v>
                </c:pt>
              </c:numCache>
            </c:numRef>
          </c:yVal>
          <c:smooth val="1"/>
          <c:extLst>
            <c:ext xmlns:c16="http://schemas.microsoft.com/office/drawing/2014/chart" uri="{C3380CC4-5D6E-409C-BE32-E72D297353CC}">
              <c16:uniqueId val="{00000003-A699-4E54-8DAA-4B2401AC3697}"/>
            </c:ext>
          </c:extLst>
        </c:ser>
        <c:ser>
          <c:idx val="4"/>
          <c:order val="4"/>
          <c:tx>
            <c:strRef>
              <c:f>'Metrix RM11 History'!$BB$107</c:f>
              <c:strCache>
                <c:ptCount val="1"/>
                <c:pt idx="0">
                  <c:v>100</c:v>
                </c:pt>
              </c:strCache>
            </c:strRef>
          </c:tx>
          <c:xVal>
            <c:numRef>
              <c:f>'Metrix RM11 History'!$BC$102:$BJ$102</c:f>
              <c:numCache>
                <c:formatCode>m/d/yyyy</c:formatCode>
                <c:ptCount val="8"/>
                <c:pt idx="0">
                  <c:v>42037</c:v>
                </c:pt>
                <c:pt idx="1">
                  <c:v>41288</c:v>
                </c:pt>
                <c:pt idx="2">
                  <c:v>40581</c:v>
                </c:pt>
                <c:pt idx="3">
                  <c:v>39869</c:v>
                </c:pt>
                <c:pt idx="4">
                  <c:v>39136</c:v>
                </c:pt>
                <c:pt idx="5">
                  <c:v>38406</c:v>
                </c:pt>
                <c:pt idx="6">
                  <c:v>37673</c:v>
                </c:pt>
                <c:pt idx="7">
                  <c:v>36945</c:v>
                </c:pt>
              </c:numCache>
            </c:numRef>
          </c:xVal>
          <c:yVal>
            <c:numRef>
              <c:f>'Metrix RM11 History'!$BC$107:$BJ$107</c:f>
              <c:numCache>
                <c:formatCode>General</c:formatCode>
                <c:ptCount val="8"/>
                <c:pt idx="2" formatCode="0.000">
                  <c:v>-4.5140391622289222E-3</c:v>
                </c:pt>
                <c:pt idx="3" formatCode="0.000">
                  <c:v>2.3728000000000001E-4</c:v>
                </c:pt>
                <c:pt idx="4" formatCode="0.000">
                  <c:v>2.3728000000000001E-4</c:v>
                </c:pt>
                <c:pt idx="5" formatCode="0.000">
                  <c:v>-2.170038542292918E-2</c:v>
                </c:pt>
                <c:pt idx="6" formatCode="0.000">
                  <c:v>2.1115568842302309E-2</c:v>
                </c:pt>
                <c:pt idx="7" formatCode="0.000">
                  <c:v>-3.5999999999999997E-2</c:v>
                </c:pt>
              </c:numCache>
            </c:numRef>
          </c:yVal>
          <c:smooth val="1"/>
          <c:extLst>
            <c:ext xmlns:c16="http://schemas.microsoft.com/office/drawing/2014/chart" uri="{C3380CC4-5D6E-409C-BE32-E72D297353CC}">
              <c16:uniqueId val="{00000004-A699-4E54-8DAA-4B2401AC3697}"/>
            </c:ext>
          </c:extLst>
        </c:ser>
        <c:dLbls>
          <c:showLegendKey val="0"/>
          <c:showVal val="0"/>
          <c:showCatName val="0"/>
          <c:showSerName val="0"/>
          <c:showPercent val="0"/>
          <c:showBubbleSize val="0"/>
        </c:dLbls>
        <c:axId val="360369048"/>
        <c:axId val="1"/>
      </c:scatterChart>
      <c:valAx>
        <c:axId val="360369048"/>
        <c:scaling>
          <c:orientation val="minMax"/>
        </c:scaling>
        <c:delete val="0"/>
        <c:axPos val="b"/>
        <c:numFmt formatCode="m/d/yyyy"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0.000" sourceLinked="1"/>
        <c:majorTickMark val="out"/>
        <c:minorTickMark val="none"/>
        <c:tickLblPos val="nextTo"/>
        <c:crossAx val="360369048"/>
        <c:crosses val="autoZero"/>
        <c:crossBetween val="midCat"/>
      </c:valAx>
    </c:plotArea>
    <c:legend>
      <c:legendPos val="r"/>
      <c:layout>
        <c:manualLayout>
          <c:xMode val="edge"/>
          <c:yMode val="edge"/>
          <c:wMode val="edge"/>
          <c:hMode val="edge"/>
          <c:x val="0.92265193370165743"/>
          <c:y val="0.40789565777961961"/>
          <c:w val="0.98895027624309395"/>
          <c:h val="0.67105401298521894"/>
        </c:manualLayou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NZ" sz="1800" b="1" i="0" baseline="0">
                <a:effectLst/>
              </a:rPr>
              <a:t>History (selected 230 V points)</a:t>
            </a:r>
            <a:endParaRPr lang="en-NZ">
              <a:effectLst/>
            </a:endParaRPr>
          </a:p>
        </c:rich>
      </c:tx>
      <c:overlay val="0"/>
      <c:spPr>
        <a:noFill/>
        <a:ln w="25400">
          <a:noFill/>
        </a:ln>
      </c:spPr>
    </c:title>
    <c:autoTitleDeleted val="0"/>
    <c:plotArea>
      <c:layout/>
      <c:scatterChart>
        <c:scatterStyle val="lineMarker"/>
        <c:varyColors val="0"/>
        <c:ser>
          <c:idx val="0"/>
          <c:order val="0"/>
          <c:tx>
            <c:strRef>
              <c:f>'Metrix RM11 History'!$AF$34</c:f>
              <c:strCache>
                <c:ptCount val="1"/>
                <c:pt idx="0">
                  <c:v>50 A 0.8 Lead Watts</c:v>
                </c:pt>
              </c:strCache>
            </c:strRef>
          </c:tx>
          <c:xVal>
            <c:numRef>
              <c:f>'Metrix RM11 History'!$AE$35:$AE$42</c:f>
              <c:numCache>
                <c:formatCode>General</c:formatCode>
                <c:ptCount val="8"/>
                <c:pt idx="0">
                  <c:v>2001</c:v>
                </c:pt>
                <c:pt idx="1">
                  <c:v>2003</c:v>
                </c:pt>
                <c:pt idx="2">
                  <c:v>2005</c:v>
                </c:pt>
                <c:pt idx="3">
                  <c:v>2007</c:v>
                </c:pt>
                <c:pt idx="4">
                  <c:v>2009</c:v>
                </c:pt>
                <c:pt idx="5">
                  <c:v>2011</c:v>
                </c:pt>
                <c:pt idx="6">
                  <c:v>2013</c:v>
                </c:pt>
                <c:pt idx="7">
                  <c:v>2015</c:v>
                </c:pt>
              </c:numCache>
            </c:numRef>
          </c:xVal>
          <c:yVal>
            <c:numRef>
              <c:f>'Metrix RM11 History'!$AF$35:$AF$42</c:f>
              <c:numCache>
                <c:formatCode>0.000</c:formatCode>
                <c:ptCount val="8"/>
                <c:pt idx="0">
                  <c:v>-4.2116933727811558E-4</c:v>
                </c:pt>
                <c:pt idx="1">
                  <c:v>-1.1109876680377056E-2</c:v>
                </c:pt>
                <c:pt idx="2">
                  <c:v>-1.3044501405701237E-2</c:v>
                </c:pt>
                <c:pt idx="3">
                  <c:v>-2.6737330000000002E-3</c:v>
                </c:pt>
                <c:pt idx="4">
                  <c:v>-4.4384812505904314E-3</c:v>
                </c:pt>
                <c:pt idx="5">
                  <c:v>1.8446117954651342E-3</c:v>
                </c:pt>
                <c:pt idx="6">
                  <c:v>3.9943679999999999E-3</c:v>
                </c:pt>
                <c:pt idx="7">
                  <c:v>6.9410540000000003E-3</c:v>
                </c:pt>
              </c:numCache>
            </c:numRef>
          </c:yVal>
          <c:smooth val="0"/>
          <c:extLst>
            <c:ext xmlns:c16="http://schemas.microsoft.com/office/drawing/2014/chart" uri="{C3380CC4-5D6E-409C-BE32-E72D297353CC}">
              <c16:uniqueId val="{00000000-B649-4322-B49F-7CF3A93F298F}"/>
            </c:ext>
          </c:extLst>
        </c:ser>
        <c:ser>
          <c:idx val="1"/>
          <c:order val="1"/>
          <c:tx>
            <c:strRef>
              <c:f>'Metrix RM11 History'!$AG$34</c:f>
              <c:strCache>
                <c:ptCount val="1"/>
                <c:pt idx="0">
                  <c:v>50 A Unity Watts</c:v>
                </c:pt>
              </c:strCache>
            </c:strRef>
          </c:tx>
          <c:errBars>
            <c:errDir val="y"/>
            <c:errBarType val="both"/>
            <c:errValType val="cust"/>
            <c:noEndCap val="0"/>
            <c:plus>
              <c:numRef>
                <c:f>'Metrix RM11 History'!$AH$35:$AH$42</c:f>
                <c:numCache>
                  <c:formatCode>General</c:formatCode>
                  <c:ptCount val="8"/>
                  <c:pt idx="0">
                    <c:v>8.6019892983513428E-3</c:v>
                  </c:pt>
                  <c:pt idx="1">
                    <c:v>9.9577051145757298E-3</c:v>
                  </c:pt>
                  <c:pt idx="2">
                    <c:v>8.2147755950366021E-3</c:v>
                  </c:pt>
                  <c:pt idx="3">
                    <c:v>4.828812E-3</c:v>
                  </c:pt>
                  <c:pt idx="4">
                    <c:v>8.2506562355229261E-3</c:v>
                  </c:pt>
                  <c:pt idx="5">
                    <c:v>8.3456635355364014E-3</c:v>
                  </c:pt>
                  <c:pt idx="6">
                    <c:v>5.1976059999999996E-3</c:v>
                  </c:pt>
                  <c:pt idx="7">
                    <c:v>4.7629769999999998E-3</c:v>
                  </c:pt>
                </c:numCache>
              </c:numRef>
            </c:plus>
            <c:minus>
              <c:numRef>
                <c:f>'Metrix RM11 History'!$AH$35:$AH$42</c:f>
                <c:numCache>
                  <c:formatCode>General</c:formatCode>
                  <c:ptCount val="8"/>
                  <c:pt idx="0">
                    <c:v>8.6019892983513428E-3</c:v>
                  </c:pt>
                  <c:pt idx="1">
                    <c:v>9.9577051145757298E-3</c:v>
                  </c:pt>
                  <c:pt idx="2">
                    <c:v>8.2147755950366021E-3</c:v>
                  </c:pt>
                  <c:pt idx="3">
                    <c:v>4.828812E-3</c:v>
                  </c:pt>
                  <c:pt idx="4">
                    <c:v>8.2506562355229261E-3</c:v>
                  </c:pt>
                  <c:pt idx="5">
                    <c:v>8.3456635355364014E-3</c:v>
                  </c:pt>
                  <c:pt idx="6">
                    <c:v>5.1976059999999996E-3</c:v>
                  </c:pt>
                  <c:pt idx="7">
                    <c:v>4.7629769999999998E-3</c:v>
                  </c:pt>
                </c:numCache>
              </c:numRef>
            </c:minus>
            <c:spPr>
              <a:ln>
                <a:solidFill>
                  <a:srgbClr val="C00000"/>
                </a:solidFill>
              </a:ln>
            </c:spPr>
          </c:errBars>
          <c:xVal>
            <c:numRef>
              <c:f>'Metrix RM11 History'!$AE$35:$AE$42</c:f>
              <c:numCache>
                <c:formatCode>General</c:formatCode>
                <c:ptCount val="8"/>
                <c:pt idx="0">
                  <c:v>2001</c:v>
                </c:pt>
                <c:pt idx="1">
                  <c:v>2003</c:v>
                </c:pt>
                <c:pt idx="2">
                  <c:v>2005</c:v>
                </c:pt>
                <c:pt idx="3">
                  <c:v>2007</c:v>
                </c:pt>
                <c:pt idx="4">
                  <c:v>2009</c:v>
                </c:pt>
                <c:pt idx="5">
                  <c:v>2011</c:v>
                </c:pt>
                <c:pt idx="6">
                  <c:v>2013</c:v>
                </c:pt>
                <c:pt idx="7">
                  <c:v>2015</c:v>
                </c:pt>
              </c:numCache>
            </c:numRef>
          </c:xVal>
          <c:yVal>
            <c:numRef>
              <c:f>'Metrix RM11 History'!$AG$35:$AG$42</c:f>
              <c:numCache>
                <c:formatCode>0.000</c:formatCode>
                <c:ptCount val="8"/>
                <c:pt idx="0">
                  <c:v>-1.108678180752031E-2</c:v>
                </c:pt>
                <c:pt idx="1">
                  <c:v>-1.2220728577609407E-2</c:v>
                </c:pt>
                <c:pt idx="2">
                  <c:v>-2.2335431101261349E-2</c:v>
                </c:pt>
                <c:pt idx="3">
                  <c:v>-6.5399560000000004E-3</c:v>
                </c:pt>
                <c:pt idx="4">
                  <c:v>-1.0860438109827619E-3</c:v>
                </c:pt>
                <c:pt idx="5">
                  <c:v>-2.6011027474126536E-3</c:v>
                </c:pt>
                <c:pt idx="6">
                  <c:v>-3.719787E-3</c:v>
                </c:pt>
                <c:pt idx="7">
                  <c:v>3.9287849999999997E-3</c:v>
                </c:pt>
              </c:numCache>
            </c:numRef>
          </c:yVal>
          <c:smooth val="0"/>
          <c:extLst>
            <c:ext xmlns:c16="http://schemas.microsoft.com/office/drawing/2014/chart" uri="{C3380CC4-5D6E-409C-BE32-E72D297353CC}">
              <c16:uniqueId val="{00000001-B649-4322-B49F-7CF3A93F298F}"/>
            </c:ext>
          </c:extLst>
        </c:ser>
        <c:ser>
          <c:idx val="2"/>
          <c:order val="2"/>
          <c:tx>
            <c:strRef>
              <c:f>'Metrix RM11 History'!$AI$34</c:f>
              <c:strCache>
                <c:ptCount val="1"/>
                <c:pt idx="0">
                  <c:v>100 A Unity Vars</c:v>
                </c:pt>
              </c:strCache>
            </c:strRef>
          </c:tx>
          <c:xVal>
            <c:numRef>
              <c:f>'Metrix RM11 History'!$AE$35:$AE$42</c:f>
              <c:numCache>
                <c:formatCode>General</c:formatCode>
                <c:ptCount val="8"/>
                <c:pt idx="0">
                  <c:v>2001</c:v>
                </c:pt>
                <c:pt idx="1">
                  <c:v>2003</c:v>
                </c:pt>
                <c:pt idx="2">
                  <c:v>2005</c:v>
                </c:pt>
                <c:pt idx="3">
                  <c:v>2007</c:v>
                </c:pt>
                <c:pt idx="4">
                  <c:v>2009</c:v>
                </c:pt>
                <c:pt idx="5">
                  <c:v>2011</c:v>
                </c:pt>
                <c:pt idx="6">
                  <c:v>2013</c:v>
                </c:pt>
                <c:pt idx="7">
                  <c:v>2015</c:v>
                </c:pt>
              </c:numCache>
            </c:numRef>
          </c:xVal>
          <c:yVal>
            <c:numRef>
              <c:f>'Metrix RM11 History'!$AI$35:$AI$42</c:f>
              <c:numCache>
                <c:formatCode>0.000</c:formatCode>
                <c:ptCount val="8"/>
                <c:pt idx="0">
                  <c:v>-3.6200085237185702E-2</c:v>
                </c:pt>
                <c:pt idx="1">
                  <c:v>2.1115568842302309E-2</c:v>
                </c:pt>
                <c:pt idx="2">
                  <c:v>-2.170038542292918E-2</c:v>
                </c:pt>
                <c:pt idx="3">
                  <c:v>2.3728000000000001E-4</c:v>
                </c:pt>
                <c:pt idx="4">
                  <c:v>-1.0992457932490485E-2</c:v>
                </c:pt>
                <c:pt idx="5">
                  <c:v>-2.5764713895348734E-2</c:v>
                </c:pt>
                <c:pt idx="6">
                  <c:v>-6.1013580000000003E-3</c:v>
                </c:pt>
              </c:numCache>
            </c:numRef>
          </c:yVal>
          <c:smooth val="0"/>
          <c:extLst>
            <c:ext xmlns:c16="http://schemas.microsoft.com/office/drawing/2014/chart" uri="{C3380CC4-5D6E-409C-BE32-E72D297353CC}">
              <c16:uniqueId val="{00000002-B649-4322-B49F-7CF3A93F298F}"/>
            </c:ext>
          </c:extLst>
        </c:ser>
        <c:ser>
          <c:idx val="3"/>
          <c:order val="3"/>
          <c:tx>
            <c:strRef>
              <c:f>'Metrix RM11 History'!$AJ$34</c:f>
              <c:strCache>
                <c:ptCount val="1"/>
                <c:pt idx="0">
                  <c:v>100 A 0.5 Lag Vars</c:v>
                </c:pt>
              </c:strCache>
            </c:strRef>
          </c:tx>
          <c:xVal>
            <c:numRef>
              <c:f>'Metrix RM11 History'!$AE$35:$AE$42</c:f>
              <c:numCache>
                <c:formatCode>General</c:formatCode>
                <c:ptCount val="8"/>
                <c:pt idx="0">
                  <c:v>2001</c:v>
                </c:pt>
                <c:pt idx="1">
                  <c:v>2003</c:v>
                </c:pt>
                <c:pt idx="2">
                  <c:v>2005</c:v>
                </c:pt>
                <c:pt idx="3">
                  <c:v>2007</c:v>
                </c:pt>
                <c:pt idx="4">
                  <c:v>2009</c:v>
                </c:pt>
                <c:pt idx="5">
                  <c:v>2011</c:v>
                </c:pt>
                <c:pt idx="6">
                  <c:v>2013</c:v>
                </c:pt>
                <c:pt idx="7">
                  <c:v>2015</c:v>
                </c:pt>
              </c:numCache>
            </c:numRef>
          </c:xVal>
          <c:yVal>
            <c:numRef>
              <c:f>'Metrix RM11 History'!$AJ$35:$AJ$42</c:f>
              <c:numCache>
                <c:formatCode>0.000</c:formatCode>
                <c:ptCount val="8"/>
                <c:pt idx="0">
                  <c:v>-4.0269081922189795E-2</c:v>
                </c:pt>
                <c:pt idx="1">
                  <c:v>1.1112345816203743E-2</c:v>
                </c:pt>
                <c:pt idx="2">
                  <c:v>-2.8024636111034784E-2</c:v>
                </c:pt>
                <c:pt idx="3">
                  <c:v>-8.4892590000000007E-3</c:v>
                </c:pt>
                <c:pt idx="4">
                  <c:v>-1.9188784598811459E-2</c:v>
                </c:pt>
                <c:pt idx="5">
                  <c:v>-3.0111799322185551E-2</c:v>
                </c:pt>
                <c:pt idx="6">
                  <c:v>-1.6115303000000001E-2</c:v>
                </c:pt>
              </c:numCache>
            </c:numRef>
          </c:yVal>
          <c:smooth val="0"/>
          <c:extLst>
            <c:ext xmlns:c16="http://schemas.microsoft.com/office/drawing/2014/chart" uri="{C3380CC4-5D6E-409C-BE32-E72D297353CC}">
              <c16:uniqueId val="{00000003-B649-4322-B49F-7CF3A93F298F}"/>
            </c:ext>
          </c:extLst>
        </c:ser>
        <c:ser>
          <c:idx val="4"/>
          <c:order val="4"/>
          <c:tx>
            <c:strRef>
              <c:f>'Metrix RM11 History'!$AK$34</c:f>
              <c:strCache>
                <c:ptCount val="1"/>
                <c:pt idx="0">
                  <c:v>5 A 0.5 Lag Watts</c:v>
                </c:pt>
              </c:strCache>
            </c:strRef>
          </c:tx>
          <c:xVal>
            <c:numRef>
              <c:f>'Metrix RM11 History'!$AE$35:$AE$42</c:f>
              <c:numCache>
                <c:formatCode>General</c:formatCode>
                <c:ptCount val="8"/>
                <c:pt idx="0">
                  <c:v>2001</c:v>
                </c:pt>
                <c:pt idx="1">
                  <c:v>2003</c:v>
                </c:pt>
                <c:pt idx="2">
                  <c:v>2005</c:v>
                </c:pt>
                <c:pt idx="3">
                  <c:v>2007</c:v>
                </c:pt>
                <c:pt idx="4">
                  <c:v>2009</c:v>
                </c:pt>
                <c:pt idx="5">
                  <c:v>2011</c:v>
                </c:pt>
                <c:pt idx="6">
                  <c:v>2013</c:v>
                </c:pt>
                <c:pt idx="7">
                  <c:v>2015</c:v>
                </c:pt>
              </c:numCache>
            </c:numRef>
          </c:xVal>
          <c:yVal>
            <c:numRef>
              <c:f>'Metrix RM11 History'!$AK$35:$AK$42</c:f>
              <c:numCache>
                <c:formatCode>0.000</c:formatCode>
                <c:ptCount val="8"/>
                <c:pt idx="0">
                  <c:v>-1.6500689600856277E-2</c:v>
                </c:pt>
                <c:pt idx="1">
                  <c:v>7.2227438648405952E-3</c:v>
                </c:pt>
                <c:pt idx="2">
                  <c:v>-4.9243782676233749E-3</c:v>
                </c:pt>
                <c:pt idx="3">
                  <c:v>-3.8663180000000001E-3</c:v>
                </c:pt>
                <c:pt idx="4">
                  <c:v>-8.1633193560470829E-5</c:v>
                </c:pt>
                <c:pt idx="5">
                  <c:v>-2.0098936963308667E-3</c:v>
                </c:pt>
                <c:pt idx="6">
                  <c:v>-7.2903359999999997E-3</c:v>
                </c:pt>
                <c:pt idx="7">
                  <c:v>-4.2056300000000001E-3</c:v>
                </c:pt>
              </c:numCache>
            </c:numRef>
          </c:yVal>
          <c:smooth val="0"/>
          <c:extLst>
            <c:ext xmlns:c16="http://schemas.microsoft.com/office/drawing/2014/chart" uri="{C3380CC4-5D6E-409C-BE32-E72D297353CC}">
              <c16:uniqueId val="{00000004-B649-4322-B49F-7CF3A93F298F}"/>
            </c:ext>
          </c:extLst>
        </c:ser>
        <c:ser>
          <c:idx val="5"/>
          <c:order val="5"/>
          <c:tx>
            <c:strRef>
              <c:f>'Metrix RM11 History'!$AL$34</c:f>
              <c:strCache>
                <c:ptCount val="1"/>
                <c:pt idx="0">
                  <c:v>5 A 0.5 Lag Vars</c:v>
                </c:pt>
              </c:strCache>
            </c:strRef>
          </c:tx>
          <c:xVal>
            <c:numRef>
              <c:f>'Metrix RM11 History'!$AE$35:$AE$42</c:f>
              <c:numCache>
                <c:formatCode>General</c:formatCode>
                <c:ptCount val="8"/>
                <c:pt idx="0">
                  <c:v>2001</c:v>
                </c:pt>
                <c:pt idx="1">
                  <c:v>2003</c:v>
                </c:pt>
                <c:pt idx="2">
                  <c:v>2005</c:v>
                </c:pt>
                <c:pt idx="3">
                  <c:v>2007</c:v>
                </c:pt>
                <c:pt idx="4">
                  <c:v>2009</c:v>
                </c:pt>
                <c:pt idx="5">
                  <c:v>2011</c:v>
                </c:pt>
                <c:pt idx="6">
                  <c:v>2013</c:v>
                </c:pt>
                <c:pt idx="7">
                  <c:v>2015</c:v>
                </c:pt>
              </c:numCache>
            </c:numRef>
          </c:xVal>
          <c:yVal>
            <c:numRef>
              <c:f>'Metrix RM11 History'!$AL$35:$AL$42</c:f>
              <c:numCache>
                <c:formatCode>0.000</c:formatCode>
                <c:ptCount val="8"/>
                <c:pt idx="0">
                  <c:v>-1.2837366808555089E-2</c:v>
                </c:pt>
                <c:pt idx="1">
                  <c:v>1.1112345816203743E-2</c:v>
                </c:pt>
                <c:pt idx="2">
                  <c:v>-1.1383138333864729E-2</c:v>
                </c:pt>
                <c:pt idx="3">
                  <c:v>-2.5863200000000001E-4</c:v>
                </c:pt>
                <c:pt idx="4">
                  <c:v>-4.4020366182340176E-3</c:v>
                </c:pt>
                <c:pt idx="5">
                  <c:v>1.7275228297863876E-3</c:v>
                </c:pt>
                <c:pt idx="6">
                  <c:v>-5.2896310000000004E-3</c:v>
                </c:pt>
                <c:pt idx="7">
                  <c:v>-6.4105800000000001E-4</c:v>
                </c:pt>
              </c:numCache>
            </c:numRef>
          </c:yVal>
          <c:smooth val="0"/>
          <c:extLst>
            <c:ext xmlns:c16="http://schemas.microsoft.com/office/drawing/2014/chart" uri="{C3380CC4-5D6E-409C-BE32-E72D297353CC}">
              <c16:uniqueId val="{00000005-B649-4322-B49F-7CF3A93F298F}"/>
            </c:ext>
          </c:extLst>
        </c:ser>
        <c:dLbls>
          <c:showLegendKey val="0"/>
          <c:showVal val="0"/>
          <c:showCatName val="0"/>
          <c:showSerName val="0"/>
          <c:showPercent val="0"/>
          <c:showBubbleSize val="0"/>
        </c:dLbls>
        <c:axId val="360371344"/>
        <c:axId val="1"/>
      </c:scatterChart>
      <c:valAx>
        <c:axId val="36037134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0.000" sourceLinked="1"/>
        <c:majorTickMark val="out"/>
        <c:minorTickMark val="none"/>
        <c:tickLblPos val="nextTo"/>
        <c:crossAx val="360371344"/>
        <c:crosses val="autoZero"/>
        <c:crossBetween val="midCat"/>
      </c:valAx>
    </c:plotArea>
    <c:legend>
      <c:legendPos val="r"/>
      <c:layout>
        <c:manualLayout>
          <c:xMode val="edge"/>
          <c:yMode val="edge"/>
          <c:x val="0.86387022255779666"/>
          <c:y val="0.36387489521924943"/>
          <c:w val="0.12671241865314775"/>
          <c:h val="0.37696390045485151"/>
        </c:manualLayout>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623987034035657E-2"/>
          <c:y val="7.2423398328690811E-2"/>
          <c:w val="0.86385737439222043"/>
          <c:h val="0.8022284122562674"/>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0"/>
            <c:dispEq val="1"/>
            <c:trendlineLbl>
              <c:layout>
                <c:manualLayout>
                  <c:x val="-0.18428957320367365"/>
                  <c:y val="4.5329473091629553E-2"/>
                </c:manualLayout>
              </c:layout>
              <c:numFmt formatCode="0.0000" sourceLinked="0"/>
              <c:spPr>
                <a:noFill/>
                <a:ln w="25400">
                  <a:noFill/>
                </a:ln>
              </c:spPr>
              <c:txPr>
                <a:bodyPr/>
                <a:lstStyle/>
                <a:p>
                  <a:pPr>
                    <a:defRPr sz="975" b="0" i="0" u="none" strike="noStrike" baseline="0">
                      <a:solidFill>
                        <a:srgbClr val="000000"/>
                      </a:solidFill>
                      <a:latin typeface="Arial"/>
                      <a:ea typeface="Arial"/>
                      <a:cs typeface="Arial"/>
                    </a:defRPr>
                  </a:pPr>
                  <a:endParaRPr lang="en-US"/>
                </a:p>
              </c:txPr>
            </c:trendlineLbl>
          </c:trendline>
          <c:xVal>
            <c:numRef>
              <c:f>'RM11 Unc'!$A$37:$A$38</c:f>
              <c:numCache>
                <c:formatCode>General</c:formatCode>
                <c:ptCount val="2"/>
                <c:pt idx="0">
                  <c:v>1</c:v>
                </c:pt>
                <c:pt idx="1">
                  <c:v>0.5</c:v>
                </c:pt>
              </c:numCache>
            </c:numRef>
          </c:xVal>
          <c:yVal>
            <c:numRef>
              <c:f>'RM11 Unc'!$B$37:$B$38</c:f>
              <c:numCache>
                <c:formatCode>General</c:formatCode>
                <c:ptCount val="2"/>
                <c:pt idx="0">
                  <c:v>1.4999999999999999E-2</c:v>
                </c:pt>
                <c:pt idx="1">
                  <c:v>0.02</c:v>
                </c:pt>
              </c:numCache>
            </c:numRef>
          </c:yVal>
          <c:smooth val="0"/>
          <c:extLst>
            <c:ext xmlns:c16="http://schemas.microsoft.com/office/drawing/2014/chart" uri="{C3380CC4-5D6E-409C-BE32-E72D297353CC}">
              <c16:uniqueId val="{00000001-3F09-45FF-AFAA-D99281474245}"/>
            </c:ext>
          </c:extLst>
        </c:ser>
        <c:dLbls>
          <c:showLegendKey val="0"/>
          <c:showVal val="0"/>
          <c:showCatName val="0"/>
          <c:showSerName val="0"/>
          <c:showPercent val="0"/>
          <c:showBubbleSize val="0"/>
        </c:dLbls>
        <c:axId val="355212432"/>
        <c:axId val="1"/>
      </c:scatterChart>
      <c:valAx>
        <c:axId val="3552124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355212432"/>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117</xdr:col>
      <xdr:colOff>552450</xdr:colOff>
      <xdr:row>23</xdr:row>
      <xdr:rowOff>57150</xdr:rowOff>
    </xdr:from>
    <xdr:to>
      <xdr:col>129</xdr:col>
      <xdr:colOff>266700</xdr:colOff>
      <xdr:row>48</xdr:row>
      <xdr:rowOff>133350</xdr:rowOff>
    </xdr:to>
    <xdr:graphicFrame macro="">
      <xdr:nvGraphicFramePr>
        <xdr:cNvPr id="158923" name="Chart 18">
          <a:extLst>
            <a:ext uri="{FF2B5EF4-FFF2-40B4-BE49-F238E27FC236}">
              <a16:creationId xmlns:a16="http://schemas.microsoft.com/office/drawing/2014/main" id="{61BF1398-D056-493A-9767-37D09DAA4E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60</xdr:col>
      <xdr:colOff>495300</xdr:colOff>
      <xdr:row>12</xdr:row>
      <xdr:rowOff>142875</xdr:rowOff>
    </xdr:from>
    <xdr:to>
      <xdr:col>69</xdr:col>
      <xdr:colOff>342900</xdr:colOff>
      <xdr:row>29</xdr:row>
      <xdr:rowOff>38100</xdr:rowOff>
    </xdr:to>
    <xdr:graphicFrame macro="">
      <xdr:nvGraphicFramePr>
        <xdr:cNvPr id="158924" name="Chart 1">
          <a:extLst>
            <a:ext uri="{FF2B5EF4-FFF2-40B4-BE49-F238E27FC236}">
              <a16:creationId xmlns:a16="http://schemas.microsoft.com/office/drawing/2014/main" id="{B170D618-37FC-4136-9230-C3F47CE045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533400</xdr:colOff>
      <xdr:row>31</xdr:row>
      <xdr:rowOff>9525</xdr:rowOff>
    </xdr:from>
    <xdr:to>
      <xdr:col>69</xdr:col>
      <xdr:colOff>295275</xdr:colOff>
      <xdr:row>49</xdr:row>
      <xdr:rowOff>152400</xdr:rowOff>
    </xdr:to>
    <xdr:graphicFrame macro="">
      <xdr:nvGraphicFramePr>
        <xdr:cNvPr id="158925" name="Chart 2">
          <a:extLst>
            <a:ext uri="{FF2B5EF4-FFF2-40B4-BE49-F238E27FC236}">
              <a16:creationId xmlns:a16="http://schemas.microsoft.com/office/drawing/2014/main" id="{287D7BB1-B4F9-4255-83CA-6DA8B4BF3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62</xdr:col>
      <xdr:colOff>38100</xdr:colOff>
      <xdr:row>56</xdr:row>
      <xdr:rowOff>85725</xdr:rowOff>
    </xdr:from>
    <xdr:to>
      <xdr:col>71</xdr:col>
      <xdr:colOff>342900</xdr:colOff>
      <xdr:row>73</xdr:row>
      <xdr:rowOff>19050</xdr:rowOff>
    </xdr:to>
    <xdr:graphicFrame macro="">
      <xdr:nvGraphicFramePr>
        <xdr:cNvPr id="158926" name="Chart 3">
          <a:extLst>
            <a:ext uri="{FF2B5EF4-FFF2-40B4-BE49-F238E27FC236}">
              <a16:creationId xmlns:a16="http://schemas.microsoft.com/office/drawing/2014/main" id="{FF57265F-7806-469D-A06E-5F12A5468B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49</xdr:col>
      <xdr:colOff>381000</xdr:colOff>
      <xdr:row>57</xdr:row>
      <xdr:rowOff>95250</xdr:rowOff>
    </xdr:from>
    <xdr:to>
      <xdr:col>61</xdr:col>
      <xdr:colOff>85725</xdr:colOff>
      <xdr:row>84</xdr:row>
      <xdr:rowOff>142875</xdr:rowOff>
    </xdr:to>
    <xdr:graphicFrame macro="">
      <xdr:nvGraphicFramePr>
        <xdr:cNvPr id="158927" name="Chart 4">
          <a:extLst>
            <a:ext uri="{FF2B5EF4-FFF2-40B4-BE49-F238E27FC236}">
              <a16:creationId xmlns:a16="http://schemas.microsoft.com/office/drawing/2014/main" id="{51A1E811-A0B5-4537-B7D9-79CB2210E6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50</xdr:col>
      <xdr:colOff>76200</xdr:colOff>
      <xdr:row>108</xdr:row>
      <xdr:rowOff>19050</xdr:rowOff>
    </xdr:from>
    <xdr:to>
      <xdr:col>61</xdr:col>
      <xdr:colOff>342900</xdr:colOff>
      <xdr:row>134</xdr:row>
      <xdr:rowOff>152400</xdr:rowOff>
    </xdr:to>
    <xdr:graphicFrame macro="">
      <xdr:nvGraphicFramePr>
        <xdr:cNvPr id="158928" name="Chart 5">
          <a:extLst>
            <a:ext uri="{FF2B5EF4-FFF2-40B4-BE49-F238E27FC236}">
              <a16:creationId xmlns:a16="http://schemas.microsoft.com/office/drawing/2014/main" id="{B1EDE3C8-9730-4925-808E-F33597D43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723900</xdr:colOff>
      <xdr:row>70</xdr:row>
      <xdr:rowOff>123825</xdr:rowOff>
    </xdr:from>
    <xdr:to>
      <xdr:col>28</xdr:col>
      <xdr:colOff>419100</xdr:colOff>
      <xdr:row>93</xdr:row>
      <xdr:rowOff>28575</xdr:rowOff>
    </xdr:to>
    <xdr:graphicFrame macro="">
      <xdr:nvGraphicFramePr>
        <xdr:cNvPr id="158929" name="Chart 6">
          <a:extLst>
            <a:ext uri="{FF2B5EF4-FFF2-40B4-BE49-F238E27FC236}">
              <a16:creationId xmlns:a16="http://schemas.microsoft.com/office/drawing/2014/main" id="{502C559A-1C8A-4D2B-8B74-B6863F0DC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200025</xdr:colOff>
      <xdr:row>50</xdr:row>
      <xdr:rowOff>114300</xdr:rowOff>
    </xdr:from>
    <xdr:to>
      <xdr:col>12</xdr:col>
      <xdr:colOff>590550</xdr:colOff>
      <xdr:row>71</xdr:row>
      <xdr:rowOff>133350</xdr:rowOff>
    </xdr:to>
    <xdr:graphicFrame macro="">
      <xdr:nvGraphicFramePr>
        <xdr:cNvPr id="13468" name="Chart 1">
          <a:extLst>
            <a:ext uri="{FF2B5EF4-FFF2-40B4-BE49-F238E27FC236}">
              <a16:creationId xmlns:a16="http://schemas.microsoft.com/office/drawing/2014/main" id="{8D10C296-96AE-4DA4-9C7E-A73935A74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rfile\data%20volume%202\Msl\estds\STAFF\TJS\WB\S21742_RD31_2WDeltaPseudo_wDSummary2b%20TJ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owerCalc"/>
      <sheetName val="UncCalc"/>
      <sheetName val="constants"/>
      <sheetName val="Uncertainties"/>
      <sheetName val="TABLE RD31"/>
      <sheetName val="D3000 Report Table"/>
      <sheetName val="2W Delta Data"/>
      <sheetName val="TABLES TVH4.322"/>
      <sheetName val="TVH4 Unc"/>
      <sheetName val="RM11 Unc"/>
      <sheetName val="TVE102_3"/>
      <sheetName val="D3000Unc"/>
      <sheetName val="TVH2.32"/>
      <sheetName val="Unit Tests"/>
      <sheetName val="ChangeLog"/>
    </sheetNames>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comments" Target="../comments10.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B4176"/>
  <sheetViews>
    <sheetView tabSelected="1" topLeftCell="A163" zoomScale="75" zoomScaleNormal="75" workbookViewId="0">
      <selection activeCell="O167" sqref="O167"/>
    </sheetView>
  </sheetViews>
  <sheetFormatPr defaultColWidth="9" defaultRowHeight="12.75" x14ac:dyDescent="0.2"/>
  <cols>
    <col min="1" max="1" width="9.140625" customWidth="1"/>
    <col min="2" max="2" width="9.42578125" style="55" customWidth="1"/>
    <col min="3" max="4" width="9.42578125" bestFit="1" customWidth="1"/>
    <col min="5" max="5" width="15" style="55" customWidth="1"/>
    <col min="6" max="6" width="10.140625" bestFit="1" customWidth="1"/>
    <col min="7" max="7" width="17.85546875" customWidth="1"/>
    <col min="8" max="8" width="11.7109375" customWidth="1"/>
    <col min="9" max="11" width="9.42578125" bestFit="1" customWidth="1"/>
    <col min="12" max="12" width="11.28515625" customWidth="1"/>
    <col min="13" max="13" width="10.42578125" customWidth="1"/>
    <col min="14" max="15" width="10" customWidth="1"/>
    <col min="16" max="16" width="9.140625" customWidth="1"/>
    <col min="17" max="17" width="12.42578125" customWidth="1"/>
    <col min="18" max="18" width="36.140625" customWidth="1"/>
    <col min="19" max="19" width="11.7109375" customWidth="1"/>
    <col min="20" max="20" width="9.140625" customWidth="1"/>
    <col min="21" max="21" width="10.42578125" customWidth="1"/>
    <col min="22" max="22" width="10" customWidth="1"/>
    <col min="23" max="24" width="10.42578125" customWidth="1"/>
    <col min="25" max="25" width="10.140625" customWidth="1"/>
    <col min="26" max="26" width="13" customWidth="1"/>
    <col min="27" max="27" width="17.28515625" customWidth="1"/>
    <col min="28" max="28" width="9.5703125" bestFit="1" customWidth="1"/>
    <col min="29" max="29" width="14" bestFit="1" customWidth="1"/>
    <col min="30" max="30" width="9.140625" customWidth="1"/>
    <col min="31" max="31" width="9.42578125" bestFit="1" customWidth="1"/>
    <col min="32" max="32" width="9.140625" customWidth="1"/>
    <col min="33" max="33" width="10.42578125" bestFit="1" customWidth="1"/>
    <col min="34" max="34" width="12" bestFit="1" customWidth="1"/>
    <col min="35" max="35" width="10.140625" customWidth="1"/>
    <col min="36" max="37" width="9.85546875" customWidth="1"/>
    <col min="38" max="38" width="13.85546875" customWidth="1"/>
    <col min="39" max="39" width="10.85546875" customWidth="1"/>
    <col min="40" max="40" width="12.140625" customWidth="1"/>
    <col min="41" max="41" width="13.42578125" customWidth="1"/>
    <col min="42" max="42" width="14.42578125" customWidth="1"/>
    <col min="43" max="43" width="15" customWidth="1"/>
    <col min="44" max="44" width="9.42578125" bestFit="1" customWidth="1"/>
    <col min="45" max="45" width="12.5703125" bestFit="1" customWidth="1"/>
    <col min="46" max="46" width="11.42578125" bestFit="1" customWidth="1"/>
    <col min="47" max="47" width="12.5703125" customWidth="1"/>
    <col min="48" max="48" width="12.42578125" customWidth="1"/>
    <col min="49" max="49" width="10.42578125" customWidth="1"/>
    <col min="50" max="50" width="9.85546875" customWidth="1"/>
    <col min="51" max="51" width="11.140625" bestFit="1" customWidth="1"/>
    <col min="52" max="52" width="13.85546875" bestFit="1" customWidth="1"/>
    <col min="53" max="53" width="12.5703125" bestFit="1" customWidth="1"/>
    <col min="54" max="54" width="9.42578125" bestFit="1" customWidth="1"/>
    <col min="55" max="55" width="11.42578125" customWidth="1"/>
    <col min="56" max="56" width="11.85546875" customWidth="1"/>
    <col min="57" max="57" width="10.42578125" customWidth="1"/>
    <col min="58" max="58" width="10.5703125" customWidth="1"/>
    <col min="59" max="59" width="9.5703125" customWidth="1"/>
    <col min="60" max="61" width="9.85546875" customWidth="1"/>
    <col min="62" max="62" width="11.7109375" customWidth="1"/>
    <col min="63" max="63" width="11.85546875" customWidth="1"/>
    <col min="64" max="65" width="11.42578125" customWidth="1"/>
    <col min="66" max="67" width="10.42578125" customWidth="1"/>
    <col min="68" max="68" width="9.42578125" customWidth="1"/>
    <col min="69" max="69" width="11" customWidth="1"/>
    <col min="70" max="70" width="11.42578125" customWidth="1"/>
    <col min="71" max="71" width="14" bestFit="1" customWidth="1"/>
    <col min="72" max="72" width="13.140625" customWidth="1"/>
    <col min="73" max="78" width="11.42578125" customWidth="1"/>
    <col min="79" max="79" width="12.7109375" customWidth="1"/>
    <col min="80" max="80" width="11.42578125" customWidth="1"/>
    <col min="81" max="81" width="15.85546875" customWidth="1"/>
    <col min="82" max="82" width="13.85546875" bestFit="1" customWidth="1"/>
    <col min="83" max="83" width="9.5703125" customWidth="1"/>
    <col min="84" max="84" width="12.28515625" customWidth="1"/>
    <col min="85" max="85" width="9.42578125" customWidth="1"/>
    <col min="86" max="86" width="12.42578125" customWidth="1"/>
    <col min="87" max="87" width="11" customWidth="1"/>
    <col min="88" max="88" width="15.42578125" customWidth="1"/>
    <col min="89" max="89" width="13.85546875" bestFit="1" customWidth="1"/>
    <col min="90" max="90" width="14.85546875" bestFit="1" customWidth="1"/>
    <col min="91" max="91" width="13.42578125" customWidth="1"/>
    <col min="92" max="93" width="13.85546875" bestFit="1" customWidth="1"/>
    <col min="94" max="94" width="14.85546875" bestFit="1" customWidth="1"/>
    <col min="95" max="95" width="11.85546875" customWidth="1"/>
    <col min="96" max="96" width="11.42578125" customWidth="1"/>
    <col min="97" max="97" width="13" customWidth="1"/>
    <col min="98" max="98" width="10.5703125" customWidth="1"/>
    <col min="99" max="99" width="11.28515625" customWidth="1"/>
    <col min="100" max="255" width="9.140625" customWidth="1"/>
  </cols>
  <sheetData>
    <row r="1" spans="1:106" ht="21" thickBot="1" x14ac:dyDescent="0.35">
      <c r="A1" s="363" t="s">
        <v>580</v>
      </c>
      <c r="B1" s="364"/>
      <c r="C1" s="365"/>
      <c r="D1" s="220"/>
      <c r="E1" s="728" t="s">
        <v>47</v>
      </c>
      <c r="F1" s="133"/>
      <c r="G1" s="133"/>
      <c r="H1" s="133"/>
      <c r="I1" s="133"/>
      <c r="J1" s="133"/>
      <c r="K1" s="133"/>
      <c r="L1" s="623"/>
      <c r="M1" s="624"/>
      <c r="N1" s="624"/>
      <c r="O1" s="624"/>
      <c r="P1" s="624"/>
      <c r="Q1" s="624"/>
      <c r="R1" s="627"/>
      <c r="S1" s="407" t="s">
        <v>583</v>
      </c>
      <c r="T1" s="407"/>
      <c r="U1" s="407"/>
      <c r="V1" s="407"/>
      <c r="W1" s="407"/>
      <c r="X1" s="407"/>
      <c r="Y1" s="407"/>
      <c r="Z1" s="407"/>
      <c r="AA1" s="403"/>
      <c r="AB1" s="403"/>
      <c r="BP1" s="222" t="s">
        <v>475</v>
      </c>
      <c r="BQ1" s="223"/>
      <c r="BR1" s="223"/>
      <c r="BS1" s="224"/>
    </row>
    <row r="2" spans="1:106" ht="18" x14ac:dyDescent="0.25">
      <c r="A2" s="366">
        <f>ROW()</f>
        <v>2</v>
      </c>
      <c r="B2" s="442" t="s">
        <v>476</v>
      </c>
      <c r="C2" s="368">
        <v>10</v>
      </c>
      <c r="D2" s="368">
        <v>230</v>
      </c>
      <c r="E2" s="367">
        <v>0</v>
      </c>
      <c r="F2" s="441">
        <v>230</v>
      </c>
      <c r="G2" s="369" t="s">
        <v>131</v>
      </c>
      <c r="H2" s="370">
        <v>2</v>
      </c>
      <c r="I2" s="367">
        <v>50</v>
      </c>
      <c r="J2" s="371">
        <v>10</v>
      </c>
      <c r="K2" s="372">
        <v>5</v>
      </c>
      <c r="L2" s="371">
        <v>100000</v>
      </c>
      <c r="M2" s="443" t="s">
        <v>535</v>
      </c>
      <c r="N2" s="373" t="e">
        <v>#N/A</v>
      </c>
      <c r="O2" s="370">
        <v>6</v>
      </c>
      <c r="P2" s="220">
        <v>1</v>
      </c>
      <c r="Q2" s="220"/>
      <c r="R2" s="656" t="s">
        <v>4</v>
      </c>
      <c r="S2" s="404">
        <f>BY2</f>
        <v>0</v>
      </c>
      <c r="T2" s="405">
        <f>BZ2</f>
        <v>0</v>
      </c>
      <c r="U2" s="404">
        <f>CA2</f>
        <v>0</v>
      </c>
      <c r="V2" s="405">
        <f>CL2</f>
        <v>0</v>
      </c>
      <c r="W2" s="670">
        <f>CG2</f>
        <v>0</v>
      </c>
      <c r="X2" s="670">
        <f>CK2</f>
        <v>0</v>
      </c>
      <c r="Y2" s="404">
        <f>CJ2</f>
        <v>0</v>
      </c>
      <c r="Z2" s="406">
        <f>CO2</f>
        <v>0</v>
      </c>
      <c r="AA2" s="408"/>
      <c r="AB2" s="408"/>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225" t="s">
        <v>476</v>
      </c>
      <c r="BQ2" s="226" t="s">
        <v>474</v>
      </c>
      <c r="BR2" s="226" t="s">
        <v>477</v>
      </c>
      <c r="BS2" s="226" t="s">
        <v>529</v>
      </c>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row>
    <row r="3" spans="1:106" x14ac:dyDescent="0.2">
      <c r="A3" s="35" t="s">
        <v>273</v>
      </c>
      <c r="B3" s="159"/>
      <c r="C3" s="36"/>
      <c r="D3" s="35"/>
      <c r="E3" s="159"/>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7"/>
      <c r="AL3" s="35"/>
      <c r="AM3" s="37"/>
      <c r="AN3" s="163"/>
      <c r="AO3" s="164" t="s">
        <v>449</v>
      </c>
      <c r="AP3" s="161">
        <v>166</v>
      </c>
      <c r="BP3" s="227">
        <v>0</v>
      </c>
      <c r="BQ3" s="228">
        <v>1</v>
      </c>
      <c r="BR3" s="228">
        <v>10</v>
      </c>
      <c r="BS3" s="282">
        <v>100</v>
      </c>
    </row>
    <row r="4" spans="1:106" ht="13.5" thickBot="1" x14ac:dyDescent="0.25">
      <c r="A4" s="35">
        <v>1</v>
      </c>
      <c r="B4" s="35">
        <v>2</v>
      </c>
      <c r="C4" s="35">
        <v>3</v>
      </c>
      <c r="D4" s="35">
        <v>4</v>
      </c>
      <c r="E4" s="159">
        <v>5</v>
      </c>
      <c r="F4" s="35">
        <v>6</v>
      </c>
      <c r="G4" s="35">
        <v>7</v>
      </c>
      <c r="H4" s="35">
        <v>8</v>
      </c>
      <c r="I4" s="35">
        <v>9</v>
      </c>
      <c r="J4" s="35">
        <v>10</v>
      </c>
      <c r="K4" s="35">
        <v>11</v>
      </c>
      <c r="L4" s="35">
        <v>12</v>
      </c>
      <c r="M4" s="35">
        <v>13</v>
      </c>
      <c r="N4" s="35">
        <v>14</v>
      </c>
      <c r="O4" s="35">
        <v>15</v>
      </c>
      <c r="P4" s="35">
        <v>16</v>
      </c>
      <c r="Q4" s="35">
        <v>17</v>
      </c>
      <c r="R4" s="35">
        <v>18</v>
      </c>
      <c r="S4" s="35">
        <v>19</v>
      </c>
      <c r="T4" s="35">
        <v>20</v>
      </c>
      <c r="U4" s="35">
        <v>21</v>
      </c>
      <c r="V4" s="35">
        <v>22</v>
      </c>
      <c r="W4" s="35">
        <v>23</v>
      </c>
      <c r="X4" s="35">
        <v>24</v>
      </c>
      <c r="Y4" s="35">
        <v>25</v>
      </c>
      <c r="Z4" s="35">
        <v>26</v>
      </c>
      <c r="AA4" s="35">
        <v>27</v>
      </c>
      <c r="AB4" s="35">
        <v>28</v>
      </c>
      <c r="AC4" s="35">
        <v>29</v>
      </c>
      <c r="AD4" s="35">
        <v>30</v>
      </c>
      <c r="AE4" s="35">
        <v>31</v>
      </c>
      <c r="AF4" s="35">
        <v>32</v>
      </c>
      <c r="AG4" s="35">
        <v>33</v>
      </c>
      <c r="AH4" s="35">
        <v>34</v>
      </c>
      <c r="AI4" s="35">
        <v>35</v>
      </c>
      <c r="AJ4" s="35">
        <v>36</v>
      </c>
      <c r="AK4" s="35">
        <v>37</v>
      </c>
      <c r="AL4" s="35">
        <v>38</v>
      </c>
      <c r="AM4" s="35">
        <v>39</v>
      </c>
      <c r="AN4" s="35">
        <v>40</v>
      </c>
      <c r="AO4" s="35">
        <v>41</v>
      </c>
      <c r="AP4" s="35">
        <v>42</v>
      </c>
      <c r="AQ4" s="35">
        <v>43</v>
      </c>
      <c r="AR4" s="35">
        <v>44</v>
      </c>
      <c r="AS4" s="35">
        <v>45</v>
      </c>
      <c r="AT4" s="35">
        <v>46</v>
      </c>
      <c r="AU4" s="35">
        <v>47</v>
      </c>
      <c r="AV4" s="35">
        <v>48</v>
      </c>
      <c r="AW4" s="35">
        <v>49</v>
      </c>
      <c r="AX4" s="35">
        <v>50</v>
      </c>
      <c r="AY4" s="35">
        <v>51</v>
      </c>
      <c r="AZ4" s="35">
        <v>52</v>
      </c>
      <c r="BA4" s="35">
        <v>53</v>
      </c>
      <c r="BB4" s="35">
        <v>54</v>
      </c>
      <c r="BC4" s="35">
        <v>55</v>
      </c>
      <c r="BD4" s="35">
        <v>56</v>
      </c>
      <c r="BE4" s="35">
        <v>57</v>
      </c>
      <c r="BF4" s="35">
        <v>58</v>
      </c>
      <c r="BG4" s="35">
        <v>59</v>
      </c>
      <c r="BH4" s="35">
        <v>60</v>
      </c>
      <c r="BI4" s="35">
        <v>61</v>
      </c>
      <c r="BJ4" s="35">
        <v>62</v>
      </c>
      <c r="BK4" s="35">
        <v>63</v>
      </c>
      <c r="BL4" s="35">
        <v>64</v>
      </c>
      <c r="BM4" s="35">
        <v>65</v>
      </c>
      <c r="BN4" s="35">
        <v>66</v>
      </c>
      <c r="BO4" s="35">
        <v>67</v>
      </c>
      <c r="BP4" s="35">
        <v>68</v>
      </c>
      <c r="BQ4" s="35">
        <v>69</v>
      </c>
      <c r="BR4" s="35">
        <v>70</v>
      </c>
      <c r="BS4" s="35">
        <v>71</v>
      </c>
      <c r="BT4" s="35">
        <v>72</v>
      </c>
      <c r="BU4" s="35">
        <v>73</v>
      </c>
      <c r="BV4" s="35">
        <v>74</v>
      </c>
      <c r="BW4" s="35">
        <v>75</v>
      </c>
      <c r="BX4" s="35">
        <v>76</v>
      </c>
      <c r="BY4" s="35">
        <v>77</v>
      </c>
      <c r="BZ4" s="35">
        <v>78</v>
      </c>
      <c r="CA4" s="35">
        <v>79</v>
      </c>
      <c r="CB4" s="35">
        <v>80</v>
      </c>
      <c r="CC4" s="35">
        <v>81</v>
      </c>
      <c r="CD4" s="35">
        <v>82</v>
      </c>
      <c r="CE4" s="35">
        <v>83</v>
      </c>
      <c r="CF4" s="35">
        <v>84</v>
      </c>
      <c r="CG4" s="35">
        <v>85</v>
      </c>
      <c r="CH4" s="35">
        <v>86</v>
      </c>
      <c r="CI4" s="35">
        <v>87</v>
      </c>
      <c r="CJ4" s="35">
        <v>88</v>
      </c>
      <c r="CK4" s="35">
        <v>89</v>
      </c>
      <c r="CL4" s="35">
        <v>90</v>
      </c>
      <c r="CM4" s="35">
        <v>91</v>
      </c>
      <c r="CN4" s="35">
        <v>92</v>
      </c>
      <c r="CO4" s="35">
        <v>93</v>
      </c>
      <c r="CP4" s="35">
        <v>94</v>
      </c>
      <c r="CQ4" s="35">
        <v>95</v>
      </c>
      <c r="CR4" s="35">
        <v>96</v>
      </c>
      <c r="CS4" s="35">
        <v>97</v>
      </c>
      <c r="CT4" s="35">
        <v>98</v>
      </c>
      <c r="CU4" s="35">
        <v>99</v>
      </c>
      <c r="CV4" s="35">
        <v>100</v>
      </c>
      <c r="CW4" s="35">
        <v>101</v>
      </c>
      <c r="CX4" s="35">
        <v>102</v>
      </c>
      <c r="CY4" s="35">
        <v>103</v>
      </c>
      <c r="CZ4" s="35">
        <v>104</v>
      </c>
      <c r="DA4" s="35">
        <v>105</v>
      </c>
    </row>
    <row r="5" spans="1:106" x14ac:dyDescent="0.2">
      <c r="A5" s="302"/>
      <c r="B5" s="231" t="str">
        <f>VLOOKUP(current_row_number,A12:B2003,2,FALSE)</f>
        <v>FLUHIGH</v>
      </c>
      <c r="C5" s="38" t="s">
        <v>136</v>
      </c>
      <c r="D5" s="93" t="s">
        <v>137</v>
      </c>
      <c r="E5" s="729" t="s">
        <v>138</v>
      </c>
      <c r="F5" s="93" t="s">
        <v>139</v>
      </c>
      <c r="G5" s="93" t="s">
        <v>140</v>
      </c>
      <c r="H5" s="93"/>
      <c r="I5" s="93" t="s">
        <v>141</v>
      </c>
      <c r="J5" s="181"/>
      <c r="K5" s="15"/>
      <c r="M5" s="14"/>
      <c r="N5" s="14"/>
      <c r="O5" s="14"/>
      <c r="P5" s="14"/>
      <c r="Q5" s="14"/>
      <c r="R5" s="14"/>
      <c r="S5" s="14"/>
      <c r="T5" s="14"/>
      <c r="U5" s="14"/>
      <c r="V5" s="14"/>
      <c r="W5" s="14"/>
      <c r="X5" s="14"/>
      <c r="Y5" s="14"/>
      <c r="Z5" s="14"/>
      <c r="AA5" s="14"/>
      <c r="AB5" s="38" t="s">
        <v>428</v>
      </c>
      <c r="AC5" s="93" t="s">
        <v>568</v>
      </c>
      <c r="AD5" s="93" t="s">
        <v>143</v>
      </c>
      <c r="AE5" s="93" t="s">
        <v>569</v>
      </c>
      <c r="AF5" s="93" t="s">
        <v>145</v>
      </c>
      <c r="AG5" s="104"/>
      <c r="AH5" s="104"/>
      <c r="AI5" s="104"/>
      <c r="AJ5" s="104"/>
      <c r="AK5" s="104"/>
      <c r="AL5" s="104"/>
      <c r="AM5" s="105"/>
      <c r="AN5" s="149" t="s">
        <v>433</v>
      </c>
      <c r="AO5" s="150"/>
      <c r="AP5" s="150"/>
      <c r="AQ5" s="150"/>
      <c r="AR5" s="150"/>
      <c r="AS5" s="150"/>
      <c r="AT5" s="150"/>
      <c r="AU5" s="150"/>
      <c r="AV5" s="150"/>
      <c r="AW5" s="150"/>
      <c r="AX5" s="150"/>
      <c r="AY5" s="150"/>
      <c r="AZ5" s="150"/>
      <c r="BA5" s="150"/>
      <c r="BB5" s="150"/>
      <c r="BC5" s="150"/>
      <c r="BD5" s="150"/>
      <c r="BE5" s="150"/>
      <c r="BF5" s="150"/>
      <c r="BG5" s="150"/>
      <c r="BH5" s="150"/>
      <c r="BI5" s="199"/>
      <c r="BJ5" s="206"/>
      <c r="BK5" s="139"/>
      <c r="BL5" s="139"/>
      <c r="BM5" s="139"/>
      <c r="BN5" s="139"/>
      <c r="BO5" s="139"/>
      <c r="BP5" s="139" t="s">
        <v>149</v>
      </c>
      <c r="BQ5" s="139" t="s">
        <v>275</v>
      </c>
      <c r="BR5" s="139" t="s">
        <v>150</v>
      </c>
      <c r="BS5" s="140" t="s">
        <v>276</v>
      </c>
      <c r="BT5" s="15"/>
      <c r="BU5" s="15"/>
      <c r="BV5" s="15"/>
      <c r="BW5" s="15"/>
      <c r="BX5" s="15"/>
      <c r="BY5" s="15"/>
      <c r="BZ5" s="15"/>
      <c r="CA5" s="15"/>
      <c r="CE5" s="15"/>
      <c r="CF5" s="15"/>
      <c r="CG5" s="15"/>
      <c r="CH5" s="15"/>
      <c r="CI5" s="15"/>
      <c r="CJ5" s="15"/>
      <c r="CK5" s="15"/>
      <c r="CL5" s="15"/>
      <c r="CM5" s="15"/>
      <c r="CN5" s="15"/>
      <c r="CO5" s="15"/>
      <c r="CP5" s="15"/>
    </row>
    <row r="6" spans="1:106" ht="51" x14ac:dyDescent="0.2">
      <c r="A6" s="302"/>
      <c r="B6" s="232"/>
      <c r="C6" s="182" t="s">
        <v>466</v>
      </c>
      <c r="D6" s="39"/>
      <c r="E6" s="730"/>
      <c r="F6" s="39"/>
      <c r="G6" s="39"/>
      <c r="H6" s="39"/>
      <c r="I6" s="39"/>
      <c r="J6" s="183"/>
      <c r="K6" s="15"/>
      <c r="M6" s="14"/>
      <c r="N6" s="14"/>
      <c r="O6" s="14"/>
      <c r="P6" s="14"/>
      <c r="Q6" s="14"/>
      <c r="R6" s="14"/>
      <c r="S6" s="14"/>
      <c r="T6" s="14"/>
      <c r="U6" s="14"/>
      <c r="V6" s="14"/>
      <c r="W6" s="14"/>
      <c r="X6" s="14"/>
      <c r="Y6" s="14"/>
      <c r="Z6" s="14"/>
      <c r="AA6" s="14"/>
      <c r="AB6" s="112" t="s">
        <v>432</v>
      </c>
      <c r="AC6" s="39"/>
      <c r="AD6" s="39"/>
      <c r="AE6" s="39"/>
      <c r="AF6" s="39"/>
      <c r="AG6" s="147" t="s">
        <v>270</v>
      </c>
      <c r="AH6" s="147" t="s">
        <v>271</v>
      </c>
      <c r="AI6" s="147" t="s">
        <v>146</v>
      </c>
      <c r="AJ6" s="147" t="s">
        <v>268</v>
      </c>
      <c r="AK6" s="147" t="s">
        <v>269</v>
      </c>
      <c r="AL6" s="106"/>
      <c r="AM6" s="107" t="s">
        <v>445</v>
      </c>
      <c r="AN6" s="151" t="s">
        <v>147</v>
      </c>
      <c r="AO6" s="152" t="s">
        <v>196</v>
      </c>
      <c r="AP6" s="152" t="s">
        <v>196</v>
      </c>
      <c r="AQ6" s="152" t="s">
        <v>197</v>
      </c>
      <c r="AR6" s="152" t="s">
        <v>249</v>
      </c>
      <c r="AS6" s="152" t="s">
        <v>250</v>
      </c>
      <c r="AT6" s="152" t="s">
        <v>198</v>
      </c>
      <c r="AU6" s="152" t="s">
        <v>199</v>
      </c>
      <c r="AV6" s="153" t="s">
        <v>180</v>
      </c>
      <c r="AW6" s="152" t="s">
        <v>180</v>
      </c>
      <c r="AX6" s="152" t="s">
        <v>200</v>
      </c>
      <c r="AY6" s="152" t="s">
        <v>201</v>
      </c>
      <c r="AZ6" s="152" t="s">
        <v>208</v>
      </c>
      <c r="BA6" s="152" t="s">
        <v>207</v>
      </c>
      <c r="BB6" s="152" t="s">
        <v>251</v>
      </c>
      <c r="BC6" s="152" t="s">
        <v>251</v>
      </c>
      <c r="BD6" s="152" t="s">
        <v>202</v>
      </c>
      <c r="BE6" s="152" t="s">
        <v>203</v>
      </c>
      <c r="BF6" s="152" t="s">
        <v>204</v>
      </c>
      <c r="BG6" s="152" t="s">
        <v>205</v>
      </c>
      <c r="BH6" s="152" t="s">
        <v>206</v>
      </c>
      <c r="BI6" s="200" t="s">
        <v>255</v>
      </c>
      <c r="BJ6" s="207" t="s">
        <v>148</v>
      </c>
      <c r="BK6" s="137" t="s">
        <v>209</v>
      </c>
      <c r="BL6" s="94" t="s">
        <v>212</v>
      </c>
      <c r="BM6" s="94" t="s">
        <v>213</v>
      </c>
      <c r="BN6" s="137" t="s">
        <v>138</v>
      </c>
      <c r="BO6" s="94" t="s">
        <v>171</v>
      </c>
      <c r="BP6" s="137"/>
      <c r="BQ6" s="137"/>
      <c r="BR6" s="137"/>
      <c r="BS6" s="208"/>
      <c r="BT6" s="99"/>
      <c r="BU6" s="99"/>
      <c r="BV6" s="99" t="s">
        <v>487</v>
      </c>
      <c r="BW6" s="99" t="s">
        <v>441</v>
      </c>
      <c r="BX6" s="99" t="s">
        <v>442</v>
      </c>
      <c r="BY6" s="99" t="s">
        <v>453</v>
      </c>
      <c r="BZ6" s="99" t="s">
        <v>452</v>
      </c>
      <c r="CA6" s="99" t="s">
        <v>454</v>
      </c>
      <c r="CB6" s="99" t="str">
        <f>PowerCalc!FA9</f>
        <v>Watts_stdev</v>
      </c>
      <c r="CC6" s="99" t="str">
        <f>PowerCalc!FB9</f>
        <v>Var_stdev</v>
      </c>
      <c r="CD6" s="99" t="str">
        <f>PowerCalc!FC9</f>
        <v>Volts_stdev</v>
      </c>
      <c r="CE6" s="99" t="str">
        <f>PowerCalc!FD9</f>
        <v>Amps_stdev</v>
      </c>
      <c r="CF6" s="99" t="str">
        <f>PowerCalc!FE9</f>
        <v>Phase_stdev</v>
      </c>
      <c r="CG6" s="99" t="s">
        <v>493</v>
      </c>
      <c r="CH6" s="99" t="s">
        <v>488</v>
      </c>
      <c r="CI6" s="99" t="s">
        <v>296</v>
      </c>
      <c r="CJ6" s="99" t="s">
        <v>489</v>
      </c>
      <c r="CK6" s="99" t="s">
        <v>490</v>
      </c>
      <c r="CL6" s="99" t="s">
        <v>505</v>
      </c>
      <c r="CM6" s="99" t="s">
        <v>531</v>
      </c>
      <c r="CN6" s="99" t="s">
        <v>532</v>
      </c>
      <c r="CO6" s="99" t="s">
        <v>497</v>
      </c>
      <c r="CP6" s="15"/>
      <c r="CR6" s="99" t="s">
        <v>589</v>
      </c>
      <c r="CS6" s="99" t="s">
        <v>590</v>
      </c>
      <c r="CT6" s="99" t="s">
        <v>591</v>
      </c>
    </row>
    <row r="7" spans="1:106" ht="13.5" thickBot="1" x14ac:dyDescent="0.25">
      <c r="A7" s="302">
        <f>current_row_number</f>
        <v>166</v>
      </c>
      <c r="B7" s="232" t="e">
        <f>HLOOKUP(B5,BP2:BS3,2,FALSE)</f>
        <v>#N/A</v>
      </c>
      <c r="C7" s="235"/>
      <c r="D7" s="166"/>
      <c r="E7" s="166"/>
      <c r="F7" s="166">
        <v>230</v>
      </c>
      <c r="G7" s="166" t="s">
        <v>359</v>
      </c>
      <c r="H7" s="166">
        <v>100</v>
      </c>
      <c r="I7" s="166">
        <v>50</v>
      </c>
      <c r="J7" s="236"/>
      <c r="K7" s="100"/>
      <c r="L7" s="100"/>
      <c r="M7" s="46"/>
      <c r="N7" s="46"/>
      <c r="O7" s="46"/>
      <c r="P7" s="46"/>
      <c r="Q7" s="46"/>
      <c r="R7" s="46"/>
      <c r="S7" s="46"/>
      <c r="T7" s="46"/>
      <c r="U7" s="46"/>
      <c r="V7" s="46"/>
      <c r="W7" s="46"/>
      <c r="X7" s="46"/>
      <c r="Y7" s="46"/>
      <c r="Z7" s="46"/>
      <c r="AA7" s="46"/>
      <c r="AB7" s="148">
        <v>50.000476423589397</v>
      </c>
      <c r="AC7" s="108">
        <v>0.7041015625</v>
      </c>
      <c r="AD7" s="215" t="s">
        <v>134</v>
      </c>
      <c r="AE7" s="108">
        <v>0.525390625</v>
      </c>
      <c r="AF7" s="108" t="s">
        <v>135</v>
      </c>
      <c r="AG7" s="281">
        <v>2.2490988721416998</v>
      </c>
      <c r="AH7" s="110">
        <v>11.405764747907099</v>
      </c>
      <c r="AI7" s="109"/>
      <c r="AJ7" s="281">
        <v>1.1324366309360001</v>
      </c>
      <c r="AK7" s="109">
        <v>107.956679736062</v>
      </c>
      <c r="AL7" s="110"/>
      <c r="AM7" s="111" t="s">
        <v>447</v>
      </c>
      <c r="AN7" s="154">
        <f>AB7</f>
        <v>50.000476423589397</v>
      </c>
      <c r="AO7" s="201">
        <f>VLOOKUP($F7,constants!$C$38:$AV$41,2,FALSE)</f>
        <v>202.98163333776961</v>
      </c>
      <c r="AP7" s="202">
        <f>AO7*($AN7*VLOOKUP($F7,constants!$C$39:$AV$41,3,FALSE)+VLOOKUP($F7,constants!$C$39:$AV$41,4,FALSE))</f>
        <v>2.1862309251912876E-2</v>
      </c>
      <c r="AQ7" s="203">
        <f>AJ7</f>
        <v>1.1324366309360001</v>
      </c>
      <c r="AR7" s="201">
        <f>VLOOKUP($G7,constants!$C$23:$AR$29,2,FALSE)</f>
        <v>0.99999356100000003</v>
      </c>
      <c r="AS7" s="203">
        <f>AN7*2*PI()*VLOOKUP($G7,constants!$C$23:$AR$29,3,FALSE)*0.000001</f>
        <v>1.0367354540950317E-5</v>
      </c>
      <c r="AT7" s="201">
        <f>AC7</f>
        <v>0.7041015625</v>
      </c>
      <c r="AU7" s="201">
        <f>VLOOKUP($AD7,constants!$C$32:$AQ$35,2,FALSE)</f>
        <v>-1.0003321326818189</v>
      </c>
      <c r="AV7" s="201">
        <f>R_2byR_1</f>
        <v>1.0000061000006735</v>
      </c>
      <c r="AW7" s="201">
        <f>TCR2_R1*$AB7*2*PI()</f>
        <v>-1.884801285863131E-7</v>
      </c>
      <c r="AX7" s="201">
        <f>AE7</f>
        <v>0.525390625</v>
      </c>
      <c r="AY7" s="202">
        <f>VLOOKUP($AF7,constants!$C$32:$AQ$35,2,FALSE)</f>
        <v>-1.0003321326818189</v>
      </c>
      <c r="AZ7" s="201">
        <f>g_1</f>
        <v>1.8310937238858183E-8</v>
      </c>
      <c r="BA7" s="201">
        <f>$AB7*2*PI()*C_1*0.000001</f>
        <v>1.0145247661457495E-4</v>
      </c>
      <c r="BB7" s="201">
        <f>R_2</f>
        <v>10000.059896105333</v>
      </c>
      <c r="BC7" s="201">
        <f>2*PI()*$AN7*L_2</f>
        <v>-3.0159576846400919E-2</v>
      </c>
      <c r="BD7" s="204">
        <f>AG7</f>
        <v>2.2490988721416998</v>
      </c>
      <c r="BE7" s="201">
        <f>RADIANS(AH7-AK7)</f>
        <v>-1.685131362356445</v>
      </c>
      <c r="BF7" s="201">
        <f>VLOOKUP(AM7,constants!C19:AQ20,2,FALSE)</f>
        <v>1135.2723906249857</v>
      </c>
      <c r="BG7" s="201">
        <f>RADIANS(VLOOKUP(ROUND($AN7,0),constants!$C$46:$AR$64,2,FALSE))</f>
        <v>-4.5846697999810247E-2</v>
      </c>
      <c r="BH7" s="201">
        <f>g_d</f>
        <v>9.9999999999999995E-8</v>
      </c>
      <c r="BI7" s="205">
        <f>C_d*0.000000000001</f>
        <v>2.0000000000000001E-10</v>
      </c>
      <c r="BJ7" s="209" t="e">
        <f ca="1">Watts(AO7:BI7)</f>
        <v>#NAME?</v>
      </c>
      <c r="BK7" s="142" t="e">
        <f ca="1">Vars(AO7:BI7)</f>
        <v>#NAME?</v>
      </c>
      <c r="BL7" s="141" t="e">
        <f ca="1">Amps(AO7:BI7)</f>
        <v>#NAME?</v>
      </c>
      <c r="BM7" s="143" t="e">
        <f ca="1">Volts(AO7,AQ7)</f>
        <v>#NAME?</v>
      </c>
      <c r="BN7" s="144" t="e">
        <f ca="1">Phase(AO7:BI7)</f>
        <v>#NAME?</v>
      </c>
      <c r="BO7" s="141" t="e">
        <f ca="1">COS(BN7)</f>
        <v>#NAME?</v>
      </c>
      <c r="BP7" s="144" t="e">
        <f ca="1">TEXT(MIN(ABS(AlphaCount($AO$7:$BI$7)), 1023),"0000")</f>
        <v>#NAME?</v>
      </c>
      <c r="BQ7" s="143" t="e">
        <f ca="1">IF($BJ$7&gt;0,"WP-","WP+")</f>
        <v>#NAME?</v>
      </c>
      <c r="BR7" s="144" t="e">
        <f ca="1">TEXT(MIN(ABS(BetaCount($AO$7:$BI$7)), 1023),"0000")</f>
        <v>#NAME?</v>
      </c>
      <c r="BS7" s="210" t="e">
        <f ca="1">IF($BK$7&gt;0,"VP-","VP+")</f>
        <v>#NAME?</v>
      </c>
      <c r="BV7" s="301" t="str">
        <f>VLOOKUP($A7,PowerCalc,117,FALSE)</f>
        <v>watts</v>
      </c>
      <c r="BW7" s="301" t="e">
        <f ca="1">VLOOKUP($A7,PowerCalc,151,FALSE)</f>
        <v>#NAME?</v>
      </c>
      <c r="BX7" s="301" t="e">
        <f ca="1">VLOOKUP($A7,PowerCalc,152,FALSE)</f>
        <v>#NAME?</v>
      </c>
      <c r="BY7" s="301" t="e">
        <f ca="1">VLOOKUP($A7,PowerCalc,153,FALSE)</f>
        <v>#NAME?</v>
      </c>
      <c r="BZ7" s="301" t="e">
        <f ca="1">VLOOKUP($A7,PowerCalc,154,FALSE)</f>
        <v>#NAME?</v>
      </c>
      <c r="CA7" s="301" t="e">
        <f ca="1">VLOOKUP($A7,PowerCalc,155,FALSE)</f>
        <v>#NAME?</v>
      </c>
      <c r="CB7" s="301" t="e">
        <f ca="1">VLOOKUP($A7,PowerCalc,157,FALSE)</f>
        <v>#NAME?</v>
      </c>
      <c r="CC7" s="301" t="e">
        <f ca="1">VLOOKUP($A7,PowerCalc,158,FALSE)</f>
        <v>#NAME?</v>
      </c>
      <c r="CD7" s="301" t="e">
        <f ca="1">VLOOKUP($A7,PowerCalc,159,FALSE)</f>
        <v>#NAME?</v>
      </c>
      <c r="CE7" s="301" t="e">
        <f ca="1">VLOOKUP($A7,PowerCalc,160,FALSE)</f>
        <v>#NAME?</v>
      </c>
      <c r="CF7" s="301" t="e">
        <f ca="1">VLOOKUP($A7,PowerCalc,161,FALSE)</f>
        <v>#NAME?</v>
      </c>
      <c r="CG7" s="301" t="e">
        <f ca="1">VLOOKUP($A7,PowerCalc,162,FALSE)</f>
        <v>#NAME?</v>
      </c>
      <c r="CH7" s="301" t="e">
        <f ca="1">VLOOKUP($A7,UncCalc,IF($BV7="watts",54,62),FALSE)</f>
        <v>#NAME?</v>
      </c>
      <c r="CI7" s="301" t="e">
        <f ca="1">VLOOKUP($A7,UncCalc,IF($BV7="watts",55,63),FALSE)</f>
        <v>#NAME?</v>
      </c>
      <c r="CJ7" s="39" t="e">
        <f ca="1">CoverFactor(CI7)</f>
        <v>#NAME?</v>
      </c>
      <c r="CK7" s="39" t="e">
        <f ca="1">CJ7*CH7</f>
        <v>#NAME?</v>
      </c>
      <c r="CL7" s="301" t="e">
        <f ca="1">VLOOKUP($A7,PowerCalc,163,FALSE)</f>
        <v>#NAME?</v>
      </c>
      <c r="CM7" s="301" t="e">
        <f ca="1">VLOOKUP($A7,PowerCalc,164,FALSE)</f>
        <v>#NAME?</v>
      </c>
      <c r="CN7" s="301" t="e">
        <f ca="1">VLOOKUP($A7,PowerCalc,165,FALSE)</f>
        <v>#NAME?</v>
      </c>
      <c r="CO7" s="301" t="e">
        <f ca="1">VLOOKUP($A7,PowerCalc,150,FALSE)</f>
        <v>#NAME?</v>
      </c>
      <c r="CP7" s="39"/>
      <c r="CQ7" s="301"/>
      <c r="CR7" s="301">
        <f>VLOOKUP($A7,PowerCalc,180,FALSE)</f>
        <v>109.11499999999999</v>
      </c>
      <c r="CS7" s="301">
        <f>VLOOKUP($A7,PowerCalc,181,FALSE)</f>
        <v>23.524926482543638</v>
      </c>
      <c r="CT7" s="301">
        <f>VLOOKUP($A7,PowerCalc,182,FALSE)</f>
        <v>0.32292963330514241</v>
      </c>
    </row>
    <row r="8" spans="1:106" ht="15.75" customHeight="1" thickBot="1" x14ac:dyDescent="0.25">
      <c r="A8" s="237" t="s">
        <v>464</v>
      </c>
      <c r="B8" s="211"/>
      <c r="C8" s="211"/>
      <c r="D8" s="211"/>
      <c r="E8" s="211"/>
      <c r="F8" s="211"/>
      <c r="G8" s="211"/>
      <c r="H8" s="211"/>
      <c r="I8" s="211"/>
      <c r="J8" s="211"/>
      <c r="K8" s="211"/>
      <c r="L8" s="211"/>
      <c r="M8" s="238"/>
      <c r="N8" s="238"/>
      <c r="O8" s="238"/>
      <c r="P8" s="238"/>
      <c r="Q8" s="239"/>
      <c r="R8" s="245"/>
      <c r="S8" s="252" t="s">
        <v>484</v>
      </c>
      <c r="T8" s="249"/>
      <c r="U8" s="249"/>
      <c r="V8" s="249"/>
      <c r="W8" s="249"/>
      <c r="X8" s="249"/>
      <c r="Y8" s="249"/>
      <c r="Z8" s="256"/>
      <c r="AA8" s="241" t="s">
        <v>504</v>
      </c>
      <c r="AB8" s="166"/>
      <c r="AC8" s="167"/>
      <c r="AD8" s="168"/>
      <c r="AE8" s="167"/>
      <c r="AF8" s="167"/>
      <c r="AG8" s="169"/>
      <c r="AH8" s="170"/>
      <c r="AI8" s="169"/>
      <c r="AJ8" s="169"/>
      <c r="AK8" s="169"/>
      <c r="AL8" s="170"/>
      <c r="AM8" s="169"/>
      <c r="AN8" s="153"/>
      <c r="AO8" s="155"/>
      <c r="AP8" s="156"/>
      <c r="AQ8" s="157"/>
      <c r="AR8" s="155"/>
      <c r="AS8" s="157"/>
      <c r="AT8" s="155"/>
      <c r="AU8" s="155"/>
      <c r="AV8" s="155"/>
      <c r="AW8" s="155"/>
      <c r="AX8" s="155"/>
      <c r="AY8" s="156"/>
      <c r="AZ8" s="155"/>
      <c r="BA8" s="155"/>
      <c r="BB8" s="155"/>
      <c r="BC8" s="155"/>
      <c r="BD8" s="158"/>
      <c r="BE8" s="155"/>
      <c r="BF8" s="155"/>
      <c r="BG8" s="155"/>
      <c r="BH8" s="155"/>
      <c r="BI8" s="155"/>
      <c r="BJ8" s="171"/>
      <c r="BK8" s="137"/>
      <c r="BL8" s="171"/>
      <c r="BM8" s="145"/>
      <c r="BN8" s="172"/>
      <c r="BO8" s="171"/>
      <c r="BP8" s="172"/>
      <c r="BQ8" s="145"/>
      <c r="BR8" s="172"/>
      <c r="BS8" s="146"/>
      <c r="CA8" s="15"/>
      <c r="CE8" s="15"/>
      <c r="CF8" s="15"/>
      <c r="CG8" s="15"/>
      <c r="CH8" s="15"/>
      <c r="CI8" s="15"/>
      <c r="CJ8" s="15"/>
      <c r="CK8" s="15"/>
      <c r="CL8" s="15"/>
      <c r="CM8" s="15"/>
      <c r="CN8" s="15"/>
      <c r="CO8" s="15"/>
      <c r="CP8" s="15"/>
    </row>
    <row r="9" spans="1:106" ht="53.25" customHeight="1" x14ac:dyDescent="0.2">
      <c r="A9" s="179" t="s">
        <v>444</v>
      </c>
      <c r="B9" s="178" t="s">
        <v>463</v>
      </c>
      <c r="C9" s="179" t="s">
        <v>458</v>
      </c>
      <c r="D9" s="179" t="s">
        <v>457</v>
      </c>
      <c r="E9" s="869" t="s">
        <v>0</v>
      </c>
      <c r="F9" s="178" t="s">
        <v>427</v>
      </c>
      <c r="G9" s="179" t="s">
        <v>140</v>
      </c>
      <c r="H9" s="179" t="s">
        <v>430</v>
      </c>
      <c r="I9" s="179" t="s">
        <v>387</v>
      </c>
      <c r="J9" s="179" t="s">
        <v>481</v>
      </c>
      <c r="K9" s="180" t="s">
        <v>431</v>
      </c>
      <c r="L9" s="179" t="s">
        <v>461</v>
      </c>
      <c r="M9" s="180" t="s">
        <v>465</v>
      </c>
      <c r="N9" s="179" t="s">
        <v>478</v>
      </c>
      <c r="O9" s="179" t="s">
        <v>480</v>
      </c>
      <c r="P9" s="655" t="s">
        <v>3</v>
      </c>
      <c r="Q9" s="280" t="s">
        <v>586</v>
      </c>
      <c r="R9" s="179" t="s">
        <v>462</v>
      </c>
      <c r="S9" s="253" t="s">
        <v>137</v>
      </c>
      <c r="T9" s="246" t="s">
        <v>136</v>
      </c>
      <c r="U9" s="248" t="s">
        <v>1050</v>
      </c>
      <c r="V9" s="248" t="s">
        <v>491</v>
      </c>
      <c r="W9" s="246" t="s">
        <v>492</v>
      </c>
      <c r="X9" s="248" t="s">
        <v>482</v>
      </c>
      <c r="Y9" s="244" t="s">
        <v>483</v>
      </c>
      <c r="Z9" s="300" t="s">
        <v>543</v>
      </c>
      <c r="AA9" s="250" t="s">
        <v>448</v>
      </c>
      <c r="AB9" s="185" t="s">
        <v>428</v>
      </c>
      <c r="AC9" s="185" t="s">
        <v>568</v>
      </c>
      <c r="AD9" s="185" t="s">
        <v>143</v>
      </c>
      <c r="AE9" s="185" t="s">
        <v>569</v>
      </c>
      <c r="AF9" s="186" t="s">
        <v>145</v>
      </c>
      <c r="AG9" s="190" t="s">
        <v>270</v>
      </c>
      <c r="AH9" s="191" t="s">
        <v>271</v>
      </c>
      <c r="AI9" s="191" t="s">
        <v>146</v>
      </c>
      <c r="AJ9" s="191" t="s">
        <v>268</v>
      </c>
      <c r="AK9" s="191" t="s">
        <v>269</v>
      </c>
      <c r="AL9" s="191" t="s">
        <v>232</v>
      </c>
      <c r="AM9" s="192" t="s">
        <v>232</v>
      </c>
      <c r="AN9" s="184" t="s">
        <v>270</v>
      </c>
      <c r="AO9" s="185" t="s">
        <v>271</v>
      </c>
      <c r="AP9" s="185" t="s">
        <v>146</v>
      </c>
      <c r="AQ9" s="185" t="s">
        <v>268</v>
      </c>
      <c r="AR9" s="185" t="s">
        <v>269</v>
      </c>
      <c r="AS9" s="185" t="s">
        <v>232</v>
      </c>
      <c r="AT9" s="186" t="s">
        <v>232</v>
      </c>
      <c r="AU9" s="190" t="s">
        <v>270</v>
      </c>
      <c r="AV9" s="191" t="s">
        <v>271</v>
      </c>
      <c r="AW9" s="191" t="s">
        <v>146</v>
      </c>
      <c r="AX9" s="191" t="s">
        <v>268</v>
      </c>
      <c r="AY9" s="191" t="s">
        <v>269</v>
      </c>
      <c r="AZ9" s="191" t="s">
        <v>232</v>
      </c>
      <c r="BA9" s="192" t="s">
        <v>232</v>
      </c>
      <c r="BB9" s="184" t="s">
        <v>270</v>
      </c>
      <c r="BC9" s="185" t="s">
        <v>271</v>
      </c>
      <c r="BD9" s="185" t="s">
        <v>146</v>
      </c>
      <c r="BE9" s="185" t="s">
        <v>268</v>
      </c>
      <c r="BF9" s="185" t="s">
        <v>269</v>
      </c>
      <c r="BG9" s="185" t="s">
        <v>232</v>
      </c>
      <c r="BH9" s="186" t="s">
        <v>232</v>
      </c>
      <c r="BI9" s="190" t="s">
        <v>270</v>
      </c>
      <c r="BJ9" s="191" t="s">
        <v>271</v>
      </c>
      <c r="BK9" s="191" t="s">
        <v>146</v>
      </c>
      <c r="BL9" s="191" t="s">
        <v>268</v>
      </c>
      <c r="BM9" s="191" t="s">
        <v>269</v>
      </c>
      <c r="BN9" s="191" t="s">
        <v>232</v>
      </c>
      <c r="BO9" s="192" t="s">
        <v>232</v>
      </c>
      <c r="BT9" s="99"/>
      <c r="BU9" s="99"/>
      <c r="BV9" s="99"/>
      <c r="BW9" s="99">
        <v>0</v>
      </c>
      <c r="BX9" s="99">
        <v>1</v>
      </c>
      <c r="BY9" s="99">
        <v>2</v>
      </c>
      <c r="BZ9" s="99">
        <v>3</v>
      </c>
      <c r="CA9" s="99">
        <v>4</v>
      </c>
      <c r="CB9" s="99">
        <v>5</v>
      </c>
      <c r="CC9" s="99">
        <v>6</v>
      </c>
      <c r="CD9" s="99">
        <v>7</v>
      </c>
      <c r="CE9" s="99">
        <v>8</v>
      </c>
      <c r="CF9" s="99">
        <v>9</v>
      </c>
      <c r="CG9" s="99">
        <v>10</v>
      </c>
      <c r="CH9" s="99">
        <v>11</v>
      </c>
      <c r="CI9" s="99">
        <v>12</v>
      </c>
      <c r="CJ9" s="99">
        <v>13</v>
      </c>
      <c r="CK9" s="99">
        <v>14</v>
      </c>
      <c r="CL9" s="99">
        <v>15</v>
      </c>
      <c r="CM9" s="99">
        <v>16</v>
      </c>
      <c r="CN9" s="99">
        <v>17</v>
      </c>
      <c r="CO9" s="99">
        <v>18</v>
      </c>
      <c r="CP9" s="15"/>
      <c r="CR9" s="419" t="s">
        <v>604</v>
      </c>
    </row>
    <row r="10" spans="1:106" ht="83.25" customHeight="1" thickBot="1" x14ac:dyDescent="0.25">
      <c r="A10" s="234"/>
      <c r="B10" s="654" t="s">
        <v>1</v>
      </c>
      <c r="C10" s="234"/>
      <c r="D10" s="234"/>
      <c r="E10" s="870"/>
      <c r="F10" s="240" t="s">
        <v>459</v>
      </c>
      <c r="G10" s="229" t="s">
        <v>573</v>
      </c>
      <c r="H10" s="234"/>
      <c r="I10" s="234"/>
      <c r="J10" s="416" t="s">
        <v>587</v>
      </c>
      <c r="K10" s="180" t="s">
        <v>349</v>
      </c>
      <c r="L10" s="233"/>
      <c r="M10" s="180" t="s">
        <v>460</v>
      </c>
      <c r="N10" s="178" t="s">
        <v>485</v>
      </c>
      <c r="O10" s="178" t="s">
        <v>486</v>
      </c>
      <c r="P10" s="178" t="s">
        <v>479</v>
      </c>
      <c r="Q10" s="178" t="s">
        <v>588</v>
      </c>
      <c r="R10" s="255"/>
      <c r="S10" s="254"/>
      <c r="T10" s="247"/>
      <c r="U10" s="247"/>
      <c r="V10" s="247"/>
      <c r="W10" s="243"/>
      <c r="X10" s="242"/>
      <c r="Y10" s="251"/>
      <c r="Z10" s="243"/>
      <c r="AA10" s="242"/>
      <c r="AB10" s="188"/>
      <c r="AC10" s="188"/>
      <c r="AD10" s="188"/>
      <c r="AE10" s="188"/>
      <c r="AF10" s="189"/>
      <c r="AG10" s="193" t="s">
        <v>176</v>
      </c>
      <c r="AH10" s="194" t="s">
        <v>211</v>
      </c>
      <c r="AI10" s="194" t="s">
        <v>176</v>
      </c>
      <c r="AJ10" s="194" t="s">
        <v>176</v>
      </c>
      <c r="AK10" s="194" t="s">
        <v>211</v>
      </c>
      <c r="AL10" s="195" t="s">
        <v>233</v>
      </c>
      <c r="AM10" s="196" t="s">
        <v>234</v>
      </c>
      <c r="AN10" s="187" t="s">
        <v>176</v>
      </c>
      <c r="AO10" s="188" t="s">
        <v>211</v>
      </c>
      <c r="AP10" s="188" t="s">
        <v>176</v>
      </c>
      <c r="AQ10" s="188" t="s">
        <v>176</v>
      </c>
      <c r="AR10" s="188" t="s">
        <v>211</v>
      </c>
      <c r="AS10" s="197" t="s">
        <v>233</v>
      </c>
      <c r="AT10" s="198" t="s">
        <v>234</v>
      </c>
      <c r="AU10" s="193" t="s">
        <v>176</v>
      </c>
      <c r="AV10" s="194" t="s">
        <v>211</v>
      </c>
      <c r="AW10" s="194" t="s">
        <v>176</v>
      </c>
      <c r="AX10" s="194" t="s">
        <v>176</v>
      </c>
      <c r="AY10" s="194" t="s">
        <v>211</v>
      </c>
      <c r="AZ10" s="195" t="s">
        <v>233</v>
      </c>
      <c r="BA10" s="196" t="s">
        <v>234</v>
      </c>
      <c r="BB10" s="187" t="s">
        <v>176</v>
      </c>
      <c r="BC10" s="188" t="s">
        <v>211</v>
      </c>
      <c r="BD10" s="188" t="s">
        <v>176</v>
      </c>
      <c r="BE10" s="188" t="s">
        <v>176</v>
      </c>
      <c r="BF10" s="188" t="s">
        <v>211</v>
      </c>
      <c r="BG10" s="197" t="s">
        <v>233</v>
      </c>
      <c r="BH10" s="198" t="s">
        <v>234</v>
      </c>
      <c r="BI10" s="193" t="s">
        <v>176</v>
      </c>
      <c r="BJ10" s="194" t="s">
        <v>211</v>
      </c>
      <c r="BK10" s="194" t="s">
        <v>176</v>
      </c>
      <c r="BL10" s="194" t="s">
        <v>176</v>
      </c>
      <c r="BM10" s="194" t="s">
        <v>211</v>
      </c>
      <c r="BN10" s="195" t="s">
        <v>233</v>
      </c>
      <c r="BO10" s="196" t="s">
        <v>234</v>
      </c>
      <c r="BP10" s="230"/>
      <c r="BQ10" s="99"/>
      <c r="BR10" s="99"/>
      <c r="BS10" s="99"/>
      <c r="BT10" s="99" t="s">
        <v>528</v>
      </c>
      <c r="BU10" s="99"/>
      <c r="BV10" s="99"/>
      <c r="CD10" s="2"/>
      <c r="CE10" s="257"/>
      <c r="CF10" s="15"/>
      <c r="CG10" s="15"/>
      <c r="CH10" s="15"/>
      <c r="CI10" s="15"/>
      <c r="CJ10" s="15"/>
      <c r="CK10" s="15"/>
      <c r="CL10" s="15"/>
      <c r="CM10" s="15"/>
      <c r="CN10" s="15"/>
      <c r="CO10" s="15"/>
      <c r="CP10" s="15"/>
      <c r="CR10" s="420" t="s">
        <v>605</v>
      </c>
      <c r="CS10" s="213" t="s">
        <v>590</v>
      </c>
      <c r="CT10" s="213" t="s">
        <v>592</v>
      </c>
      <c r="CV10" s="645"/>
      <c r="CW10" s="645"/>
      <c r="CX10" s="645"/>
      <c r="CY10" s="645"/>
      <c r="CZ10" s="645"/>
      <c r="DA10" s="645"/>
      <c r="DB10" s="645"/>
    </row>
    <row r="11" spans="1:106" x14ac:dyDescent="0.2">
      <c r="A11" s="212" t="s">
        <v>579</v>
      </c>
      <c r="B11" s="174"/>
      <c r="C11" s="174"/>
      <c r="D11" s="54"/>
      <c r="E11" s="174"/>
      <c r="F11" s="54"/>
      <c r="G11" s="175"/>
      <c r="H11" s="26"/>
      <c r="I11" s="174"/>
      <c r="J11" s="22"/>
      <c r="K11" s="176"/>
      <c r="L11" s="22"/>
      <c r="M11" s="177"/>
      <c r="N11" s="177"/>
      <c r="O11" s="165"/>
      <c r="P11" s="46"/>
      <c r="Q11" s="46"/>
      <c r="R11" s="46"/>
      <c r="S11" s="46"/>
      <c r="T11" s="46"/>
      <c r="U11" s="46"/>
      <c r="V11" s="46"/>
      <c r="W11" s="46"/>
      <c r="X11" s="46"/>
      <c r="Y11" s="46"/>
      <c r="Z11" s="46"/>
      <c r="AA11" s="160"/>
      <c r="AB11" s="46"/>
      <c r="AC11" s="46"/>
      <c r="AD11" s="46"/>
      <c r="AE11" s="46"/>
      <c r="AF11" s="46"/>
      <c r="AG11" s="114"/>
      <c r="AH11" s="116"/>
      <c r="AI11" s="114"/>
      <c r="AJ11" s="115"/>
      <c r="AK11" s="101"/>
      <c r="AL11" s="116"/>
      <c r="AM11" s="116"/>
      <c r="AN11" s="114"/>
      <c r="AO11" s="116"/>
      <c r="AP11" s="114"/>
      <c r="AQ11" s="115"/>
      <c r="AR11" s="101"/>
      <c r="AS11" s="116"/>
      <c r="AT11" s="116"/>
      <c r="AU11" s="114"/>
      <c r="AV11" s="116"/>
      <c r="AW11" s="114"/>
      <c r="AX11" s="115"/>
      <c r="AY11" s="101"/>
      <c r="AZ11" s="116"/>
      <c r="BA11" s="116"/>
      <c r="BB11" s="114"/>
      <c r="BC11" s="116"/>
      <c r="BD11" s="114"/>
      <c r="BE11" s="115"/>
      <c r="BF11" s="101"/>
      <c r="BG11" s="116"/>
      <c r="BH11" s="116"/>
      <c r="BI11" s="114"/>
      <c r="BJ11" s="116"/>
      <c r="BK11" s="114"/>
      <c r="BL11" s="115"/>
      <c r="BM11" s="101"/>
      <c r="BN11" s="116"/>
      <c r="BO11" s="116"/>
      <c r="BU11" s="88"/>
      <c r="BW11" s="88"/>
      <c r="CA11" s="55"/>
      <c r="CB11" s="17"/>
      <c r="CE11" s="14"/>
      <c r="CF11" s="15"/>
      <c r="CG11" s="15"/>
      <c r="CH11" s="15"/>
      <c r="CI11" s="15"/>
      <c r="CJ11" s="15"/>
      <c r="CK11" s="15"/>
      <c r="CL11" s="15"/>
      <c r="CM11" s="15"/>
      <c r="CN11" s="15"/>
      <c r="CO11" s="15"/>
      <c r="CP11" s="15"/>
      <c r="CV11" s="646"/>
      <c r="CW11" s="646"/>
      <c r="CX11" s="646"/>
      <c r="CY11" s="646"/>
      <c r="CZ11" s="646"/>
      <c r="DA11" s="646"/>
      <c r="DB11" s="646"/>
    </row>
    <row r="12" spans="1:106" x14ac:dyDescent="0.2">
      <c r="A12" s="366">
        <f>ROW()</f>
        <v>12</v>
      </c>
      <c r="B12" s="367" t="s">
        <v>50</v>
      </c>
      <c r="C12" s="368">
        <v>2</v>
      </c>
      <c r="D12" s="368">
        <v>230</v>
      </c>
      <c r="E12" s="367">
        <v>0</v>
      </c>
      <c r="F12" s="441">
        <v>230</v>
      </c>
      <c r="G12" s="369" t="s">
        <v>131</v>
      </c>
      <c r="H12" s="370">
        <v>1</v>
      </c>
      <c r="I12" s="367">
        <v>50</v>
      </c>
      <c r="J12" s="371">
        <v>10</v>
      </c>
      <c r="K12" s="372">
        <v>5</v>
      </c>
      <c r="L12" s="482">
        <v>100000</v>
      </c>
      <c r="M12" s="443" t="s">
        <v>535</v>
      </c>
      <c r="N12" s="483">
        <v>5.9999999999999995E-4</v>
      </c>
      <c r="O12" s="370">
        <v>6</v>
      </c>
      <c r="P12" s="66">
        <v>123</v>
      </c>
      <c r="Q12" s="220"/>
      <c r="R12" s="534" t="s">
        <v>51</v>
      </c>
      <c r="S12" s="402">
        <v>229.9965215</v>
      </c>
      <c r="T12" s="395">
        <v>2.0000933789999999</v>
      </c>
      <c r="U12" s="402">
        <v>-1.704403E-3</v>
      </c>
      <c r="V12" s="395">
        <v>1</v>
      </c>
      <c r="W12" s="400">
        <v>2.0601740000000001E-3</v>
      </c>
      <c r="X12" s="400">
        <v>3.5449180000000002E-3</v>
      </c>
      <c r="Y12" s="402">
        <v>2.002039602</v>
      </c>
      <c r="Z12" s="409">
        <v>100002.06020000001</v>
      </c>
      <c r="AA12" s="396">
        <v>42033.6012962963</v>
      </c>
      <c r="AB12" s="397">
        <v>50.000188681421498</v>
      </c>
      <c r="AC12" s="398">
        <v>0.3525390625</v>
      </c>
      <c r="AD12" s="393" t="s">
        <v>134</v>
      </c>
      <c r="AE12" s="393">
        <v>0</v>
      </c>
      <c r="AF12" s="393" t="s">
        <v>133</v>
      </c>
      <c r="AG12" s="393">
        <v>0.21170772075333699</v>
      </c>
      <c r="AH12" s="393">
        <v>83.662421773239799</v>
      </c>
      <c r="AI12" s="393">
        <v>1.1330949983546701</v>
      </c>
      <c r="AJ12" s="393">
        <v>1.1331690342254399</v>
      </c>
      <c r="AK12" s="393">
        <v>107.957621774213</v>
      </c>
      <c r="AL12" s="397">
        <v>12778.479468662899</v>
      </c>
      <c r="AM12" s="393">
        <v>460.02984619140602</v>
      </c>
      <c r="AN12" s="393">
        <v>0.21379983673585101</v>
      </c>
      <c r="AO12" s="393">
        <v>84.270762716022006</v>
      </c>
      <c r="AP12" s="393">
        <v>1.1330957628845899</v>
      </c>
      <c r="AQ12" s="393">
        <v>1.1329931259925199</v>
      </c>
      <c r="AR12" s="393">
        <v>107.945578054601</v>
      </c>
      <c r="AS12" s="393">
        <v>12778.458878576501</v>
      </c>
      <c r="AT12" s="393">
        <v>460.03073120117199</v>
      </c>
      <c r="AU12" s="393">
        <v>0.21233439683138799</v>
      </c>
      <c r="AV12" s="393">
        <v>83.421491022773594</v>
      </c>
      <c r="AW12" s="393">
        <v>1.13309386725499</v>
      </c>
      <c r="AX12" s="393">
        <v>1.13297444624106</v>
      </c>
      <c r="AY12" s="393">
        <v>107.954054430688</v>
      </c>
      <c r="AZ12" s="393">
        <v>12778.446969446</v>
      </c>
      <c r="BA12" s="393">
        <v>460.03036499023398</v>
      </c>
      <c r="BB12" s="393">
        <v>0.21146660742002499</v>
      </c>
      <c r="BC12" s="393">
        <v>84.1760517461924</v>
      </c>
      <c r="BD12" s="393">
        <v>1.1330951754231999</v>
      </c>
      <c r="BE12" s="393">
        <v>1.1332469115531401</v>
      </c>
      <c r="BF12" s="393">
        <v>107.943511436533</v>
      </c>
      <c r="BG12" s="393">
        <v>12778.4327445321</v>
      </c>
      <c r="BH12" s="393">
        <v>460.02975463867199</v>
      </c>
      <c r="BI12" s="393">
        <v>0.215628177449221</v>
      </c>
      <c r="BJ12" s="393">
        <v>84.399197172698806</v>
      </c>
      <c r="BK12" s="393">
        <v>1.1330965663391701</v>
      </c>
      <c r="BL12" s="393">
        <v>1.1326860040998299</v>
      </c>
      <c r="BM12" s="393">
        <v>107.974879103281</v>
      </c>
      <c r="BN12" s="393">
        <v>12778.404087238299</v>
      </c>
      <c r="BO12" s="393">
        <v>460.02981567382801</v>
      </c>
      <c r="BP12" s="393"/>
      <c r="BQ12" s="393"/>
      <c r="BR12" s="393"/>
      <c r="BS12" s="393"/>
      <c r="BT12" s="393"/>
      <c r="BU12" s="393"/>
      <c r="BV12" s="393"/>
      <c r="BW12" s="393">
        <v>460.01452239999998</v>
      </c>
      <c r="BX12" s="399">
        <v>1.3684234999999999E-2</v>
      </c>
      <c r="BY12" s="393">
        <v>229.9965215</v>
      </c>
      <c r="BZ12" s="393">
        <v>2.0000933789999999</v>
      </c>
      <c r="CA12" s="398">
        <v>-1.704403E-3</v>
      </c>
      <c r="CB12" s="398">
        <v>1.939175E-3</v>
      </c>
      <c r="CC12" s="399">
        <v>1.689798E-3</v>
      </c>
      <c r="CD12" s="399">
        <v>9.0497599999999999E-5</v>
      </c>
      <c r="CE12" s="399">
        <v>7.8157000000000004E-6</v>
      </c>
      <c r="CF12" s="399">
        <v>2.10473E-4</v>
      </c>
      <c r="CG12" s="393">
        <v>2.0601740000000001E-3</v>
      </c>
      <c r="CH12" s="394">
        <v>1.7706530000000001E-3</v>
      </c>
      <c r="CI12" s="394">
        <v>57.006408610000001</v>
      </c>
      <c r="CJ12" s="46">
        <v>2.002039602</v>
      </c>
      <c r="CK12" s="46">
        <v>3.5449180000000002E-3</v>
      </c>
      <c r="CL12" s="393">
        <v>1</v>
      </c>
      <c r="CM12" s="398">
        <v>114.9928918</v>
      </c>
      <c r="CN12" s="393">
        <v>9.2993800000000005E-4</v>
      </c>
      <c r="CO12" s="393">
        <v>100002.06020000001</v>
      </c>
      <c r="CP12" s="393">
        <v>0</v>
      </c>
      <c r="CQ12" s="393">
        <v>0</v>
      </c>
      <c r="CR12" s="393">
        <v>109.14700000000001</v>
      </c>
      <c r="CS12" s="393">
        <v>23.607379479999999</v>
      </c>
      <c r="CT12" s="393">
        <v>0.32292627800000001</v>
      </c>
      <c r="CU12" s="393"/>
      <c r="CV12" s="393"/>
      <c r="CW12" s="393"/>
      <c r="CX12" s="393"/>
      <c r="CY12" s="393"/>
      <c r="CZ12" s="393"/>
      <c r="DA12" s="393"/>
    </row>
    <row r="13" spans="1:106" x14ac:dyDescent="0.2">
      <c r="A13" s="366">
        <f>ROW()</f>
        <v>13</v>
      </c>
      <c r="B13" s="367" t="s">
        <v>50</v>
      </c>
      <c r="C13" s="368">
        <v>2</v>
      </c>
      <c r="D13" s="368">
        <v>230</v>
      </c>
      <c r="E13" s="367">
        <v>0</v>
      </c>
      <c r="F13" s="441">
        <v>230</v>
      </c>
      <c r="G13" s="369" t="s">
        <v>131</v>
      </c>
      <c r="H13" s="370">
        <v>1</v>
      </c>
      <c r="I13" s="367">
        <v>50</v>
      </c>
      <c r="J13" s="371">
        <v>10</v>
      </c>
      <c r="K13" s="372">
        <v>5</v>
      </c>
      <c r="L13" s="482">
        <v>100000</v>
      </c>
      <c r="M13" s="443" t="s">
        <v>535</v>
      </c>
      <c r="N13" s="726">
        <f t="shared" ref="N13:N29" si="0">IF(M13="watts",SQRT((0.0005+0.001/COS(RADIANS(ABS(E13))))^2+0.000645^2)*IF(T13&gt;26,2,1),SQRT((0.001+0.001/SIN(RADIANS(ABS(E13))))^2+0.000645^2+0.0035^2))</f>
        <v>1.6327966805453765E-3</v>
      </c>
      <c r="O13" s="370">
        <v>6</v>
      </c>
      <c r="P13" s="66">
        <v>123</v>
      </c>
      <c r="Q13" s="220"/>
      <c r="R13" s="393"/>
      <c r="S13" s="402">
        <v>229.99676489999999</v>
      </c>
      <c r="T13" s="395">
        <v>2.0000888720000001</v>
      </c>
      <c r="U13" s="402">
        <v>-2.5417059999999999E-3</v>
      </c>
      <c r="V13" s="395">
        <v>0.99999999900000003</v>
      </c>
      <c r="W13" s="400">
        <v>3.2208100000000002E-3</v>
      </c>
      <c r="X13" s="400">
        <v>4.7754579999999998E-3</v>
      </c>
      <c r="Y13" s="402">
        <v>2.0755541289999999</v>
      </c>
      <c r="Z13" s="409">
        <v>100003.2208</v>
      </c>
      <c r="AA13" s="396">
        <v>42033.604189814818</v>
      </c>
      <c r="AB13" s="397">
        <v>50.0005707643001</v>
      </c>
      <c r="AC13" s="398">
        <v>0.353515625</v>
      </c>
      <c r="AD13" s="393" t="s">
        <v>134</v>
      </c>
      <c r="AE13" s="393">
        <v>0</v>
      </c>
      <c r="AF13" s="393" t="s">
        <v>133</v>
      </c>
      <c r="AG13" s="393">
        <v>0.34922933336631701</v>
      </c>
      <c r="AH13" s="393">
        <v>-104.837550132419</v>
      </c>
      <c r="AI13" s="393">
        <v>1.13309657176071</v>
      </c>
      <c r="AJ13" s="393">
        <v>1.1333396377051801</v>
      </c>
      <c r="AK13" s="393">
        <v>107.957324857171</v>
      </c>
      <c r="AL13" s="393">
        <v>12778.685441011299</v>
      </c>
      <c r="AM13" s="393">
        <v>460.02993774414102</v>
      </c>
      <c r="AN13" s="393">
        <v>0.35006565327042999</v>
      </c>
      <c r="AO13" s="393">
        <v>-104.543275251995</v>
      </c>
      <c r="AP13" s="393">
        <v>1.1330957527399199</v>
      </c>
      <c r="AQ13" s="393">
        <v>1.1332141679430501</v>
      </c>
      <c r="AR13" s="393">
        <v>107.941785955181</v>
      </c>
      <c r="AS13" s="393">
        <v>12778.573610493901</v>
      </c>
      <c r="AT13" s="393">
        <v>460.02996826171898</v>
      </c>
      <c r="AU13" s="393">
        <v>0.35061581928729402</v>
      </c>
      <c r="AV13" s="393">
        <v>-104.390497177643</v>
      </c>
      <c r="AW13" s="393">
        <v>1.13309775486734</v>
      </c>
      <c r="AX13" s="393">
        <v>1.1327481135473001</v>
      </c>
      <c r="AY13" s="393">
        <v>107.947200163901</v>
      </c>
      <c r="AZ13" s="393">
        <v>12778.4629852993</v>
      </c>
      <c r="BA13" s="393">
        <v>460.02917480468801</v>
      </c>
      <c r="BB13" s="393">
        <v>0.347792615826513</v>
      </c>
      <c r="BC13" s="393">
        <v>-104.125792365199</v>
      </c>
      <c r="BD13" s="393">
        <v>1.1330953830447801</v>
      </c>
      <c r="BE13" s="393">
        <v>1.1329979355559201</v>
      </c>
      <c r="BF13" s="393">
        <v>107.942955533636</v>
      </c>
      <c r="BG13" s="393">
        <v>12778.5831797705</v>
      </c>
      <c r="BH13" s="393">
        <v>460.03115844726602</v>
      </c>
      <c r="BI13" s="393">
        <v>0.348061582377172</v>
      </c>
      <c r="BJ13" s="393">
        <v>-104.50343542644499</v>
      </c>
      <c r="BK13" s="393">
        <v>1.1330969036162899</v>
      </c>
      <c r="BL13" s="393">
        <v>1.1332336433282</v>
      </c>
      <c r="BM13" s="393">
        <v>107.930677981842</v>
      </c>
      <c r="BN13" s="393">
        <v>12778.5820953325</v>
      </c>
      <c r="BO13" s="393">
        <v>460.02734375</v>
      </c>
      <c r="BP13" s="393"/>
      <c r="BQ13" s="393"/>
      <c r="BR13" s="393"/>
      <c r="BS13" s="393"/>
      <c r="BT13" s="393"/>
      <c r="BU13" s="393"/>
      <c r="BV13" s="393"/>
      <c r="BW13" s="393">
        <v>460.01397250000002</v>
      </c>
      <c r="BX13" s="393">
        <v>2.0406750000000001E-2</v>
      </c>
      <c r="BY13" s="393">
        <v>229.99676489999999</v>
      </c>
      <c r="BZ13" s="393">
        <v>2.0000888720000001</v>
      </c>
      <c r="CA13" s="398">
        <v>-2.5417059999999999E-3</v>
      </c>
      <c r="CB13" s="400">
        <v>1.101136E-3</v>
      </c>
      <c r="CC13" s="399">
        <v>1.6419E-3</v>
      </c>
      <c r="CD13" s="399">
        <v>8.5469699999999999E-5</v>
      </c>
      <c r="CE13" s="399">
        <v>5.0027399999999998E-6</v>
      </c>
      <c r="CF13" s="399">
        <v>2.0450000000000001E-4</v>
      </c>
      <c r="CG13" s="393">
        <v>3.2208100000000002E-3</v>
      </c>
      <c r="CH13" s="394">
        <v>2.3008109999999998E-3</v>
      </c>
      <c r="CI13" s="394">
        <v>21.18433147</v>
      </c>
      <c r="CJ13" s="46">
        <v>2.0755541289999999</v>
      </c>
      <c r="CK13" s="46">
        <v>4.7754579999999998E-3</v>
      </c>
      <c r="CL13" s="393">
        <v>0.99999999900000003</v>
      </c>
      <c r="CM13" s="398">
        <v>114.9932726</v>
      </c>
      <c r="CN13" s="393">
        <v>6.8315300000000004E-4</v>
      </c>
      <c r="CO13" s="393">
        <v>100003.2208</v>
      </c>
      <c r="CP13" s="393">
        <v>0</v>
      </c>
      <c r="CQ13" s="393">
        <v>0</v>
      </c>
      <c r="CR13" s="393">
        <v>109.15300000000001</v>
      </c>
      <c r="CS13" s="393">
        <v>23.62283966</v>
      </c>
      <c r="CT13" s="393">
        <v>0.32292564899999998</v>
      </c>
      <c r="CU13" s="393"/>
      <c r="CV13" s="393"/>
      <c r="CW13" s="393"/>
      <c r="CX13" s="393"/>
      <c r="CY13" s="393"/>
      <c r="CZ13" s="393"/>
      <c r="DA13" s="393"/>
    </row>
    <row r="14" spans="1:106" x14ac:dyDescent="0.2">
      <c r="A14" s="366">
        <f>ROW()</f>
        <v>14</v>
      </c>
      <c r="B14" s="367" t="s">
        <v>50</v>
      </c>
      <c r="C14" s="368">
        <v>2</v>
      </c>
      <c r="D14" s="368">
        <v>230</v>
      </c>
      <c r="E14" s="367">
        <v>0</v>
      </c>
      <c r="F14" s="441">
        <v>230</v>
      </c>
      <c r="G14" s="369" t="s">
        <v>131</v>
      </c>
      <c r="H14" s="370">
        <v>1</v>
      </c>
      <c r="I14" s="367">
        <v>50</v>
      </c>
      <c r="J14" s="371">
        <v>10</v>
      </c>
      <c r="K14" s="372">
        <v>5</v>
      </c>
      <c r="L14" s="482">
        <v>100000</v>
      </c>
      <c r="M14" s="443" t="s">
        <v>535</v>
      </c>
      <c r="N14" s="726">
        <f t="shared" si="0"/>
        <v>1.6327966805453765E-3</v>
      </c>
      <c r="O14" s="370">
        <v>6</v>
      </c>
      <c r="P14" s="66">
        <v>123</v>
      </c>
      <c r="Q14" s="220"/>
      <c r="R14" s="393"/>
      <c r="S14" s="402">
        <v>229.99672580000001</v>
      </c>
      <c r="T14" s="395">
        <v>2.000081985</v>
      </c>
      <c r="U14" s="402">
        <v>-1.8757579999999999E-3</v>
      </c>
      <c r="V14" s="395">
        <v>0.99999999900000003</v>
      </c>
      <c r="W14" s="400">
        <v>2.94079E-3</v>
      </c>
      <c r="X14" s="400">
        <v>4.8601690000000001E-3</v>
      </c>
      <c r="Y14" s="402">
        <v>2.067792571</v>
      </c>
      <c r="Z14" s="409">
        <v>100002.9408</v>
      </c>
      <c r="AA14" s="396">
        <v>42033.607094907406</v>
      </c>
      <c r="AB14" s="397">
        <v>50.000207551563697</v>
      </c>
      <c r="AC14" s="398">
        <v>0.3525390625</v>
      </c>
      <c r="AD14" s="393" t="s">
        <v>134</v>
      </c>
      <c r="AE14" s="393">
        <v>0</v>
      </c>
      <c r="AF14" s="393" t="s">
        <v>133</v>
      </c>
      <c r="AG14" s="393">
        <v>0.210107278733356</v>
      </c>
      <c r="AH14" s="393">
        <v>83.776030388673306</v>
      </c>
      <c r="AI14" s="393">
        <v>1.1330957440032601</v>
      </c>
      <c r="AJ14" s="393">
        <v>1.13341668069955</v>
      </c>
      <c r="AK14" s="393">
        <v>107.95421080983201</v>
      </c>
      <c r="AL14" s="393">
        <v>12778.3135601126</v>
      </c>
      <c r="AM14" s="393">
        <v>460.02606201171898</v>
      </c>
      <c r="AN14" s="393">
        <v>0.21244727537454899</v>
      </c>
      <c r="AO14" s="393">
        <v>83.771576270262202</v>
      </c>
      <c r="AP14" s="393">
        <v>1.1330956308984099</v>
      </c>
      <c r="AQ14" s="393">
        <v>1.1332162997795201</v>
      </c>
      <c r="AR14" s="393">
        <v>107.957485533678</v>
      </c>
      <c r="AS14" s="393">
        <v>12778.439077851701</v>
      </c>
      <c r="AT14" s="393">
        <v>460.03045654296898</v>
      </c>
      <c r="AU14" s="393">
        <v>0.21300021196883401</v>
      </c>
      <c r="AV14" s="393">
        <v>84.338093281075899</v>
      </c>
      <c r="AW14" s="393">
        <v>1.13309555230715</v>
      </c>
      <c r="AX14" s="393">
        <v>1.13258794514119</v>
      </c>
      <c r="AY14" s="393">
        <v>107.954289893039</v>
      </c>
      <c r="AZ14" s="393">
        <v>12778.447520421199</v>
      </c>
      <c r="BA14" s="393">
        <v>460.03134155273398</v>
      </c>
      <c r="BB14" s="393">
        <v>0.210912752275109</v>
      </c>
      <c r="BC14" s="393">
        <v>83.494489169293502</v>
      </c>
      <c r="BD14" s="393">
        <v>1.13309744482296</v>
      </c>
      <c r="BE14" s="393">
        <v>1.1334122749406601</v>
      </c>
      <c r="BF14" s="393">
        <v>107.963193537046</v>
      </c>
      <c r="BG14" s="393">
        <v>12778.490818783201</v>
      </c>
      <c r="BH14" s="393">
        <v>460.02786254882801</v>
      </c>
      <c r="BI14" s="393">
        <v>0.211538970476955</v>
      </c>
      <c r="BJ14" s="393">
        <v>83.892988686250504</v>
      </c>
      <c r="BK14" s="393">
        <v>1.13309702919917</v>
      </c>
      <c r="BL14" s="393">
        <v>1.13285176736777</v>
      </c>
      <c r="BM14" s="393">
        <v>107.92654647126101</v>
      </c>
      <c r="BN14" s="393">
        <v>12778.786564853601</v>
      </c>
      <c r="BO14" s="393">
        <v>460.03186035156199</v>
      </c>
      <c r="BP14" s="393"/>
      <c r="BQ14" s="393"/>
      <c r="BR14" s="393"/>
      <c r="BS14" s="393"/>
      <c r="BT14" s="393"/>
      <c r="BU14" s="393"/>
      <c r="BV14" s="393"/>
      <c r="BW14" s="393">
        <v>460.01231030000002</v>
      </c>
      <c r="BX14" s="393">
        <v>1.5059951E-2</v>
      </c>
      <c r="BY14" s="393">
        <v>229.99672580000001</v>
      </c>
      <c r="BZ14" s="393">
        <v>2.000081985</v>
      </c>
      <c r="CA14" s="398">
        <v>-1.8757579999999999E-3</v>
      </c>
      <c r="CB14" s="400">
        <v>1.029912E-3</v>
      </c>
      <c r="CC14" s="399">
        <v>1.2444159999999999E-3</v>
      </c>
      <c r="CD14" s="399">
        <v>8.0651799999999999E-5</v>
      </c>
      <c r="CE14" s="399">
        <v>4.5819799999999998E-6</v>
      </c>
      <c r="CF14" s="399">
        <v>1.5499700000000001E-4</v>
      </c>
      <c r="CG14" s="393">
        <v>2.94079E-3</v>
      </c>
      <c r="CH14" s="394">
        <v>2.3504139999999999E-3</v>
      </c>
      <c r="CI14" s="394">
        <v>22.655062109999999</v>
      </c>
      <c r="CJ14" s="46">
        <v>2.067792571</v>
      </c>
      <c r="CK14" s="46">
        <v>4.8601690000000001E-3</v>
      </c>
      <c r="CL14" s="393">
        <v>0.99999999900000003</v>
      </c>
      <c r="CM14" s="393">
        <v>114.993649</v>
      </c>
      <c r="CN14" s="393">
        <v>6.1550400000000001E-4</v>
      </c>
      <c r="CO14" s="393">
        <v>100002.9408</v>
      </c>
      <c r="CP14" s="393">
        <v>0</v>
      </c>
      <c r="CQ14" s="393">
        <v>0</v>
      </c>
      <c r="CR14" s="393">
        <v>109.16200000000001</v>
      </c>
      <c r="CS14" s="393">
        <v>23.646030079999999</v>
      </c>
      <c r="CT14" s="393">
        <v>0.32292470600000001</v>
      </c>
      <c r="CU14" s="393"/>
      <c r="CV14" s="393"/>
      <c r="CW14" s="393"/>
      <c r="CX14" s="393"/>
      <c r="CY14" s="393"/>
      <c r="CZ14" s="393"/>
      <c r="DA14" s="393"/>
    </row>
    <row r="15" spans="1:106" x14ac:dyDescent="0.2">
      <c r="A15" s="366">
        <f>ROW()</f>
        <v>15</v>
      </c>
      <c r="B15" s="367" t="s">
        <v>50</v>
      </c>
      <c r="C15" s="368">
        <v>2</v>
      </c>
      <c r="D15" s="368">
        <v>230</v>
      </c>
      <c r="E15" s="367">
        <v>-60</v>
      </c>
      <c r="F15" s="441">
        <v>230</v>
      </c>
      <c r="G15" s="369" t="s">
        <v>131</v>
      </c>
      <c r="H15" s="370">
        <v>1</v>
      </c>
      <c r="I15" s="367">
        <v>50</v>
      </c>
      <c r="J15" s="371">
        <v>10</v>
      </c>
      <c r="K15" s="372">
        <v>5</v>
      </c>
      <c r="L15" s="482">
        <v>100000</v>
      </c>
      <c r="M15" s="443" t="s">
        <v>535</v>
      </c>
      <c r="N15" s="726">
        <f t="shared" si="0"/>
        <v>2.5818646362658127E-3</v>
      </c>
      <c r="O15" s="370">
        <v>6</v>
      </c>
      <c r="P15" s="66">
        <v>123</v>
      </c>
      <c r="Q15" s="220"/>
      <c r="R15" s="393"/>
      <c r="S15" s="402">
        <v>229.99663889999999</v>
      </c>
      <c r="T15" s="395">
        <v>2.000041805</v>
      </c>
      <c r="U15" s="402">
        <v>-60.000257230000003</v>
      </c>
      <c r="V15" s="395">
        <v>0.49999611199999999</v>
      </c>
      <c r="W15" s="400">
        <v>-3.816631E-3</v>
      </c>
      <c r="X15" s="400">
        <v>8.678893E-3</v>
      </c>
      <c r="Y15" s="402">
        <v>2.0451839039999999</v>
      </c>
      <c r="Z15" s="409">
        <v>99996.183369999999</v>
      </c>
      <c r="AA15" s="396">
        <v>42033.609988425924</v>
      </c>
      <c r="AB15" s="397">
        <v>50.0002358517769</v>
      </c>
      <c r="AC15" s="393">
        <v>0.1767578125</v>
      </c>
      <c r="AD15" s="393" t="s">
        <v>134</v>
      </c>
      <c r="AE15" s="393">
        <v>0.3017578125</v>
      </c>
      <c r="AF15" s="393" t="s">
        <v>133</v>
      </c>
      <c r="AG15" s="401">
        <v>0.28297243708314701</v>
      </c>
      <c r="AH15" s="393">
        <v>-165.35106332283601</v>
      </c>
      <c r="AI15" s="393">
        <v>1.1330961760743199</v>
      </c>
      <c r="AJ15" s="393">
        <v>1.1331322528708401</v>
      </c>
      <c r="AK15" s="393">
        <v>107.952724423992</v>
      </c>
      <c r="AL15" s="393">
        <v>6388.7320246418603</v>
      </c>
      <c r="AM15" s="393">
        <v>229.99038696289099</v>
      </c>
      <c r="AN15" s="393">
        <v>0.28425585846701201</v>
      </c>
      <c r="AO15" s="393">
        <v>-165.486031802432</v>
      </c>
      <c r="AP15" s="393">
        <v>1.1330951885316101</v>
      </c>
      <c r="AQ15" s="393">
        <v>1.13324378795346</v>
      </c>
      <c r="AR15" s="393">
        <v>107.937147452171</v>
      </c>
      <c r="AS15" s="393">
        <v>6388.5000507958703</v>
      </c>
      <c r="AT15" s="393">
        <v>229.99067687988301</v>
      </c>
      <c r="AU15" s="393">
        <v>0.282993335657648</v>
      </c>
      <c r="AV15" s="393">
        <v>-165.29735801832501</v>
      </c>
      <c r="AW15" s="393">
        <v>1.1330954495089001</v>
      </c>
      <c r="AX15" s="393">
        <v>1.1329660018541801</v>
      </c>
      <c r="AY15" s="393">
        <v>107.945276957318</v>
      </c>
      <c r="AZ15" s="393">
        <v>6388.5995668427704</v>
      </c>
      <c r="BA15" s="393">
        <v>229.98973083496099</v>
      </c>
      <c r="BB15" s="393">
        <v>0.28299638608646299</v>
      </c>
      <c r="BC15" s="393">
        <v>-165.16695859724399</v>
      </c>
      <c r="BD15" s="393">
        <v>1.1330949088520901</v>
      </c>
      <c r="BE15" s="393">
        <v>1.1329355429525401</v>
      </c>
      <c r="BF15" s="393">
        <v>107.923955321592</v>
      </c>
      <c r="BG15" s="393">
        <v>6388.6673698500899</v>
      </c>
      <c r="BH15" s="393">
        <v>229.989669799805</v>
      </c>
      <c r="BI15" s="393">
        <v>0.27877078970367802</v>
      </c>
      <c r="BJ15" s="393">
        <v>-164.95886484889701</v>
      </c>
      <c r="BK15" s="393">
        <v>1.13309753931698</v>
      </c>
      <c r="BL15" s="393">
        <v>1.1334416397787701</v>
      </c>
      <c r="BM15" s="393">
        <v>107.934064146205</v>
      </c>
      <c r="BN15" s="393">
        <v>6388.6789076455098</v>
      </c>
      <c r="BO15" s="393">
        <v>229.98939514160199</v>
      </c>
      <c r="BP15" s="393"/>
      <c r="BQ15" s="393"/>
      <c r="BR15" s="393"/>
      <c r="BS15" s="393"/>
      <c r="BT15" s="393"/>
      <c r="BU15" s="402"/>
      <c r="BV15" s="402"/>
      <c r="BW15" s="393">
        <v>229.99965929999999</v>
      </c>
      <c r="BX15" s="393">
        <v>398.375226</v>
      </c>
      <c r="BY15" s="393">
        <v>229.99663889999999</v>
      </c>
      <c r="BZ15" s="393">
        <v>2.000041805</v>
      </c>
      <c r="CA15" s="398">
        <v>-60.000257230000003</v>
      </c>
      <c r="CB15" s="400">
        <v>5.6932399999999996E-4</v>
      </c>
      <c r="CC15" s="393">
        <v>2.6213819999999998E-3</v>
      </c>
      <c r="CD15" s="399">
        <v>9.5656900000000002E-5</v>
      </c>
      <c r="CE15" s="399">
        <v>9.7765599999999994E-6</v>
      </c>
      <c r="CF15" s="393">
        <v>1.42616E-4</v>
      </c>
      <c r="CG15" s="393">
        <v>-3.816631E-3</v>
      </c>
      <c r="CH15" s="394">
        <v>4.2435759999999998E-3</v>
      </c>
      <c r="CI15" s="394">
        <v>28.473519289999999</v>
      </c>
      <c r="CJ15" s="46">
        <v>2.0451839039999999</v>
      </c>
      <c r="CK15" s="46">
        <v>8.678893E-3</v>
      </c>
      <c r="CL15" s="393">
        <v>0.49999611199999999</v>
      </c>
      <c r="CM15" s="393">
        <v>114.99591580000001</v>
      </c>
      <c r="CN15" s="393">
        <v>1.1592320000000001E-3</v>
      </c>
      <c r="CO15" s="393">
        <v>99996.183369999999</v>
      </c>
      <c r="CP15" s="393">
        <v>0</v>
      </c>
      <c r="CQ15" s="393">
        <v>0</v>
      </c>
      <c r="CR15" s="393">
        <v>109.173</v>
      </c>
      <c r="CS15" s="393">
        <v>23.674374159999999</v>
      </c>
      <c r="CT15" s="393">
        <v>0.322923552</v>
      </c>
      <c r="CU15" s="393"/>
      <c r="CV15" s="393"/>
      <c r="CW15" s="393"/>
      <c r="CX15" s="393"/>
      <c r="CY15" s="393"/>
      <c r="CZ15" s="393"/>
      <c r="DA15" s="393"/>
    </row>
    <row r="16" spans="1:106" x14ac:dyDescent="0.2">
      <c r="A16" s="366">
        <f>ROW()</f>
        <v>16</v>
      </c>
      <c r="B16" s="367" t="s">
        <v>50</v>
      </c>
      <c r="C16" s="368">
        <v>2</v>
      </c>
      <c r="D16" s="368">
        <v>230</v>
      </c>
      <c r="E16" s="367">
        <v>-60</v>
      </c>
      <c r="F16" s="441">
        <v>230</v>
      </c>
      <c r="G16" s="369" t="s">
        <v>131</v>
      </c>
      <c r="H16" s="370">
        <v>1</v>
      </c>
      <c r="I16" s="367">
        <v>50</v>
      </c>
      <c r="J16" s="371">
        <v>10</v>
      </c>
      <c r="K16" s="372">
        <v>5</v>
      </c>
      <c r="L16" s="482">
        <v>100000</v>
      </c>
      <c r="M16" s="443" t="s">
        <v>535</v>
      </c>
      <c r="N16" s="726">
        <f t="shared" si="0"/>
        <v>2.5818646362658127E-3</v>
      </c>
      <c r="O16" s="370">
        <v>6</v>
      </c>
      <c r="P16" s="66">
        <v>123</v>
      </c>
      <c r="Q16" s="220"/>
      <c r="R16" s="393"/>
      <c r="S16" s="402">
        <v>229.99674189999999</v>
      </c>
      <c r="T16" s="395">
        <v>2.0000479790000001</v>
      </c>
      <c r="U16" s="402">
        <v>-60.00064751</v>
      </c>
      <c r="V16" s="395">
        <v>0.49999021300000002</v>
      </c>
      <c r="W16" s="400">
        <v>-2.4019060000000001E-3</v>
      </c>
      <c r="X16" s="400">
        <v>8.6920929999999997E-3</v>
      </c>
      <c r="Y16" s="402">
        <v>2.0446804470000002</v>
      </c>
      <c r="Z16" s="409">
        <v>99997.59809</v>
      </c>
      <c r="AA16" s="396">
        <v>42033.612893518519</v>
      </c>
      <c r="AB16" s="397">
        <v>50.000514163873703</v>
      </c>
      <c r="AC16" s="393">
        <v>0.1767578125</v>
      </c>
      <c r="AD16" s="393" t="s">
        <v>134</v>
      </c>
      <c r="AE16" s="393">
        <v>0.3017578125</v>
      </c>
      <c r="AF16" s="393" t="s">
        <v>133</v>
      </c>
      <c r="AG16" s="393">
        <v>0.28385446601490899</v>
      </c>
      <c r="AH16" s="393">
        <v>-164.70576513496701</v>
      </c>
      <c r="AI16" s="393">
        <v>1.1330955133581799</v>
      </c>
      <c r="AJ16" s="393">
        <v>1.1332193157902499</v>
      </c>
      <c r="AK16" s="393">
        <v>107.972426441354</v>
      </c>
      <c r="AL16" s="393">
        <v>6388.6998571456397</v>
      </c>
      <c r="AM16" s="393">
        <v>229.99209594726599</v>
      </c>
      <c r="AN16" s="393">
        <v>0.28387896398538898</v>
      </c>
      <c r="AO16" s="393">
        <v>-165.14329135936001</v>
      </c>
      <c r="AP16" s="393">
        <v>1.1330967195147199</v>
      </c>
      <c r="AQ16" s="393">
        <v>1.13351578686399</v>
      </c>
      <c r="AR16" s="393">
        <v>107.924319772082</v>
      </c>
      <c r="AS16" s="393">
        <v>6388.6422088066302</v>
      </c>
      <c r="AT16" s="393">
        <v>229.99098205566401</v>
      </c>
      <c r="AU16" s="393">
        <v>0.28088120691688401</v>
      </c>
      <c r="AV16" s="393">
        <v>-165.027180546794</v>
      </c>
      <c r="AW16" s="393">
        <v>1.13309736266895</v>
      </c>
      <c r="AX16" s="393">
        <v>1.1329710830340001</v>
      </c>
      <c r="AY16" s="393">
        <v>107.95696580711</v>
      </c>
      <c r="AZ16" s="393">
        <v>6388.70237909758</v>
      </c>
      <c r="BA16" s="393">
        <v>229.99067687988301</v>
      </c>
      <c r="BB16" s="393">
        <v>0.28163656019710598</v>
      </c>
      <c r="BC16" s="393">
        <v>-164.74481317297199</v>
      </c>
      <c r="BD16" s="393">
        <v>1.13309652087405</v>
      </c>
      <c r="BE16" s="393">
        <v>1.13278614231182</v>
      </c>
      <c r="BF16" s="393">
        <v>107.93997536954799</v>
      </c>
      <c r="BG16" s="393">
        <v>6388.6050249953696</v>
      </c>
      <c r="BH16" s="393">
        <v>229.990158081055</v>
      </c>
      <c r="BI16" s="393">
        <v>0.28124106065893201</v>
      </c>
      <c r="BJ16" s="393">
        <v>-165.49306628338101</v>
      </c>
      <c r="BK16" s="393">
        <v>1.1330956807983801</v>
      </c>
      <c r="BL16" s="393">
        <v>1.1329058951206701</v>
      </c>
      <c r="BM16" s="393">
        <v>107.952791263473</v>
      </c>
      <c r="BN16" s="393">
        <v>6388.7163860234996</v>
      </c>
      <c r="BO16" s="393">
        <v>229.98997497558599</v>
      </c>
      <c r="BP16" s="393"/>
      <c r="BQ16" s="393"/>
      <c r="BR16" s="393"/>
      <c r="BS16" s="393"/>
      <c r="BT16" s="393"/>
      <c r="BU16" s="402"/>
      <c r="BV16" s="393"/>
      <c r="BW16" s="393">
        <v>229.9977585</v>
      </c>
      <c r="BX16" s="393">
        <v>398.37820060000001</v>
      </c>
      <c r="BY16" s="393">
        <v>229.99674189999999</v>
      </c>
      <c r="BZ16" s="393">
        <v>2.0000479790000001</v>
      </c>
      <c r="CA16" s="398">
        <v>-60.00064751</v>
      </c>
      <c r="CB16" s="400">
        <v>1.77681E-3</v>
      </c>
      <c r="CC16" s="399">
        <v>1.3840930000000001E-3</v>
      </c>
      <c r="CD16" s="399">
        <v>6.9402300000000005E-5</v>
      </c>
      <c r="CE16" s="399">
        <v>6.8110100000000004E-6</v>
      </c>
      <c r="CF16" s="393">
        <v>1.9376699999999999E-4</v>
      </c>
      <c r="CG16" s="393">
        <v>-2.4019060000000001E-3</v>
      </c>
      <c r="CH16" s="394">
        <v>4.2510769999999998E-3</v>
      </c>
      <c r="CI16" s="394">
        <v>28.6385723</v>
      </c>
      <c r="CJ16" s="46">
        <v>2.0446804470000002</v>
      </c>
      <c r="CK16" s="46">
        <v>8.6920929999999997E-3</v>
      </c>
      <c r="CL16" s="393">
        <v>0.49999021300000002</v>
      </c>
      <c r="CM16" s="393">
        <v>114.9956123</v>
      </c>
      <c r="CN16" s="393">
        <v>8.4660699999999998E-4</v>
      </c>
      <c r="CO16" s="393">
        <v>99997.59809</v>
      </c>
      <c r="CP16" s="393">
        <v>0</v>
      </c>
      <c r="CQ16" s="393">
        <v>0</v>
      </c>
      <c r="CR16" s="393">
        <v>109.18</v>
      </c>
      <c r="CS16" s="393">
        <v>23.692411440000001</v>
      </c>
      <c r="CT16" s="393">
        <v>0.322922818</v>
      </c>
      <c r="CU16" s="393"/>
      <c r="CV16" s="393"/>
      <c r="CW16" s="393"/>
      <c r="CX16" s="393"/>
      <c r="CY16" s="393"/>
      <c r="CZ16" s="393"/>
      <c r="DA16" s="393"/>
    </row>
    <row r="17" spans="1:105" x14ac:dyDescent="0.2">
      <c r="A17" s="366">
        <f>ROW()</f>
        <v>17</v>
      </c>
      <c r="B17" s="367" t="s">
        <v>50</v>
      </c>
      <c r="C17" s="368">
        <v>2</v>
      </c>
      <c r="D17" s="368">
        <v>230</v>
      </c>
      <c r="E17" s="367">
        <v>-60</v>
      </c>
      <c r="F17" s="441">
        <v>230</v>
      </c>
      <c r="G17" s="369" t="s">
        <v>131</v>
      </c>
      <c r="H17" s="370">
        <v>1</v>
      </c>
      <c r="I17" s="367">
        <v>50</v>
      </c>
      <c r="J17" s="371">
        <v>10</v>
      </c>
      <c r="K17" s="372">
        <v>5</v>
      </c>
      <c r="L17" s="482">
        <v>100000</v>
      </c>
      <c r="M17" s="443" t="s">
        <v>535</v>
      </c>
      <c r="N17" s="726">
        <f t="shared" si="0"/>
        <v>2.5818646362658127E-3</v>
      </c>
      <c r="O17" s="370">
        <v>6</v>
      </c>
      <c r="P17" s="66">
        <v>123</v>
      </c>
      <c r="Q17" s="220"/>
      <c r="R17" s="393"/>
      <c r="S17" s="402">
        <v>229.99669249999999</v>
      </c>
      <c r="T17" s="395">
        <v>2.000032757</v>
      </c>
      <c r="U17" s="402">
        <v>-60.000384949999997</v>
      </c>
      <c r="V17" s="395">
        <v>0.49999418099999998</v>
      </c>
      <c r="W17" s="400">
        <v>-3.2776609999999999E-3</v>
      </c>
      <c r="X17" s="400">
        <v>8.6925449999999994E-3</v>
      </c>
      <c r="Y17" s="402">
        <v>2.0446643689999999</v>
      </c>
      <c r="Z17" s="409">
        <v>99996.722339999993</v>
      </c>
      <c r="AA17" s="396">
        <v>42033.615798611114</v>
      </c>
      <c r="AB17" s="397">
        <v>50.000311322345503</v>
      </c>
      <c r="AC17" s="393">
        <v>0.1767578125</v>
      </c>
      <c r="AD17" s="393" t="s">
        <v>134</v>
      </c>
      <c r="AE17" s="393">
        <v>0.3017578125</v>
      </c>
      <c r="AF17" s="393" t="s">
        <v>133</v>
      </c>
      <c r="AG17" s="393">
        <v>0.28090155034802</v>
      </c>
      <c r="AH17" s="393">
        <v>-165.39265450475801</v>
      </c>
      <c r="AI17" s="393">
        <v>1.1330962508164</v>
      </c>
      <c r="AJ17" s="393">
        <v>1.1327558617782501</v>
      </c>
      <c r="AK17" s="393">
        <v>107.939460651353</v>
      </c>
      <c r="AL17" s="393">
        <v>6388.5904615292402</v>
      </c>
      <c r="AM17" s="393">
        <v>229.98815917968801</v>
      </c>
      <c r="AN17" s="393">
        <v>0.28290967219172702</v>
      </c>
      <c r="AO17" s="393">
        <v>-165.19105973331</v>
      </c>
      <c r="AP17" s="393">
        <v>1.1330955772221001</v>
      </c>
      <c r="AQ17" s="393">
        <v>1.1330649745547301</v>
      </c>
      <c r="AR17" s="393">
        <v>107.971046862189</v>
      </c>
      <c r="AS17" s="393">
        <v>6388.6674039076397</v>
      </c>
      <c r="AT17" s="393">
        <v>229.99093627929699</v>
      </c>
      <c r="AU17" s="393">
        <v>0.28377859508046199</v>
      </c>
      <c r="AV17" s="393">
        <v>-164.91363734937499</v>
      </c>
      <c r="AW17" s="393">
        <v>1.13309582379301</v>
      </c>
      <c r="AX17" s="393">
        <v>1.13282136436498</v>
      </c>
      <c r="AY17" s="393">
        <v>107.952795229315</v>
      </c>
      <c r="AZ17" s="393">
        <v>6388.6385441913299</v>
      </c>
      <c r="BA17" s="393">
        <v>229.99070739746099</v>
      </c>
      <c r="BB17" s="393">
        <v>0.282064394279053</v>
      </c>
      <c r="BC17" s="393">
        <v>-165.05934018197601</v>
      </c>
      <c r="BD17" s="393">
        <v>1.13309665338997</v>
      </c>
      <c r="BE17" s="393">
        <v>1.1327119627728199</v>
      </c>
      <c r="BF17" s="393">
        <v>107.96804093701</v>
      </c>
      <c r="BG17" s="393">
        <v>6388.6369879944896</v>
      </c>
      <c r="BH17" s="393">
        <v>229.98620605468801</v>
      </c>
      <c r="BI17" s="393">
        <v>0.28410367139223802</v>
      </c>
      <c r="BJ17" s="393">
        <v>-164.82509323782901</v>
      </c>
      <c r="BK17" s="393">
        <v>1.1330962770816899</v>
      </c>
      <c r="BL17" s="393">
        <v>1.13327591367689</v>
      </c>
      <c r="BM17" s="393">
        <v>107.939874673649</v>
      </c>
      <c r="BN17" s="393">
        <v>6388.55629420075</v>
      </c>
      <c r="BO17" s="393">
        <v>229.98937988281199</v>
      </c>
      <c r="BP17" s="393"/>
      <c r="BQ17" s="393"/>
      <c r="BR17" s="393"/>
      <c r="BS17" s="393"/>
      <c r="BT17" s="393"/>
      <c r="BU17" s="402"/>
      <c r="BV17" s="393"/>
      <c r="BW17" s="393">
        <v>229.9977844</v>
      </c>
      <c r="BX17" s="393">
        <v>398.37402930000002</v>
      </c>
      <c r="BY17" s="393">
        <v>229.99669249999999</v>
      </c>
      <c r="BZ17" s="393">
        <v>2.000032757</v>
      </c>
      <c r="CA17" s="398">
        <v>-60.000384949999997</v>
      </c>
      <c r="CB17" s="400">
        <v>1.5788530000000001E-3</v>
      </c>
      <c r="CC17" s="393">
        <v>8.5141800000000005E-4</v>
      </c>
      <c r="CD17" s="399">
        <v>3.8223199999999997E-5</v>
      </c>
      <c r="CE17" s="399">
        <v>6.1484700000000001E-6</v>
      </c>
      <c r="CF17" s="399">
        <v>1.3232900000000001E-4</v>
      </c>
      <c r="CG17" s="393">
        <v>-3.2776609999999999E-3</v>
      </c>
      <c r="CH17" s="394">
        <v>4.2513309999999997E-3</v>
      </c>
      <c r="CI17" s="394">
        <v>28.64387593</v>
      </c>
      <c r="CJ17" s="46">
        <v>2.0446643689999999</v>
      </c>
      <c r="CK17" s="46">
        <v>8.6925449999999994E-3</v>
      </c>
      <c r="CL17" s="393">
        <v>0.49999418099999998</v>
      </c>
      <c r="CM17" s="393">
        <v>114.9964628</v>
      </c>
      <c r="CN17" s="393">
        <v>7.7501800000000004E-4</v>
      </c>
      <c r="CO17" s="393">
        <v>99996.722339999993</v>
      </c>
      <c r="CP17" s="393">
        <v>0</v>
      </c>
      <c r="CQ17" s="393">
        <v>0</v>
      </c>
      <c r="CR17" s="393">
        <v>109.18899999999999</v>
      </c>
      <c r="CS17" s="393">
        <v>23.71560238</v>
      </c>
      <c r="CT17" s="393">
        <v>0.32292187500000002</v>
      </c>
      <c r="CU17" s="393"/>
      <c r="CV17" s="393"/>
      <c r="CW17" s="393"/>
      <c r="CX17" s="393"/>
      <c r="CY17" s="393"/>
      <c r="CZ17" s="393"/>
      <c r="DA17" s="393"/>
    </row>
    <row r="18" spans="1:105" x14ac:dyDescent="0.2">
      <c r="A18" s="366">
        <f>ROW()</f>
        <v>18</v>
      </c>
      <c r="B18" s="367" t="s">
        <v>50</v>
      </c>
      <c r="C18" s="368">
        <v>2</v>
      </c>
      <c r="D18" s="368">
        <v>230</v>
      </c>
      <c r="E18" s="367">
        <v>36.869999999999997</v>
      </c>
      <c r="F18" s="441">
        <v>230</v>
      </c>
      <c r="G18" s="369" t="s">
        <v>131</v>
      </c>
      <c r="H18" s="370">
        <v>1</v>
      </c>
      <c r="I18" s="367">
        <v>50</v>
      </c>
      <c r="J18" s="371">
        <v>10</v>
      </c>
      <c r="K18" s="372">
        <v>5</v>
      </c>
      <c r="L18" s="482">
        <v>100000</v>
      </c>
      <c r="M18" s="443" t="s">
        <v>535</v>
      </c>
      <c r="N18" s="726">
        <f t="shared" si="0"/>
        <v>1.8650819986527408E-3</v>
      </c>
      <c r="O18" s="370">
        <v>6</v>
      </c>
      <c r="P18" s="66">
        <v>123</v>
      </c>
      <c r="Q18" s="220"/>
      <c r="R18" s="393"/>
      <c r="S18" s="402">
        <v>229.99692440000001</v>
      </c>
      <c r="T18" s="395">
        <v>2.0000381869999999</v>
      </c>
      <c r="U18" s="402">
        <v>36.866927660000002</v>
      </c>
      <c r="V18" s="395">
        <v>0.80003110099999997</v>
      </c>
      <c r="W18" s="400">
        <v>4.5598180000000002E-3</v>
      </c>
      <c r="X18" s="400">
        <v>5.7272879999999997E-3</v>
      </c>
      <c r="Y18" s="402">
        <v>2.0523237390000002</v>
      </c>
      <c r="Z18" s="409">
        <v>100004.5598</v>
      </c>
      <c r="AA18" s="396">
        <v>42033.618703703702</v>
      </c>
      <c r="AB18" s="397">
        <v>50.000009440071103</v>
      </c>
      <c r="AC18" s="393">
        <v>0.2822265625</v>
      </c>
      <c r="AD18" s="393" t="s">
        <v>134</v>
      </c>
      <c r="AE18" s="393">
        <v>0.208984375</v>
      </c>
      <c r="AF18" s="393" t="s">
        <v>135</v>
      </c>
      <c r="AG18" s="393">
        <v>0.14343861779092701</v>
      </c>
      <c r="AH18" s="393">
        <v>-3.6624126209716299</v>
      </c>
      <c r="AI18" s="393">
        <v>1.13309721161107</v>
      </c>
      <c r="AJ18" s="393">
        <v>1.13268243442553</v>
      </c>
      <c r="AK18" s="393">
        <v>107.926709791498</v>
      </c>
      <c r="AL18" s="393">
        <v>10223.166772804099</v>
      </c>
      <c r="AM18" s="393">
        <v>368.04159545898398</v>
      </c>
      <c r="AN18" s="393">
        <v>0.14210142908491699</v>
      </c>
      <c r="AO18" s="393">
        <v>-4.0438081647152204</v>
      </c>
      <c r="AP18" s="393">
        <v>1.1330982075057301</v>
      </c>
      <c r="AQ18" s="393">
        <v>1.1330672844135401</v>
      </c>
      <c r="AR18" s="393">
        <v>107.90657121754499</v>
      </c>
      <c r="AS18" s="393">
        <v>10222.941177785</v>
      </c>
      <c r="AT18" s="393">
        <v>368.03713989257801</v>
      </c>
      <c r="AU18" s="393">
        <v>0.14607058992928401</v>
      </c>
      <c r="AV18" s="393">
        <v>-4.5420078157557997</v>
      </c>
      <c r="AW18" s="393">
        <v>1.13309747952881</v>
      </c>
      <c r="AX18" s="393">
        <v>1.13335035007469</v>
      </c>
      <c r="AY18" s="393">
        <v>107.945358155837</v>
      </c>
      <c r="AZ18" s="393">
        <v>10223.0618953051</v>
      </c>
      <c r="BA18" s="393">
        <v>368.03756713867199</v>
      </c>
      <c r="BB18" s="393">
        <v>0.146631768908521</v>
      </c>
      <c r="BC18" s="393">
        <v>-3.6262513525391999</v>
      </c>
      <c r="BD18" s="393">
        <v>1.13309674716107</v>
      </c>
      <c r="BE18" s="393">
        <v>1.13288013538553</v>
      </c>
      <c r="BF18" s="393">
        <v>107.951667208373</v>
      </c>
      <c r="BG18" s="393">
        <v>10223.267413024199</v>
      </c>
      <c r="BH18" s="393">
        <v>368.03997802734398</v>
      </c>
      <c r="BI18" s="393">
        <v>0.147785098882071</v>
      </c>
      <c r="BJ18" s="393">
        <v>-3.0573332875752</v>
      </c>
      <c r="BK18" s="393">
        <v>1.13309664890871</v>
      </c>
      <c r="BL18" s="393">
        <v>1.1333235320327399</v>
      </c>
      <c r="BM18" s="393">
        <v>107.973416615144</v>
      </c>
      <c r="BN18" s="393">
        <v>10223.2842293917</v>
      </c>
      <c r="BO18" s="393">
        <v>368.03671264648398</v>
      </c>
      <c r="BP18" s="393"/>
      <c r="BQ18" s="393"/>
      <c r="BR18" s="393"/>
      <c r="BS18" s="393"/>
      <c r="BT18" s="393"/>
      <c r="BU18" s="393"/>
      <c r="BV18" s="393"/>
      <c r="BW18" s="393">
        <v>368.01641380000001</v>
      </c>
      <c r="BX18" s="393">
        <v>275.9825045</v>
      </c>
      <c r="BY18" s="393">
        <v>229.99692440000001</v>
      </c>
      <c r="BZ18" s="393">
        <v>2.0000381869999999</v>
      </c>
      <c r="CA18" s="398">
        <v>36.866927660000002</v>
      </c>
      <c r="CB18" s="400">
        <v>1.394356E-3</v>
      </c>
      <c r="CC18" s="399">
        <v>2.41997E-3</v>
      </c>
      <c r="CD18" s="399">
        <v>5.7144100000000001E-5</v>
      </c>
      <c r="CE18" s="399">
        <v>5.9635300000000001E-6</v>
      </c>
      <c r="CF18" s="399">
        <v>3.0098599999999999E-4</v>
      </c>
      <c r="CG18" s="393">
        <v>4.5598180000000002E-3</v>
      </c>
      <c r="CH18" s="394">
        <v>2.790636E-3</v>
      </c>
      <c r="CI18" s="394">
        <v>26.327116830000001</v>
      </c>
      <c r="CJ18" s="46">
        <v>2.0523237390000002</v>
      </c>
      <c r="CK18" s="46">
        <v>5.7272879999999997E-3</v>
      </c>
      <c r="CL18" s="393">
        <v>0.80003110099999997</v>
      </c>
      <c r="CM18" s="393">
        <v>114.9962665</v>
      </c>
      <c r="CN18" s="393">
        <v>7.5569799999999996E-4</v>
      </c>
      <c r="CO18" s="393">
        <v>100004.5598</v>
      </c>
      <c r="CP18" s="393">
        <v>0</v>
      </c>
      <c r="CQ18" s="393">
        <v>0</v>
      </c>
      <c r="CR18" s="393">
        <v>109.19799999999999</v>
      </c>
      <c r="CS18" s="393">
        <v>23.738793489999999</v>
      </c>
      <c r="CT18" s="393">
        <v>0.32292093100000002</v>
      </c>
      <c r="CU18" s="393"/>
      <c r="CV18" s="393"/>
      <c r="CW18" s="393"/>
      <c r="CX18" s="393"/>
      <c r="CY18" s="393"/>
      <c r="CZ18" s="393"/>
      <c r="DA18" s="393"/>
    </row>
    <row r="19" spans="1:105" x14ac:dyDescent="0.2">
      <c r="A19" s="366">
        <f>ROW()</f>
        <v>19</v>
      </c>
      <c r="B19" s="367" t="s">
        <v>50</v>
      </c>
      <c r="C19" s="368">
        <v>2</v>
      </c>
      <c r="D19" s="368">
        <v>230</v>
      </c>
      <c r="E19" s="367">
        <v>36.869999999999997</v>
      </c>
      <c r="F19" s="441">
        <v>230</v>
      </c>
      <c r="G19" s="369" t="s">
        <v>131</v>
      </c>
      <c r="H19" s="370">
        <v>1</v>
      </c>
      <c r="I19" s="367">
        <v>50</v>
      </c>
      <c r="J19" s="371">
        <v>10</v>
      </c>
      <c r="K19" s="372">
        <v>5</v>
      </c>
      <c r="L19" s="482">
        <v>100000</v>
      </c>
      <c r="M19" s="443" t="s">
        <v>535</v>
      </c>
      <c r="N19" s="726">
        <f t="shared" si="0"/>
        <v>1.8650819986527408E-3</v>
      </c>
      <c r="O19" s="370">
        <v>6</v>
      </c>
      <c r="P19" s="66">
        <v>123</v>
      </c>
      <c r="Q19" s="220"/>
      <c r="R19" s="393"/>
      <c r="S19" s="402">
        <v>229.99662739999999</v>
      </c>
      <c r="T19" s="395">
        <v>2.0000401779999999</v>
      </c>
      <c r="U19" s="402">
        <v>36.866424090000002</v>
      </c>
      <c r="V19" s="395">
        <v>0.80003637400000005</v>
      </c>
      <c r="W19" s="400">
        <v>3.6357630000000002E-3</v>
      </c>
      <c r="X19" s="400">
        <v>5.7158799999999996E-3</v>
      </c>
      <c r="Y19" s="402">
        <v>2.0531123299999998</v>
      </c>
      <c r="Z19" s="409">
        <v>100003.6358</v>
      </c>
      <c r="AA19" s="396">
        <v>42033.621620370373</v>
      </c>
      <c r="AB19" s="397">
        <v>50.000561334229097</v>
      </c>
      <c r="AC19" s="393">
        <v>0.2822265625</v>
      </c>
      <c r="AD19" s="393" t="s">
        <v>134</v>
      </c>
      <c r="AE19" s="393">
        <v>0.208984375</v>
      </c>
      <c r="AF19" s="393" t="s">
        <v>135</v>
      </c>
      <c r="AG19" s="393">
        <v>0.14852353547980299</v>
      </c>
      <c r="AH19" s="393">
        <v>-2.5781496719685499</v>
      </c>
      <c r="AI19" s="393">
        <v>1.13309655132276</v>
      </c>
      <c r="AJ19" s="393">
        <v>1.13351847058063</v>
      </c>
      <c r="AK19" s="393">
        <v>107.993639656374</v>
      </c>
      <c r="AL19" s="393">
        <v>10223.1453962371</v>
      </c>
      <c r="AM19" s="393">
        <v>368.04318237304699</v>
      </c>
      <c r="AN19" s="393">
        <v>0.145426129621502</v>
      </c>
      <c r="AO19" s="393">
        <v>-3.9629505206180098</v>
      </c>
      <c r="AP19" s="393">
        <v>1.1330970743439901</v>
      </c>
      <c r="AQ19" s="393">
        <v>1.13287133791747</v>
      </c>
      <c r="AR19" s="393">
        <v>107.97502615013801</v>
      </c>
      <c r="AS19" s="393">
        <v>10223.003868764899</v>
      </c>
      <c r="AT19" s="393">
        <v>368.04046630859398</v>
      </c>
      <c r="AU19" s="393">
        <v>0.149450105683404</v>
      </c>
      <c r="AV19" s="393">
        <v>-3.1754224883358102</v>
      </c>
      <c r="AW19" s="393">
        <v>1.13309482804748</v>
      </c>
      <c r="AX19" s="393">
        <v>1.13327031110583</v>
      </c>
      <c r="AY19" s="393">
        <v>107.94622860534599</v>
      </c>
      <c r="AZ19" s="393">
        <v>10223.267170976</v>
      </c>
      <c r="BA19" s="393">
        <v>368.03640747070301</v>
      </c>
      <c r="BB19" s="393">
        <v>0.14558201428894399</v>
      </c>
      <c r="BC19" s="393">
        <v>-3.3409536253876801</v>
      </c>
      <c r="BD19" s="393">
        <v>1.13309531754471</v>
      </c>
      <c r="BE19" s="393">
        <v>1.1335731137323799</v>
      </c>
      <c r="BF19" s="393">
        <v>107.943319170527</v>
      </c>
      <c r="BG19" s="393">
        <v>10223.0989470038</v>
      </c>
      <c r="BH19" s="393">
        <v>368.04113769531199</v>
      </c>
      <c r="BI19" s="393">
        <v>0.148401414718839</v>
      </c>
      <c r="BJ19" s="393">
        <v>-3.5777832542085299</v>
      </c>
      <c r="BK19" s="393">
        <v>1.13309520579981</v>
      </c>
      <c r="BL19" s="393">
        <v>1.1330138433044901</v>
      </c>
      <c r="BM19" s="393">
        <v>107.930583739236</v>
      </c>
      <c r="BN19" s="393">
        <v>10223.055561221599</v>
      </c>
      <c r="BO19" s="393">
        <v>368.03753662109398</v>
      </c>
      <c r="BP19" s="393"/>
      <c r="BQ19" s="393"/>
      <c r="BR19" s="393"/>
      <c r="BS19" s="393"/>
      <c r="BT19" s="393"/>
      <c r="BU19" s="393"/>
      <c r="BV19" s="393"/>
      <c r="BW19" s="393">
        <v>368.0187305</v>
      </c>
      <c r="BX19" s="393">
        <v>275.9791884</v>
      </c>
      <c r="BY19" s="393">
        <v>229.99662739999999</v>
      </c>
      <c r="BZ19" s="393">
        <v>2.0000401779999999</v>
      </c>
      <c r="CA19" s="398">
        <v>36.866424090000002</v>
      </c>
      <c r="CB19" s="400">
        <v>1.4372390000000001E-3</v>
      </c>
      <c r="CC19" s="393">
        <v>1.8658889999999999E-3</v>
      </c>
      <c r="CD19" s="399">
        <v>8.7555399999999999E-5</v>
      </c>
      <c r="CE19" s="399">
        <v>4.4175800000000001E-6</v>
      </c>
      <c r="CF19" s="393">
        <v>2.5938900000000001E-4</v>
      </c>
      <c r="CG19" s="393">
        <v>3.6357630000000002E-3</v>
      </c>
      <c r="CH19" s="394">
        <v>2.7840069999999998E-3</v>
      </c>
      <c r="CI19" s="394">
        <v>26.110294530000001</v>
      </c>
      <c r="CJ19" s="46">
        <v>2.0531123299999998</v>
      </c>
      <c r="CK19" s="46">
        <v>5.7158799999999996E-3</v>
      </c>
      <c r="CL19" s="393">
        <v>0.80003637400000005</v>
      </c>
      <c r="CM19" s="393">
        <v>114.9960035</v>
      </c>
      <c r="CN19" s="393">
        <v>5.3490199999999997E-4</v>
      </c>
      <c r="CO19" s="393">
        <v>100003.6358</v>
      </c>
      <c r="CP19" s="393">
        <v>0</v>
      </c>
      <c r="CQ19" s="393">
        <v>0</v>
      </c>
      <c r="CR19" s="393">
        <v>109.208</v>
      </c>
      <c r="CS19" s="393">
        <v>23.7645616</v>
      </c>
      <c r="CT19" s="393">
        <v>0.32291988300000002</v>
      </c>
      <c r="CU19" s="393"/>
      <c r="CV19" s="393"/>
      <c r="CW19" s="393"/>
      <c r="CX19" s="393"/>
      <c r="CY19" s="393"/>
      <c r="CZ19" s="393"/>
      <c r="DA19" s="393"/>
    </row>
    <row r="20" spans="1:105" x14ac:dyDescent="0.2">
      <c r="A20" s="366">
        <f>ROW()</f>
        <v>20</v>
      </c>
      <c r="B20" s="367" t="s">
        <v>50</v>
      </c>
      <c r="C20" s="368">
        <v>2</v>
      </c>
      <c r="D20" s="368">
        <v>230</v>
      </c>
      <c r="E20" s="367">
        <v>36.869999999999997</v>
      </c>
      <c r="F20" s="441">
        <v>230</v>
      </c>
      <c r="G20" s="369" t="s">
        <v>131</v>
      </c>
      <c r="H20" s="370">
        <v>1</v>
      </c>
      <c r="I20" s="367">
        <v>50</v>
      </c>
      <c r="J20" s="371">
        <v>10</v>
      </c>
      <c r="K20" s="372">
        <v>5</v>
      </c>
      <c r="L20" s="482">
        <v>100000</v>
      </c>
      <c r="M20" s="443" t="s">
        <v>535</v>
      </c>
      <c r="N20" s="726">
        <f t="shared" si="0"/>
        <v>1.8650819986527408E-3</v>
      </c>
      <c r="O20" s="370">
        <v>6</v>
      </c>
      <c r="P20" s="66">
        <v>123</v>
      </c>
      <c r="Q20" s="220"/>
      <c r="R20" s="393"/>
      <c r="S20" s="402">
        <v>229.99669979999999</v>
      </c>
      <c r="T20" s="395">
        <v>2.0000469729999999</v>
      </c>
      <c r="U20" s="402">
        <v>36.866399299999998</v>
      </c>
      <c r="V20" s="395">
        <v>0.80003663300000005</v>
      </c>
      <c r="W20" s="400">
        <v>3.5532649999999999E-3</v>
      </c>
      <c r="X20" s="400">
        <v>5.8122310000000002E-3</v>
      </c>
      <c r="Y20" s="402">
        <v>2.0476788199999998</v>
      </c>
      <c r="Z20" s="409">
        <v>100003.5533</v>
      </c>
      <c r="AA20" s="396">
        <v>42033.624548611115</v>
      </c>
      <c r="AB20" s="397">
        <v>50.000627374726598</v>
      </c>
      <c r="AC20" s="393">
        <v>0.2822265625</v>
      </c>
      <c r="AD20" s="393" t="s">
        <v>134</v>
      </c>
      <c r="AE20" s="393">
        <v>0.208984375</v>
      </c>
      <c r="AF20" s="393" t="s">
        <v>135</v>
      </c>
      <c r="AG20" s="393">
        <v>0.14554189829893799</v>
      </c>
      <c r="AH20" s="393">
        <v>-3.11042978658292</v>
      </c>
      <c r="AI20" s="393">
        <v>1.1330950337877499</v>
      </c>
      <c r="AJ20" s="393">
        <v>1.1334504431724099</v>
      </c>
      <c r="AK20" s="393">
        <v>107.939382255971</v>
      </c>
      <c r="AL20" s="393">
        <v>10223.095431273099</v>
      </c>
      <c r="AM20" s="393">
        <v>368.03738403320301</v>
      </c>
      <c r="AN20" s="393">
        <v>0.14709728091905599</v>
      </c>
      <c r="AO20" s="393">
        <v>-2.71692730120296</v>
      </c>
      <c r="AP20" s="393">
        <v>1.13309608653353</v>
      </c>
      <c r="AQ20" s="393">
        <v>1.1332178510648601</v>
      </c>
      <c r="AR20" s="393">
        <v>107.959770783005</v>
      </c>
      <c r="AS20" s="393">
        <v>10223.2284777272</v>
      </c>
      <c r="AT20" s="393">
        <v>368.04110717773398</v>
      </c>
      <c r="AU20" s="393">
        <v>0.14822448588225101</v>
      </c>
      <c r="AV20" s="393">
        <v>-3.2400175041364601</v>
      </c>
      <c r="AW20" s="393">
        <v>1.13309619547956</v>
      </c>
      <c r="AX20" s="393">
        <v>1.1332219213147601</v>
      </c>
      <c r="AY20" s="393">
        <v>107.95777397128499</v>
      </c>
      <c r="AZ20" s="393">
        <v>10223.373127725599</v>
      </c>
      <c r="BA20" s="393">
        <v>368.039794921875</v>
      </c>
      <c r="BB20" s="393">
        <v>0.14732327229233499</v>
      </c>
      <c r="BC20" s="393">
        <v>-3.1337973408906898</v>
      </c>
      <c r="BD20" s="393">
        <v>1.1330953331606</v>
      </c>
      <c r="BE20" s="393">
        <v>1.1333536128367701</v>
      </c>
      <c r="BF20" s="393">
        <v>107.95205149495899</v>
      </c>
      <c r="BG20" s="393">
        <v>10222.964277855301</v>
      </c>
      <c r="BH20" s="393">
        <v>368.03958129882801</v>
      </c>
      <c r="BI20" s="393">
        <v>0.147305961388115</v>
      </c>
      <c r="BJ20" s="393">
        <v>-3.2633040585473498</v>
      </c>
      <c r="BK20" s="393">
        <v>1.13309811131474</v>
      </c>
      <c r="BL20" s="393">
        <v>1.13321834760026</v>
      </c>
      <c r="BM20" s="393">
        <v>107.94268216002401</v>
      </c>
      <c r="BN20" s="393">
        <v>10223.0738018047</v>
      </c>
      <c r="BO20" s="393">
        <v>368.03820800781199</v>
      </c>
      <c r="BP20" s="393"/>
      <c r="BQ20" s="393"/>
      <c r="BR20" s="393"/>
      <c r="BS20" s="393"/>
      <c r="BT20" s="393"/>
      <c r="BU20" s="393"/>
      <c r="BV20" s="393"/>
      <c r="BW20" s="393">
        <v>368.02021610000003</v>
      </c>
      <c r="BX20" s="393">
        <v>275.98005360000002</v>
      </c>
      <c r="BY20" s="393">
        <v>229.99669979999999</v>
      </c>
      <c r="BZ20" s="393">
        <v>2.0000469729999999</v>
      </c>
      <c r="CA20" s="398">
        <v>36.866399299999998</v>
      </c>
      <c r="CB20" s="400">
        <v>5.8492600000000004E-4</v>
      </c>
      <c r="CC20" s="399">
        <v>9.1586100000000002E-4</v>
      </c>
      <c r="CD20" s="393">
        <v>1.0897E-4</v>
      </c>
      <c r="CE20" s="399">
        <v>3.0093000000000001E-6</v>
      </c>
      <c r="CF20" s="399">
        <v>1.05079E-4</v>
      </c>
      <c r="CG20" s="393">
        <v>3.5532649999999999E-3</v>
      </c>
      <c r="CH20" s="394">
        <v>2.8384479999999999E-3</v>
      </c>
      <c r="CI20" s="394">
        <v>27.683635150000001</v>
      </c>
      <c r="CJ20" s="46">
        <v>2.0476788199999998</v>
      </c>
      <c r="CK20" s="46">
        <v>5.8122310000000002E-3</v>
      </c>
      <c r="CL20" s="393">
        <v>0.80003663300000005</v>
      </c>
      <c r="CM20" s="393">
        <v>114.995649</v>
      </c>
      <c r="CN20" s="393">
        <v>4.2714800000000002E-4</v>
      </c>
      <c r="CO20" s="393">
        <v>100003.5533</v>
      </c>
      <c r="CP20" s="393">
        <v>0</v>
      </c>
      <c r="CQ20" s="393">
        <v>0</v>
      </c>
      <c r="CR20" s="393">
        <v>109.21599999999999</v>
      </c>
      <c r="CS20" s="393">
        <v>23.785176239999998</v>
      </c>
      <c r="CT20" s="393">
        <v>0.32291904399999999</v>
      </c>
      <c r="CU20" s="393"/>
      <c r="CV20" s="393"/>
      <c r="CW20" s="393"/>
      <c r="CX20" s="393"/>
      <c r="CY20" s="393"/>
      <c r="CZ20" s="393"/>
      <c r="DA20" s="393"/>
    </row>
    <row r="21" spans="1:105" x14ac:dyDescent="0.2">
      <c r="A21" s="366">
        <f>ROW()</f>
        <v>21</v>
      </c>
      <c r="B21" s="367" t="s">
        <v>50</v>
      </c>
      <c r="C21" s="368">
        <v>5</v>
      </c>
      <c r="D21" s="368">
        <v>230</v>
      </c>
      <c r="E21" s="367">
        <v>0</v>
      </c>
      <c r="F21" s="441">
        <v>230</v>
      </c>
      <c r="G21" s="369" t="s">
        <v>131</v>
      </c>
      <c r="H21" s="370">
        <v>1</v>
      </c>
      <c r="I21" s="367">
        <v>50</v>
      </c>
      <c r="J21" s="371">
        <v>10</v>
      </c>
      <c r="K21" s="372">
        <v>5</v>
      </c>
      <c r="L21" s="482">
        <v>100000</v>
      </c>
      <c r="M21" s="443" t="s">
        <v>535</v>
      </c>
      <c r="N21" s="726">
        <f t="shared" si="0"/>
        <v>1.6327966805453765E-3</v>
      </c>
      <c r="O21" s="370">
        <v>6</v>
      </c>
      <c r="P21" s="66">
        <v>123</v>
      </c>
      <c r="Q21" s="220"/>
      <c r="R21" s="393"/>
      <c r="S21" s="402">
        <v>229.99693009999999</v>
      </c>
      <c r="T21" s="395">
        <v>5.0002154340000002</v>
      </c>
      <c r="U21" s="402">
        <v>-1.267242E-3</v>
      </c>
      <c r="V21" s="395">
        <v>1</v>
      </c>
      <c r="W21" s="400">
        <v>2.9145680000000002E-3</v>
      </c>
      <c r="X21" s="400">
        <v>4.8031389999999997E-3</v>
      </c>
      <c r="Y21" s="402">
        <v>2.073745422</v>
      </c>
      <c r="Z21" s="409">
        <v>100002.9146</v>
      </c>
      <c r="AA21" s="396">
        <v>42033.627453703702</v>
      </c>
      <c r="AB21" s="397">
        <v>50.001099088280498</v>
      </c>
      <c r="AC21" s="393">
        <v>0.8828125</v>
      </c>
      <c r="AD21" s="393" t="s">
        <v>134</v>
      </c>
      <c r="AE21" s="393">
        <v>0</v>
      </c>
      <c r="AF21" s="393" t="s">
        <v>133</v>
      </c>
      <c r="AG21" s="393">
        <v>0.31931426588752299</v>
      </c>
      <c r="AH21" s="393">
        <v>-110.109252091557</v>
      </c>
      <c r="AI21" s="393">
        <v>1.13309782075583</v>
      </c>
      <c r="AJ21" s="393">
        <v>1.1329464918433201</v>
      </c>
      <c r="AK21" s="393">
        <v>107.92945927846399</v>
      </c>
      <c r="AL21" s="393">
        <v>31946.306832155999</v>
      </c>
      <c r="AM21" s="393">
        <v>1150.07446289062</v>
      </c>
      <c r="AN21" s="393">
        <v>0.31876154469485801</v>
      </c>
      <c r="AO21" s="393">
        <v>-109.763995946661</v>
      </c>
      <c r="AP21" s="393">
        <v>1.13309695749874</v>
      </c>
      <c r="AQ21" s="393">
        <v>1.1335669503233501</v>
      </c>
      <c r="AR21" s="393">
        <v>107.96340161457</v>
      </c>
      <c r="AS21" s="393">
        <v>31945.984743253899</v>
      </c>
      <c r="AT21" s="393">
        <v>1150.07116699219</v>
      </c>
      <c r="AU21" s="393">
        <v>0.32041399451504898</v>
      </c>
      <c r="AV21" s="393">
        <v>-110.49434858964899</v>
      </c>
      <c r="AW21" s="393">
        <v>1.1330972984924399</v>
      </c>
      <c r="AX21" s="393">
        <v>1.1323933693773001</v>
      </c>
      <c r="AY21" s="393">
        <v>107.936990758969</v>
      </c>
      <c r="AZ21" s="393">
        <v>31945.968203878499</v>
      </c>
      <c r="BA21" s="393">
        <v>1150.06811523438</v>
      </c>
      <c r="BB21" s="393">
        <v>0.32031397889254998</v>
      </c>
      <c r="BC21" s="393">
        <v>-110.227014985035</v>
      </c>
      <c r="BD21" s="393">
        <v>1.13309696975745</v>
      </c>
      <c r="BE21" s="393">
        <v>1.13322542125234</v>
      </c>
      <c r="BF21" s="393">
        <v>107.960626961801</v>
      </c>
      <c r="BG21" s="393">
        <v>31946.475199395001</v>
      </c>
      <c r="BH21" s="393">
        <v>1150.068359375</v>
      </c>
      <c r="BI21" s="393">
        <v>0.32024305399422498</v>
      </c>
      <c r="BJ21" s="393">
        <v>-110.631109472685</v>
      </c>
      <c r="BK21" s="393">
        <v>1.1330973869577401</v>
      </c>
      <c r="BL21" s="393">
        <v>1.13288769846888</v>
      </c>
      <c r="BM21" s="393">
        <v>107.94895231708</v>
      </c>
      <c r="BN21" s="393">
        <v>31946.893397570599</v>
      </c>
      <c r="BO21" s="393">
        <v>1150.06884765625</v>
      </c>
      <c r="BP21" s="393"/>
      <c r="BQ21" s="393"/>
      <c r="BR21" s="393"/>
      <c r="BS21" s="393"/>
      <c r="BT21" s="393"/>
      <c r="BU21" s="393"/>
      <c r="BV21" s="393"/>
      <c r="BW21" s="393">
        <v>1150.034206</v>
      </c>
      <c r="BX21" s="393">
        <v>2.5435940000000001E-2</v>
      </c>
      <c r="BY21" s="393">
        <v>229.99693009999999</v>
      </c>
      <c r="BZ21" s="393">
        <v>5.0002154340000002</v>
      </c>
      <c r="CA21" s="398">
        <v>-1.267242E-3</v>
      </c>
      <c r="CB21" s="400">
        <v>6.4261099999999996E-4</v>
      </c>
      <c r="CC21" s="393">
        <v>1.9747110000000001E-3</v>
      </c>
      <c r="CD21" s="399">
        <v>3.22787E-5</v>
      </c>
      <c r="CE21" s="399">
        <v>2.40835E-6</v>
      </c>
      <c r="CF21" s="399">
        <v>9.8381599999999993E-5</v>
      </c>
      <c r="CG21" s="393">
        <v>2.9145680000000002E-3</v>
      </c>
      <c r="CH21" s="394">
        <v>2.3161660000000001E-3</v>
      </c>
      <c r="CI21" s="394">
        <v>21.5090456</v>
      </c>
      <c r="CJ21" s="46">
        <v>2.073745422</v>
      </c>
      <c r="CK21" s="46">
        <v>4.8031389999999997E-3</v>
      </c>
      <c r="CL21" s="393">
        <v>1</v>
      </c>
      <c r="CM21" s="393">
        <v>45.99740414</v>
      </c>
      <c r="CN21" s="399">
        <v>4.4944300000000003E-5</v>
      </c>
      <c r="CO21" s="393">
        <v>100002.9146</v>
      </c>
      <c r="CP21" s="393">
        <v>0</v>
      </c>
      <c r="CQ21" s="393">
        <v>0</v>
      </c>
      <c r="CR21" s="393">
        <v>109.218</v>
      </c>
      <c r="CS21" s="393">
        <v>23.790329920000001</v>
      </c>
      <c r="CT21" s="393">
        <v>0.32291883399999999</v>
      </c>
      <c r="CU21" s="393"/>
      <c r="CV21" s="393"/>
      <c r="CW21" s="393"/>
      <c r="CX21" s="393"/>
      <c r="CY21" s="393"/>
      <c r="CZ21" s="393"/>
      <c r="DA21" s="393"/>
    </row>
    <row r="22" spans="1:105" x14ac:dyDescent="0.2">
      <c r="A22" s="366">
        <f>ROW()</f>
        <v>22</v>
      </c>
      <c r="B22" s="367" t="s">
        <v>50</v>
      </c>
      <c r="C22" s="368">
        <v>5</v>
      </c>
      <c r="D22" s="368">
        <v>230</v>
      </c>
      <c r="E22" s="367">
        <v>0</v>
      </c>
      <c r="F22" s="441">
        <v>230</v>
      </c>
      <c r="G22" s="369" t="s">
        <v>131</v>
      </c>
      <c r="H22" s="370">
        <v>1</v>
      </c>
      <c r="I22" s="367">
        <v>50</v>
      </c>
      <c r="J22" s="371">
        <v>10</v>
      </c>
      <c r="K22" s="372">
        <v>5</v>
      </c>
      <c r="L22" s="482">
        <v>100000</v>
      </c>
      <c r="M22" s="443" t="s">
        <v>535</v>
      </c>
      <c r="N22" s="726">
        <f t="shared" si="0"/>
        <v>1.6327966805453765E-3</v>
      </c>
      <c r="O22" s="370">
        <v>6</v>
      </c>
      <c r="P22" s="66">
        <v>123</v>
      </c>
      <c r="Q22" s="220"/>
      <c r="R22" s="393"/>
      <c r="S22" s="402">
        <v>229.99674909999999</v>
      </c>
      <c r="T22" s="395">
        <v>5.0002081399999998</v>
      </c>
      <c r="U22" s="402">
        <v>-1.2440489999999999E-3</v>
      </c>
      <c r="V22" s="395">
        <v>1</v>
      </c>
      <c r="W22" s="400">
        <v>2.9853179999999998E-3</v>
      </c>
      <c r="X22" s="400">
        <v>4.7236609999999997E-3</v>
      </c>
      <c r="Y22" s="402">
        <v>2.0819292140000001</v>
      </c>
      <c r="Z22" s="409">
        <v>100002.9853</v>
      </c>
      <c r="AA22" s="396">
        <v>42033.630370370367</v>
      </c>
      <c r="AB22" s="397">
        <v>50.000014150106601</v>
      </c>
      <c r="AC22" s="393">
        <v>0.8828125</v>
      </c>
      <c r="AD22" s="393" t="s">
        <v>134</v>
      </c>
      <c r="AE22" s="393">
        <v>0</v>
      </c>
      <c r="AF22" s="393" t="s">
        <v>133</v>
      </c>
      <c r="AG22" s="393">
        <v>0.321243385719158</v>
      </c>
      <c r="AH22" s="393">
        <v>-110.26462559933501</v>
      </c>
      <c r="AI22" s="393">
        <v>1.1330967919506401</v>
      </c>
      <c r="AJ22" s="393">
        <v>1.1334013624835499</v>
      </c>
      <c r="AK22" s="393">
        <v>107.925213163715</v>
      </c>
      <c r="AL22" s="393">
        <v>31946.516953754999</v>
      </c>
      <c r="AM22" s="393">
        <v>1150.06787109375</v>
      </c>
      <c r="AN22" s="393">
        <v>0.31932573424157001</v>
      </c>
      <c r="AO22" s="393">
        <v>-110.234105988262</v>
      </c>
      <c r="AP22" s="393">
        <v>1.1330965989520501</v>
      </c>
      <c r="AQ22" s="393">
        <v>1.13320094870926</v>
      </c>
      <c r="AR22" s="393">
        <v>107.974522117151</v>
      </c>
      <c r="AS22" s="393">
        <v>31946.2262466432</v>
      </c>
      <c r="AT22" s="393">
        <v>1150.07189941406</v>
      </c>
      <c r="AU22" s="393">
        <v>0.31755229588806999</v>
      </c>
      <c r="AV22" s="393">
        <v>-110.300533111635</v>
      </c>
      <c r="AW22" s="393">
        <v>1.1330953443874701</v>
      </c>
      <c r="AX22" s="393">
        <v>1.1331036813082001</v>
      </c>
      <c r="AY22" s="393">
        <v>107.955515138104</v>
      </c>
      <c r="AZ22" s="393">
        <v>31946.128021939599</v>
      </c>
      <c r="BA22" s="393">
        <v>1150.07507324219</v>
      </c>
      <c r="BB22" s="393">
        <v>0.32261688191425902</v>
      </c>
      <c r="BC22" s="393">
        <v>-110.335633288968</v>
      </c>
      <c r="BD22" s="393">
        <v>1.1330967482847301</v>
      </c>
      <c r="BE22" s="393">
        <v>1.13313106079201</v>
      </c>
      <c r="BF22" s="393">
        <v>107.948029378958</v>
      </c>
      <c r="BG22" s="393">
        <v>31946.138241887002</v>
      </c>
      <c r="BH22" s="393">
        <v>1150.06420898438</v>
      </c>
      <c r="BI22" s="393">
        <v>0.32012591634422699</v>
      </c>
      <c r="BJ22" s="393">
        <v>-110.223411917352</v>
      </c>
      <c r="BK22" s="393">
        <v>1.13309649098008</v>
      </c>
      <c r="BL22" s="393">
        <v>1.13286199710757</v>
      </c>
      <c r="BM22" s="393">
        <v>107.937798382653</v>
      </c>
      <c r="BN22" s="393">
        <v>31946.3732166435</v>
      </c>
      <c r="BO22" s="393">
        <v>1150.06872558594</v>
      </c>
      <c r="BP22" s="393"/>
      <c r="BQ22" s="393"/>
      <c r="BR22" s="393"/>
      <c r="BS22" s="393"/>
      <c r="BT22" s="393"/>
      <c r="BU22" s="393"/>
      <c r="BV22" s="393"/>
      <c r="BW22" s="393">
        <v>1150.0316230000001</v>
      </c>
      <c r="BX22" s="393">
        <v>2.4970349999999999E-2</v>
      </c>
      <c r="BY22" s="393">
        <v>229.99674909999999</v>
      </c>
      <c r="BZ22" s="393">
        <v>5.0002081399999998</v>
      </c>
      <c r="CA22" s="398">
        <v>-1.2440489999999999E-3</v>
      </c>
      <c r="CB22" s="400">
        <v>1.4882439999999999E-3</v>
      </c>
      <c r="CC22" s="399">
        <v>4.2841100000000002E-4</v>
      </c>
      <c r="CD22" s="399">
        <v>5.4404599999999997E-5</v>
      </c>
      <c r="CE22" s="399">
        <v>7.3797200000000004E-6</v>
      </c>
      <c r="CF22" s="399">
        <v>2.1342600000000001E-5</v>
      </c>
      <c r="CG22" s="393">
        <v>2.9853179999999998E-3</v>
      </c>
      <c r="CH22" s="394">
        <v>2.2688859999999999E-3</v>
      </c>
      <c r="CI22" s="394">
        <v>20.11699488</v>
      </c>
      <c r="CJ22" s="46">
        <v>2.0819292140000001</v>
      </c>
      <c r="CK22" s="46">
        <v>4.7236609999999997E-3</v>
      </c>
      <c r="CL22" s="393">
        <v>1</v>
      </c>
      <c r="CM22" s="393">
        <v>45.997435029999998</v>
      </c>
      <c r="CN22" s="393">
        <v>1.7191400000000001E-4</v>
      </c>
      <c r="CO22" s="393">
        <v>100002.9853</v>
      </c>
      <c r="CP22" s="393">
        <v>0</v>
      </c>
      <c r="CQ22" s="393">
        <v>0</v>
      </c>
      <c r="CR22" s="393">
        <v>109.214</v>
      </c>
      <c r="CS22" s="393">
        <v>23.780022559999999</v>
      </c>
      <c r="CT22" s="393">
        <v>0.32291925399999999</v>
      </c>
      <c r="CU22" s="393"/>
      <c r="CV22" s="393"/>
      <c r="CW22" s="393"/>
      <c r="CX22" s="393"/>
      <c r="CY22" s="393"/>
      <c r="CZ22" s="393"/>
      <c r="DA22" s="393"/>
    </row>
    <row r="23" spans="1:105" x14ac:dyDescent="0.2">
      <c r="A23" s="366">
        <f>ROW()</f>
        <v>23</v>
      </c>
      <c r="B23" s="367" t="s">
        <v>50</v>
      </c>
      <c r="C23" s="368">
        <v>5</v>
      </c>
      <c r="D23" s="368">
        <v>230</v>
      </c>
      <c r="E23" s="367">
        <v>0</v>
      </c>
      <c r="F23" s="441">
        <v>230</v>
      </c>
      <c r="G23" s="369" t="s">
        <v>131</v>
      </c>
      <c r="H23" s="370">
        <v>1</v>
      </c>
      <c r="I23" s="367">
        <v>50</v>
      </c>
      <c r="J23" s="371">
        <v>10</v>
      </c>
      <c r="K23" s="372">
        <v>5</v>
      </c>
      <c r="L23" s="482">
        <v>100000</v>
      </c>
      <c r="M23" s="443" t="s">
        <v>535</v>
      </c>
      <c r="N23" s="726">
        <f t="shared" si="0"/>
        <v>1.6327966805453765E-3</v>
      </c>
      <c r="O23" s="370">
        <v>6</v>
      </c>
      <c r="P23" s="66">
        <v>123</v>
      </c>
      <c r="Q23" s="220"/>
      <c r="R23" s="393"/>
      <c r="S23" s="402">
        <v>229.99690279999999</v>
      </c>
      <c r="T23" s="395">
        <v>5.0002136479999999</v>
      </c>
      <c r="U23" s="402">
        <v>-1.2190720000000001E-3</v>
      </c>
      <c r="V23" s="395">
        <v>1</v>
      </c>
      <c r="W23" s="400">
        <v>2.5810759999999999E-3</v>
      </c>
      <c r="X23" s="400">
        <v>4.7098360000000002E-3</v>
      </c>
      <c r="Y23" s="402">
        <v>2.0837570030000001</v>
      </c>
      <c r="Z23" s="409">
        <v>100002.5811</v>
      </c>
      <c r="AA23" s="396">
        <v>42033.633275462962</v>
      </c>
      <c r="AB23" s="397">
        <v>50.000768885792802</v>
      </c>
      <c r="AC23" s="393">
        <v>0.8828125</v>
      </c>
      <c r="AD23" s="393" t="s">
        <v>134</v>
      </c>
      <c r="AE23" s="393">
        <v>0</v>
      </c>
      <c r="AF23" s="393" t="s">
        <v>133</v>
      </c>
      <c r="AG23" s="393">
        <v>0.32041867081186598</v>
      </c>
      <c r="AH23" s="393">
        <v>-110.173305117072</v>
      </c>
      <c r="AI23" s="393">
        <v>1.1330974766319699</v>
      </c>
      <c r="AJ23" s="393">
        <v>1.1328394897682801</v>
      </c>
      <c r="AK23" s="393">
        <v>107.956345174636</v>
      </c>
      <c r="AL23" s="393">
        <v>31946.228760488801</v>
      </c>
      <c r="AM23" s="393">
        <v>1150.07165527344</v>
      </c>
      <c r="AN23" s="393">
        <v>0.31844913158879001</v>
      </c>
      <c r="AO23" s="393">
        <v>-110.88531900005</v>
      </c>
      <c r="AP23" s="393">
        <v>1.13309765368246</v>
      </c>
      <c r="AQ23" s="393">
        <v>1.13245741285642</v>
      </c>
      <c r="AR23" s="393">
        <v>107.957092085158</v>
      </c>
      <c r="AS23" s="393">
        <v>31946.178200173799</v>
      </c>
      <c r="AT23" s="393">
        <v>1150.06677246094</v>
      </c>
      <c r="AU23" s="393">
        <v>0.31933700734606402</v>
      </c>
      <c r="AV23" s="393">
        <v>-109.843449078459</v>
      </c>
      <c r="AW23" s="393">
        <v>1.1330961643175499</v>
      </c>
      <c r="AX23" s="393">
        <v>1.13336808411365</v>
      </c>
      <c r="AY23" s="393">
        <v>107.954759310035</v>
      </c>
      <c r="AZ23" s="393">
        <v>31946.345654733399</v>
      </c>
      <c r="BA23" s="393">
        <v>1150.0732421875</v>
      </c>
      <c r="BB23" s="393">
        <v>0.319277000918472</v>
      </c>
      <c r="BC23" s="393">
        <v>-110.476340151237</v>
      </c>
      <c r="BD23" s="393">
        <v>1.1330973197835801</v>
      </c>
      <c r="BE23" s="393">
        <v>1.1338076632537999</v>
      </c>
      <c r="BF23" s="393">
        <v>107.93638208466299</v>
      </c>
      <c r="BG23" s="393">
        <v>31946.144987116699</v>
      </c>
      <c r="BH23" s="393">
        <v>1150.07202148438</v>
      </c>
      <c r="BI23" s="393">
        <v>0.32249286287029399</v>
      </c>
      <c r="BJ23" s="393">
        <v>-110.20432345336501</v>
      </c>
      <c r="BK23" s="393">
        <v>1.13309714822515</v>
      </c>
      <c r="BL23" s="393">
        <v>1.1330213865518</v>
      </c>
      <c r="BM23" s="393">
        <v>107.94303993879601</v>
      </c>
      <c r="BN23" s="393">
        <v>31946.122132159901</v>
      </c>
      <c r="BO23" s="393">
        <v>1150.06762695312</v>
      </c>
      <c r="BP23" s="393"/>
      <c r="BQ23" s="393"/>
      <c r="BR23" s="393"/>
      <c r="BS23" s="393"/>
      <c r="BT23" s="393"/>
      <c r="BU23" s="393"/>
      <c r="BV23" s="393"/>
      <c r="BW23" s="393">
        <v>1150.0336589999999</v>
      </c>
      <c r="BX23" s="393">
        <v>2.4469059000000001E-2</v>
      </c>
      <c r="BY23" s="393">
        <v>229.99690279999999</v>
      </c>
      <c r="BZ23" s="393">
        <v>5.0002136479999999</v>
      </c>
      <c r="CA23" s="398">
        <v>-1.2190720000000001E-3</v>
      </c>
      <c r="CB23" s="400">
        <v>1.913868E-3</v>
      </c>
      <c r="CC23" s="393">
        <v>2.0829249999999998E-3</v>
      </c>
      <c r="CD23" s="399">
        <v>5.2995499999999998E-5</v>
      </c>
      <c r="CE23" s="399">
        <v>7.8780100000000005E-6</v>
      </c>
      <c r="CF23" s="393">
        <v>1.03775E-4</v>
      </c>
      <c r="CG23" s="393">
        <v>2.5810759999999999E-3</v>
      </c>
      <c r="CH23" s="394">
        <v>2.2602619999999999E-3</v>
      </c>
      <c r="CI23" s="394">
        <v>19.831362970000001</v>
      </c>
      <c r="CJ23" s="46">
        <v>2.0837570030000001</v>
      </c>
      <c r="CK23" s="46">
        <v>4.7098360000000002E-3</v>
      </c>
      <c r="CL23" s="393">
        <v>1</v>
      </c>
      <c r="CM23" s="393">
        <v>45.997415119999999</v>
      </c>
      <c r="CN23" s="393">
        <v>1.56026E-4</v>
      </c>
      <c r="CO23" s="393">
        <v>100002.5811</v>
      </c>
      <c r="CP23" s="393">
        <v>0</v>
      </c>
      <c r="CQ23" s="393">
        <v>0</v>
      </c>
      <c r="CR23" s="393">
        <v>109.212</v>
      </c>
      <c r="CS23" s="393">
        <v>23.774868900000001</v>
      </c>
      <c r="CT23" s="393">
        <v>0.32291946300000002</v>
      </c>
      <c r="CU23" s="393"/>
      <c r="CV23" s="393"/>
      <c r="CW23" s="393"/>
      <c r="CX23" s="393"/>
      <c r="CY23" s="393"/>
      <c r="CZ23" s="393"/>
      <c r="DA23" s="393"/>
    </row>
    <row r="24" spans="1:105" x14ac:dyDescent="0.2">
      <c r="A24" s="366">
        <f>ROW()</f>
        <v>24</v>
      </c>
      <c r="B24" s="367" t="s">
        <v>50</v>
      </c>
      <c r="C24" s="368">
        <v>5</v>
      </c>
      <c r="D24" s="368">
        <v>230</v>
      </c>
      <c r="E24" s="367">
        <v>-60</v>
      </c>
      <c r="F24" s="441">
        <v>230</v>
      </c>
      <c r="G24" s="369" t="s">
        <v>131</v>
      </c>
      <c r="H24" s="370">
        <v>1</v>
      </c>
      <c r="I24" s="367">
        <v>50</v>
      </c>
      <c r="J24" s="371">
        <v>10</v>
      </c>
      <c r="K24" s="372">
        <v>5</v>
      </c>
      <c r="L24" s="482">
        <v>100000</v>
      </c>
      <c r="M24" s="443" t="s">
        <v>535</v>
      </c>
      <c r="N24" s="726">
        <f t="shared" si="0"/>
        <v>2.5818646362658127E-3</v>
      </c>
      <c r="O24" s="370">
        <v>6</v>
      </c>
      <c r="P24" s="66">
        <v>123</v>
      </c>
      <c r="Q24" s="220"/>
      <c r="R24" s="393"/>
      <c r="S24" s="402">
        <v>229.9967316</v>
      </c>
      <c r="T24" s="395">
        <v>5.0000328969999996</v>
      </c>
      <c r="U24" s="402">
        <v>-59.998596730000003</v>
      </c>
      <c r="V24" s="395">
        <v>0.50002120999999999</v>
      </c>
      <c r="W24" s="400">
        <v>-4.5711279999999998E-3</v>
      </c>
      <c r="X24" s="400">
        <v>8.5309749999999997E-3</v>
      </c>
      <c r="Y24" s="402">
        <v>2.051521948</v>
      </c>
      <c r="Z24" s="409">
        <v>99995.428870000003</v>
      </c>
      <c r="AA24" s="396">
        <v>42033.636180555557</v>
      </c>
      <c r="AB24" s="397">
        <v>49.9999150993604</v>
      </c>
      <c r="AC24" s="393">
        <v>0.44140625</v>
      </c>
      <c r="AD24" s="393" t="s">
        <v>134</v>
      </c>
      <c r="AE24" s="393">
        <v>0.7529296875</v>
      </c>
      <c r="AF24" s="393" t="s">
        <v>133</v>
      </c>
      <c r="AG24" s="393">
        <v>0.223856819837841</v>
      </c>
      <c r="AH24" s="393">
        <v>-18.5739049731854</v>
      </c>
      <c r="AI24" s="393">
        <v>1.1330962157563</v>
      </c>
      <c r="AJ24" s="393">
        <v>1.13336583427494</v>
      </c>
      <c r="AK24" s="393">
        <v>107.94571274937201</v>
      </c>
      <c r="AL24" s="393">
        <v>15972.2699864799</v>
      </c>
      <c r="AM24" s="393">
        <v>574.98815917968795</v>
      </c>
      <c r="AN24" s="393">
        <v>0.22236608975399</v>
      </c>
      <c r="AO24" s="393">
        <v>-19.1530552743485</v>
      </c>
      <c r="AP24" s="393">
        <v>1.1330966505711999</v>
      </c>
      <c r="AQ24" s="393">
        <v>1.1334714663062999</v>
      </c>
      <c r="AR24" s="393">
        <v>107.931267246611</v>
      </c>
      <c r="AS24" s="393">
        <v>15971.832365661399</v>
      </c>
      <c r="AT24" s="393">
        <v>574.98504638671898</v>
      </c>
      <c r="AU24" s="393">
        <v>0.220786948807488</v>
      </c>
      <c r="AV24" s="393">
        <v>-18.337941403955099</v>
      </c>
      <c r="AW24" s="393">
        <v>1.1330959188646199</v>
      </c>
      <c r="AX24" s="393">
        <v>1.13331160565653</v>
      </c>
      <c r="AY24" s="393">
        <v>107.958559165088</v>
      </c>
      <c r="AZ24" s="393">
        <v>15972.271277154399</v>
      </c>
      <c r="BA24" s="393">
        <v>574.97912597656205</v>
      </c>
      <c r="BB24" s="393">
        <v>0.22317732939756499</v>
      </c>
      <c r="BC24" s="393">
        <v>-19.1858898088317</v>
      </c>
      <c r="BD24" s="393">
        <v>1.13309533043778</v>
      </c>
      <c r="BE24" s="393">
        <v>1.13312493211177</v>
      </c>
      <c r="BF24" s="393">
        <v>107.93648834112</v>
      </c>
      <c r="BG24" s="393">
        <v>15971.9935694619</v>
      </c>
      <c r="BH24" s="393">
        <v>574.98583984375</v>
      </c>
      <c r="BI24" s="393">
        <v>0.22190484044855399</v>
      </c>
      <c r="BJ24" s="393">
        <v>-18.3998100066893</v>
      </c>
      <c r="BK24" s="393">
        <v>1.13309742991505</v>
      </c>
      <c r="BL24" s="393">
        <v>1.13313735454427</v>
      </c>
      <c r="BM24" s="393">
        <v>107.958527965306</v>
      </c>
      <c r="BN24" s="393">
        <v>15971.8720039573</v>
      </c>
      <c r="BO24" s="393">
        <v>574.98162841796898</v>
      </c>
      <c r="BP24" s="393"/>
      <c r="BQ24" s="393"/>
      <c r="BR24" s="393"/>
      <c r="BS24" s="393"/>
      <c r="BT24" s="393"/>
      <c r="BU24" s="393"/>
      <c r="BV24" s="393"/>
      <c r="BW24" s="393">
        <v>575.02000720000001</v>
      </c>
      <c r="BX24" s="393">
        <v>995.90753729999994</v>
      </c>
      <c r="BY24" s="393">
        <v>229.9967316</v>
      </c>
      <c r="BZ24" s="393">
        <v>5.0000328969999996</v>
      </c>
      <c r="CA24" s="398">
        <v>-59.998596730000003</v>
      </c>
      <c r="CB24" s="400">
        <v>1.80518E-3</v>
      </c>
      <c r="CC24" s="399">
        <v>1.180305E-3</v>
      </c>
      <c r="CD24" s="399">
        <v>7.1631000000000006E-5</v>
      </c>
      <c r="CE24" s="399">
        <v>4.80481E-6</v>
      </c>
      <c r="CF24" s="399">
        <v>8.5314200000000004E-5</v>
      </c>
      <c r="CG24" s="393">
        <v>-4.5711279999999998E-3</v>
      </c>
      <c r="CH24" s="394">
        <v>4.1583640000000003E-3</v>
      </c>
      <c r="CI24" s="394">
        <v>26.551411980000001</v>
      </c>
      <c r="CJ24" s="46">
        <v>2.051521948</v>
      </c>
      <c r="CK24" s="46">
        <v>8.5309749999999997E-3</v>
      </c>
      <c r="CL24" s="393">
        <v>0.50002120999999999</v>
      </c>
      <c r="CM24" s="393">
        <v>45.99904368</v>
      </c>
      <c r="CN24" s="399">
        <v>8.8509499999999997E-5</v>
      </c>
      <c r="CO24" s="393">
        <v>99995.428870000003</v>
      </c>
      <c r="CP24" s="393">
        <v>0</v>
      </c>
      <c r="CQ24" s="393">
        <v>0</v>
      </c>
      <c r="CR24" s="393">
        <v>109.21</v>
      </c>
      <c r="CS24" s="393">
        <v>23.76971524</v>
      </c>
      <c r="CT24" s="393">
        <v>0.32291967300000002</v>
      </c>
      <c r="CU24" s="393"/>
      <c r="CV24" s="393"/>
      <c r="CW24" s="393"/>
      <c r="CX24" s="393"/>
      <c r="CY24" s="393"/>
      <c r="CZ24" s="393"/>
      <c r="DA24" s="393"/>
    </row>
    <row r="25" spans="1:105" x14ac:dyDescent="0.2">
      <c r="A25" s="366">
        <f>ROW()</f>
        <v>25</v>
      </c>
      <c r="B25" s="367" t="s">
        <v>50</v>
      </c>
      <c r="C25" s="368">
        <v>5</v>
      </c>
      <c r="D25" s="368">
        <v>230</v>
      </c>
      <c r="E25" s="367">
        <v>-60</v>
      </c>
      <c r="F25" s="441">
        <v>230</v>
      </c>
      <c r="G25" s="369" t="s">
        <v>131</v>
      </c>
      <c r="H25" s="370">
        <v>1</v>
      </c>
      <c r="I25" s="367">
        <v>50</v>
      </c>
      <c r="J25" s="371">
        <v>10</v>
      </c>
      <c r="K25" s="372">
        <v>5</v>
      </c>
      <c r="L25" s="482">
        <v>100000</v>
      </c>
      <c r="M25" s="443" t="s">
        <v>535</v>
      </c>
      <c r="N25" s="726">
        <f t="shared" si="0"/>
        <v>2.5818646362658127E-3</v>
      </c>
      <c r="O25" s="370">
        <v>6</v>
      </c>
      <c r="P25" s="66">
        <v>123</v>
      </c>
      <c r="Q25" s="220"/>
      <c r="R25" s="393"/>
      <c r="S25" s="402">
        <v>229.996814</v>
      </c>
      <c r="T25" s="395">
        <v>5.0000599320000001</v>
      </c>
      <c r="U25" s="402">
        <v>-59.998766209999999</v>
      </c>
      <c r="V25" s="395">
        <v>0.50001864900000004</v>
      </c>
      <c r="W25" s="400">
        <v>-4.2056300000000001E-3</v>
      </c>
      <c r="X25" s="400">
        <v>8.6097610000000005E-3</v>
      </c>
      <c r="Y25" s="402">
        <v>2.0483293300000001</v>
      </c>
      <c r="Z25" s="409">
        <v>99995.794370000003</v>
      </c>
      <c r="AA25" s="396">
        <v>42033.639097222222</v>
      </c>
      <c r="AB25" s="397">
        <v>50.000226421705896</v>
      </c>
      <c r="AC25" s="393">
        <v>0.44140625</v>
      </c>
      <c r="AD25" s="393" t="s">
        <v>134</v>
      </c>
      <c r="AE25" s="393">
        <v>0.7529296875</v>
      </c>
      <c r="AF25" s="393" t="s">
        <v>133</v>
      </c>
      <c r="AG25" s="393">
        <v>0.221135949430177</v>
      </c>
      <c r="AH25" s="393">
        <v>-19.237006849747399</v>
      </c>
      <c r="AI25" s="393">
        <v>1.13309615673385</v>
      </c>
      <c r="AJ25" s="393">
        <v>1.13321284331653</v>
      </c>
      <c r="AK25" s="393">
        <v>107.951756179909</v>
      </c>
      <c r="AL25" s="393">
        <v>15972.067854904801</v>
      </c>
      <c r="AM25" s="393">
        <v>574.98345947265602</v>
      </c>
      <c r="AN25" s="393">
        <v>0.22317900382479999</v>
      </c>
      <c r="AO25" s="393">
        <v>-18.343964427320302</v>
      </c>
      <c r="AP25" s="393">
        <v>1.13309733477973</v>
      </c>
      <c r="AQ25" s="393">
        <v>1.1333115047749101</v>
      </c>
      <c r="AR25" s="393">
        <v>107.95931427964</v>
      </c>
      <c r="AS25" s="393">
        <v>15971.889129196699</v>
      </c>
      <c r="AT25" s="393">
        <v>574.98272705078102</v>
      </c>
      <c r="AU25" s="393">
        <v>0.22171787209523799</v>
      </c>
      <c r="AV25" s="393">
        <v>-18.944237475006702</v>
      </c>
      <c r="AW25" s="393">
        <v>1.1330972368654899</v>
      </c>
      <c r="AX25" s="393">
        <v>1.1331622120996701</v>
      </c>
      <c r="AY25" s="393">
        <v>107.954485603056</v>
      </c>
      <c r="AZ25" s="393">
        <v>15971.8295862534</v>
      </c>
      <c r="BA25" s="393">
        <v>574.98815917968795</v>
      </c>
      <c r="BB25" s="393">
        <v>0.22386488112053801</v>
      </c>
      <c r="BC25" s="393">
        <v>-18.4770821873214</v>
      </c>
      <c r="BD25" s="393">
        <v>1.1330963792148201</v>
      </c>
      <c r="BE25" s="393">
        <v>1.1332610143839501</v>
      </c>
      <c r="BF25" s="393">
        <v>107.95654920598901</v>
      </c>
      <c r="BG25" s="393">
        <v>15972.257939176099</v>
      </c>
      <c r="BH25" s="393">
        <v>574.98101806640602</v>
      </c>
      <c r="BI25" s="393">
        <v>0.22406613439499701</v>
      </c>
      <c r="BJ25" s="393">
        <v>-18.6040664373858</v>
      </c>
      <c r="BK25" s="393">
        <v>1.1330964658903699</v>
      </c>
      <c r="BL25" s="393">
        <v>1.13333760969869</v>
      </c>
      <c r="BM25" s="393">
        <v>107.92771473915199</v>
      </c>
      <c r="BN25" s="393">
        <v>15972.5378294524</v>
      </c>
      <c r="BO25" s="393">
        <v>574.98571777343795</v>
      </c>
      <c r="BP25" s="393"/>
      <c r="BQ25" s="393"/>
      <c r="BR25" s="393"/>
      <c r="BS25" s="393"/>
      <c r="BT25" s="393"/>
      <c r="BU25" s="393"/>
      <c r="BV25" s="393"/>
      <c r="BW25" s="393">
        <v>575.02037610000002</v>
      </c>
      <c r="BX25" s="393">
        <v>995.91497949999996</v>
      </c>
      <c r="BY25" s="393">
        <v>229.996814</v>
      </c>
      <c r="BZ25" s="393">
        <v>5.0000599320000001</v>
      </c>
      <c r="CA25" s="398">
        <v>-59.998766209999999</v>
      </c>
      <c r="CB25" s="400">
        <v>1.3974339999999999E-3</v>
      </c>
      <c r="CC25" s="399">
        <v>1.546296E-3</v>
      </c>
      <c r="CD25" s="399">
        <v>4.8583099999999999E-5</v>
      </c>
      <c r="CE25" s="399">
        <v>8.3549000000000003E-6</v>
      </c>
      <c r="CF25" s="399">
        <v>2.8847700000000002E-5</v>
      </c>
      <c r="CG25" s="393">
        <v>-4.2056300000000001E-3</v>
      </c>
      <c r="CH25" s="394">
        <v>4.2033089999999997E-3</v>
      </c>
      <c r="CI25" s="394">
        <v>27.4850402</v>
      </c>
      <c r="CJ25" s="46">
        <v>2.0483293300000001</v>
      </c>
      <c r="CK25" s="46">
        <v>8.6097610000000005E-3</v>
      </c>
      <c r="CL25" s="393">
        <v>0.50001864900000004</v>
      </c>
      <c r="CM25" s="393">
        <v>45.998811439999997</v>
      </c>
      <c r="CN25" s="393">
        <v>1.67188E-4</v>
      </c>
      <c r="CO25" s="393">
        <v>99995.794370000003</v>
      </c>
      <c r="CP25" s="393">
        <v>0</v>
      </c>
      <c r="CQ25" s="393">
        <v>0</v>
      </c>
      <c r="CR25" s="393">
        <v>109.211</v>
      </c>
      <c r="CS25" s="393">
        <v>23.772292069999999</v>
      </c>
      <c r="CT25" s="393">
        <v>0.32291956799999999</v>
      </c>
      <c r="CU25" s="393"/>
      <c r="CV25" s="393"/>
      <c r="CW25" s="393"/>
      <c r="CX25" s="393"/>
      <c r="CY25" s="393"/>
      <c r="CZ25" s="393"/>
      <c r="DA25" s="393"/>
    </row>
    <row r="26" spans="1:105" x14ac:dyDescent="0.2">
      <c r="A26" s="366">
        <f>ROW()</f>
        <v>26</v>
      </c>
      <c r="B26" s="367" t="s">
        <v>50</v>
      </c>
      <c r="C26" s="368">
        <v>5</v>
      </c>
      <c r="D26" s="368">
        <v>230</v>
      </c>
      <c r="E26" s="367">
        <v>-60</v>
      </c>
      <c r="F26" s="441">
        <v>230</v>
      </c>
      <c r="G26" s="369" t="s">
        <v>131</v>
      </c>
      <c r="H26" s="370">
        <v>1</v>
      </c>
      <c r="I26" s="367">
        <v>50</v>
      </c>
      <c r="J26" s="371">
        <v>10</v>
      </c>
      <c r="K26" s="372">
        <v>5</v>
      </c>
      <c r="L26" s="482">
        <v>100000</v>
      </c>
      <c r="M26" s="443" t="s">
        <v>535</v>
      </c>
      <c r="N26" s="726">
        <f t="shared" si="0"/>
        <v>2.5818646362658127E-3</v>
      </c>
      <c r="O26" s="370">
        <v>6</v>
      </c>
      <c r="P26" s="66">
        <v>123</v>
      </c>
      <c r="Q26" s="220"/>
      <c r="R26" s="393"/>
      <c r="S26" s="402">
        <v>229.99678700000001</v>
      </c>
      <c r="T26" s="395">
        <v>5.000049958</v>
      </c>
      <c r="U26" s="402">
        <v>-59.998816920000003</v>
      </c>
      <c r="V26" s="395">
        <v>0.50001788199999997</v>
      </c>
      <c r="W26" s="400">
        <v>-3.9859020000000004E-3</v>
      </c>
      <c r="X26" s="400">
        <v>8.5568039999999995E-3</v>
      </c>
      <c r="Y26" s="402">
        <v>2.0503804790000002</v>
      </c>
      <c r="Z26" s="409">
        <v>99996.0141</v>
      </c>
      <c r="AA26" s="396">
        <v>42033.642002314817</v>
      </c>
      <c r="AB26" s="397">
        <v>50.0001179308885</v>
      </c>
      <c r="AC26" s="393">
        <v>0.44140625</v>
      </c>
      <c r="AD26" s="393" t="s">
        <v>134</v>
      </c>
      <c r="AE26" s="393">
        <v>0.7529296875</v>
      </c>
      <c r="AF26" s="393" t="s">
        <v>133</v>
      </c>
      <c r="AG26" s="393">
        <v>0.223447310799126</v>
      </c>
      <c r="AH26" s="393">
        <v>-18.258030961231601</v>
      </c>
      <c r="AI26" s="393">
        <v>1.13309567223093</v>
      </c>
      <c r="AJ26" s="393">
        <v>1.1332597524489001</v>
      </c>
      <c r="AK26" s="393">
        <v>107.96101673232</v>
      </c>
      <c r="AL26" s="393">
        <v>15972.098419031299</v>
      </c>
      <c r="AM26" s="393">
        <v>574.98028564453102</v>
      </c>
      <c r="AN26" s="393">
        <v>0.22453852809055999</v>
      </c>
      <c r="AO26" s="393">
        <v>-19.396021520483401</v>
      </c>
      <c r="AP26" s="393">
        <v>1.13309668300672</v>
      </c>
      <c r="AQ26" s="393">
        <v>1.13276378535324</v>
      </c>
      <c r="AR26" s="393">
        <v>107.94191954396599</v>
      </c>
      <c r="AS26" s="393">
        <v>15971.7823851332</v>
      </c>
      <c r="AT26" s="393">
        <v>574.98358154296898</v>
      </c>
      <c r="AU26" s="393">
        <v>0.223994092296669</v>
      </c>
      <c r="AV26" s="393">
        <v>-19.923093016257699</v>
      </c>
      <c r="AW26" s="393">
        <v>1.1330968559922401</v>
      </c>
      <c r="AX26" s="393">
        <v>1.13275316890649</v>
      </c>
      <c r="AY26" s="393">
        <v>107.949540570753</v>
      </c>
      <c r="AZ26" s="393">
        <v>15972.234070845599</v>
      </c>
      <c r="BA26" s="393">
        <v>574.98376464843795</v>
      </c>
      <c r="BB26" s="393">
        <v>0.221316261583276</v>
      </c>
      <c r="BC26" s="393">
        <v>-18.335290214747399</v>
      </c>
      <c r="BD26" s="393">
        <v>1.13309795242609</v>
      </c>
      <c r="BE26" s="393">
        <v>1.13302212866555</v>
      </c>
      <c r="BF26" s="393">
        <v>107.93404936331299</v>
      </c>
      <c r="BG26" s="393">
        <v>15972.376272342701</v>
      </c>
      <c r="BH26" s="393">
        <v>574.98583984375</v>
      </c>
      <c r="BI26" s="393">
        <v>0.22300768162389001</v>
      </c>
      <c r="BJ26" s="393">
        <v>-18.7464482476753</v>
      </c>
      <c r="BK26" s="393">
        <v>1.13309574557685</v>
      </c>
      <c r="BL26" s="393">
        <v>1.1336518824275399</v>
      </c>
      <c r="BM26" s="393">
        <v>107.934699749016</v>
      </c>
      <c r="BN26" s="393">
        <v>15971.975607672401</v>
      </c>
      <c r="BO26" s="393">
        <v>574.98291015625</v>
      </c>
      <c r="BP26" s="393"/>
      <c r="BQ26" s="393"/>
      <c r="BR26" s="393"/>
      <c r="BS26" s="393"/>
      <c r="BT26" s="393"/>
      <c r="BU26" s="393"/>
      <c r="BV26" s="393"/>
      <c r="BW26" s="393">
        <v>575.01828030000001</v>
      </c>
      <c r="BX26" s="393">
        <v>995.91338499999995</v>
      </c>
      <c r="BY26" s="393">
        <v>229.99678700000001</v>
      </c>
      <c r="BZ26" s="393">
        <v>5.000049958</v>
      </c>
      <c r="CA26" s="398">
        <v>-59.998816920000003</v>
      </c>
      <c r="CB26" s="400">
        <v>2.9253069999999998E-3</v>
      </c>
      <c r="CC26" s="393">
        <v>7.8916100000000003E-4</v>
      </c>
      <c r="CD26" s="399">
        <v>8.4768699999999994E-5</v>
      </c>
      <c r="CE26" s="399">
        <v>4.8096200000000002E-6</v>
      </c>
      <c r="CF26" s="393">
        <v>1.40748E-4</v>
      </c>
      <c r="CG26" s="393">
        <v>-3.9859020000000004E-3</v>
      </c>
      <c r="CH26" s="394">
        <v>4.1732760000000001E-3</v>
      </c>
      <c r="CI26" s="394">
        <v>26.877616849999999</v>
      </c>
      <c r="CJ26" s="46">
        <v>2.0503804790000002</v>
      </c>
      <c r="CK26" s="46">
        <v>8.5568039999999995E-3</v>
      </c>
      <c r="CL26" s="393">
        <v>0.50001788199999997</v>
      </c>
      <c r="CM26" s="393">
        <v>45.998897800000002</v>
      </c>
      <c r="CN26" s="393">
        <v>1.13397E-4</v>
      </c>
      <c r="CO26" s="393">
        <v>99996.0141</v>
      </c>
      <c r="CP26" s="393">
        <v>0</v>
      </c>
      <c r="CQ26" s="393">
        <v>0</v>
      </c>
      <c r="CR26" s="393">
        <v>109.211</v>
      </c>
      <c r="CS26" s="393">
        <v>23.772292069999999</v>
      </c>
      <c r="CT26" s="393">
        <v>0.32291956799999999</v>
      </c>
      <c r="CU26" s="393"/>
      <c r="CV26" s="393"/>
      <c r="CW26" s="393"/>
      <c r="CX26" s="393"/>
      <c r="CY26" s="393"/>
      <c r="CZ26" s="393"/>
      <c r="DA26" s="393"/>
    </row>
    <row r="27" spans="1:105" x14ac:dyDescent="0.2">
      <c r="A27" s="366">
        <f>ROW()</f>
        <v>27</v>
      </c>
      <c r="B27" s="367" t="s">
        <v>50</v>
      </c>
      <c r="C27" s="368">
        <v>5</v>
      </c>
      <c r="D27" s="368">
        <v>230</v>
      </c>
      <c r="E27" s="367">
        <v>36.869999999999997</v>
      </c>
      <c r="F27" s="441">
        <v>230</v>
      </c>
      <c r="G27" s="369" t="s">
        <v>131</v>
      </c>
      <c r="H27" s="370">
        <v>1</v>
      </c>
      <c r="I27" s="367">
        <v>50</v>
      </c>
      <c r="J27" s="371">
        <v>10</v>
      </c>
      <c r="K27" s="372">
        <v>5</v>
      </c>
      <c r="L27" s="482">
        <v>100000</v>
      </c>
      <c r="M27" s="443" t="s">
        <v>535</v>
      </c>
      <c r="N27" s="726">
        <f t="shared" si="0"/>
        <v>1.8650819986527408E-3</v>
      </c>
      <c r="O27" s="370">
        <v>6</v>
      </c>
      <c r="P27" s="66">
        <v>123</v>
      </c>
      <c r="Q27" s="220"/>
      <c r="R27" s="393"/>
      <c r="S27" s="402">
        <v>229.99678069999999</v>
      </c>
      <c r="T27" s="395">
        <v>5.0000233060000001</v>
      </c>
      <c r="U27" s="402">
        <v>36.867104099999999</v>
      </c>
      <c r="V27" s="395">
        <v>0.80002925300000005</v>
      </c>
      <c r="W27" s="400">
        <v>6.7580100000000001E-3</v>
      </c>
      <c r="X27" s="400">
        <v>5.7235669999999997E-3</v>
      </c>
      <c r="Y27" s="402">
        <v>2.0532781519999999</v>
      </c>
      <c r="Z27" s="409">
        <v>100006.758</v>
      </c>
      <c r="AA27" s="396">
        <v>42033.644907407404</v>
      </c>
      <c r="AB27" s="397">
        <v>49.999919819395899</v>
      </c>
      <c r="AC27" s="393">
        <v>0.7060546875</v>
      </c>
      <c r="AD27" s="393" t="s">
        <v>134</v>
      </c>
      <c r="AE27" s="393">
        <v>0.521484375</v>
      </c>
      <c r="AF27" s="393" t="s">
        <v>135</v>
      </c>
      <c r="AG27" s="393">
        <v>0.30679608394980401</v>
      </c>
      <c r="AH27" s="393">
        <v>-141.719094924497</v>
      </c>
      <c r="AI27" s="393">
        <v>1.1330970234687101</v>
      </c>
      <c r="AJ27" s="393">
        <v>1.1330006630909799</v>
      </c>
      <c r="AK27" s="393">
        <v>107.945514364019</v>
      </c>
      <c r="AL27" s="393">
        <v>25557.740133834599</v>
      </c>
      <c r="AM27" s="393">
        <v>920.08599853515602</v>
      </c>
      <c r="AN27" s="393">
        <v>0.30762053419816798</v>
      </c>
      <c r="AO27" s="393">
        <v>-142.69402358874501</v>
      </c>
      <c r="AP27" s="393">
        <v>1.1330972796782199</v>
      </c>
      <c r="AQ27" s="393">
        <v>1.13316097846266</v>
      </c>
      <c r="AR27" s="393">
        <v>107.949106157804</v>
      </c>
      <c r="AS27" s="393">
        <v>25557.995477332399</v>
      </c>
      <c r="AT27" s="393">
        <v>920.08538818359398</v>
      </c>
      <c r="AU27" s="393">
        <v>0.307214668763166</v>
      </c>
      <c r="AV27" s="393">
        <v>-141.97028332838599</v>
      </c>
      <c r="AW27" s="393">
        <v>1.1330965469158101</v>
      </c>
      <c r="AX27" s="393">
        <v>1.1331348954456</v>
      </c>
      <c r="AY27" s="393">
        <v>107.954582328041</v>
      </c>
      <c r="AZ27" s="393">
        <v>25557.701352784399</v>
      </c>
      <c r="BA27" s="393">
        <v>920.08929443359398</v>
      </c>
      <c r="BB27" s="393">
        <v>0.31078783677799199</v>
      </c>
      <c r="BC27" s="393">
        <v>-142.12014192979601</v>
      </c>
      <c r="BD27" s="393">
        <v>1.1330950865929399</v>
      </c>
      <c r="BE27" s="393">
        <v>1.13401961157339</v>
      </c>
      <c r="BF27" s="393">
        <v>107.962417425597</v>
      </c>
      <c r="BG27" s="393">
        <v>25557.794329234301</v>
      </c>
      <c r="BH27" s="393">
        <v>920.08728027343795</v>
      </c>
      <c r="BI27" s="393">
        <v>0.30617572329359899</v>
      </c>
      <c r="BJ27" s="393">
        <v>-142.12214504917799</v>
      </c>
      <c r="BK27" s="393">
        <v>1.13309681659905</v>
      </c>
      <c r="BL27" s="393">
        <v>1.13345093076201</v>
      </c>
      <c r="BM27" s="393">
        <v>107.936573426975</v>
      </c>
      <c r="BN27" s="393">
        <v>25558.662060912298</v>
      </c>
      <c r="BO27" s="393">
        <v>920.08605957031205</v>
      </c>
      <c r="BP27" s="393"/>
      <c r="BQ27" s="393"/>
      <c r="BR27" s="393"/>
      <c r="BS27" s="393"/>
      <c r="BT27" s="393"/>
      <c r="BU27" s="393"/>
      <c r="BV27" s="393"/>
      <c r="BW27" s="393">
        <v>920.02505680000002</v>
      </c>
      <c r="BX27" s="393">
        <v>689.9487057</v>
      </c>
      <c r="BY27" s="393">
        <v>229.99678069999999</v>
      </c>
      <c r="BZ27" s="393">
        <v>5.0000233060000001</v>
      </c>
      <c r="CA27" s="398">
        <v>36.867104099999999</v>
      </c>
      <c r="CB27" s="400">
        <v>2.262493E-3</v>
      </c>
      <c r="CC27" s="399">
        <v>1.9230919999999999E-3</v>
      </c>
      <c r="CD27" s="399">
        <v>7.8196599999999996E-5</v>
      </c>
      <c r="CE27" s="399">
        <v>8.9237900000000002E-6</v>
      </c>
      <c r="CF27" s="399">
        <v>9.4854599999999998E-5</v>
      </c>
      <c r="CG27" s="393">
        <v>6.7580100000000001E-3</v>
      </c>
      <c r="CH27" s="394">
        <v>2.7875259999999998E-3</v>
      </c>
      <c r="CI27" s="394">
        <v>26.065169999999998</v>
      </c>
      <c r="CJ27" s="46">
        <v>2.0532781519999999</v>
      </c>
      <c r="CK27" s="46">
        <v>5.7235669999999997E-3</v>
      </c>
      <c r="CL27" s="393">
        <v>0.80002925300000005</v>
      </c>
      <c r="CM27" s="393">
        <v>45.999141729999998</v>
      </c>
      <c r="CN27" s="393">
        <v>1.6824900000000001E-4</v>
      </c>
      <c r="CO27" s="393">
        <v>100006.758</v>
      </c>
      <c r="CP27" s="393">
        <v>0</v>
      </c>
      <c r="CQ27" s="393">
        <v>0</v>
      </c>
      <c r="CR27" s="393">
        <v>109.21</v>
      </c>
      <c r="CS27" s="393">
        <v>23.76971524</v>
      </c>
      <c r="CT27" s="393">
        <v>0.32291967300000002</v>
      </c>
      <c r="CU27" s="393"/>
      <c r="CV27" s="393"/>
      <c r="CW27" s="393"/>
      <c r="CX27" s="393"/>
      <c r="CY27" s="393"/>
      <c r="CZ27" s="393"/>
      <c r="DA27" s="393"/>
    </row>
    <row r="28" spans="1:105" x14ac:dyDescent="0.2">
      <c r="A28" s="366">
        <f>ROW()</f>
        <v>28</v>
      </c>
      <c r="B28" s="367" t="s">
        <v>50</v>
      </c>
      <c r="C28" s="368">
        <v>5</v>
      </c>
      <c r="D28" s="368">
        <v>230</v>
      </c>
      <c r="E28" s="367">
        <v>36.869999999999997</v>
      </c>
      <c r="F28" s="441">
        <v>230</v>
      </c>
      <c r="G28" s="369" t="s">
        <v>131</v>
      </c>
      <c r="H28" s="370">
        <v>1</v>
      </c>
      <c r="I28" s="367">
        <v>50</v>
      </c>
      <c r="J28" s="371">
        <v>10</v>
      </c>
      <c r="K28" s="372">
        <v>5</v>
      </c>
      <c r="L28" s="482">
        <v>100000</v>
      </c>
      <c r="M28" s="443" t="s">
        <v>535</v>
      </c>
      <c r="N28" s="726">
        <f t="shared" si="0"/>
        <v>1.8650819986527408E-3</v>
      </c>
      <c r="O28" s="370">
        <v>6</v>
      </c>
      <c r="P28" s="66">
        <v>123</v>
      </c>
      <c r="Q28" s="220"/>
      <c r="R28" s="393"/>
      <c r="S28" s="402">
        <v>229.99675400000001</v>
      </c>
      <c r="T28" s="395">
        <v>5.0000400860000003</v>
      </c>
      <c r="U28" s="402">
        <v>36.86725173</v>
      </c>
      <c r="V28" s="395">
        <v>0.80002770700000003</v>
      </c>
      <c r="W28" s="400">
        <v>6.3186500000000003E-3</v>
      </c>
      <c r="X28" s="400">
        <v>5.6736870000000002E-3</v>
      </c>
      <c r="Y28" s="402">
        <v>2.0562418980000001</v>
      </c>
      <c r="Z28" s="409">
        <v>100006.3187</v>
      </c>
      <c r="AA28" s="396">
        <v>42033.647835648146</v>
      </c>
      <c r="AB28" s="397">
        <v>50.000165101243901</v>
      </c>
      <c r="AC28" s="393">
        <v>0.7060546875</v>
      </c>
      <c r="AD28" s="393" t="s">
        <v>134</v>
      </c>
      <c r="AE28" s="393">
        <v>0.521484375</v>
      </c>
      <c r="AF28" s="393" t="s">
        <v>135</v>
      </c>
      <c r="AG28" s="393">
        <v>0.30716922145585601</v>
      </c>
      <c r="AH28" s="393">
        <v>-142.511756785957</v>
      </c>
      <c r="AI28" s="393">
        <v>1.13309473988716</v>
      </c>
      <c r="AJ28" s="393">
        <v>1.13333756267779</v>
      </c>
      <c r="AK28" s="393">
        <v>107.95309953414601</v>
      </c>
      <c r="AL28" s="393">
        <v>25558.3410638852</v>
      </c>
      <c r="AM28" s="393">
        <v>920.08685302734398</v>
      </c>
      <c r="AN28" s="393">
        <v>0.30654984624735598</v>
      </c>
      <c r="AO28" s="393">
        <v>-142.46745452754999</v>
      </c>
      <c r="AP28" s="393">
        <v>1.13309745707702</v>
      </c>
      <c r="AQ28" s="393">
        <v>1.13347011893287</v>
      </c>
      <c r="AR28" s="393">
        <v>107.932729755338</v>
      </c>
      <c r="AS28" s="393">
        <v>25557.8009084687</v>
      </c>
      <c r="AT28" s="393">
        <v>920.09234619140602</v>
      </c>
      <c r="AU28" s="393">
        <v>0.30927557056690402</v>
      </c>
      <c r="AV28" s="393">
        <v>-142.071841149508</v>
      </c>
      <c r="AW28" s="393">
        <v>1.13309698733234</v>
      </c>
      <c r="AX28" s="393">
        <v>1.1329926095191201</v>
      </c>
      <c r="AY28" s="393">
        <v>107.969208282574</v>
      </c>
      <c r="AZ28" s="393">
        <v>25557.847917715899</v>
      </c>
      <c r="BA28" s="393">
        <v>920.08587646484398</v>
      </c>
      <c r="BB28" s="393">
        <v>0.30720817460520899</v>
      </c>
      <c r="BC28" s="393">
        <v>-142.36786730446701</v>
      </c>
      <c r="BD28" s="393">
        <v>1.13309709021851</v>
      </c>
      <c r="BE28" s="393">
        <v>1.1328887138986901</v>
      </c>
      <c r="BF28" s="393">
        <v>107.930231105484</v>
      </c>
      <c r="BG28" s="393">
        <v>25557.766043954402</v>
      </c>
      <c r="BH28" s="393">
        <v>920.09094238281205</v>
      </c>
      <c r="BI28" s="393">
        <v>0.30863455350372898</v>
      </c>
      <c r="BJ28" s="393">
        <v>-142.17931375802701</v>
      </c>
      <c r="BK28" s="393">
        <v>1.1330958229077099</v>
      </c>
      <c r="BL28" s="393">
        <v>1.13247262020963</v>
      </c>
      <c r="BM28" s="393">
        <v>107.94149963455</v>
      </c>
      <c r="BN28" s="393">
        <v>25557.743144693301</v>
      </c>
      <c r="BO28" s="393">
        <v>920.096435546875</v>
      </c>
      <c r="BP28" s="393"/>
      <c r="BQ28" s="393"/>
      <c r="BR28" s="393"/>
      <c r="BS28" s="393"/>
      <c r="BT28" s="393"/>
      <c r="BU28" s="393"/>
      <c r="BV28" s="393"/>
      <c r="BW28" s="393">
        <v>920.02626009999994</v>
      </c>
      <c r="BX28" s="399">
        <v>689.95331190000002</v>
      </c>
      <c r="BY28" s="393">
        <v>229.99675400000001</v>
      </c>
      <c r="BZ28" s="393">
        <v>5.0000400860000003</v>
      </c>
      <c r="CA28" s="398">
        <v>36.86725173</v>
      </c>
      <c r="CB28" s="400">
        <v>1.6434360000000001E-3</v>
      </c>
      <c r="CC28" s="393">
        <v>3.9262900000000002E-4</v>
      </c>
      <c r="CD28" s="393">
        <v>1.0176E-4</v>
      </c>
      <c r="CE28" s="399">
        <v>5.2338200000000003E-6</v>
      </c>
      <c r="CF28" s="399">
        <v>4.65965E-5</v>
      </c>
      <c r="CG28" s="393">
        <v>6.3186500000000003E-3</v>
      </c>
      <c r="CH28" s="394">
        <v>2.7592509999999999E-3</v>
      </c>
      <c r="CI28" s="394">
        <v>25.284967300000002</v>
      </c>
      <c r="CJ28" s="46">
        <v>2.0562418980000001</v>
      </c>
      <c r="CK28" s="46">
        <v>5.6736870000000002E-3</v>
      </c>
      <c r="CL28" s="393">
        <v>0.80002770700000003</v>
      </c>
      <c r="CM28" s="393">
        <v>45.998982030000001</v>
      </c>
      <c r="CN28" s="393">
        <v>1.0716400000000001E-4</v>
      </c>
      <c r="CO28" s="393">
        <v>100006.3187</v>
      </c>
      <c r="CP28" s="393">
        <v>0</v>
      </c>
      <c r="CQ28" s="393">
        <v>0</v>
      </c>
      <c r="CR28" s="393">
        <v>109.212</v>
      </c>
      <c r="CS28" s="393">
        <v>23.774868900000001</v>
      </c>
      <c r="CT28" s="393">
        <v>0.32291946300000002</v>
      </c>
      <c r="CU28" s="393"/>
      <c r="CV28" s="393"/>
      <c r="CW28" s="393"/>
      <c r="CX28" s="393"/>
      <c r="CY28" s="393"/>
      <c r="CZ28" s="393"/>
      <c r="DA28" s="393"/>
    </row>
    <row r="29" spans="1:105" x14ac:dyDescent="0.2">
      <c r="A29" s="366">
        <f>ROW()</f>
        <v>29</v>
      </c>
      <c r="B29" s="367" t="s">
        <v>50</v>
      </c>
      <c r="C29" s="368">
        <v>5</v>
      </c>
      <c r="D29" s="368">
        <v>230</v>
      </c>
      <c r="E29" s="367">
        <v>36.869999999999997</v>
      </c>
      <c r="F29" s="441">
        <v>230</v>
      </c>
      <c r="G29" s="369" t="s">
        <v>131</v>
      </c>
      <c r="H29" s="370">
        <v>1</v>
      </c>
      <c r="I29" s="367">
        <v>50</v>
      </c>
      <c r="J29" s="371">
        <v>10</v>
      </c>
      <c r="K29" s="372">
        <v>5</v>
      </c>
      <c r="L29" s="482">
        <v>100000</v>
      </c>
      <c r="M29" s="443" t="s">
        <v>535</v>
      </c>
      <c r="N29" s="726">
        <f t="shared" si="0"/>
        <v>1.8650819986527408E-3</v>
      </c>
      <c r="O29" s="370">
        <v>6</v>
      </c>
      <c r="P29" s="66">
        <v>123</v>
      </c>
      <c r="Q29" s="220"/>
      <c r="R29" s="393"/>
      <c r="S29" s="402">
        <v>229.9967235</v>
      </c>
      <c r="T29" s="395">
        <v>5.0000426530000004</v>
      </c>
      <c r="U29" s="402">
        <v>36.867290259999997</v>
      </c>
      <c r="V29" s="395">
        <v>0.80002730399999999</v>
      </c>
      <c r="W29" s="400">
        <v>6.410832E-3</v>
      </c>
      <c r="X29" s="400">
        <v>5.6157129999999996E-3</v>
      </c>
      <c r="Y29" s="402">
        <v>2.060746548</v>
      </c>
      <c r="Z29" s="409">
        <v>100006.4108</v>
      </c>
      <c r="AA29" s="396">
        <v>42033.650752314818</v>
      </c>
      <c r="AB29" s="397">
        <v>50.000306612309998</v>
      </c>
      <c r="AC29" s="393">
        <v>0.7060546875</v>
      </c>
      <c r="AD29" s="393" t="s">
        <v>134</v>
      </c>
      <c r="AE29" s="393">
        <v>0.521484375</v>
      </c>
      <c r="AF29" s="393" t="s">
        <v>135</v>
      </c>
      <c r="AG29" s="393">
        <v>0.30510092211904299</v>
      </c>
      <c r="AH29" s="393">
        <v>-142.42503483346999</v>
      </c>
      <c r="AI29" s="393">
        <v>1.13309567509257</v>
      </c>
      <c r="AJ29" s="393">
        <v>1.1330862692506001</v>
      </c>
      <c r="AK29" s="393">
        <v>107.94189639630901</v>
      </c>
      <c r="AL29" s="393">
        <v>25557.968550180602</v>
      </c>
      <c r="AM29" s="393">
        <v>920.09368896484398</v>
      </c>
      <c r="AN29" s="393">
        <v>0.30801646476639499</v>
      </c>
      <c r="AO29" s="393">
        <v>-142.01255819045099</v>
      </c>
      <c r="AP29" s="393">
        <v>1.1330965930890899</v>
      </c>
      <c r="AQ29" s="393">
        <v>1.1331424873885401</v>
      </c>
      <c r="AR29" s="393">
        <v>107.95726711317501</v>
      </c>
      <c r="AS29" s="393">
        <v>25557.759267308898</v>
      </c>
      <c r="AT29" s="393">
        <v>920.08801269531205</v>
      </c>
      <c r="AU29" s="393">
        <v>0.30947091633434198</v>
      </c>
      <c r="AV29" s="393">
        <v>-142.341362651845</v>
      </c>
      <c r="AW29" s="393">
        <v>1.13309595341588</v>
      </c>
      <c r="AX29" s="393">
        <v>1.1331078070084299</v>
      </c>
      <c r="AY29" s="393">
        <v>107.940837012118</v>
      </c>
      <c r="AZ29" s="393">
        <v>25557.746991566</v>
      </c>
      <c r="BA29" s="393">
        <v>920.09063720703102</v>
      </c>
      <c r="BB29" s="393">
        <v>0.30786084618818499</v>
      </c>
      <c r="BC29" s="393">
        <v>-142.542565673251</v>
      </c>
      <c r="BD29" s="393">
        <v>1.1330962979955701</v>
      </c>
      <c r="BE29" s="393">
        <v>1.13303628221409</v>
      </c>
      <c r="BF29" s="393">
        <v>107.96416963290299</v>
      </c>
      <c r="BG29" s="393">
        <v>25558.118704059601</v>
      </c>
      <c r="BH29" s="393">
        <v>920.093505859375</v>
      </c>
      <c r="BI29" s="393">
        <v>0.30882779676661398</v>
      </c>
      <c r="BJ29" s="393">
        <v>-142.413950368754</v>
      </c>
      <c r="BK29" s="393">
        <v>1.13309682516308</v>
      </c>
      <c r="BL29" s="393">
        <v>1.1334167202623999</v>
      </c>
      <c r="BM29" s="393">
        <v>107.960053018298</v>
      </c>
      <c r="BN29" s="393">
        <v>25558.007560699101</v>
      </c>
      <c r="BO29" s="393">
        <v>920.09240722656205</v>
      </c>
      <c r="BP29" s="393"/>
      <c r="BQ29" s="393"/>
      <c r="BR29" s="393"/>
      <c r="BS29" s="393"/>
      <c r="BT29" s="393"/>
      <c r="BU29" s="393"/>
      <c r="BV29" s="393"/>
      <c r="BW29" s="393">
        <v>920.02614640000002</v>
      </c>
      <c r="BX29" s="393">
        <v>689.9541931</v>
      </c>
      <c r="BY29" s="393">
        <v>229.9967235</v>
      </c>
      <c r="BZ29" s="393">
        <v>5.0000426530000004</v>
      </c>
      <c r="CA29" s="393">
        <v>36.867290259999997</v>
      </c>
      <c r="CB29" s="393">
        <v>1.394373E-3</v>
      </c>
      <c r="CC29" s="393">
        <v>1.3900659999999999E-3</v>
      </c>
      <c r="CD29" s="399">
        <v>4.2238199999999998E-5</v>
      </c>
      <c r="CE29" s="399">
        <v>4.8469199999999998E-6</v>
      </c>
      <c r="CF29" s="399">
        <v>8.1833099999999994E-5</v>
      </c>
      <c r="CG29" s="393">
        <v>6.410832E-3</v>
      </c>
      <c r="CH29" s="394">
        <v>2.7250870000000002E-3</v>
      </c>
      <c r="CI29" s="394">
        <v>24.187325250000001</v>
      </c>
      <c r="CJ29" s="46">
        <v>2.060746548</v>
      </c>
      <c r="CK29" s="46">
        <v>5.6157129999999996E-3</v>
      </c>
      <c r="CL29" s="393">
        <v>0.80002730399999999</v>
      </c>
      <c r="CM29" s="393">
        <v>45.998952299999999</v>
      </c>
      <c r="CN29" s="399">
        <v>1.05677E-4</v>
      </c>
      <c r="CO29" s="393">
        <v>100006.4108</v>
      </c>
      <c r="CP29" s="393">
        <v>0</v>
      </c>
      <c r="CQ29" s="393">
        <v>0</v>
      </c>
      <c r="CR29" s="393">
        <v>109.218</v>
      </c>
      <c r="CS29" s="393">
        <v>23.790329920000001</v>
      </c>
      <c r="CT29" s="393">
        <v>0.32291883399999999</v>
      </c>
      <c r="CU29" s="393"/>
      <c r="CV29" s="393"/>
      <c r="CW29" s="393"/>
      <c r="CX29" s="393"/>
      <c r="CY29" s="393"/>
      <c r="CZ29" s="393"/>
      <c r="DA29" s="393"/>
    </row>
    <row r="30" spans="1:105" x14ac:dyDescent="0.2">
      <c r="A30" s="366">
        <f>ROW()</f>
        <v>30</v>
      </c>
      <c r="B30" s="367" t="s">
        <v>50</v>
      </c>
      <c r="C30" s="368">
        <v>2</v>
      </c>
      <c r="D30" s="368">
        <v>230</v>
      </c>
      <c r="E30" s="367">
        <v>-90</v>
      </c>
      <c r="F30" s="441">
        <v>230</v>
      </c>
      <c r="G30" s="369" t="s">
        <v>131</v>
      </c>
      <c r="H30" s="370">
        <v>1</v>
      </c>
      <c r="I30" s="367">
        <v>50</v>
      </c>
      <c r="J30" s="371">
        <v>10</v>
      </c>
      <c r="K30" s="372">
        <v>5</v>
      </c>
      <c r="L30" s="482">
        <v>100000</v>
      </c>
      <c r="M30" s="443" t="s">
        <v>49</v>
      </c>
      <c r="N30" s="483">
        <v>5.9999999999999995E-4</v>
      </c>
      <c r="O30" s="370">
        <v>6</v>
      </c>
      <c r="P30" s="66">
        <v>123</v>
      </c>
      <c r="Q30" s="220"/>
      <c r="R30" s="393"/>
      <c r="S30" s="402">
        <v>229.9967316</v>
      </c>
      <c r="T30" s="395">
        <v>1.9999626909999999</v>
      </c>
      <c r="U30" s="402">
        <v>-90.000359329999995</v>
      </c>
      <c r="V30" s="395">
        <v>1</v>
      </c>
      <c r="W30" s="400">
        <v>9.3677699999999997E-4</v>
      </c>
      <c r="X30" s="400">
        <v>1.1160499000000001E-2</v>
      </c>
      <c r="Y30" s="402">
        <v>2.1225658589999998</v>
      </c>
      <c r="Z30" s="409">
        <v>100000.9368</v>
      </c>
      <c r="AA30" s="396">
        <v>42033.653692129628</v>
      </c>
      <c r="AB30" s="397">
        <v>50.000396232985203</v>
      </c>
      <c r="AC30" s="393">
        <v>0</v>
      </c>
      <c r="AD30" s="393" t="s">
        <v>132</v>
      </c>
      <c r="AE30" s="393">
        <v>0.34765625</v>
      </c>
      <c r="AF30" s="393" t="s">
        <v>133</v>
      </c>
      <c r="AG30" s="393">
        <v>0.19066116747804501</v>
      </c>
      <c r="AH30" s="393">
        <v>6.7250176663271297</v>
      </c>
      <c r="AI30" s="393">
        <v>1.13309581126005</v>
      </c>
      <c r="AJ30" s="393">
        <v>1.13318952315721</v>
      </c>
      <c r="AK30" s="393">
        <v>107.986644923771</v>
      </c>
      <c r="AL30" s="393">
        <v>12777.4798069628</v>
      </c>
      <c r="AM30" s="393">
        <v>460.02899169921898</v>
      </c>
      <c r="AN30" s="393">
        <v>0.19126806046686701</v>
      </c>
      <c r="AO30" s="393">
        <v>6.4207861644229798</v>
      </c>
      <c r="AP30" s="393">
        <v>1.1330958967390401</v>
      </c>
      <c r="AQ30" s="393">
        <v>1.13266542025246</v>
      </c>
      <c r="AR30" s="393">
        <v>107.977415170992</v>
      </c>
      <c r="AS30" s="393">
        <v>12777.4680800103</v>
      </c>
      <c r="AT30" s="393">
        <v>460.03140258789102</v>
      </c>
      <c r="AU30" s="393">
        <v>0.19047457745917201</v>
      </c>
      <c r="AV30" s="393">
        <v>7.1378569962121601</v>
      </c>
      <c r="AW30" s="393">
        <v>1.1330956448448599</v>
      </c>
      <c r="AX30" s="393">
        <v>1.13273860604585</v>
      </c>
      <c r="AY30" s="393">
        <v>107.95159173850099</v>
      </c>
      <c r="AZ30" s="393">
        <v>12777.4843781902</v>
      </c>
      <c r="BA30" s="393">
        <v>460.02938842773398</v>
      </c>
      <c r="BB30" s="393">
        <v>0.19056744507374901</v>
      </c>
      <c r="BC30" s="393">
        <v>6.6882916967124002</v>
      </c>
      <c r="BD30" s="393">
        <v>1.13309632261074</v>
      </c>
      <c r="BE30" s="393">
        <v>1.1328926060108699</v>
      </c>
      <c r="BF30" s="393">
        <v>107.945585076304</v>
      </c>
      <c r="BG30" s="393">
        <v>12777.4964128995</v>
      </c>
      <c r="BH30" s="393">
        <v>460.02447509765602</v>
      </c>
      <c r="BI30" s="393">
        <v>0.19037461839313499</v>
      </c>
      <c r="BJ30" s="393">
        <v>6.7254955715889198</v>
      </c>
      <c r="BK30" s="393">
        <v>1.1330978693383</v>
      </c>
      <c r="BL30" s="393">
        <v>1.13317894645905</v>
      </c>
      <c r="BM30" s="393">
        <v>107.94857665340599</v>
      </c>
      <c r="BN30" s="393">
        <v>12777.459374001</v>
      </c>
      <c r="BO30" s="393">
        <v>460.02542114257801</v>
      </c>
      <c r="BP30" s="393"/>
      <c r="BQ30" s="393"/>
      <c r="BR30" s="393"/>
      <c r="BS30" s="393"/>
      <c r="BT30" s="393"/>
      <c r="BU30" s="393"/>
      <c r="BV30" s="393"/>
      <c r="BW30" s="393">
        <v>-2.8847550000000001E-3</v>
      </c>
      <c r="BX30" s="393">
        <v>459.9848849</v>
      </c>
      <c r="BY30" s="393">
        <v>229.9967316</v>
      </c>
      <c r="BZ30" s="393">
        <v>1.9999626909999999</v>
      </c>
      <c r="CA30" s="393">
        <v>-90.000359329999995</v>
      </c>
      <c r="CB30" s="393">
        <v>7.7291600000000001E-4</v>
      </c>
      <c r="CC30" s="399">
        <v>6.0556399999999995E-4</v>
      </c>
      <c r="CD30" s="399">
        <v>8.23303E-5</v>
      </c>
      <c r="CE30" s="399">
        <v>2.4756699999999999E-6</v>
      </c>
      <c r="CF30" s="399">
        <v>9.6274799999999995E-5</v>
      </c>
      <c r="CG30" s="393">
        <v>9.3677699999999997E-4</v>
      </c>
      <c r="CH30" s="394">
        <v>5.2580220000000002E-3</v>
      </c>
      <c r="CI30" s="394">
        <v>15.290142339999999</v>
      </c>
      <c r="CJ30" s="46">
        <v>2.1225658589999998</v>
      </c>
      <c r="CK30" s="46">
        <v>1.1160499000000001E-2</v>
      </c>
      <c r="CL30" s="393">
        <v>1</v>
      </c>
      <c r="CM30" s="393">
        <v>115.0005111</v>
      </c>
      <c r="CN30" s="393">
        <v>3.24047E-4</v>
      </c>
      <c r="CO30" s="393">
        <v>100000.9368</v>
      </c>
      <c r="CP30" s="393">
        <v>0</v>
      </c>
      <c r="CQ30" s="393">
        <v>0</v>
      </c>
      <c r="CR30" s="393">
        <v>109.23099999999999</v>
      </c>
      <c r="CS30" s="393">
        <v>23.823829060000001</v>
      </c>
      <c r="CT30" s="393">
        <v>0.32291747100000001</v>
      </c>
      <c r="CU30" s="393"/>
      <c r="CV30" s="393"/>
      <c r="CW30" s="393"/>
      <c r="CX30" s="393"/>
      <c r="CY30" s="393"/>
      <c r="CZ30" s="393"/>
      <c r="DA30" s="393"/>
    </row>
    <row r="31" spans="1:105" x14ac:dyDescent="0.2">
      <c r="A31" s="366">
        <f>ROW()</f>
        <v>31</v>
      </c>
      <c r="B31" s="367" t="s">
        <v>50</v>
      </c>
      <c r="C31" s="368">
        <v>2</v>
      </c>
      <c r="D31" s="368">
        <v>230</v>
      </c>
      <c r="E31" s="367">
        <v>-90</v>
      </c>
      <c r="F31" s="441">
        <v>230</v>
      </c>
      <c r="G31" s="369" t="s">
        <v>131</v>
      </c>
      <c r="H31" s="370">
        <v>1</v>
      </c>
      <c r="I31" s="367">
        <v>50</v>
      </c>
      <c r="J31" s="371">
        <v>10</v>
      </c>
      <c r="K31" s="372">
        <v>5</v>
      </c>
      <c r="L31" s="482">
        <v>100000</v>
      </c>
      <c r="M31" s="443" t="s">
        <v>49</v>
      </c>
      <c r="N31" s="726">
        <f t="shared" ref="N31:N65" si="1">IF(M31="watts",SQRT((0.0005+0.001/COS(RADIANS(ABS(E31))))^2+0.000645^2)*IF(T31&gt;26,2,1),SQRT((0.001+0.001/SIN(RADIANS(ABS(E31))))^2+0.000645^2+0.0035^2))</f>
        <v>4.0824043160862938E-3</v>
      </c>
      <c r="O31" s="370">
        <v>6</v>
      </c>
      <c r="P31" s="66">
        <v>123</v>
      </c>
      <c r="Q31" s="220"/>
      <c r="R31" s="393"/>
      <c r="S31" s="402">
        <v>229.99693669999999</v>
      </c>
      <c r="T31" s="395">
        <v>1.9999628380000001</v>
      </c>
      <c r="U31" s="402">
        <v>-89.999966610000001</v>
      </c>
      <c r="V31" s="395">
        <v>1</v>
      </c>
      <c r="W31" s="400">
        <v>4.5892099999999999E-4</v>
      </c>
      <c r="X31" s="400">
        <v>1.3852949999999999E-2</v>
      </c>
      <c r="Y31" s="402">
        <v>2.0799804900000001</v>
      </c>
      <c r="Z31" s="409">
        <v>100000.4589</v>
      </c>
      <c r="AA31" s="396">
        <v>42033.65662037037</v>
      </c>
      <c r="AB31" s="397">
        <v>49.999976419822303</v>
      </c>
      <c r="AC31" s="393">
        <v>0</v>
      </c>
      <c r="AD31" s="393" t="s">
        <v>134</v>
      </c>
      <c r="AE31" s="393">
        <v>0.34765625</v>
      </c>
      <c r="AF31" s="393" t="s">
        <v>133</v>
      </c>
      <c r="AG31" s="393">
        <v>0.18174835616871399</v>
      </c>
      <c r="AH31" s="393">
        <v>8.0685980795564003</v>
      </c>
      <c r="AI31" s="399">
        <v>1.13309726569534</v>
      </c>
      <c r="AJ31" s="393">
        <v>1.1328535886382001</v>
      </c>
      <c r="AK31" s="393">
        <v>107.958823628025</v>
      </c>
      <c r="AL31" s="393">
        <v>12777.493147617301</v>
      </c>
      <c r="AM31" s="393">
        <v>460.02639770507801</v>
      </c>
      <c r="AN31" s="393">
        <v>0.18299950212777</v>
      </c>
      <c r="AO31" s="393">
        <v>7.3856266305527898</v>
      </c>
      <c r="AP31" s="393">
        <v>1.1330978775687499</v>
      </c>
      <c r="AQ31" s="393">
        <v>1.1329435975776301</v>
      </c>
      <c r="AR31" s="393">
        <v>107.936844353539</v>
      </c>
      <c r="AS31" s="393">
        <v>12777.4619564204</v>
      </c>
      <c r="AT31" s="393">
        <v>460.02816772460898</v>
      </c>
      <c r="AU31" s="393">
        <v>0.18459140658211401</v>
      </c>
      <c r="AV31" s="393">
        <v>7.4442957211331402</v>
      </c>
      <c r="AW31" s="393">
        <v>1.1330972166432201</v>
      </c>
      <c r="AX31" s="393">
        <v>1.1332125912098501</v>
      </c>
      <c r="AY31" s="393">
        <v>107.95357148132599</v>
      </c>
      <c r="AZ31" s="393">
        <v>12777.4079374173</v>
      </c>
      <c r="BA31" s="393">
        <v>460.02975463867199</v>
      </c>
      <c r="BB31" s="393">
        <v>0.187841803162279</v>
      </c>
      <c r="BC31" s="393">
        <v>7.7657661638214197</v>
      </c>
      <c r="BD31" s="393">
        <v>1.13309734113066</v>
      </c>
      <c r="BE31" s="393">
        <v>1.13307403331249</v>
      </c>
      <c r="BF31" s="393">
        <v>107.924308546345</v>
      </c>
      <c r="BG31" s="393">
        <v>12777.378295008601</v>
      </c>
      <c r="BH31" s="393">
        <v>460.02877807617199</v>
      </c>
      <c r="BI31" s="393">
        <v>0.18329061331818799</v>
      </c>
      <c r="BJ31" s="393">
        <v>8.64614822217737</v>
      </c>
      <c r="BK31" s="393">
        <v>1.13309689604763</v>
      </c>
      <c r="BL31" s="393">
        <v>1.13330064640017</v>
      </c>
      <c r="BM31" s="393">
        <v>107.965178491095</v>
      </c>
      <c r="BN31" s="393">
        <v>12777.4030919503</v>
      </c>
      <c r="BO31" s="393">
        <v>460.02850341796898</v>
      </c>
      <c r="BP31" s="393"/>
      <c r="BQ31" s="393"/>
      <c r="BR31" s="393"/>
      <c r="BS31" s="393"/>
      <c r="BT31" s="393"/>
      <c r="BU31" s="393"/>
      <c r="BV31" s="393"/>
      <c r="BW31" s="399">
        <v>2.6809799999999998E-4</v>
      </c>
      <c r="BX31" s="399">
        <v>459.98532899999998</v>
      </c>
      <c r="BY31" s="399">
        <v>229.99693669999999</v>
      </c>
      <c r="BZ31" s="399">
        <v>1.9999628380000001</v>
      </c>
      <c r="CA31" s="393">
        <v>-89.999966610000001</v>
      </c>
      <c r="CB31" s="393">
        <v>1.5774599999999999E-3</v>
      </c>
      <c r="CC31" s="399">
        <v>2.4367600000000001E-3</v>
      </c>
      <c r="CD31" s="399">
        <v>3.22787E-5</v>
      </c>
      <c r="CE31" s="399">
        <v>1.05437E-5</v>
      </c>
      <c r="CF31" s="399">
        <v>1.96489E-4</v>
      </c>
      <c r="CG31" s="393">
        <v>4.5892099999999999E-4</v>
      </c>
      <c r="CH31" s="394">
        <v>6.6601350000000002E-3</v>
      </c>
      <c r="CI31" s="394">
        <v>20.431160819999999</v>
      </c>
      <c r="CJ31" s="46">
        <v>2.0799804900000001</v>
      </c>
      <c r="CK31" s="46">
        <v>1.3852949999999999E-2</v>
      </c>
      <c r="CL31" s="393">
        <v>1</v>
      </c>
      <c r="CM31" s="393">
        <v>115.0006052</v>
      </c>
      <c r="CN31" s="393">
        <v>1.350034E-3</v>
      </c>
      <c r="CO31" s="393">
        <v>100000.4589</v>
      </c>
      <c r="CP31" s="393">
        <v>0</v>
      </c>
      <c r="CQ31" s="393">
        <v>0</v>
      </c>
      <c r="CR31" s="393">
        <v>109.241</v>
      </c>
      <c r="CS31" s="393">
        <v>23.849597880000001</v>
      </c>
      <c r="CT31" s="393">
        <v>0.32291642300000001</v>
      </c>
      <c r="CU31" s="393"/>
      <c r="CV31" s="393"/>
      <c r="CW31" s="393"/>
      <c r="CX31" s="393"/>
      <c r="CY31" s="393"/>
      <c r="CZ31" s="393"/>
      <c r="DA31" s="393"/>
    </row>
    <row r="32" spans="1:105" x14ac:dyDescent="0.2">
      <c r="A32" s="366">
        <f>ROW()</f>
        <v>32</v>
      </c>
      <c r="B32" s="367" t="s">
        <v>50</v>
      </c>
      <c r="C32" s="368">
        <v>2</v>
      </c>
      <c r="D32" s="368">
        <v>230</v>
      </c>
      <c r="E32" s="367">
        <v>-90</v>
      </c>
      <c r="F32" s="441">
        <v>230</v>
      </c>
      <c r="G32" s="369" t="s">
        <v>131</v>
      </c>
      <c r="H32" s="370">
        <v>1</v>
      </c>
      <c r="I32" s="367">
        <v>50</v>
      </c>
      <c r="J32" s="371">
        <v>10</v>
      </c>
      <c r="K32" s="372">
        <v>5</v>
      </c>
      <c r="L32" s="482">
        <v>100000</v>
      </c>
      <c r="M32" s="443" t="s">
        <v>49</v>
      </c>
      <c r="N32" s="726">
        <f t="shared" si="1"/>
        <v>4.0824043160862938E-3</v>
      </c>
      <c r="O32" s="370">
        <v>6</v>
      </c>
      <c r="P32" s="66">
        <v>123</v>
      </c>
      <c r="Q32" s="220"/>
      <c r="R32" s="393"/>
      <c r="S32" s="402">
        <v>229.9968513</v>
      </c>
      <c r="T32" s="395">
        <v>1.9999256400000001</v>
      </c>
      <c r="U32" s="402">
        <v>-89.999784899999995</v>
      </c>
      <c r="V32" s="395">
        <v>1</v>
      </c>
      <c r="W32" s="400">
        <v>1.431816E-3</v>
      </c>
      <c r="X32" s="400">
        <v>1.3810889999999999E-2</v>
      </c>
      <c r="Y32" s="402">
        <v>2.08192734</v>
      </c>
      <c r="Z32" s="409">
        <v>100001.43180000001</v>
      </c>
      <c r="AA32" s="396">
        <v>42033.659548611111</v>
      </c>
      <c r="AB32" s="397">
        <v>49.999872649040498</v>
      </c>
      <c r="AC32" s="393">
        <v>0</v>
      </c>
      <c r="AD32" s="393" t="s">
        <v>132</v>
      </c>
      <c r="AE32" s="393">
        <v>0.34765625</v>
      </c>
      <c r="AF32" s="393" t="s">
        <v>133</v>
      </c>
      <c r="AG32" s="393">
        <v>0.191465570621278</v>
      </c>
      <c r="AH32" s="393">
        <v>7.3485296240907898</v>
      </c>
      <c r="AI32" s="393">
        <v>1.1330973608758701</v>
      </c>
      <c r="AJ32" s="393">
        <v>1.13316961683586</v>
      </c>
      <c r="AK32" s="393">
        <v>107.925774547532</v>
      </c>
      <c r="AL32" s="393">
        <v>12777.351194090999</v>
      </c>
      <c r="AM32" s="393">
        <v>460.02798461914102</v>
      </c>
      <c r="AN32" s="393">
        <v>0.189426633627304</v>
      </c>
      <c r="AO32" s="393">
        <v>7.9663412750965801</v>
      </c>
      <c r="AP32" s="393">
        <v>1.13309752282777</v>
      </c>
      <c r="AQ32" s="393">
        <v>1.13239361529031</v>
      </c>
      <c r="AR32" s="393">
        <v>107.958918808817</v>
      </c>
      <c r="AS32" s="393">
        <v>12777.3364999651</v>
      </c>
      <c r="AT32" s="393">
        <v>460.02792358398398</v>
      </c>
      <c r="AU32" s="393">
        <v>0.19045548234964699</v>
      </c>
      <c r="AV32" s="393">
        <v>6.84034200607024</v>
      </c>
      <c r="AW32" s="393">
        <v>1.1330964252936</v>
      </c>
      <c r="AX32" s="393">
        <v>1.1332192779991499</v>
      </c>
      <c r="AY32" s="393">
        <v>107.927805524812</v>
      </c>
      <c r="AZ32" s="393">
        <v>12777.326201067899</v>
      </c>
      <c r="BA32" s="393">
        <v>460.02850341796898</v>
      </c>
      <c r="BB32" s="393">
        <v>0.191349429107359</v>
      </c>
      <c r="BC32" s="393">
        <v>7.1801997157525097</v>
      </c>
      <c r="BD32" s="393">
        <v>1.1330960476783101</v>
      </c>
      <c r="BE32" s="393">
        <v>1.1333064293422199</v>
      </c>
      <c r="BF32" s="393">
        <v>107.933778191459</v>
      </c>
      <c r="BG32" s="393">
        <v>12777.3033022697</v>
      </c>
      <c r="BH32" s="393">
        <v>460.02545166015602</v>
      </c>
      <c r="BI32" s="393">
        <v>0.19095666853608401</v>
      </c>
      <c r="BJ32" s="393">
        <v>7.4199049688605596</v>
      </c>
      <c r="BK32" s="393">
        <v>1.1330971376480701</v>
      </c>
      <c r="BL32" s="393">
        <v>1.13329017069344</v>
      </c>
      <c r="BM32" s="393">
        <v>107.932046649995</v>
      </c>
      <c r="BN32" s="393">
        <v>12777.2368159704</v>
      </c>
      <c r="BO32" s="393">
        <v>460.029296875</v>
      </c>
      <c r="BP32" s="393"/>
      <c r="BQ32" s="393"/>
      <c r="BR32" s="393"/>
      <c r="BS32" s="393"/>
      <c r="BT32" s="393"/>
      <c r="BU32" s="393"/>
      <c r="BV32" s="393"/>
      <c r="BW32" s="393">
        <v>1.7268419999999999E-3</v>
      </c>
      <c r="BX32" s="393">
        <v>459.97660289999999</v>
      </c>
      <c r="BY32" s="393">
        <v>229.9968513</v>
      </c>
      <c r="BZ32" s="393">
        <v>1.9999256400000001</v>
      </c>
      <c r="CA32" s="393">
        <v>-89.999784899999995</v>
      </c>
      <c r="CB32" s="393">
        <v>1.1477390000000001E-3</v>
      </c>
      <c r="CC32" s="393">
        <v>9.8310299999999993E-4</v>
      </c>
      <c r="CD32" s="399">
        <v>5.7550100000000003E-5</v>
      </c>
      <c r="CE32" s="399">
        <v>4.5077400000000003E-6</v>
      </c>
      <c r="CF32" s="393">
        <v>1.42965E-4</v>
      </c>
      <c r="CG32" s="393">
        <v>1.431816E-3</v>
      </c>
      <c r="CH32" s="394">
        <v>6.6337039999999998E-3</v>
      </c>
      <c r="CI32" s="394">
        <v>20.117292209999999</v>
      </c>
      <c r="CJ32" s="46">
        <v>2.08192734</v>
      </c>
      <c r="CK32" s="46">
        <v>1.3810889999999999E-2</v>
      </c>
      <c r="CL32" s="393">
        <v>1</v>
      </c>
      <c r="CM32" s="393">
        <v>115.0027015</v>
      </c>
      <c r="CN32" s="393">
        <v>6.1492100000000004E-4</v>
      </c>
      <c r="CO32" s="393">
        <v>100001.43180000001</v>
      </c>
      <c r="CP32" s="393">
        <v>0</v>
      </c>
      <c r="CQ32" s="393">
        <v>0</v>
      </c>
      <c r="CR32" s="393">
        <v>109.248</v>
      </c>
      <c r="CS32" s="393">
        <v>23.867636180000002</v>
      </c>
      <c r="CT32" s="393">
        <v>0.32291568900000001</v>
      </c>
      <c r="CU32" s="393"/>
      <c r="CV32" s="393"/>
      <c r="CW32" s="393"/>
      <c r="CX32" s="393"/>
      <c r="CY32" s="393"/>
      <c r="CZ32" s="393"/>
      <c r="DA32" s="393"/>
    </row>
    <row r="33" spans="1:105" x14ac:dyDescent="0.2">
      <c r="A33" s="366">
        <f>ROW()</f>
        <v>33</v>
      </c>
      <c r="B33" s="367" t="s">
        <v>50</v>
      </c>
      <c r="C33" s="368">
        <v>2</v>
      </c>
      <c r="D33" s="368">
        <v>230</v>
      </c>
      <c r="E33" s="367">
        <v>-30</v>
      </c>
      <c r="F33" s="441">
        <v>230</v>
      </c>
      <c r="G33" s="369" t="s">
        <v>131</v>
      </c>
      <c r="H33" s="370">
        <v>1</v>
      </c>
      <c r="I33" s="367">
        <v>50</v>
      </c>
      <c r="J33" s="371">
        <v>10</v>
      </c>
      <c r="K33" s="372">
        <v>5</v>
      </c>
      <c r="L33" s="482">
        <v>100000</v>
      </c>
      <c r="M33" s="443" t="s">
        <v>49</v>
      </c>
      <c r="N33" s="726">
        <f t="shared" si="1"/>
        <v>4.6546777546893625E-3</v>
      </c>
      <c r="O33" s="370">
        <v>6</v>
      </c>
      <c r="P33" s="66">
        <v>123</v>
      </c>
      <c r="Q33" s="220"/>
      <c r="R33" s="393"/>
      <c r="S33" s="402">
        <v>229.996747</v>
      </c>
      <c r="T33" s="395">
        <v>2.0000677819999999</v>
      </c>
      <c r="U33" s="402">
        <v>-30.00033754</v>
      </c>
      <c r="V33" s="395">
        <v>0.50000510200000003</v>
      </c>
      <c r="W33" s="400">
        <v>-2.5018589999999999E-3</v>
      </c>
      <c r="X33" s="400">
        <v>1.4833684999999999E-2</v>
      </c>
      <c r="Y33" s="402">
        <v>2.082274172</v>
      </c>
      <c r="Z33" s="409">
        <v>99997.498139999996</v>
      </c>
      <c r="AA33" s="396">
        <v>42033.662465277775</v>
      </c>
      <c r="AB33" s="397">
        <v>50</v>
      </c>
      <c r="AC33" s="393">
        <v>0.3056640625</v>
      </c>
      <c r="AD33" s="393" t="s">
        <v>134</v>
      </c>
      <c r="AE33" s="393">
        <v>0.173828125</v>
      </c>
      <c r="AF33" s="393" t="s">
        <v>133</v>
      </c>
      <c r="AG33" s="393">
        <v>7.2323084234725998E-2</v>
      </c>
      <c r="AH33" s="393">
        <v>-5.7336355668250603</v>
      </c>
      <c r="AI33" s="393">
        <v>1.13309567290931</v>
      </c>
      <c r="AJ33" s="393">
        <v>1.13295095669329</v>
      </c>
      <c r="AK33" s="393">
        <v>107.954745114072</v>
      </c>
      <c r="AL33" s="393">
        <v>6388.9573660025299</v>
      </c>
      <c r="AM33" s="393">
        <v>230.042556762695</v>
      </c>
      <c r="AN33" s="393">
        <v>7.2833312992837004E-2</v>
      </c>
      <c r="AO33" s="393">
        <v>-7.9109421039815802</v>
      </c>
      <c r="AP33" s="393">
        <v>1.1330951638733899</v>
      </c>
      <c r="AQ33" s="393">
        <v>1.1328943980112101</v>
      </c>
      <c r="AR33" s="393">
        <v>107.97230365417001</v>
      </c>
      <c r="AS33" s="393">
        <v>6388.8933455344704</v>
      </c>
      <c r="AT33" s="393">
        <v>230.03892517089801</v>
      </c>
      <c r="AU33" s="393">
        <v>7.2815978533918205E-2</v>
      </c>
      <c r="AV33" s="393">
        <v>-4.5401598612214604</v>
      </c>
      <c r="AW33" s="393">
        <v>1.13309629034465</v>
      </c>
      <c r="AX33" s="393">
        <v>1.1326944363826901</v>
      </c>
      <c r="AY33" s="393">
        <v>107.97828681652599</v>
      </c>
      <c r="AZ33" s="393">
        <v>6388.9812860525699</v>
      </c>
      <c r="BA33" s="393">
        <v>230.04129028320301</v>
      </c>
      <c r="BB33" s="393">
        <v>7.3553749301807206E-2</v>
      </c>
      <c r="BC33" s="393">
        <v>-7.3780999081873997</v>
      </c>
      <c r="BD33" s="393">
        <v>1.1330974160531999</v>
      </c>
      <c r="BE33" s="393">
        <v>1.13276851880004</v>
      </c>
      <c r="BF33" s="393">
        <v>107.948054718977</v>
      </c>
      <c r="BG33" s="393">
        <v>6388.8660245849996</v>
      </c>
      <c r="BH33" s="393">
        <v>230.04145812988301</v>
      </c>
      <c r="BI33" s="393">
        <v>7.1450857653770794E-2</v>
      </c>
      <c r="BJ33" s="393">
        <v>-8.4849332161770494</v>
      </c>
      <c r="BK33" s="393">
        <v>1.1330973800450199</v>
      </c>
      <c r="BL33" s="393">
        <v>1.1331830058296599</v>
      </c>
      <c r="BM33" s="393">
        <v>107.978196016536</v>
      </c>
      <c r="BN33" s="393">
        <v>6388.9041385932196</v>
      </c>
      <c r="BO33" s="393">
        <v>230.03820800781199</v>
      </c>
      <c r="BP33" s="393"/>
      <c r="BQ33" s="393"/>
      <c r="BR33" s="393"/>
      <c r="BS33" s="393"/>
      <c r="BT33" s="393"/>
      <c r="BU33" s="393"/>
      <c r="BV33" s="393"/>
      <c r="BW33" s="393">
        <v>398.37819960000002</v>
      </c>
      <c r="BX33" s="393">
        <v>230.00689</v>
      </c>
      <c r="BY33" s="393">
        <v>229.996747</v>
      </c>
      <c r="BZ33" s="393">
        <v>2.0000677819999999</v>
      </c>
      <c r="CA33" s="393">
        <v>-30.00033754</v>
      </c>
      <c r="CB33" s="393">
        <v>2.039379E-3</v>
      </c>
      <c r="CC33" s="393">
        <v>7.8644399999999997E-4</v>
      </c>
      <c r="CD33" s="399">
        <v>9.1489099999999998E-5</v>
      </c>
      <c r="CE33" s="399">
        <v>8.0086300000000003E-6</v>
      </c>
      <c r="CF33" s="393">
        <v>1.51371E-4</v>
      </c>
      <c r="CG33" s="393">
        <v>-2.5018589999999999E-3</v>
      </c>
      <c r="CH33" s="394">
        <v>7.1237899999999996E-3</v>
      </c>
      <c r="CI33" s="394">
        <v>20.062430500000001</v>
      </c>
      <c r="CJ33" s="46">
        <v>2.082274172</v>
      </c>
      <c r="CK33" s="46">
        <v>1.4833684999999999E-2</v>
      </c>
      <c r="CL33" s="393">
        <v>0.50000510200000003</v>
      </c>
      <c r="CM33" s="393">
        <v>114.99447619999999</v>
      </c>
      <c r="CN33" s="393">
        <v>1.0534920000000001E-3</v>
      </c>
      <c r="CO33" s="393">
        <v>99997.498139999996</v>
      </c>
      <c r="CP33" s="393">
        <v>0</v>
      </c>
      <c r="CQ33" s="393">
        <v>0</v>
      </c>
      <c r="CR33" s="393">
        <v>109.255</v>
      </c>
      <c r="CS33" s="393">
        <v>23.88567458</v>
      </c>
      <c r="CT33" s="393">
        <v>0.322914955</v>
      </c>
      <c r="CU33" s="393"/>
      <c r="CV33" s="393"/>
      <c r="CW33" s="393"/>
      <c r="CX33" s="393"/>
      <c r="CY33" s="393"/>
      <c r="CZ33" s="393"/>
      <c r="DA33" s="393"/>
    </row>
    <row r="34" spans="1:105" x14ac:dyDescent="0.2">
      <c r="A34" s="366">
        <f>ROW()</f>
        <v>34</v>
      </c>
      <c r="B34" s="367" t="s">
        <v>50</v>
      </c>
      <c r="C34" s="368">
        <v>2</v>
      </c>
      <c r="D34" s="368">
        <v>230</v>
      </c>
      <c r="E34" s="367">
        <v>-30</v>
      </c>
      <c r="F34" s="441">
        <v>230</v>
      </c>
      <c r="G34" s="369" t="s">
        <v>131</v>
      </c>
      <c r="H34" s="370">
        <v>1</v>
      </c>
      <c r="I34" s="367">
        <v>50</v>
      </c>
      <c r="J34" s="371">
        <v>10</v>
      </c>
      <c r="K34" s="372">
        <v>5</v>
      </c>
      <c r="L34" s="482">
        <v>100000</v>
      </c>
      <c r="M34" s="443" t="s">
        <v>49</v>
      </c>
      <c r="N34" s="726">
        <f t="shared" si="1"/>
        <v>4.6546777546893625E-3</v>
      </c>
      <c r="O34" s="370">
        <v>6</v>
      </c>
      <c r="P34" s="66">
        <v>123</v>
      </c>
      <c r="Q34" s="220"/>
      <c r="R34" s="393"/>
      <c r="S34" s="402">
        <v>229.99679409999999</v>
      </c>
      <c r="T34" s="395">
        <v>2.000076505</v>
      </c>
      <c r="U34" s="402">
        <v>-30.000141899999999</v>
      </c>
      <c r="V34" s="395">
        <v>0.50000214499999995</v>
      </c>
      <c r="W34" s="400">
        <v>-3.7708519999999999E-3</v>
      </c>
      <c r="X34" s="400">
        <v>1.487486E-2</v>
      </c>
      <c r="Y34" s="402">
        <v>2.0805546009999998</v>
      </c>
      <c r="Z34" s="409">
        <v>99996.229149999999</v>
      </c>
      <c r="AA34" s="396">
        <v>42033.665370370371</v>
      </c>
      <c r="AB34" s="397">
        <v>50.0003537826654</v>
      </c>
      <c r="AC34" s="393">
        <v>0.3056640625</v>
      </c>
      <c r="AD34" s="393" t="s">
        <v>134</v>
      </c>
      <c r="AE34" s="393">
        <v>0.173828125</v>
      </c>
      <c r="AF34" s="393" t="s">
        <v>133</v>
      </c>
      <c r="AG34" s="393">
        <v>7.2845249806830895E-2</v>
      </c>
      <c r="AH34" s="393">
        <v>-5.9178829463437399</v>
      </c>
      <c r="AI34" s="393">
        <v>1.13309527096434</v>
      </c>
      <c r="AJ34" s="393">
        <v>1.13310731132423</v>
      </c>
      <c r="AK34" s="393">
        <v>107.96013440877</v>
      </c>
      <c r="AL34" s="393">
        <v>6388.8608375017002</v>
      </c>
      <c r="AM34" s="393">
        <v>230.03825378418</v>
      </c>
      <c r="AN34" s="393">
        <v>6.8112256824477399E-2</v>
      </c>
      <c r="AO34" s="393">
        <v>-6.5620472332868598</v>
      </c>
      <c r="AP34" s="393">
        <v>1.13309725676378</v>
      </c>
      <c r="AQ34" s="393">
        <v>1.1329323655785499</v>
      </c>
      <c r="AR34" s="393">
        <v>107.967858325176</v>
      </c>
      <c r="AS34" s="393">
        <v>6388.7889774149999</v>
      </c>
      <c r="AT34" s="393">
        <v>230.041748046875</v>
      </c>
      <c r="AU34" s="393">
        <v>7.4127244706215303E-2</v>
      </c>
      <c r="AV34" s="393">
        <v>-5.09637949793074</v>
      </c>
      <c r="AW34" s="393">
        <v>1.1330964585904499</v>
      </c>
      <c r="AX34" s="393">
        <v>1.1327813206014501</v>
      </c>
      <c r="AY34" s="393">
        <v>107.950823459408</v>
      </c>
      <c r="AZ34" s="393">
        <v>6388.85822252652</v>
      </c>
      <c r="BA34" s="393">
        <v>230.04318237304699</v>
      </c>
      <c r="BB34" s="393">
        <v>7.1637818649496907E-2</v>
      </c>
      <c r="BC34" s="393">
        <v>-6.1600988758397701</v>
      </c>
      <c r="BD34" s="393">
        <v>1.1330965138421301</v>
      </c>
      <c r="BE34" s="393">
        <v>1.1332515417943101</v>
      </c>
      <c r="BF34" s="393">
        <v>107.969911171546</v>
      </c>
      <c r="BG34" s="393">
        <v>6388.8390851144104</v>
      </c>
      <c r="BH34" s="393">
        <v>230.04023742675801</v>
      </c>
      <c r="BI34" s="393">
        <v>7.3168228054042897E-2</v>
      </c>
      <c r="BJ34" s="393">
        <v>-5.9004325728047302</v>
      </c>
      <c r="BK34" s="393">
        <v>1.1330975838378201</v>
      </c>
      <c r="BL34" s="393">
        <v>1.13349647006377</v>
      </c>
      <c r="BM34" s="393">
        <v>107.94744220934</v>
      </c>
      <c r="BN34" s="393">
        <v>6388.8065954646199</v>
      </c>
      <c r="BO34" s="393">
        <v>230.035720825195</v>
      </c>
      <c r="BP34" s="393"/>
      <c r="BQ34" s="393"/>
      <c r="BR34" s="393"/>
      <c r="BS34" s="393"/>
      <c r="BT34" s="393"/>
      <c r="BU34" s="393"/>
      <c r="BV34" s="393"/>
      <c r="BW34" s="393">
        <v>398.3808042</v>
      </c>
      <c r="BX34" s="393">
        <v>230.00658010000001</v>
      </c>
      <c r="BY34" s="393">
        <v>229.99679409999999</v>
      </c>
      <c r="BZ34" s="393">
        <v>2.000076505</v>
      </c>
      <c r="CA34" s="393">
        <v>-30.000141899999999</v>
      </c>
      <c r="CB34" s="393">
        <v>8.6322799999999996E-4</v>
      </c>
      <c r="CC34" s="393">
        <v>2.2569790000000001E-3</v>
      </c>
      <c r="CD34" s="399">
        <v>8.1083599999999997E-5</v>
      </c>
      <c r="CE34" s="399">
        <v>8.0157399999999996E-6</v>
      </c>
      <c r="CF34" s="393">
        <v>1.99149E-4</v>
      </c>
      <c r="CG34" s="393">
        <v>-3.7708519999999999E-3</v>
      </c>
      <c r="CH34" s="394">
        <v>7.1494690000000003E-3</v>
      </c>
      <c r="CI34" s="394">
        <v>20.337544179999998</v>
      </c>
      <c r="CJ34" s="46">
        <v>2.0805546009999998</v>
      </c>
      <c r="CK34" s="46">
        <v>1.487486E-2</v>
      </c>
      <c r="CL34" s="393">
        <v>0.50000214499999995</v>
      </c>
      <c r="CM34" s="393">
        <v>114.99399819999999</v>
      </c>
      <c r="CN34" s="393">
        <v>1.0558049999999999E-3</v>
      </c>
      <c r="CO34" s="393">
        <v>99996.229149999999</v>
      </c>
      <c r="CP34" s="393">
        <v>0</v>
      </c>
      <c r="CQ34" s="393">
        <v>0</v>
      </c>
      <c r="CR34" s="393">
        <v>109.261</v>
      </c>
      <c r="CS34" s="393">
        <v>23.901136149999999</v>
      </c>
      <c r="CT34" s="393">
        <v>0.32291432599999997</v>
      </c>
      <c r="CU34" s="393"/>
      <c r="CV34" s="393"/>
      <c r="CW34" s="393"/>
      <c r="CX34" s="393"/>
      <c r="CY34" s="393"/>
      <c r="CZ34" s="393"/>
      <c r="DA34" s="393"/>
    </row>
    <row r="35" spans="1:105" x14ac:dyDescent="0.2">
      <c r="A35" s="366">
        <f>ROW()</f>
        <v>35</v>
      </c>
      <c r="B35" s="367" t="s">
        <v>50</v>
      </c>
      <c r="C35" s="368">
        <v>2</v>
      </c>
      <c r="D35" s="368">
        <v>230</v>
      </c>
      <c r="E35" s="367">
        <v>-30</v>
      </c>
      <c r="F35" s="441">
        <v>230</v>
      </c>
      <c r="G35" s="369" t="s">
        <v>131</v>
      </c>
      <c r="H35" s="370">
        <v>1</v>
      </c>
      <c r="I35" s="367">
        <v>50</v>
      </c>
      <c r="J35" s="371">
        <v>10</v>
      </c>
      <c r="K35" s="372">
        <v>5</v>
      </c>
      <c r="L35" s="482">
        <v>100000</v>
      </c>
      <c r="M35" s="443" t="s">
        <v>49</v>
      </c>
      <c r="N35" s="726">
        <f t="shared" si="1"/>
        <v>4.6546777546893625E-3</v>
      </c>
      <c r="O35" s="370">
        <v>6</v>
      </c>
      <c r="P35" s="66">
        <v>123</v>
      </c>
      <c r="Q35" s="220"/>
      <c r="R35" s="393"/>
      <c r="S35" s="402">
        <v>229.9968403</v>
      </c>
      <c r="T35" s="395">
        <v>2.0000824719999999</v>
      </c>
      <c r="U35" s="402">
        <v>-30.000009590000001</v>
      </c>
      <c r="V35" s="395">
        <v>0.50000014500000001</v>
      </c>
      <c r="W35" s="400">
        <v>-2.7283310000000001E-3</v>
      </c>
      <c r="X35" s="400">
        <v>1.4871847000000001E-2</v>
      </c>
      <c r="Y35" s="402">
        <v>2.0806743569999999</v>
      </c>
      <c r="Z35" s="409">
        <v>99997.271670000002</v>
      </c>
      <c r="AA35" s="396">
        <v>42033.668275462966</v>
      </c>
      <c r="AB35" s="397">
        <v>50.000028310213303</v>
      </c>
      <c r="AC35" s="393">
        <v>0.3056640625</v>
      </c>
      <c r="AD35" s="393" t="s">
        <v>134</v>
      </c>
      <c r="AE35" s="393">
        <v>0.173828125</v>
      </c>
      <c r="AF35" s="393" t="s">
        <v>133</v>
      </c>
      <c r="AG35" s="393">
        <v>7.0290972288586204E-2</v>
      </c>
      <c r="AH35" s="393">
        <v>-5.81360301118821</v>
      </c>
      <c r="AI35" s="393">
        <v>1.1330964003992501</v>
      </c>
      <c r="AJ35" s="393">
        <v>1.1330522634607001</v>
      </c>
      <c r="AK35" s="393">
        <v>107.95355609774801</v>
      </c>
      <c r="AL35" s="393">
        <v>6388.9282418955499</v>
      </c>
      <c r="AM35" s="393">
        <v>230.04040527343801</v>
      </c>
      <c r="AN35" s="393">
        <v>7.2839366527034904E-2</v>
      </c>
      <c r="AO35" s="393">
        <v>-5.8606115118435298</v>
      </c>
      <c r="AP35" s="393">
        <v>1.13309680434394</v>
      </c>
      <c r="AQ35" s="393">
        <v>1.13269676265552</v>
      </c>
      <c r="AR35" s="393">
        <v>107.940993627328</v>
      </c>
      <c r="AS35" s="393">
        <v>6388.8370931159698</v>
      </c>
      <c r="AT35" s="393">
        <v>230.04078674316401</v>
      </c>
      <c r="AU35" s="393">
        <v>7.3140512670943805E-2</v>
      </c>
      <c r="AV35" s="393">
        <v>-4.1398785993533904</v>
      </c>
      <c r="AW35" s="393">
        <v>1.1330965455158599</v>
      </c>
      <c r="AX35" s="393">
        <v>1.13255355632444</v>
      </c>
      <c r="AY35" s="393">
        <v>107.94124893784701</v>
      </c>
      <c r="AZ35" s="393">
        <v>6388.9361502124002</v>
      </c>
      <c r="BA35" s="393">
        <v>230.04405212402301</v>
      </c>
      <c r="BB35" s="393">
        <v>7.4095898761891599E-2</v>
      </c>
      <c r="BC35" s="393">
        <v>-5.7400695367994903</v>
      </c>
      <c r="BD35" s="393">
        <v>1.1330976357725799</v>
      </c>
      <c r="BE35" s="393">
        <v>1.1328157099893299</v>
      </c>
      <c r="BF35" s="393">
        <v>107.950269527861</v>
      </c>
      <c r="BG35" s="393">
        <v>6388.8714277431</v>
      </c>
      <c r="BH35" s="393">
        <v>230.03840637207</v>
      </c>
      <c r="BI35" s="393">
        <v>7.3056749993787598E-2</v>
      </c>
      <c r="BJ35" s="393">
        <v>-5.5051453407701603</v>
      </c>
      <c r="BK35" s="393">
        <v>1.1330968355320199</v>
      </c>
      <c r="BL35" s="393">
        <v>1.13289457880752</v>
      </c>
      <c r="BM35" s="393">
        <v>107.955709229183</v>
      </c>
      <c r="BN35" s="393">
        <v>6388.8877897808798</v>
      </c>
      <c r="BO35" s="393">
        <v>230.03967285156199</v>
      </c>
      <c r="BP35" s="393"/>
      <c r="BQ35" s="393"/>
      <c r="BR35" s="393"/>
      <c r="BS35" s="393"/>
      <c r="BT35" s="393"/>
      <c r="BU35" s="393"/>
      <c r="BV35" s="393"/>
      <c r="BW35" s="393">
        <v>398.3826037</v>
      </c>
      <c r="BX35" s="393">
        <v>230.00639240000001</v>
      </c>
      <c r="BY35" s="393">
        <v>229.9968403</v>
      </c>
      <c r="BZ35" s="393">
        <v>2.0000824719999999</v>
      </c>
      <c r="CA35" s="393">
        <v>-30.000009590000001</v>
      </c>
      <c r="CB35" s="393">
        <v>9.6414500000000002E-4</v>
      </c>
      <c r="CC35" s="393">
        <v>1.4862619999999999E-3</v>
      </c>
      <c r="CD35" s="399">
        <v>4.3393799999999998E-5</v>
      </c>
      <c r="CE35" s="399">
        <v>5.6161499999999996E-6</v>
      </c>
      <c r="CF35" s="399">
        <v>1.4630000000000001E-4</v>
      </c>
      <c r="CG35" s="393">
        <v>-2.7283310000000001E-3</v>
      </c>
      <c r="CH35" s="394">
        <v>7.1476090000000001E-3</v>
      </c>
      <c r="CI35" s="394">
        <v>20.318129070000001</v>
      </c>
      <c r="CJ35" s="46">
        <v>2.0806743569999999</v>
      </c>
      <c r="CK35" s="46">
        <v>1.4871847000000001E-2</v>
      </c>
      <c r="CL35" s="393">
        <v>0.50000014500000001</v>
      </c>
      <c r="CM35" s="393">
        <v>114.9936783</v>
      </c>
      <c r="CN35" s="399">
        <v>7.0553900000000004E-4</v>
      </c>
      <c r="CO35" s="393">
        <v>99997.271670000002</v>
      </c>
      <c r="CP35" s="393">
        <v>0</v>
      </c>
      <c r="CQ35" s="393">
        <v>0</v>
      </c>
      <c r="CR35" s="393">
        <v>109.264</v>
      </c>
      <c r="CS35" s="393">
        <v>23.908866969999998</v>
      </c>
      <c r="CT35" s="393">
        <v>0.322914011</v>
      </c>
      <c r="CU35" s="393"/>
      <c r="CV35" s="393"/>
      <c r="CW35" s="393"/>
      <c r="CX35" s="393"/>
      <c r="CY35" s="393"/>
      <c r="CZ35" s="393"/>
      <c r="DA35" s="393"/>
    </row>
    <row r="36" spans="1:105" x14ac:dyDescent="0.2">
      <c r="A36" s="366">
        <f>ROW()</f>
        <v>36</v>
      </c>
      <c r="B36" s="367" t="s">
        <v>50</v>
      </c>
      <c r="C36" s="368">
        <v>5</v>
      </c>
      <c r="D36" s="368">
        <v>230</v>
      </c>
      <c r="E36" s="367">
        <v>-90</v>
      </c>
      <c r="F36" s="441">
        <v>230</v>
      </c>
      <c r="G36" s="369" t="s">
        <v>131</v>
      </c>
      <c r="H36" s="370">
        <v>1</v>
      </c>
      <c r="I36" s="367">
        <v>50</v>
      </c>
      <c r="J36" s="371">
        <v>10</v>
      </c>
      <c r="K36" s="372">
        <v>5</v>
      </c>
      <c r="L36" s="482">
        <v>100000</v>
      </c>
      <c r="M36" s="443" t="s">
        <v>49</v>
      </c>
      <c r="N36" s="726">
        <f t="shared" si="1"/>
        <v>4.0824043160862938E-3</v>
      </c>
      <c r="O36" s="370">
        <v>6</v>
      </c>
      <c r="P36" s="66">
        <v>123</v>
      </c>
      <c r="Q36" s="220"/>
      <c r="R36" s="393"/>
      <c r="S36" s="402">
        <v>229.99670649999999</v>
      </c>
      <c r="T36" s="395">
        <v>4.9999066330000002</v>
      </c>
      <c r="U36" s="402">
        <v>-89.999698820000006</v>
      </c>
      <c r="V36" s="395">
        <v>1</v>
      </c>
      <c r="W36" s="400">
        <v>1.4966900000000001E-5</v>
      </c>
      <c r="X36" s="400">
        <v>1.3796615E-2</v>
      </c>
      <c r="Y36" s="402">
        <v>2.0829199470000002</v>
      </c>
      <c r="Z36" s="409">
        <v>100000.015</v>
      </c>
      <c r="AA36" s="396">
        <v>42033.671203703707</v>
      </c>
      <c r="AB36" s="397">
        <v>50.000250001883501</v>
      </c>
      <c r="AC36" s="393">
        <v>0</v>
      </c>
      <c r="AD36" s="393" t="s">
        <v>134</v>
      </c>
      <c r="AE36" s="393">
        <v>0.8701171875</v>
      </c>
      <c r="AF36" s="393" t="s">
        <v>133</v>
      </c>
      <c r="AG36" s="393">
        <v>0.19491433679377301</v>
      </c>
      <c r="AH36" s="393">
        <v>118.37626730983899</v>
      </c>
      <c r="AI36" s="393">
        <v>1.13309741107176</v>
      </c>
      <c r="AJ36" s="393">
        <v>1.13312775376721</v>
      </c>
      <c r="AK36" s="393">
        <v>107.955570728146</v>
      </c>
      <c r="AL36" s="393">
        <v>31943.384684174202</v>
      </c>
      <c r="AM36" s="393">
        <v>1150.07043457031</v>
      </c>
      <c r="AN36" s="393">
        <v>0.200463312397965</v>
      </c>
      <c r="AO36" s="393">
        <v>118.165521733961</v>
      </c>
      <c r="AP36" s="393">
        <v>1.13309612296541</v>
      </c>
      <c r="AQ36" s="393">
        <v>1.1329562116982801</v>
      </c>
      <c r="AR36" s="393">
        <v>107.949508543303</v>
      </c>
      <c r="AS36" s="393">
        <v>31943.426015733399</v>
      </c>
      <c r="AT36" s="393">
        <v>1150.07275390625</v>
      </c>
      <c r="AU36" s="393">
        <v>0.19960172664501399</v>
      </c>
      <c r="AV36" s="393">
        <v>118.143441851574</v>
      </c>
      <c r="AW36" s="393">
        <v>1.1330957754220401</v>
      </c>
      <c r="AX36" s="393">
        <v>1.13323522994493</v>
      </c>
      <c r="AY36" s="393">
        <v>107.952023509575</v>
      </c>
      <c r="AZ36" s="393">
        <v>31943.340679740901</v>
      </c>
      <c r="BA36" s="393">
        <v>1150.06774902344</v>
      </c>
      <c r="BB36" s="393">
        <v>0.194965143234682</v>
      </c>
      <c r="BC36" s="393">
        <v>117.873470693473</v>
      </c>
      <c r="BD36" s="393">
        <v>1.1330957676509299</v>
      </c>
      <c r="BE36" s="393">
        <v>1.1331861545442301</v>
      </c>
      <c r="BF36" s="393">
        <v>107.953847798708</v>
      </c>
      <c r="BG36" s="393">
        <v>31943.482660645401</v>
      </c>
      <c r="BH36" s="393">
        <v>1150.07104492188</v>
      </c>
      <c r="BI36" s="393">
        <v>0.19690786788387299</v>
      </c>
      <c r="BJ36" s="393">
        <v>117.172774579492</v>
      </c>
      <c r="BK36" s="393">
        <v>1.1330958483671001</v>
      </c>
      <c r="BL36" s="393">
        <v>1.1328769177439799</v>
      </c>
      <c r="BM36" s="393">
        <v>107.948848386178</v>
      </c>
      <c r="BN36" s="393">
        <v>31943.343326282102</v>
      </c>
      <c r="BO36" s="393">
        <v>1150.06286621094</v>
      </c>
      <c r="BP36" s="393"/>
      <c r="BQ36" s="393"/>
      <c r="BR36" s="393"/>
      <c r="BS36" s="393"/>
      <c r="BT36" s="393"/>
      <c r="BU36" s="393"/>
      <c r="BV36" s="393"/>
      <c r="BW36" s="393">
        <v>6.0449220000000003E-3</v>
      </c>
      <c r="BX36" s="393">
        <v>1149.9620649999999</v>
      </c>
      <c r="BY36" s="393">
        <v>229.99670649999999</v>
      </c>
      <c r="BZ36" s="393">
        <v>4.9999066330000002</v>
      </c>
      <c r="CA36" s="393">
        <v>-89.999698820000006</v>
      </c>
      <c r="CB36" s="393">
        <v>2.1435339999999999E-3</v>
      </c>
      <c r="CC36" s="393">
        <v>2.308428E-3</v>
      </c>
      <c r="CD36" s="399">
        <v>6.3580799999999999E-5</v>
      </c>
      <c r="CE36" s="399">
        <v>9.7482999999999995E-6</v>
      </c>
      <c r="CF36" s="393">
        <v>1.0679999999999999E-4</v>
      </c>
      <c r="CG36" s="399">
        <v>1.4966900000000001E-5</v>
      </c>
      <c r="CH36" s="394">
        <v>6.6236899999999998E-3</v>
      </c>
      <c r="CI36" s="394">
        <v>19.961111410000001</v>
      </c>
      <c r="CJ36" s="46">
        <v>2.0829199470000002</v>
      </c>
      <c r="CK36" s="46">
        <v>1.3796615E-2</v>
      </c>
      <c r="CL36" s="393">
        <v>1</v>
      </c>
      <c r="CM36" s="393">
        <v>46.000200270000001</v>
      </c>
      <c r="CN36" s="393">
        <v>1.9854200000000001E-4</v>
      </c>
      <c r="CO36" s="393">
        <v>100000.015</v>
      </c>
      <c r="CP36" s="393">
        <v>0</v>
      </c>
      <c r="CQ36" s="393">
        <v>0</v>
      </c>
      <c r="CR36" s="393">
        <v>109.262</v>
      </c>
      <c r="CS36" s="393">
        <v>23.90371309</v>
      </c>
      <c r="CT36" s="393">
        <v>0.322914221</v>
      </c>
      <c r="CU36" s="393"/>
      <c r="CV36" s="393"/>
      <c r="CW36" s="393"/>
      <c r="CX36" s="393"/>
      <c r="CY36" s="393"/>
      <c r="CZ36" s="393"/>
      <c r="DA36" s="393"/>
    </row>
    <row r="37" spans="1:105" x14ac:dyDescent="0.2">
      <c r="A37" s="366">
        <f>ROW()</f>
        <v>37</v>
      </c>
      <c r="B37" s="367" t="s">
        <v>50</v>
      </c>
      <c r="C37" s="368">
        <v>5</v>
      </c>
      <c r="D37" s="368">
        <v>230</v>
      </c>
      <c r="E37" s="367">
        <v>-90</v>
      </c>
      <c r="F37" s="441">
        <v>230</v>
      </c>
      <c r="G37" s="369" t="s">
        <v>131</v>
      </c>
      <c r="H37" s="370">
        <v>1</v>
      </c>
      <c r="I37" s="367">
        <v>50</v>
      </c>
      <c r="J37" s="371">
        <v>10</v>
      </c>
      <c r="K37" s="372">
        <v>5</v>
      </c>
      <c r="L37" s="482">
        <v>100000</v>
      </c>
      <c r="M37" s="443" t="s">
        <v>49</v>
      </c>
      <c r="N37" s="726">
        <f t="shared" si="1"/>
        <v>4.0824043160862938E-3</v>
      </c>
      <c r="O37" s="370">
        <v>6</v>
      </c>
      <c r="P37" s="66">
        <v>123</v>
      </c>
      <c r="Q37" s="220"/>
      <c r="R37" s="393"/>
      <c r="S37" s="402">
        <v>229.99672200000001</v>
      </c>
      <c r="T37" s="395">
        <v>4.9999273430000004</v>
      </c>
      <c r="U37" s="402">
        <v>-89.999676710000003</v>
      </c>
      <c r="V37" s="395">
        <v>1</v>
      </c>
      <c r="W37" s="400">
        <v>-9.7382899999999995E-4</v>
      </c>
      <c r="X37" s="400">
        <v>1.3795069E-2</v>
      </c>
      <c r="Y37" s="402">
        <v>2.0829930409999999</v>
      </c>
      <c r="Z37" s="409">
        <v>99999.026169999997</v>
      </c>
      <c r="AA37" s="396">
        <v>42033.674120370371</v>
      </c>
      <c r="AB37" s="397">
        <v>50.000330192487702</v>
      </c>
      <c r="AC37" s="393">
        <v>0</v>
      </c>
      <c r="AD37" s="393" t="s">
        <v>134</v>
      </c>
      <c r="AE37" s="393">
        <v>0.8701171875</v>
      </c>
      <c r="AF37" s="393" t="s">
        <v>133</v>
      </c>
      <c r="AG37" s="393">
        <v>0.197617885280055</v>
      </c>
      <c r="AH37" s="393">
        <v>116.863688944491</v>
      </c>
      <c r="AI37" s="393">
        <v>1.1330960040931</v>
      </c>
      <c r="AJ37" s="393">
        <v>1.13369975407309</v>
      </c>
      <c r="AK37" s="393">
        <v>107.928145970777</v>
      </c>
      <c r="AL37" s="393">
        <v>31943.248257636398</v>
      </c>
      <c r="AM37" s="393">
        <v>1150.07202148438</v>
      </c>
      <c r="AN37" s="393">
        <v>0.196442078008225</v>
      </c>
      <c r="AO37" s="393">
        <v>118.059764967524</v>
      </c>
      <c r="AP37" s="393">
        <v>1.1330963284887501</v>
      </c>
      <c r="AQ37" s="393">
        <v>1.1329032464095301</v>
      </c>
      <c r="AR37" s="393">
        <v>107.94846101004001</v>
      </c>
      <c r="AS37" s="393">
        <v>31943.290547494202</v>
      </c>
      <c r="AT37" s="393">
        <v>1150.06494140625</v>
      </c>
      <c r="AU37" s="393">
        <v>0.19986090218847</v>
      </c>
      <c r="AV37" s="393">
        <v>118.007178663383</v>
      </c>
      <c r="AW37" s="393">
        <v>1.1330956164668</v>
      </c>
      <c r="AX37" s="393">
        <v>1.1331253618913499</v>
      </c>
      <c r="AY37" s="393">
        <v>107.950543665982</v>
      </c>
      <c r="AZ37" s="393">
        <v>31943.176067485601</v>
      </c>
      <c r="BA37" s="393">
        <v>1150.06652832031</v>
      </c>
      <c r="BB37" s="393">
        <v>0.197043903828166</v>
      </c>
      <c r="BC37" s="393">
        <v>117.97592011767</v>
      </c>
      <c r="BD37" s="393">
        <v>1.1330958585495301</v>
      </c>
      <c r="BE37" s="393">
        <v>1.13267871429649</v>
      </c>
      <c r="BF37" s="393">
        <v>107.963653665499</v>
      </c>
      <c r="BG37" s="393">
        <v>31943.177081043701</v>
      </c>
      <c r="BH37" s="393">
        <v>1150.06506347656</v>
      </c>
      <c r="BI37" s="393">
        <v>0.19476423612283</v>
      </c>
      <c r="BJ37" s="393">
        <v>117.95064091851</v>
      </c>
      <c r="BK37" s="393">
        <v>1.13309749993479</v>
      </c>
      <c r="BL37" s="393">
        <v>1.1335950864420401</v>
      </c>
      <c r="BM37" s="393">
        <v>107.934667668898</v>
      </c>
      <c r="BN37" s="393">
        <v>31943.1784687318</v>
      </c>
      <c r="BO37" s="393">
        <v>1150.07006835938</v>
      </c>
      <c r="BP37" s="393"/>
      <c r="BQ37" s="393"/>
      <c r="BR37" s="393"/>
      <c r="BS37" s="393"/>
      <c r="BT37" s="393"/>
      <c r="BU37" s="393"/>
      <c r="BV37" s="393"/>
      <c r="BW37" s="393">
        <v>6.4885940000000003E-3</v>
      </c>
      <c r="BX37" s="393">
        <v>1149.9669060000001</v>
      </c>
      <c r="BY37" s="393">
        <v>229.99672200000001</v>
      </c>
      <c r="BZ37" s="393">
        <v>4.9999273430000004</v>
      </c>
      <c r="CA37" s="393">
        <v>-89.999676710000003</v>
      </c>
      <c r="CB37" s="393">
        <v>1.9322880000000001E-3</v>
      </c>
      <c r="CC37" s="399">
        <v>2.104828E-3</v>
      </c>
      <c r="CD37" s="399">
        <v>6.7077999999999997E-5</v>
      </c>
      <c r="CE37" s="399">
        <v>8.1858700000000003E-6</v>
      </c>
      <c r="CF37" s="399">
        <v>9.6274799999999995E-5</v>
      </c>
      <c r="CG37" s="393">
        <v>-9.7382899999999995E-4</v>
      </c>
      <c r="CH37" s="394">
        <v>6.6227150000000004E-3</v>
      </c>
      <c r="CI37" s="394">
        <v>19.949710660000001</v>
      </c>
      <c r="CJ37" s="46">
        <v>2.0829930409999999</v>
      </c>
      <c r="CK37" s="46">
        <v>1.3795069E-2</v>
      </c>
      <c r="CL37" s="393">
        <v>1</v>
      </c>
      <c r="CM37" s="393">
        <v>46.000012839999997</v>
      </c>
      <c r="CN37" s="393">
        <v>1.5189000000000001E-4</v>
      </c>
      <c r="CO37" s="393">
        <v>99999.026169999997</v>
      </c>
      <c r="CP37" s="393">
        <v>0</v>
      </c>
      <c r="CQ37" s="393">
        <v>0</v>
      </c>
      <c r="CR37" s="393">
        <v>109.258</v>
      </c>
      <c r="CS37" s="393">
        <v>23.893405359999999</v>
      </c>
      <c r="CT37" s="393">
        <v>0.32291463999999998</v>
      </c>
      <c r="CU37" s="393"/>
      <c r="CV37" s="393"/>
      <c r="CW37" s="393"/>
      <c r="CX37" s="393"/>
      <c r="CY37" s="393"/>
      <c r="CZ37" s="393"/>
      <c r="DA37" s="393"/>
    </row>
    <row r="38" spans="1:105" x14ac:dyDescent="0.2">
      <c r="A38" s="366">
        <f>ROW()</f>
        <v>38</v>
      </c>
      <c r="B38" s="367" t="s">
        <v>50</v>
      </c>
      <c r="C38" s="368">
        <v>5</v>
      </c>
      <c r="D38" s="368">
        <v>230</v>
      </c>
      <c r="E38" s="367">
        <v>-90</v>
      </c>
      <c r="F38" s="441">
        <v>230</v>
      </c>
      <c r="G38" s="369" t="s">
        <v>131</v>
      </c>
      <c r="H38" s="370">
        <v>1</v>
      </c>
      <c r="I38" s="367">
        <v>50</v>
      </c>
      <c r="J38" s="371">
        <v>10</v>
      </c>
      <c r="K38" s="372">
        <v>5</v>
      </c>
      <c r="L38" s="482">
        <v>100000</v>
      </c>
      <c r="M38" s="443" t="s">
        <v>49</v>
      </c>
      <c r="N38" s="726">
        <f t="shared" si="1"/>
        <v>4.0824043160862938E-3</v>
      </c>
      <c r="O38" s="370">
        <v>6</v>
      </c>
      <c r="P38" s="66">
        <v>123</v>
      </c>
      <c r="Q38" s="220"/>
      <c r="R38" s="393"/>
      <c r="S38" s="402">
        <v>229.99688259999999</v>
      </c>
      <c r="T38" s="395">
        <v>4.9998779860000004</v>
      </c>
      <c r="U38" s="402">
        <v>-89.999791770000002</v>
      </c>
      <c r="V38" s="395">
        <v>1</v>
      </c>
      <c r="W38" s="400">
        <v>3.5218800000000002E-4</v>
      </c>
      <c r="X38" s="400">
        <v>1.3797393E-2</v>
      </c>
      <c r="Y38" s="402">
        <v>2.0828801349999999</v>
      </c>
      <c r="Z38" s="409">
        <v>100000.35219999999</v>
      </c>
      <c r="AA38" s="396">
        <v>42033.677048611113</v>
      </c>
      <c r="AB38" s="397">
        <v>49.999834908756199</v>
      </c>
      <c r="AC38" s="393">
        <v>0</v>
      </c>
      <c r="AD38" s="393" t="s">
        <v>134</v>
      </c>
      <c r="AE38" s="393">
        <v>0.8701171875</v>
      </c>
      <c r="AF38" s="393" t="s">
        <v>133</v>
      </c>
      <c r="AG38" s="393">
        <v>0.19937619410214599</v>
      </c>
      <c r="AH38" s="393">
        <v>118.503980286614</v>
      </c>
      <c r="AI38" s="393">
        <v>1.13309746482209</v>
      </c>
      <c r="AJ38" s="393">
        <v>1.13324022871004</v>
      </c>
      <c r="AK38" s="393">
        <v>107.957943322624</v>
      </c>
      <c r="AL38" s="393">
        <v>31943.3681055251</v>
      </c>
      <c r="AM38" s="393">
        <v>1150.06701660156</v>
      </c>
      <c r="AN38" s="393">
        <v>0.19572578472279201</v>
      </c>
      <c r="AO38" s="393">
        <v>118.257779526614</v>
      </c>
      <c r="AP38" s="393">
        <v>1.13309538870347</v>
      </c>
      <c r="AQ38" s="393">
        <v>1.13323479178901</v>
      </c>
      <c r="AR38" s="393">
        <v>107.972975828195</v>
      </c>
      <c r="AS38" s="393">
        <v>31943.431405495299</v>
      </c>
      <c r="AT38" s="393">
        <v>1150.07446289062</v>
      </c>
      <c r="AU38" s="393">
        <v>0.19545710609276601</v>
      </c>
      <c r="AV38" s="393">
        <v>118.37030842322601</v>
      </c>
      <c r="AW38" s="393">
        <v>1.1330974758266401</v>
      </c>
      <c r="AX38" s="393">
        <v>1.1333621627469299</v>
      </c>
      <c r="AY38" s="393">
        <v>107.93240954720601</v>
      </c>
      <c r="AZ38" s="393">
        <v>31943.3015668382</v>
      </c>
      <c r="BA38" s="393">
        <v>1150.06884765625</v>
      </c>
      <c r="BB38" s="393">
        <v>0.199387604233313</v>
      </c>
      <c r="BC38" s="393">
        <v>117.06669696329099</v>
      </c>
      <c r="BD38" s="393">
        <v>1.1330975051741901</v>
      </c>
      <c r="BE38" s="393">
        <v>1.1329260584310501</v>
      </c>
      <c r="BF38" s="393">
        <v>107.922025765425</v>
      </c>
      <c r="BG38" s="393">
        <v>31943.286247732201</v>
      </c>
      <c r="BH38" s="393">
        <v>1150.07177734375</v>
      </c>
      <c r="BI38" s="393">
        <v>0.193456539017024</v>
      </c>
      <c r="BJ38" s="393">
        <v>118.207129938373</v>
      </c>
      <c r="BK38" s="393">
        <v>1.13309743053959</v>
      </c>
      <c r="BL38" s="393">
        <v>1.13312861395037</v>
      </c>
      <c r="BM38" s="393">
        <v>107.976113627301</v>
      </c>
      <c r="BN38" s="393">
        <v>31943.3358696092</v>
      </c>
      <c r="BO38" s="393">
        <v>1150.06872558594</v>
      </c>
      <c r="BP38" s="393"/>
      <c r="BQ38" s="393"/>
      <c r="BR38" s="393"/>
      <c r="BS38" s="393"/>
      <c r="BT38" s="393"/>
      <c r="BU38" s="393"/>
      <c r="BV38" s="393"/>
      <c r="BW38" s="393">
        <v>4.1793469999999999E-3</v>
      </c>
      <c r="BX38" s="393">
        <v>1149.956357</v>
      </c>
      <c r="BY38" s="393">
        <v>229.99688259999999</v>
      </c>
      <c r="BZ38" s="393">
        <v>4.9998779860000004</v>
      </c>
      <c r="CA38" s="393">
        <v>-89.999791770000002</v>
      </c>
      <c r="CB38" s="393">
        <v>2.8035339999999999E-3</v>
      </c>
      <c r="CC38" s="393">
        <v>1.913175E-3</v>
      </c>
      <c r="CD38" s="399">
        <v>8.4476399999999996E-5</v>
      </c>
      <c r="CE38" s="399">
        <v>7.8025599999999994E-6</v>
      </c>
      <c r="CF38" s="399">
        <v>1.39686E-4</v>
      </c>
      <c r="CG38" s="393">
        <v>3.5218800000000002E-4</v>
      </c>
      <c r="CH38" s="394">
        <v>6.6241889999999999E-3</v>
      </c>
      <c r="CI38" s="394">
        <v>19.967326880000002</v>
      </c>
      <c r="CJ38" s="46">
        <v>2.0828801349999999</v>
      </c>
      <c r="CK38" s="46">
        <v>1.3797393E-2</v>
      </c>
      <c r="CL38" s="393">
        <v>1</v>
      </c>
      <c r="CM38" s="393">
        <v>46.000499069999996</v>
      </c>
      <c r="CN38" s="393">
        <v>1.58443E-4</v>
      </c>
      <c r="CO38" s="393">
        <v>100000.35219999999</v>
      </c>
      <c r="CP38" s="393">
        <v>0</v>
      </c>
      <c r="CQ38" s="393">
        <v>0</v>
      </c>
      <c r="CR38" s="393">
        <v>109.25700000000001</v>
      </c>
      <c r="CS38" s="393">
        <v>23.890828429999999</v>
      </c>
      <c r="CT38" s="393">
        <v>0.322914745</v>
      </c>
      <c r="CU38" s="393"/>
      <c r="CV38" s="393"/>
      <c r="CW38" s="393"/>
      <c r="CX38" s="393"/>
      <c r="CY38" s="393"/>
      <c r="CZ38" s="393"/>
      <c r="DA38" s="393"/>
    </row>
    <row r="39" spans="1:105" x14ac:dyDescent="0.2">
      <c r="A39" s="366">
        <f>ROW()</f>
        <v>39</v>
      </c>
      <c r="B39" s="367" t="s">
        <v>50</v>
      </c>
      <c r="C39" s="368">
        <v>5</v>
      </c>
      <c r="D39" s="368">
        <v>230</v>
      </c>
      <c r="E39" s="367">
        <v>-30</v>
      </c>
      <c r="F39" s="441">
        <v>230</v>
      </c>
      <c r="G39" s="369" t="s">
        <v>131</v>
      </c>
      <c r="H39" s="370">
        <v>1</v>
      </c>
      <c r="I39" s="367">
        <v>50</v>
      </c>
      <c r="J39" s="371">
        <v>10</v>
      </c>
      <c r="K39" s="372">
        <v>5</v>
      </c>
      <c r="L39" s="482">
        <v>100000</v>
      </c>
      <c r="M39" s="443" t="s">
        <v>49</v>
      </c>
      <c r="N39" s="726">
        <f t="shared" si="1"/>
        <v>4.6546777546893625E-3</v>
      </c>
      <c r="O39" s="370">
        <v>6</v>
      </c>
      <c r="P39" s="66">
        <v>123</v>
      </c>
      <c r="Q39" s="220"/>
      <c r="R39" s="393"/>
      <c r="S39" s="402">
        <v>229.99686030000001</v>
      </c>
      <c r="T39" s="395">
        <v>5.0002357159999997</v>
      </c>
      <c r="U39" s="402">
        <v>-29.99992585</v>
      </c>
      <c r="V39" s="395">
        <v>0.49999887900000001</v>
      </c>
      <c r="W39" s="400">
        <v>-8.46064E-4</v>
      </c>
      <c r="X39" s="400">
        <v>1.4776581E-2</v>
      </c>
      <c r="Y39" s="402">
        <v>2.0849138329999999</v>
      </c>
      <c r="Z39" s="409">
        <v>99999.153940000004</v>
      </c>
      <c r="AA39" s="396">
        <v>42033.6799537037</v>
      </c>
      <c r="AB39" s="397">
        <v>50.0003018922745</v>
      </c>
      <c r="AC39" s="393">
        <v>0.7646484375</v>
      </c>
      <c r="AD39" s="393" t="s">
        <v>134</v>
      </c>
      <c r="AE39" s="393">
        <v>0.4345703125</v>
      </c>
      <c r="AF39" s="393" t="s">
        <v>133</v>
      </c>
      <c r="AG39" s="393">
        <v>0.320766671215304</v>
      </c>
      <c r="AH39" s="393">
        <v>-66.290244891598604</v>
      </c>
      <c r="AI39" s="393">
        <v>1.13309567274014</v>
      </c>
      <c r="AJ39" s="393">
        <v>1.1331669291777</v>
      </c>
      <c r="AK39" s="393">
        <v>107.929435259505</v>
      </c>
      <c r="AL39" s="393">
        <v>15972.6835906709</v>
      </c>
      <c r="AM39" s="393">
        <v>575.09063720703102</v>
      </c>
      <c r="AN39" s="393">
        <v>0.32044822535320999</v>
      </c>
      <c r="AO39" s="393">
        <v>-66.149453884900694</v>
      </c>
      <c r="AP39" s="393">
        <v>1.13309596830126</v>
      </c>
      <c r="AQ39" s="393">
        <v>1.1327077075893599</v>
      </c>
      <c r="AR39" s="393">
        <v>107.937185119183</v>
      </c>
      <c r="AS39" s="393">
        <v>15972.7164391022</v>
      </c>
      <c r="AT39" s="393">
        <v>575.08392333984398</v>
      </c>
      <c r="AU39" s="393">
        <v>0.319259815485122</v>
      </c>
      <c r="AV39" s="393">
        <v>-65.842899559593505</v>
      </c>
      <c r="AW39" s="393">
        <v>1.1330979028355399</v>
      </c>
      <c r="AX39" s="393">
        <v>1.13380870270208</v>
      </c>
      <c r="AY39" s="393">
        <v>107.944343997421</v>
      </c>
      <c r="AZ39" s="393">
        <v>15972.5761225768</v>
      </c>
      <c r="BA39" s="393">
        <v>575.0888671875</v>
      </c>
      <c r="BB39" s="393">
        <v>0.32289620122369</v>
      </c>
      <c r="BC39" s="393">
        <v>-65.951746901788496</v>
      </c>
      <c r="BD39" s="393">
        <v>1.1330976192376601</v>
      </c>
      <c r="BE39" s="393">
        <v>1.13313751565395</v>
      </c>
      <c r="BF39" s="393">
        <v>107.94588918053201</v>
      </c>
      <c r="BG39" s="393">
        <v>15972.507900048</v>
      </c>
      <c r="BH39" s="393">
        <v>575.090576171875</v>
      </c>
      <c r="BI39" s="393">
        <v>0.32074459446176701</v>
      </c>
      <c r="BJ39" s="393">
        <v>-65.806195203001096</v>
      </c>
      <c r="BK39" s="393">
        <v>1.1330975505674701</v>
      </c>
      <c r="BL39" s="393">
        <v>1.1331739866792301</v>
      </c>
      <c r="BM39" s="393">
        <v>107.934026329109</v>
      </c>
      <c r="BN39" s="393">
        <v>15972.447465200499</v>
      </c>
      <c r="BO39" s="393">
        <v>575.08673095703102</v>
      </c>
      <c r="BP39" s="393"/>
      <c r="BQ39" s="393"/>
      <c r="BR39" s="393"/>
      <c r="BS39" s="393"/>
      <c r="BT39" s="393"/>
      <c r="BU39" s="393"/>
      <c r="BV39" s="393"/>
      <c r="BW39" s="393">
        <v>995.96331950000001</v>
      </c>
      <c r="BX39" s="393">
        <v>575.01797199999999</v>
      </c>
      <c r="BY39" s="393">
        <v>229.99686030000001</v>
      </c>
      <c r="BZ39" s="393">
        <v>5.0002357159999997</v>
      </c>
      <c r="CA39" s="393">
        <v>-29.99992585</v>
      </c>
      <c r="CB39" s="393">
        <v>1.833571E-3</v>
      </c>
      <c r="CC39" s="399">
        <v>1.565369E-3</v>
      </c>
      <c r="CD39" s="399">
        <v>9.4246999999999994E-5</v>
      </c>
      <c r="CE39" s="399">
        <v>7.0617300000000001E-6</v>
      </c>
      <c r="CF39" s="399">
        <v>6.3062299999999994E-5</v>
      </c>
      <c r="CG39" s="393">
        <v>-8.46064E-4</v>
      </c>
      <c r="CH39" s="394">
        <v>7.0873819999999997E-3</v>
      </c>
      <c r="CI39" s="394">
        <v>19.654924820000002</v>
      </c>
      <c r="CJ39" s="46">
        <v>2.0849138329999999</v>
      </c>
      <c r="CK39" s="46">
        <v>1.4776581E-2</v>
      </c>
      <c r="CL39" s="393">
        <v>0.49999887900000001</v>
      </c>
      <c r="CM39" s="393">
        <v>45.997203589999998</v>
      </c>
      <c r="CN39" s="393">
        <v>1.09894E-4</v>
      </c>
      <c r="CO39" s="393">
        <v>99999.153940000004</v>
      </c>
      <c r="CP39" s="393">
        <v>0</v>
      </c>
      <c r="CQ39" s="393">
        <v>0</v>
      </c>
      <c r="CR39" s="393">
        <v>109.256</v>
      </c>
      <c r="CS39" s="393">
        <v>23.888251499999999</v>
      </c>
      <c r="CT39" s="393">
        <v>0.32291484999999998</v>
      </c>
      <c r="CU39" s="393"/>
      <c r="CV39" s="393"/>
      <c r="CW39" s="393"/>
      <c r="CX39" s="393"/>
      <c r="CY39" s="393"/>
      <c r="CZ39" s="393"/>
      <c r="DA39" s="393"/>
    </row>
    <row r="40" spans="1:105" x14ac:dyDescent="0.2">
      <c r="A40" s="366">
        <f>ROW()</f>
        <v>40</v>
      </c>
      <c r="B40" s="367" t="s">
        <v>50</v>
      </c>
      <c r="C40" s="368">
        <v>5</v>
      </c>
      <c r="D40" s="368">
        <v>230</v>
      </c>
      <c r="E40" s="367">
        <v>-30</v>
      </c>
      <c r="F40" s="441">
        <v>230</v>
      </c>
      <c r="G40" s="369" t="s">
        <v>131</v>
      </c>
      <c r="H40" s="370">
        <v>1</v>
      </c>
      <c r="I40" s="367">
        <v>50</v>
      </c>
      <c r="J40" s="371">
        <v>10</v>
      </c>
      <c r="K40" s="372">
        <v>5</v>
      </c>
      <c r="L40" s="482">
        <v>100000</v>
      </c>
      <c r="M40" s="443" t="s">
        <v>49</v>
      </c>
      <c r="N40" s="726">
        <f t="shared" si="1"/>
        <v>4.6546777546893625E-3</v>
      </c>
      <c r="O40" s="370">
        <v>6</v>
      </c>
      <c r="P40" s="66">
        <v>123</v>
      </c>
      <c r="Q40" s="220"/>
      <c r="R40" s="393"/>
      <c r="S40" s="402">
        <v>229.99675089999999</v>
      </c>
      <c r="T40" s="395">
        <v>5.0002160900000003</v>
      </c>
      <c r="U40" s="402">
        <v>-29.99987089</v>
      </c>
      <c r="V40" s="395">
        <v>0.499998049</v>
      </c>
      <c r="W40" s="400">
        <v>-6.4105800000000001E-4</v>
      </c>
      <c r="X40" s="400">
        <v>1.4757961E-2</v>
      </c>
      <c r="Y40" s="402">
        <v>2.0857663959999999</v>
      </c>
      <c r="Z40" s="409">
        <v>99999.358940000006</v>
      </c>
      <c r="AA40" s="396">
        <v>42033.682881944442</v>
      </c>
      <c r="AB40" s="397">
        <v>50.0003207624166</v>
      </c>
      <c r="AC40" s="393">
        <v>0.7646484375</v>
      </c>
      <c r="AD40" s="393" t="s">
        <v>134</v>
      </c>
      <c r="AE40" s="393">
        <v>0.4345703125</v>
      </c>
      <c r="AF40" s="393" t="s">
        <v>133</v>
      </c>
      <c r="AG40" s="393">
        <v>0.32274679369081199</v>
      </c>
      <c r="AH40" s="393">
        <v>-66.536810055785196</v>
      </c>
      <c r="AI40" s="393">
        <v>1.13309620067203</v>
      </c>
      <c r="AJ40" s="393">
        <v>1.13298711207327</v>
      </c>
      <c r="AK40" s="393">
        <v>107.921904764708</v>
      </c>
      <c r="AL40" s="393">
        <v>15972.561430027101</v>
      </c>
      <c r="AM40" s="393">
        <v>575.08935546875</v>
      </c>
      <c r="AN40" s="393">
        <v>0.31913409403830401</v>
      </c>
      <c r="AO40" s="393">
        <v>-66.575401706308398</v>
      </c>
      <c r="AP40" s="393">
        <v>1.1330970633459501</v>
      </c>
      <c r="AQ40" s="393">
        <v>1.13310311911282</v>
      </c>
      <c r="AR40" s="393">
        <v>107.944360620696</v>
      </c>
      <c r="AS40" s="393">
        <v>15972.5306692595</v>
      </c>
      <c r="AT40" s="393">
        <v>575.08837890625</v>
      </c>
      <c r="AU40" s="393">
        <v>0.32100144049108698</v>
      </c>
      <c r="AV40" s="393">
        <v>-66.3828388022323</v>
      </c>
      <c r="AW40" s="393">
        <v>1.1330951183939</v>
      </c>
      <c r="AX40" s="393">
        <v>1.1331102127160699</v>
      </c>
      <c r="AY40" s="393">
        <v>107.964907849311</v>
      </c>
      <c r="AZ40" s="393">
        <v>15972.5730900772</v>
      </c>
      <c r="BA40" s="393">
        <v>575.08825683593795</v>
      </c>
      <c r="BB40" s="393">
        <v>0.32195799757841198</v>
      </c>
      <c r="BC40" s="393">
        <v>-66.1578065934698</v>
      </c>
      <c r="BD40" s="393">
        <v>1.1330961128625601</v>
      </c>
      <c r="BE40" s="393">
        <v>1.13374746508761</v>
      </c>
      <c r="BF40" s="393">
        <v>107.962101506905</v>
      </c>
      <c r="BG40" s="393">
        <v>15972.5201029898</v>
      </c>
      <c r="BH40" s="393">
        <v>575.09051513671898</v>
      </c>
      <c r="BI40" s="393">
        <v>0.32066561198996701</v>
      </c>
      <c r="BJ40" s="393">
        <v>-65.940049827042003</v>
      </c>
      <c r="BK40" s="393">
        <v>1.13309752460411</v>
      </c>
      <c r="BL40" s="393">
        <v>1.1327358600719399</v>
      </c>
      <c r="BM40" s="393">
        <v>107.952441345289</v>
      </c>
      <c r="BN40" s="393">
        <v>15972.425836070101</v>
      </c>
      <c r="BO40" s="393">
        <v>575.09045410156205</v>
      </c>
      <c r="BP40" s="393"/>
      <c r="BQ40" s="393"/>
      <c r="BR40" s="393"/>
      <c r="BS40" s="393"/>
      <c r="BT40" s="393"/>
      <c r="BU40" s="393"/>
      <c r="BV40" s="393"/>
      <c r="BW40" s="393">
        <v>995.95948840000005</v>
      </c>
      <c r="BX40" s="393">
        <v>575.01448630000004</v>
      </c>
      <c r="BY40" s="393">
        <v>229.99675089999999</v>
      </c>
      <c r="BZ40" s="393">
        <v>5.0002160900000003</v>
      </c>
      <c r="CA40" s="393">
        <v>-29.99987089</v>
      </c>
      <c r="CB40" s="393">
        <v>1.8837039999999999E-3</v>
      </c>
      <c r="CC40" s="399">
        <v>1.5976289999999999E-3</v>
      </c>
      <c r="CD40" s="399">
        <v>8.4545300000000005E-5</v>
      </c>
      <c r="CE40" s="399">
        <v>7.2571899999999999E-6</v>
      </c>
      <c r="CF40" s="399">
        <v>7.2989099999999995E-5</v>
      </c>
      <c r="CG40" s="393">
        <v>-6.4105800000000001E-4</v>
      </c>
      <c r="CH40" s="394">
        <v>7.075558E-3</v>
      </c>
      <c r="CI40" s="394">
        <v>19.526981589999998</v>
      </c>
      <c r="CJ40" s="46">
        <v>2.0857663959999999</v>
      </c>
      <c r="CK40" s="46">
        <v>1.4757961E-2</v>
      </c>
      <c r="CL40" s="393">
        <v>0.499998049</v>
      </c>
      <c r="CM40" s="393">
        <v>45.997362260000003</v>
      </c>
      <c r="CN40" s="393">
        <v>1.2568400000000001E-4</v>
      </c>
      <c r="CO40" s="393">
        <v>99999.358940000006</v>
      </c>
      <c r="CP40" s="393">
        <v>0</v>
      </c>
      <c r="CQ40" s="393">
        <v>0</v>
      </c>
      <c r="CR40" s="393">
        <v>109.25700000000001</v>
      </c>
      <c r="CS40" s="393">
        <v>23.890828429999999</v>
      </c>
      <c r="CT40" s="393">
        <v>0.322914745</v>
      </c>
      <c r="CU40" s="393"/>
      <c r="CV40" s="393"/>
      <c r="CW40" s="393"/>
      <c r="CX40" s="393"/>
      <c r="CY40" s="393"/>
      <c r="CZ40" s="393"/>
      <c r="DA40" s="393"/>
    </row>
    <row r="41" spans="1:105" x14ac:dyDescent="0.2">
      <c r="A41" s="366">
        <f>ROW()</f>
        <v>41</v>
      </c>
      <c r="B41" s="367" t="s">
        <v>50</v>
      </c>
      <c r="C41" s="368">
        <v>5</v>
      </c>
      <c r="D41" s="368">
        <v>230</v>
      </c>
      <c r="E41" s="367">
        <v>-30</v>
      </c>
      <c r="F41" s="441">
        <v>230</v>
      </c>
      <c r="G41" s="369" t="s">
        <v>131</v>
      </c>
      <c r="H41" s="370">
        <v>1</v>
      </c>
      <c r="I41" s="367">
        <v>50</v>
      </c>
      <c r="J41" s="371">
        <v>10</v>
      </c>
      <c r="K41" s="372">
        <v>5</v>
      </c>
      <c r="L41" s="482">
        <v>100000</v>
      </c>
      <c r="M41" s="443" t="s">
        <v>49</v>
      </c>
      <c r="N41" s="726">
        <f t="shared" si="1"/>
        <v>4.6546777546893625E-3</v>
      </c>
      <c r="O41" s="370">
        <v>6</v>
      </c>
      <c r="P41" s="66">
        <v>123</v>
      </c>
      <c r="Q41" s="220"/>
      <c r="R41" s="393"/>
      <c r="S41" s="402">
        <v>229.99678710000001</v>
      </c>
      <c r="T41" s="395">
        <v>5.0002221100000002</v>
      </c>
      <c r="U41" s="402">
        <v>-29.999662130000001</v>
      </c>
      <c r="V41" s="395">
        <v>0.499994893</v>
      </c>
      <c r="W41" s="400">
        <v>-1.1599000000000001E-4</v>
      </c>
      <c r="X41" s="400">
        <v>1.4759898E-2</v>
      </c>
      <c r="Y41" s="402">
        <v>2.0856760259999998</v>
      </c>
      <c r="Z41" s="409">
        <v>99999.884009999994</v>
      </c>
      <c r="AA41" s="396">
        <v>42033.685810185183</v>
      </c>
      <c r="AB41" s="397">
        <v>49.999981139857901</v>
      </c>
      <c r="AC41" s="393">
        <v>0.7646484375</v>
      </c>
      <c r="AD41" s="393" t="s">
        <v>134</v>
      </c>
      <c r="AE41" s="393">
        <v>0.4345703125</v>
      </c>
      <c r="AF41" s="393" t="s">
        <v>133</v>
      </c>
      <c r="AG41" s="393">
        <v>0.32319261723281101</v>
      </c>
      <c r="AH41" s="393">
        <v>-66.021185477108304</v>
      </c>
      <c r="AI41" s="393">
        <v>1.1330955455766201</v>
      </c>
      <c r="AJ41" s="393">
        <v>1.13279065981209</v>
      </c>
      <c r="AK41" s="393">
        <v>107.96269583110799</v>
      </c>
      <c r="AL41" s="393">
        <v>15972.5625575741</v>
      </c>
      <c r="AM41" s="393">
        <v>575.09197998046898</v>
      </c>
      <c r="AN41" s="393">
        <v>0.31923537853926498</v>
      </c>
      <c r="AO41" s="393">
        <v>-66.359516646885197</v>
      </c>
      <c r="AP41" s="393">
        <v>1.1330961796954799</v>
      </c>
      <c r="AQ41" s="393">
        <v>1.13288039137681</v>
      </c>
      <c r="AR41" s="393">
        <v>107.938397734292</v>
      </c>
      <c r="AS41" s="393">
        <v>15972.6208375853</v>
      </c>
      <c r="AT41" s="393">
        <v>575.092041015625</v>
      </c>
      <c r="AU41" s="393">
        <v>0.32056683343185899</v>
      </c>
      <c r="AV41" s="393">
        <v>-66.555351934966495</v>
      </c>
      <c r="AW41" s="393">
        <v>1.1330973367744199</v>
      </c>
      <c r="AX41" s="393">
        <v>1.13265673623442</v>
      </c>
      <c r="AY41" s="393">
        <v>107.94965485237201</v>
      </c>
      <c r="AZ41" s="393">
        <v>15972.561099500201</v>
      </c>
      <c r="BA41" s="393">
        <v>575.0927734375</v>
      </c>
      <c r="BB41" s="393">
        <v>0.31837246550054599</v>
      </c>
      <c r="BC41" s="393">
        <v>-65.909595263587704</v>
      </c>
      <c r="BD41" s="393">
        <v>1.13309720018656</v>
      </c>
      <c r="BE41" s="393">
        <v>1.1330578994470899</v>
      </c>
      <c r="BF41" s="393">
        <v>107.95572221922301</v>
      </c>
      <c r="BG41" s="393">
        <v>15972.4623056288</v>
      </c>
      <c r="BH41" s="393">
        <v>575.08392333984398</v>
      </c>
      <c r="BI41" s="393">
        <v>0.31939675445993998</v>
      </c>
      <c r="BJ41" s="393">
        <v>-65.834215642406704</v>
      </c>
      <c r="BK41" s="393">
        <v>1.1330966494537</v>
      </c>
      <c r="BL41" s="393">
        <v>1.1328150648072399</v>
      </c>
      <c r="BM41" s="393">
        <v>107.915926997718</v>
      </c>
      <c r="BN41" s="393">
        <v>15972.4283709643</v>
      </c>
      <c r="BO41" s="393">
        <v>575.09320068359398</v>
      </c>
      <c r="BP41" s="393"/>
      <c r="BQ41" s="393"/>
      <c r="BR41" s="393"/>
      <c r="BS41" s="393"/>
      <c r="BT41" s="393"/>
      <c r="BU41" s="393"/>
      <c r="BV41" s="393"/>
      <c r="BW41" s="393">
        <v>995.96293909999997</v>
      </c>
      <c r="BX41" s="393">
        <v>575.01164019999999</v>
      </c>
      <c r="BY41" s="393">
        <v>229.99678710000001</v>
      </c>
      <c r="BZ41" s="393">
        <v>5.0002221100000002</v>
      </c>
      <c r="CA41" s="393">
        <v>-29.999662130000001</v>
      </c>
      <c r="CB41" s="393">
        <v>2.2741530000000001E-3</v>
      </c>
      <c r="CC41" s="399">
        <v>1.526611E-3</v>
      </c>
      <c r="CD41" s="399">
        <v>6.7251300000000004E-5</v>
      </c>
      <c r="CE41" s="399">
        <v>8.5032199999999999E-6</v>
      </c>
      <c r="CF41" s="399">
        <v>8.9151200000000001E-5</v>
      </c>
      <c r="CG41" s="393">
        <v>-1.1599000000000001E-4</v>
      </c>
      <c r="CH41" s="394">
        <v>7.0767929999999996E-3</v>
      </c>
      <c r="CI41" s="394">
        <v>19.540460599999999</v>
      </c>
      <c r="CJ41" s="46">
        <v>2.0856760259999998</v>
      </c>
      <c r="CK41" s="46">
        <v>1.4759898E-2</v>
      </c>
      <c r="CL41" s="393">
        <v>0.499994893</v>
      </c>
      <c r="CM41" s="393">
        <v>45.997314129999999</v>
      </c>
      <c r="CN41" s="393">
        <v>1.6910199999999999E-4</v>
      </c>
      <c r="CO41" s="393">
        <v>99999.884009999994</v>
      </c>
      <c r="CP41" s="393">
        <v>0</v>
      </c>
      <c r="CQ41" s="393">
        <v>0</v>
      </c>
      <c r="CR41" s="393">
        <v>109.256</v>
      </c>
      <c r="CS41" s="393">
        <v>23.888251499999999</v>
      </c>
      <c r="CT41" s="393">
        <v>0.32291484999999998</v>
      </c>
      <c r="CU41" s="393"/>
      <c r="CV41" s="393"/>
      <c r="CW41" s="393"/>
      <c r="CX41" s="393"/>
      <c r="CY41" s="393"/>
      <c r="CZ41" s="393"/>
      <c r="DA41" s="393"/>
    </row>
    <row r="42" spans="1:105" x14ac:dyDescent="0.2">
      <c r="A42" s="366">
        <f>ROW()</f>
        <v>42</v>
      </c>
      <c r="B42" s="367" t="s">
        <v>50</v>
      </c>
      <c r="C42" s="368">
        <v>2</v>
      </c>
      <c r="D42" s="368">
        <v>230</v>
      </c>
      <c r="E42" s="367">
        <v>-126.87</v>
      </c>
      <c r="F42" s="441">
        <v>230</v>
      </c>
      <c r="G42" s="369" t="s">
        <v>131</v>
      </c>
      <c r="H42" s="370">
        <v>1</v>
      </c>
      <c r="I42" s="367">
        <v>50</v>
      </c>
      <c r="J42" s="371">
        <v>10</v>
      </c>
      <c r="K42" s="372">
        <v>5</v>
      </c>
      <c r="L42" s="482">
        <v>100000</v>
      </c>
      <c r="M42" s="443" t="s">
        <v>49</v>
      </c>
      <c r="N42" s="726">
        <f t="shared" si="1"/>
        <v>4.210526396600394E-3</v>
      </c>
      <c r="O42" s="370">
        <v>6</v>
      </c>
      <c r="P42" s="66">
        <v>123</v>
      </c>
      <c r="Q42" s="220"/>
      <c r="R42" s="393"/>
      <c r="S42" s="402">
        <v>229.99693540000001</v>
      </c>
      <c r="T42" s="395">
        <v>1.999954064</v>
      </c>
      <c r="U42" s="402">
        <v>-126.87327449999999</v>
      </c>
      <c r="V42" s="395">
        <v>0.79996463600000001</v>
      </c>
      <c r="W42" s="400">
        <v>-1.4386500000000001E-3</v>
      </c>
      <c r="X42" s="400">
        <v>1.404744E-2</v>
      </c>
      <c r="Y42" s="402">
        <v>2.0810244029999998</v>
      </c>
      <c r="Z42" s="409">
        <v>99998.561350000004</v>
      </c>
      <c r="AA42" s="396">
        <v>42033.688738425924</v>
      </c>
      <c r="AB42" s="397">
        <v>50.000165101243901</v>
      </c>
      <c r="AC42" s="393">
        <v>0.2119140625</v>
      </c>
      <c r="AD42" s="393" t="s">
        <v>132</v>
      </c>
      <c r="AE42" s="393">
        <v>0.2783203125</v>
      </c>
      <c r="AF42" s="393" t="s">
        <v>133</v>
      </c>
      <c r="AG42" s="393">
        <v>0.111187554549788</v>
      </c>
      <c r="AH42" s="393">
        <v>58.265946006836003</v>
      </c>
      <c r="AI42" s="393">
        <v>1.13309710940139</v>
      </c>
      <c r="AJ42" s="393">
        <v>1.13276184391645</v>
      </c>
      <c r="AK42" s="393">
        <v>107.93598763286801</v>
      </c>
      <c r="AL42" s="393">
        <v>10221.270036715699</v>
      </c>
      <c r="AM42" s="393">
        <v>368.01107788085898</v>
      </c>
      <c r="AN42" s="393">
        <v>0.114975101188039</v>
      </c>
      <c r="AO42" s="393">
        <v>57.530766587913703</v>
      </c>
      <c r="AP42" s="393">
        <v>1.13309727847167</v>
      </c>
      <c r="AQ42" s="393">
        <v>1.13337815331668</v>
      </c>
      <c r="AR42" s="393">
        <v>107.94629854791199</v>
      </c>
      <c r="AS42" s="393">
        <v>10221.2528447026</v>
      </c>
      <c r="AT42" s="393">
        <v>368.00213623046898</v>
      </c>
      <c r="AU42" s="393">
        <v>0.112657918279973</v>
      </c>
      <c r="AV42" s="393">
        <v>59.041106108609299</v>
      </c>
      <c r="AW42" s="393">
        <v>1.1330973606389501</v>
      </c>
      <c r="AX42" s="393">
        <v>1.1330162759015701</v>
      </c>
      <c r="AY42" s="393">
        <v>107.955161703408</v>
      </c>
      <c r="AZ42" s="393">
        <v>10221.2483324363</v>
      </c>
      <c r="BA42" s="393">
        <v>368.00500488281199</v>
      </c>
      <c r="BB42" s="393">
        <v>0.11329367457341601</v>
      </c>
      <c r="BC42" s="393">
        <v>57.6161656678226</v>
      </c>
      <c r="BD42" s="393">
        <v>1.1330973612291</v>
      </c>
      <c r="BE42" s="393">
        <v>1.1328293968733201</v>
      </c>
      <c r="BF42" s="393">
        <v>107.94518049751299</v>
      </c>
      <c r="BG42" s="393">
        <v>10221.264995596501</v>
      </c>
      <c r="BH42" s="393">
        <v>368.00228881835898</v>
      </c>
      <c r="BI42" s="393">
        <v>0.11495074819906501</v>
      </c>
      <c r="BJ42" s="393">
        <v>57.594153026529902</v>
      </c>
      <c r="BK42" s="393">
        <v>1.1330974550188599</v>
      </c>
      <c r="BL42" s="393">
        <v>1.1330426189462599</v>
      </c>
      <c r="BM42" s="393">
        <v>107.958505248034</v>
      </c>
      <c r="BN42" s="393">
        <v>10221.2257694235</v>
      </c>
      <c r="BO42" s="393">
        <v>368.00363159179699</v>
      </c>
      <c r="BP42" s="393"/>
      <c r="BQ42" s="393"/>
      <c r="BR42" s="393"/>
      <c r="BS42" s="393"/>
      <c r="BT42" s="393"/>
      <c r="BU42" s="393"/>
      <c r="BV42" s="393"/>
      <c r="BW42" s="393">
        <v>-276.0116726</v>
      </c>
      <c r="BX42" s="393">
        <v>367.9703801</v>
      </c>
      <c r="BY42" s="393">
        <v>229.99693540000001</v>
      </c>
      <c r="BZ42" s="393">
        <v>1.999954064</v>
      </c>
      <c r="CA42" s="393">
        <v>-126.87327449999999</v>
      </c>
      <c r="CB42" s="399">
        <v>1.2590889999999999E-3</v>
      </c>
      <c r="CC42" s="399">
        <v>1.6682050000000001E-3</v>
      </c>
      <c r="CD42" s="399">
        <v>1.1819400000000001E-5</v>
      </c>
      <c r="CE42" s="399">
        <v>4.3736400000000002E-6</v>
      </c>
      <c r="CF42" s="399">
        <v>2.2824499999999999E-4</v>
      </c>
      <c r="CG42" s="393">
        <v>-1.4386500000000001E-3</v>
      </c>
      <c r="CH42" s="394">
        <v>6.7502530000000003E-3</v>
      </c>
      <c r="CI42" s="394">
        <v>20.26160059</v>
      </c>
      <c r="CJ42" s="46">
        <v>2.0810244029999998</v>
      </c>
      <c r="CK42" s="46">
        <v>1.404744E-2</v>
      </c>
      <c r="CL42" s="393">
        <v>0.79996463600000001</v>
      </c>
      <c r="CM42" s="393">
        <v>115.001109</v>
      </c>
      <c r="CN42" s="393">
        <v>5.6304300000000005E-4</v>
      </c>
      <c r="CO42" s="393">
        <v>99998.561350000004</v>
      </c>
      <c r="CP42" s="393">
        <v>0</v>
      </c>
      <c r="CQ42" s="393">
        <v>0</v>
      </c>
      <c r="CR42" s="393">
        <v>109.26</v>
      </c>
      <c r="CS42" s="393">
        <v>23.898559219999999</v>
      </c>
      <c r="CT42" s="393">
        <v>0.32291442999999997</v>
      </c>
      <c r="CU42" s="393"/>
      <c r="CV42" s="393"/>
      <c r="CW42" s="393"/>
      <c r="CX42" s="393"/>
      <c r="CY42" s="393"/>
      <c r="CZ42" s="393"/>
      <c r="DA42" s="393"/>
    </row>
    <row r="43" spans="1:105" x14ac:dyDescent="0.2">
      <c r="A43" s="366">
        <f>ROW()</f>
        <v>43</v>
      </c>
      <c r="B43" s="367" t="s">
        <v>50</v>
      </c>
      <c r="C43" s="368">
        <v>2</v>
      </c>
      <c r="D43" s="368">
        <v>230</v>
      </c>
      <c r="E43" s="367">
        <v>-126.87</v>
      </c>
      <c r="F43" s="441">
        <v>230</v>
      </c>
      <c r="G43" s="369" t="s">
        <v>131</v>
      </c>
      <c r="H43" s="370">
        <v>1</v>
      </c>
      <c r="I43" s="367">
        <v>50</v>
      </c>
      <c r="J43" s="371">
        <v>10</v>
      </c>
      <c r="K43" s="372">
        <v>5</v>
      </c>
      <c r="L43" s="482">
        <v>100000</v>
      </c>
      <c r="M43" s="443" t="s">
        <v>49</v>
      </c>
      <c r="N43" s="726">
        <f>IF(M43="watts",SQRT((0.0005+0.001/COS(RADIANS(ABS(E43))))^2+0.000645^2)*IF(T43&gt;26,2,1),SQRT((0.001+0.001/SIN(RADIANS(ABS(E43))))^2+0.000645^2+0.0035^2))</f>
        <v>4.210526396600394E-3</v>
      </c>
      <c r="O43" s="370">
        <v>6</v>
      </c>
      <c r="P43" s="66">
        <v>123</v>
      </c>
      <c r="Q43" s="220"/>
      <c r="R43" s="393"/>
      <c r="S43" s="402">
        <v>229.99690029999999</v>
      </c>
      <c r="T43" s="395">
        <v>1.9999520500000001</v>
      </c>
      <c r="U43" s="402">
        <v>-126.87321780000001</v>
      </c>
      <c r="V43" s="395">
        <v>0.79996522999999997</v>
      </c>
      <c r="W43" s="400">
        <v>-1.9611490000000001E-3</v>
      </c>
      <c r="X43" s="400">
        <v>1.4058869E-2</v>
      </c>
      <c r="Y43" s="402">
        <v>2.0805063239999999</v>
      </c>
      <c r="Z43" s="409">
        <v>99998.038849999997</v>
      </c>
      <c r="AA43" s="396">
        <v>42033.691655092596</v>
      </c>
      <c r="AB43" s="397">
        <v>50.000080190604201</v>
      </c>
      <c r="AC43" s="393">
        <v>0.2119140625</v>
      </c>
      <c r="AD43" s="393" t="s">
        <v>132</v>
      </c>
      <c r="AE43" s="393">
        <v>0.2783203125</v>
      </c>
      <c r="AF43" s="393" t="s">
        <v>133</v>
      </c>
      <c r="AG43" s="393">
        <v>0.112758518344775</v>
      </c>
      <c r="AH43" s="393">
        <v>58.154831770783801</v>
      </c>
      <c r="AI43" s="393">
        <v>1.13309646885842</v>
      </c>
      <c r="AJ43" s="393">
        <v>1.13309319409781</v>
      </c>
      <c r="AK43" s="393">
        <v>107.960081968301</v>
      </c>
      <c r="AL43" s="393">
        <v>10221.2051698624</v>
      </c>
      <c r="AM43" s="393">
        <v>368.00247192382801</v>
      </c>
      <c r="AN43" s="393">
        <v>0.112720064671888</v>
      </c>
      <c r="AO43" s="393">
        <v>58.455717179398199</v>
      </c>
      <c r="AP43" s="393">
        <v>1.13309722064531</v>
      </c>
      <c r="AQ43" s="393">
        <v>1.1334007362976899</v>
      </c>
      <c r="AR43" s="393">
        <v>107.920244383393</v>
      </c>
      <c r="AS43" s="393">
        <v>10221.201579082501</v>
      </c>
      <c r="AT43" s="393">
        <v>368.00515747070301</v>
      </c>
      <c r="AU43" s="393">
        <v>0.114820346340052</v>
      </c>
      <c r="AV43" s="393">
        <v>58.004114637580003</v>
      </c>
      <c r="AW43" s="393">
        <v>1.13309753782963</v>
      </c>
      <c r="AX43" s="393">
        <v>1.13301549895285</v>
      </c>
      <c r="AY43" s="393">
        <v>107.941401485317</v>
      </c>
      <c r="AZ43" s="393">
        <v>10221.177491368</v>
      </c>
      <c r="BA43" s="393">
        <v>368.00448608398398</v>
      </c>
      <c r="BB43" s="393">
        <v>0.114582440818688</v>
      </c>
      <c r="BC43" s="393">
        <v>56.351381871706501</v>
      </c>
      <c r="BD43" s="393">
        <v>1.1330984729714</v>
      </c>
      <c r="BE43" s="393">
        <v>1.1328301434421</v>
      </c>
      <c r="BF43" s="393">
        <v>107.939602697269</v>
      </c>
      <c r="BG43" s="393">
        <v>10221.1866579419</v>
      </c>
      <c r="BH43" s="393">
        <v>368.00741577148398</v>
      </c>
      <c r="BI43" s="393">
        <v>0.114348427519481</v>
      </c>
      <c r="BJ43" s="393">
        <v>58.0504752621707</v>
      </c>
      <c r="BK43" s="393">
        <v>1.1330959999832999</v>
      </c>
      <c r="BL43" s="393">
        <v>1.13312042626206</v>
      </c>
      <c r="BM43" s="393">
        <v>107.94870546860599</v>
      </c>
      <c r="BN43" s="393">
        <v>10221.202672789599</v>
      </c>
      <c r="BO43" s="393">
        <v>368.00625610351602</v>
      </c>
      <c r="BP43" s="393"/>
      <c r="BQ43" s="393"/>
      <c r="BR43" s="393"/>
      <c r="BS43" s="393"/>
      <c r="BT43" s="393"/>
      <c r="BU43" s="393"/>
      <c r="BV43" s="393"/>
      <c r="BW43" s="393">
        <v>-276.01098860000002</v>
      </c>
      <c r="BX43" s="393">
        <v>367.97022620000001</v>
      </c>
      <c r="BY43" s="393">
        <v>229.99690029999999</v>
      </c>
      <c r="BZ43" s="393">
        <v>1.9999520500000001</v>
      </c>
      <c r="CA43" s="393">
        <v>-126.87321780000001</v>
      </c>
      <c r="CB43" s="399">
        <v>8.6998200000000005E-4</v>
      </c>
      <c r="CC43" s="399">
        <v>2.0044160000000002E-3</v>
      </c>
      <c r="CD43" s="399">
        <v>8.7205699999999998E-5</v>
      </c>
      <c r="CE43" s="399">
        <v>7.0089199999999996E-6</v>
      </c>
      <c r="CF43" s="399">
        <v>1.63096E-4</v>
      </c>
      <c r="CG43" s="393">
        <v>-1.9611490000000001E-3</v>
      </c>
      <c r="CH43" s="394">
        <v>6.7574269999999999E-3</v>
      </c>
      <c r="CI43" s="394">
        <v>20.345381929999999</v>
      </c>
      <c r="CJ43" s="46">
        <v>2.0805063239999999</v>
      </c>
      <c r="CK43" s="46">
        <v>1.4058869E-2</v>
      </c>
      <c r="CL43" s="393">
        <v>0.79996522999999997</v>
      </c>
      <c r="CM43" s="393">
        <v>115.0012073</v>
      </c>
      <c r="CN43" s="393">
        <v>8.2881000000000003E-4</v>
      </c>
      <c r="CO43" s="393">
        <v>99998.038849999997</v>
      </c>
      <c r="CP43" s="393">
        <v>0</v>
      </c>
      <c r="CQ43" s="393">
        <v>0</v>
      </c>
      <c r="CR43" s="393">
        <v>109.265</v>
      </c>
      <c r="CS43" s="393">
        <v>23.911443909999999</v>
      </c>
      <c r="CT43" s="393">
        <v>0.32291390599999997</v>
      </c>
      <c r="CU43" s="393"/>
      <c r="CV43" s="393"/>
      <c r="CW43" s="393"/>
      <c r="CX43" s="393"/>
      <c r="CY43" s="393"/>
      <c r="CZ43" s="393"/>
      <c r="DA43" s="393"/>
    </row>
    <row r="44" spans="1:105" x14ac:dyDescent="0.2">
      <c r="A44" s="366">
        <f>ROW()</f>
        <v>44</v>
      </c>
      <c r="B44" s="367" t="s">
        <v>50</v>
      </c>
      <c r="C44" s="368">
        <v>2</v>
      </c>
      <c r="D44" s="368">
        <v>230</v>
      </c>
      <c r="E44" s="367">
        <v>-126.87</v>
      </c>
      <c r="F44" s="441">
        <v>230</v>
      </c>
      <c r="G44" s="369" t="s">
        <v>131</v>
      </c>
      <c r="H44" s="370">
        <v>1</v>
      </c>
      <c r="I44" s="367">
        <v>50</v>
      </c>
      <c r="J44" s="371">
        <v>10</v>
      </c>
      <c r="K44" s="372">
        <v>5</v>
      </c>
      <c r="L44" s="482">
        <v>100000</v>
      </c>
      <c r="M44" s="443" t="s">
        <v>49</v>
      </c>
      <c r="N44" s="726">
        <f>IF(M44="watts",SQRT((0.0005+0.001/COS(RADIANS(ABS(E44))))^2+0.000645^2)*IF(T44&gt;26,2,1),SQRT((0.001+0.001/SIN(RADIANS(ABS(E44))))^2+0.000645^2+0.0035^2))</f>
        <v>4.210526396600394E-3</v>
      </c>
      <c r="O44" s="370">
        <v>6</v>
      </c>
      <c r="P44" s="66">
        <v>123</v>
      </c>
      <c r="Q44" s="220"/>
      <c r="R44" s="394"/>
      <c r="S44" s="402">
        <v>229.99685500000001</v>
      </c>
      <c r="T44" s="395">
        <v>1.999959045</v>
      </c>
      <c r="U44" s="402">
        <v>-126.8733895</v>
      </c>
      <c r="V44" s="395">
        <v>0.79996343199999997</v>
      </c>
      <c r="W44" s="400">
        <v>-1.3479970000000001E-3</v>
      </c>
      <c r="X44" s="400">
        <v>1.4025217E-2</v>
      </c>
      <c r="Y44" s="402">
        <v>2.0820601029999999</v>
      </c>
      <c r="Z44" s="409">
        <v>99998.652000000002</v>
      </c>
      <c r="AA44" s="396">
        <v>42033.694571759261</v>
      </c>
      <c r="AB44" s="397">
        <v>50.000278312096803</v>
      </c>
      <c r="AC44" s="393">
        <v>0.2119140625</v>
      </c>
      <c r="AD44" s="393" t="s">
        <v>132</v>
      </c>
      <c r="AE44" s="393">
        <v>0.2783203125</v>
      </c>
      <c r="AF44" s="393" t="s">
        <v>133</v>
      </c>
      <c r="AG44" s="393">
        <v>0.111689213392467</v>
      </c>
      <c r="AH44" s="393">
        <v>57.691404248132301</v>
      </c>
      <c r="AI44" s="393">
        <v>1.1330970930831401</v>
      </c>
      <c r="AJ44" s="393">
        <v>1.1330271670077801</v>
      </c>
      <c r="AK44" s="393">
        <v>107.93088455687401</v>
      </c>
      <c r="AL44" s="393">
        <v>10221.3294101056</v>
      </c>
      <c r="AM44" s="393">
        <v>368.00646972656199</v>
      </c>
      <c r="AN44" s="393">
        <v>0.114735909016927</v>
      </c>
      <c r="AO44" s="393">
        <v>57.981459159594401</v>
      </c>
      <c r="AP44" s="393">
        <v>1.13309700834178</v>
      </c>
      <c r="AQ44" s="393">
        <v>1.13305544192486</v>
      </c>
      <c r="AR44" s="393">
        <v>107.928405155322</v>
      </c>
      <c r="AS44" s="393">
        <v>10221.2558385997</v>
      </c>
      <c r="AT44" s="393">
        <v>368.00375366210898</v>
      </c>
      <c r="AU44" s="393">
        <v>0.111371949452304</v>
      </c>
      <c r="AV44" s="393">
        <v>57.395904248787197</v>
      </c>
      <c r="AW44" s="393">
        <v>1.1330971108042101</v>
      </c>
      <c r="AX44" s="393">
        <v>1.1333008093299901</v>
      </c>
      <c r="AY44" s="393">
        <v>107.950804398605</v>
      </c>
      <c r="AZ44" s="393">
        <v>10221.287575697501</v>
      </c>
      <c r="BA44" s="393">
        <v>368.00350952148398</v>
      </c>
      <c r="BB44" s="393">
        <v>0.115049214380606</v>
      </c>
      <c r="BC44" s="393">
        <v>57.784357151584103</v>
      </c>
      <c r="BD44" s="393">
        <v>1.13309627442933</v>
      </c>
      <c r="BE44" s="393">
        <v>1.13288362047686</v>
      </c>
      <c r="BF44" s="393">
        <v>107.959845657796</v>
      </c>
      <c r="BG44" s="393">
        <v>10221.252834889199</v>
      </c>
      <c r="BH44" s="393">
        <v>368.00354003906199</v>
      </c>
      <c r="BI44" s="393">
        <v>0.111348546565257</v>
      </c>
      <c r="BJ44" s="393">
        <v>58.1517623980736</v>
      </c>
      <c r="BK44" s="393">
        <v>1.1330970984056601</v>
      </c>
      <c r="BL44" s="393">
        <v>1.13336363341128</v>
      </c>
      <c r="BM44" s="393">
        <v>107.942198262567</v>
      </c>
      <c r="BN44" s="393">
        <v>10221.2151406538</v>
      </c>
      <c r="BO44" s="393">
        <v>368.00613403320301</v>
      </c>
      <c r="BP44" s="393"/>
      <c r="BQ44" s="393"/>
      <c r="BR44" s="393"/>
      <c r="BS44" s="393"/>
      <c r="BT44" s="393"/>
      <c r="BU44" s="393"/>
      <c r="BV44" s="393"/>
      <c r="BW44" s="393">
        <v>-276.01300209999999</v>
      </c>
      <c r="BX44" s="393">
        <v>367.97061400000001</v>
      </c>
      <c r="BY44" s="393">
        <v>229.99685500000001</v>
      </c>
      <c r="BZ44" s="393">
        <v>1.999959045</v>
      </c>
      <c r="CA44" s="393">
        <v>-126.8733895</v>
      </c>
      <c r="CB44" s="399">
        <v>1.9057939999999999E-3</v>
      </c>
      <c r="CC44" s="399">
        <v>6.9966600000000005E-4</v>
      </c>
      <c r="CD44" s="399">
        <v>3.2815299999999997E-5</v>
      </c>
      <c r="CE44" s="399">
        <v>3.8574599999999997E-6</v>
      </c>
      <c r="CF44" s="393">
        <v>2.25279E-4</v>
      </c>
      <c r="CG44" s="393">
        <v>-1.3479970000000001E-3</v>
      </c>
      <c r="CH44" s="394">
        <v>6.7362209999999997E-3</v>
      </c>
      <c r="CI44" s="394">
        <v>20.09625475</v>
      </c>
      <c r="CJ44" s="46">
        <v>2.0820601029999999</v>
      </c>
      <c r="CK44" s="46">
        <v>1.4025217E-2</v>
      </c>
      <c r="CL44" s="393">
        <v>0.79996343199999997</v>
      </c>
      <c r="CM44" s="393">
        <v>115.00078240000001</v>
      </c>
      <c r="CN44" s="393">
        <v>4.7838699999999999E-4</v>
      </c>
      <c r="CO44" s="393">
        <v>99998.652000000002</v>
      </c>
      <c r="CP44" s="393">
        <v>0</v>
      </c>
      <c r="CQ44" s="393">
        <v>0</v>
      </c>
      <c r="CR44" s="393">
        <v>109.26600000000001</v>
      </c>
      <c r="CS44" s="393">
        <v>23.914020860000001</v>
      </c>
      <c r="CT44" s="393">
        <v>0.322913801</v>
      </c>
      <c r="CU44" s="393"/>
      <c r="CV44" s="393"/>
      <c r="CW44" s="393"/>
      <c r="CX44" s="393"/>
      <c r="CY44" s="393"/>
      <c r="CZ44" s="393"/>
      <c r="DA44" s="393"/>
    </row>
    <row r="45" spans="1:105" x14ac:dyDescent="0.2">
      <c r="A45" s="366">
        <f>ROW()</f>
        <v>45</v>
      </c>
      <c r="B45" s="367" t="s">
        <v>50</v>
      </c>
      <c r="C45" s="368">
        <v>5</v>
      </c>
      <c r="D45" s="368">
        <v>230</v>
      </c>
      <c r="E45" s="367">
        <v>-126.87</v>
      </c>
      <c r="F45" s="441">
        <v>230</v>
      </c>
      <c r="G45" s="369" t="s">
        <v>131</v>
      </c>
      <c r="H45" s="370">
        <v>1</v>
      </c>
      <c r="I45" s="367">
        <v>50</v>
      </c>
      <c r="J45" s="371">
        <v>10</v>
      </c>
      <c r="K45" s="372">
        <v>5</v>
      </c>
      <c r="L45" s="482">
        <v>100000</v>
      </c>
      <c r="M45" s="443" t="s">
        <v>49</v>
      </c>
      <c r="N45" s="726">
        <f t="shared" si="1"/>
        <v>4.210526396600394E-3</v>
      </c>
      <c r="O45" s="370">
        <v>6</v>
      </c>
      <c r="P45" s="66">
        <v>123</v>
      </c>
      <c r="Q45" s="220"/>
      <c r="R45" s="393"/>
      <c r="S45" s="402">
        <v>229.99677449999999</v>
      </c>
      <c r="T45" s="395">
        <v>4.9999167079999998</v>
      </c>
      <c r="U45" s="402">
        <v>-126.87243770000001</v>
      </c>
      <c r="V45" s="395">
        <v>0.79997339899999997</v>
      </c>
      <c r="W45" s="400">
        <v>-7.4262400000000002E-5</v>
      </c>
      <c r="X45" s="400">
        <v>1.400393E-2</v>
      </c>
      <c r="Y45" s="402">
        <v>2.0833292989999999</v>
      </c>
      <c r="Z45" s="409">
        <v>99999.925740000006</v>
      </c>
      <c r="AA45" s="396">
        <v>42033.697500000002</v>
      </c>
      <c r="AB45" s="397">
        <v>50.0003537826654</v>
      </c>
      <c r="AC45" s="393">
        <v>0.529296875</v>
      </c>
      <c r="AD45" s="393" t="s">
        <v>132</v>
      </c>
      <c r="AE45" s="393">
        <v>0.6962890625</v>
      </c>
      <c r="AF45" s="393" t="s">
        <v>133</v>
      </c>
      <c r="AG45" s="393">
        <v>0.18730705492018099</v>
      </c>
      <c r="AH45" s="393">
        <v>171.97073972036199</v>
      </c>
      <c r="AI45" s="393">
        <v>1.1330973928372701</v>
      </c>
      <c r="AJ45" s="393">
        <v>1.13325953822822</v>
      </c>
      <c r="AK45" s="393">
        <v>107.927404879373</v>
      </c>
      <c r="AL45" s="393">
        <v>25553.7873214926</v>
      </c>
      <c r="AM45" s="393">
        <v>920.01702880859398</v>
      </c>
      <c r="AN45" s="393">
        <v>0.18632936110329401</v>
      </c>
      <c r="AO45" s="393">
        <v>173.09666372082799</v>
      </c>
      <c r="AP45" s="393">
        <v>1.1330955070902999</v>
      </c>
      <c r="AQ45" s="393">
        <v>1.1329651714423301</v>
      </c>
      <c r="AR45" s="393">
        <v>107.940386919866</v>
      </c>
      <c r="AS45" s="393">
        <v>25554.0606152855</v>
      </c>
      <c r="AT45" s="393">
        <v>920.01824951171898</v>
      </c>
      <c r="AU45" s="393">
        <v>0.18609357409122701</v>
      </c>
      <c r="AV45" s="393">
        <v>172.80521723230501</v>
      </c>
      <c r="AW45" s="393">
        <v>1.1330961607554699</v>
      </c>
      <c r="AX45" s="393">
        <v>1.13337553407231</v>
      </c>
      <c r="AY45" s="393">
        <v>107.965692106486</v>
      </c>
      <c r="AZ45" s="393">
        <v>25553.906012716401</v>
      </c>
      <c r="BA45" s="393">
        <v>920.02069091796898</v>
      </c>
      <c r="BB45" s="393">
        <v>0.185460514890633</v>
      </c>
      <c r="BC45" s="393">
        <v>171.82183685642801</v>
      </c>
      <c r="BD45" s="393">
        <v>1.1330962841619501</v>
      </c>
      <c r="BE45" s="393">
        <v>1.13277601892336</v>
      </c>
      <c r="BF45" s="393">
        <v>107.94785207889601</v>
      </c>
      <c r="BG45" s="393">
        <v>25553.835595752102</v>
      </c>
      <c r="BH45" s="393">
        <v>920.01672363281205</v>
      </c>
      <c r="BI45" s="393">
        <v>0.186045156688389</v>
      </c>
      <c r="BJ45" s="393">
        <v>173.59512661379799</v>
      </c>
      <c r="BK45" s="393">
        <v>1.13309725572594</v>
      </c>
      <c r="BL45" s="393">
        <v>1.1322386968406699</v>
      </c>
      <c r="BM45" s="393">
        <v>107.96716321840501</v>
      </c>
      <c r="BN45" s="393">
        <v>25553.924983786899</v>
      </c>
      <c r="BO45" s="393">
        <v>920.0205078125</v>
      </c>
      <c r="BP45" s="393"/>
      <c r="BQ45" s="393"/>
      <c r="BR45" s="393"/>
      <c r="BS45" s="393"/>
      <c r="BT45" s="393"/>
      <c r="BU45" s="393"/>
      <c r="BV45" s="393"/>
      <c r="BW45" s="393">
        <v>-690.01961779999999</v>
      </c>
      <c r="BX45" s="393">
        <v>919.94118779999997</v>
      </c>
      <c r="BY45" s="393">
        <v>229.99677449999999</v>
      </c>
      <c r="BZ45" s="393">
        <v>4.9999167079999998</v>
      </c>
      <c r="CA45" s="393">
        <v>-126.87243770000001</v>
      </c>
      <c r="CB45" s="393">
        <v>2.4412969999999998E-3</v>
      </c>
      <c r="CC45" s="393">
        <v>7.1070599999999997E-4</v>
      </c>
      <c r="CD45" s="399">
        <v>7.1995800000000006E-5</v>
      </c>
      <c r="CE45" s="399">
        <v>7.4217200000000002E-6</v>
      </c>
      <c r="CF45" s="399">
        <v>9.2229699999999996E-5</v>
      </c>
      <c r="CG45" s="399">
        <v>-7.4262400000000002E-5</v>
      </c>
      <c r="CH45" s="394">
        <v>6.7218989999999999E-3</v>
      </c>
      <c r="CI45" s="394">
        <v>19.897438300000001</v>
      </c>
      <c r="CJ45" s="46">
        <v>2.0833292989999999</v>
      </c>
      <c r="CK45" s="46">
        <v>1.400393E-2</v>
      </c>
      <c r="CL45" s="393">
        <v>0.79997339899999997</v>
      </c>
      <c r="CM45" s="393">
        <v>46.000121180000001</v>
      </c>
      <c r="CN45" s="393">
        <v>1.5617100000000001E-4</v>
      </c>
      <c r="CO45" s="393">
        <v>99999.925740000006</v>
      </c>
      <c r="CP45" s="393">
        <v>0</v>
      </c>
      <c r="CQ45" s="393">
        <v>0</v>
      </c>
      <c r="CR45" s="393">
        <v>109.26600000000001</v>
      </c>
      <c r="CS45" s="393">
        <v>23.914020860000001</v>
      </c>
      <c r="CT45" s="393">
        <v>0.322913801</v>
      </c>
      <c r="CU45" s="393"/>
      <c r="CV45" s="393"/>
      <c r="CW45" s="393"/>
      <c r="CX45" s="393"/>
      <c r="CY45" s="393"/>
      <c r="CZ45" s="393"/>
      <c r="DA45" s="393"/>
    </row>
    <row r="46" spans="1:105" x14ac:dyDescent="0.2">
      <c r="A46" s="366">
        <f>ROW()</f>
        <v>46</v>
      </c>
      <c r="B46" s="367" t="s">
        <v>50</v>
      </c>
      <c r="C46" s="368">
        <v>5</v>
      </c>
      <c r="D46" s="368">
        <v>230</v>
      </c>
      <c r="E46" s="367">
        <v>-126.87</v>
      </c>
      <c r="F46" s="441">
        <v>230</v>
      </c>
      <c r="G46" s="369" t="s">
        <v>131</v>
      </c>
      <c r="H46" s="370">
        <v>1</v>
      </c>
      <c r="I46" s="367">
        <v>50</v>
      </c>
      <c r="J46" s="371">
        <v>10</v>
      </c>
      <c r="K46" s="372">
        <v>5</v>
      </c>
      <c r="L46" s="482">
        <v>100000</v>
      </c>
      <c r="M46" s="443" t="s">
        <v>49</v>
      </c>
      <c r="N46" s="726">
        <f t="shared" si="1"/>
        <v>4.210526396600394E-3</v>
      </c>
      <c r="O46" s="370">
        <v>6</v>
      </c>
      <c r="P46" s="66">
        <v>123</v>
      </c>
      <c r="Q46" s="220"/>
      <c r="R46" s="393"/>
      <c r="S46" s="402">
        <v>229.99661169999999</v>
      </c>
      <c r="T46" s="395">
        <v>4.9999010229999996</v>
      </c>
      <c r="U46" s="402">
        <v>-126.87238360000001</v>
      </c>
      <c r="V46" s="395">
        <v>0.79997396600000004</v>
      </c>
      <c r="W46" s="400">
        <v>-2.0332E-4</v>
      </c>
      <c r="X46" s="400">
        <v>1.4003425E-2</v>
      </c>
      <c r="Y46" s="402">
        <v>2.0833533229999999</v>
      </c>
      <c r="Z46" s="409">
        <v>99999.796679999999</v>
      </c>
      <c r="AA46" s="396">
        <v>42033.700428240743</v>
      </c>
      <c r="AB46" s="397">
        <v>50.000250001883501</v>
      </c>
      <c r="AC46" s="393">
        <v>0.529296875</v>
      </c>
      <c r="AD46" s="393" t="s">
        <v>132</v>
      </c>
      <c r="AE46" s="393">
        <v>0.6962890625</v>
      </c>
      <c r="AF46" s="393" t="s">
        <v>133</v>
      </c>
      <c r="AG46" s="393">
        <v>0.184026738365139</v>
      </c>
      <c r="AH46" s="393">
        <v>171.632582388663</v>
      </c>
      <c r="AI46" s="393">
        <v>1.1330961221186999</v>
      </c>
      <c r="AJ46" s="393">
        <v>1.13273104753156</v>
      </c>
      <c r="AK46" s="393">
        <v>107.93678235102</v>
      </c>
      <c r="AL46" s="393">
        <v>25553.793204938302</v>
      </c>
      <c r="AM46" s="393">
        <v>920.01580810546898</v>
      </c>
      <c r="AN46" s="393">
        <v>0.18641920160707601</v>
      </c>
      <c r="AO46" s="393">
        <v>172.60029885477201</v>
      </c>
      <c r="AP46" s="393">
        <v>1.1330959720423499</v>
      </c>
      <c r="AQ46" s="393">
        <v>1.13288716579712</v>
      </c>
      <c r="AR46" s="393">
        <v>107.964513863118</v>
      </c>
      <c r="AS46" s="393">
        <v>25553.6684910644</v>
      </c>
      <c r="AT46" s="393">
        <v>920.01959228515602</v>
      </c>
      <c r="AU46" s="393">
        <v>0.18509470028418901</v>
      </c>
      <c r="AV46" s="393">
        <v>172.47720796796</v>
      </c>
      <c r="AW46" s="393">
        <v>1.13309514058167</v>
      </c>
      <c r="AX46" s="393">
        <v>1.13279225541234</v>
      </c>
      <c r="AY46" s="393">
        <v>107.964307672838</v>
      </c>
      <c r="AZ46" s="393">
        <v>25553.842181040902</v>
      </c>
      <c r="BA46" s="393">
        <v>920.01806640625</v>
      </c>
      <c r="BB46" s="393">
        <v>0.18502235011037901</v>
      </c>
      <c r="BC46" s="393">
        <v>172.214503842798</v>
      </c>
      <c r="BD46" s="393">
        <v>1.1330950160811699</v>
      </c>
      <c r="BE46" s="393">
        <v>1.13287729756933</v>
      </c>
      <c r="BF46" s="393">
        <v>107.941254276677</v>
      </c>
      <c r="BG46" s="393">
        <v>25553.856857161201</v>
      </c>
      <c r="BH46" s="393">
        <v>920.01953125</v>
      </c>
      <c r="BI46" s="393">
        <v>0.18885845036299601</v>
      </c>
      <c r="BJ46" s="393">
        <v>172.68164013317701</v>
      </c>
      <c r="BK46" s="393">
        <v>1.13309634050956</v>
      </c>
      <c r="BL46" s="393">
        <v>1.1323352743189199</v>
      </c>
      <c r="BM46" s="393">
        <v>107.96186774414799</v>
      </c>
      <c r="BN46" s="393">
        <v>25553.788252168099</v>
      </c>
      <c r="BO46" s="393">
        <v>920.015869140625</v>
      </c>
      <c r="BP46" s="393"/>
      <c r="BQ46" s="393"/>
      <c r="BR46" s="393"/>
      <c r="BS46" s="393"/>
      <c r="BT46" s="393"/>
      <c r="BU46" s="393"/>
      <c r="BV46" s="393"/>
      <c r="BW46" s="393">
        <v>-690.01609550000001</v>
      </c>
      <c r="BX46" s="393">
        <v>919.93830309999998</v>
      </c>
      <c r="BY46" s="393">
        <v>229.99661169999999</v>
      </c>
      <c r="BZ46" s="393">
        <v>4.9999010229999996</v>
      </c>
      <c r="CA46" s="393">
        <v>-126.87238360000001</v>
      </c>
      <c r="CB46" s="393">
        <v>1.5047979999999999E-3</v>
      </c>
      <c r="CC46" s="393">
        <v>1.635526E-3</v>
      </c>
      <c r="CD46" s="399">
        <v>5.44581E-5</v>
      </c>
      <c r="CE46" s="399">
        <v>3.1457499999999999E-6</v>
      </c>
      <c r="CF46" s="393">
        <v>1.06754E-4</v>
      </c>
      <c r="CG46" s="393">
        <v>-2.0332E-4</v>
      </c>
      <c r="CH46" s="394">
        <v>6.7215790000000001E-3</v>
      </c>
      <c r="CI46" s="394">
        <v>19.893714719999998</v>
      </c>
      <c r="CJ46" s="46">
        <v>2.0833533229999999</v>
      </c>
      <c r="CK46" s="46">
        <v>1.4003425E-2</v>
      </c>
      <c r="CL46" s="393">
        <v>0.79997396600000004</v>
      </c>
      <c r="CM46" s="393">
        <v>46.000232930000003</v>
      </c>
      <c r="CN46" s="399">
        <v>8.2323099999999998E-5</v>
      </c>
      <c r="CO46" s="393">
        <v>99999.796679999999</v>
      </c>
      <c r="CP46" s="393">
        <v>0</v>
      </c>
      <c r="CQ46" s="393">
        <v>0</v>
      </c>
      <c r="CR46" s="393">
        <v>109.267</v>
      </c>
      <c r="CS46" s="393">
        <v>23.916597800000002</v>
      </c>
      <c r="CT46" s="393">
        <v>0.322913697</v>
      </c>
      <c r="CU46" s="393"/>
      <c r="CV46" s="393"/>
      <c r="CW46" s="393"/>
      <c r="CX46" s="393"/>
      <c r="CY46" s="393"/>
      <c r="CZ46" s="393"/>
      <c r="DA46" s="393"/>
    </row>
    <row r="47" spans="1:105" x14ac:dyDescent="0.2">
      <c r="A47" s="366">
        <f>ROW()</f>
        <v>47</v>
      </c>
      <c r="B47" s="367" t="s">
        <v>50</v>
      </c>
      <c r="C47" s="368">
        <v>5</v>
      </c>
      <c r="D47" s="368">
        <v>230</v>
      </c>
      <c r="E47" s="367">
        <v>-126.87</v>
      </c>
      <c r="F47" s="441">
        <v>230</v>
      </c>
      <c r="G47" s="369" t="s">
        <v>131</v>
      </c>
      <c r="H47" s="370">
        <v>1</v>
      </c>
      <c r="I47" s="367">
        <v>50</v>
      </c>
      <c r="J47" s="371">
        <v>10</v>
      </c>
      <c r="K47" s="372">
        <v>5</v>
      </c>
      <c r="L47" s="482">
        <v>100000</v>
      </c>
      <c r="M47" s="443" t="s">
        <v>49</v>
      </c>
      <c r="N47" s="726">
        <f t="shared" si="1"/>
        <v>4.210526396600394E-3</v>
      </c>
      <c r="O47" s="370">
        <v>6</v>
      </c>
      <c r="P47" s="66">
        <v>123</v>
      </c>
      <c r="Q47" s="220"/>
      <c r="R47" s="393"/>
      <c r="S47" s="402">
        <v>229.99687560000001</v>
      </c>
      <c r="T47" s="395">
        <v>4.9999100460000001</v>
      </c>
      <c r="U47" s="402">
        <v>-126.872395</v>
      </c>
      <c r="V47" s="395">
        <v>0.79997384699999996</v>
      </c>
      <c r="W47" s="400">
        <v>-6.8697199999999999E-4</v>
      </c>
      <c r="X47" s="400">
        <v>1.4002498E-2</v>
      </c>
      <c r="Y47" s="402">
        <v>2.0833989320000001</v>
      </c>
      <c r="Z47" s="409">
        <v>99999.313030000005</v>
      </c>
      <c r="AA47" s="396">
        <v>42033.703344907408</v>
      </c>
      <c r="AB47" s="397">
        <v>50.000207551563697</v>
      </c>
      <c r="AC47" s="393">
        <v>0.529296875</v>
      </c>
      <c r="AD47" s="393" t="s">
        <v>132</v>
      </c>
      <c r="AE47" s="393">
        <v>0.6962890625</v>
      </c>
      <c r="AF47" s="393" t="s">
        <v>133</v>
      </c>
      <c r="AG47" s="393">
        <v>0.18405293107315199</v>
      </c>
      <c r="AH47" s="393">
        <v>172.61631188190501</v>
      </c>
      <c r="AI47" s="393">
        <v>1.1330974316759801</v>
      </c>
      <c r="AJ47" s="393">
        <v>1.1330301299613701</v>
      </c>
      <c r="AK47" s="393">
        <v>107.933262469246</v>
      </c>
      <c r="AL47" s="393">
        <v>25553.743675694899</v>
      </c>
      <c r="AM47" s="393">
        <v>920.01330566406205</v>
      </c>
      <c r="AN47" s="393">
        <v>0.18491261453476601</v>
      </c>
      <c r="AO47" s="393">
        <v>172.625571544287</v>
      </c>
      <c r="AP47" s="393">
        <v>1.1330970300068299</v>
      </c>
      <c r="AQ47" s="393">
        <v>1.1327258799137601</v>
      </c>
      <c r="AR47" s="393">
        <v>107.958137244273</v>
      </c>
      <c r="AS47" s="393">
        <v>25553.685625317201</v>
      </c>
      <c r="AT47" s="393">
        <v>920.01379394531205</v>
      </c>
      <c r="AU47" s="393">
        <v>0.18743776012158</v>
      </c>
      <c r="AV47" s="393">
        <v>172.50399502860799</v>
      </c>
      <c r="AW47" s="393">
        <v>1.1330969673570599</v>
      </c>
      <c r="AX47" s="393">
        <v>1.1333871371409201</v>
      </c>
      <c r="AY47" s="393">
        <v>107.922664257376</v>
      </c>
      <c r="AZ47" s="393">
        <v>25553.751090711801</v>
      </c>
      <c r="BA47" s="393">
        <v>920.01611328125</v>
      </c>
      <c r="BB47" s="393">
        <v>0.184990147974022</v>
      </c>
      <c r="BC47" s="393">
        <v>172.58815372175701</v>
      </c>
      <c r="BD47" s="393">
        <v>1.13309641959028</v>
      </c>
      <c r="BE47" s="393">
        <v>1.13273183196412</v>
      </c>
      <c r="BF47" s="393">
        <v>107.956305484105</v>
      </c>
      <c r="BG47" s="393">
        <v>25553.750967066098</v>
      </c>
      <c r="BH47" s="393">
        <v>920.01666259765602</v>
      </c>
      <c r="BI47" s="393">
        <v>0.18603985918438301</v>
      </c>
      <c r="BJ47" s="393">
        <v>171.708129066997</v>
      </c>
      <c r="BK47" s="393">
        <v>1.1330972435109501</v>
      </c>
      <c r="BL47" s="393">
        <v>1.13329568626618</v>
      </c>
      <c r="BM47" s="393">
        <v>107.942080933496</v>
      </c>
      <c r="BN47" s="393">
        <v>25553.757751876401</v>
      </c>
      <c r="BO47" s="393">
        <v>920.016845703125</v>
      </c>
      <c r="BP47" s="393"/>
      <c r="BQ47" s="393"/>
      <c r="BR47" s="393"/>
      <c r="BS47" s="393"/>
      <c r="BT47" s="393"/>
      <c r="BU47" s="393"/>
      <c r="BV47" s="393"/>
      <c r="BW47" s="393">
        <v>-690.01831589999995</v>
      </c>
      <c r="BX47" s="393">
        <v>919.9408813</v>
      </c>
      <c r="BY47" s="393">
        <v>229.99687560000001</v>
      </c>
      <c r="BZ47" s="393">
        <v>4.9999100460000001</v>
      </c>
      <c r="CA47" s="393">
        <v>-126.872395</v>
      </c>
      <c r="CB47" s="393">
        <v>1.219969E-3</v>
      </c>
      <c r="CC47" s="393">
        <v>1.407602E-3</v>
      </c>
      <c r="CD47" s="399">
        <v>3.4585700000000003E-5</v>
      </c>
      <c r="CE47" s="399">
        <v>6.5271800000000002E-6</v>
      </c>
      <c r="CF47" s="399">
        <v>5.36979E-5</v>
      </c>
      <c r="CG47" s="393">
        <v>-6.8697199999999999E-4</v>
      </c>
      <c r="CH47" s="394">
        <v>6.7209870000000003E-3</v>
      </c>
      <c r="CI47" s="394">
        <v>19.886649469999998</v>
      </c>
      <c r="CJ47" s="46">
        <v>2.0833989320000001</v>
      </c>
      <c r="CK47" s="46">
        <v>1.4002498E-2</v>
      </c>
      <c r="CL47" s="393">
        <v>0.79997384699999996</v>
      </c>
      <c r="CM47" s="393">
        <v>46.000202700000003</v>
      </c>
      <c r="CN47" s="393">
        <v>1.3442700000000001E-4</v>
      </c>
      <c r="CO47" s="393">
        <v>99999.313030000005</v>
      </c>
      <c r="CP47" s="393">
        <v>0</v>
      </c>
      <c r="CQ47" s="393">
        <v>0</v>
      </c>
      <c r="CR47" s="393">
        <v>109.26600000000001</v>
      </c>
      <c r="CS47" s="393">
        <v>23.914020860000001</v>
      </c>
      <c r="CT47" s="393">
        <v>0.322913801</v>
      </c>
      <c r="CU47" s="393"/>
      <c r="CV47" s="393"/>
      <c r="CW47" s="393"/>
      <c r="CX47" s="393"/>
      <c r="CY47" s="393"/>
      <c r="CZ47" s="393"/>
      <c r="DA47" s="393"/>
    </row>
    <row r="48" spans="1:105" x14ac:dyDescent="0.2">
      <c r="A48" s="366">
        <f>ROW()</f>
        <v>48</v>
      </c>
      <c r="B48" s="367" t="s">
        <v>50</v>
      </c>
      <c r="C48" s="368">
        <v>0.5</v>
      </c>
      <c r="D48" s="368">
        <v>230</v>
      </c>
      <c r="E48" s="367">
        <v>0</v>
      </c>
      <c r="F48" s="441">
        <v>230</v>
      </c>
      <c r="G48" s="369" t="s">
        <v>359</v>
      </c>
      <c r="H48" s="370">
        <v>1</v>
      </c>
      <c r="I48" s="367">
        <v>50</v>
      </c>
      <c r="J48" s="371">
        <v>10</v>
      </c>
      <c r="K48" s="372">
        <v>5</v>
      </c>
      <c r="L48" s="482">
        <v>100000</v>
      </c>
      <c r="M48" s="443" t="s">
        <v>535</v>
      </c>
      <c r="N48" s="726">
        <f t="shared" si="1"/>
        <v>1.6327966805453765E-3</v>
      </c>
      <c r="O48" s="370">
        <v>6</v>
      </c>
      <c r="P48" s="66">
        <v>123</v>
      </c>
      <c r="Q48" s="220"/>
      <c r="R48" s="402"/>
      <c r="S48" s="402">
        <v>229.9964397</v>
      </c>
      <c r="T48" s="395">
        <v>0.500016142</v>
      </c>
      <c r="U48" s="402">
        <v>-1.61966E-3</v>
      </c>
      <c r="V48" s="395">
        <v>1</v>
      </c>
      <c r="W48" s="400">
        <v>2.02198E-3</v>
      </c>
      <c r="X48" s="400">
        <v>5.0580629999999998E-3</v>
      </c>
      <c r="Y48" s="402">
        <v>2.0614118690000001</v>
      </c>
      <c r="Z48" s="409">
        <v>100002.022</v>
      </c>
      <c r="AA48" s="396">
        <v>42033.718159722222</v>
      </c>
      <c r="AB48" s="397">
        <v>50.000047170355401</v>
      </c>
      <c r="AC48" s="393">
        <v>0.44140625</v>
      </c>
      <c r="AD48" s="393" t="s">
        <v>134</v>
      </c>
      <c r="AE48" s="393">
        <v>0</v>
      </c>
      <c r="AF48" s="393" t="s">
        <v>133</v>
      </c>
      <c r="AG48" s="393">
        <v>0.156828667969728</v>
      </c>
      <c r="AH48" s="393">
        <v>-112.68216262478199</v>
      </c>
      <c r="AI48" s="393">
        <v>1.13309430737379</v>
      </c>
      <c r="AJ48" s="393">
        <v>1.13302540472908</v>
      </c>
      <c r="AK48" s="393">
        <v>107.973686997049</v>
      </c>
      <c r="AL48" s="393">
        <v>3194.5661622707598</v>
      </c>
      <c r="AM48" s="393">
        <v>115.006217956543</v>
      </c>
      <c r="AN48" s="393">
        <v>0.154285898675976</v>
      </c>
      <c r="AO48" s="393">
        <v>-112.54378551460501</v>
      </c>
      <c r="AP48" s="393">
        <v>1.1330929964366301</v>
      </c>
      <c r="AQ48" s="393">
        <v>1.13314248861678</v>
      </c>
      <c r="AR48" s="393">
        <v>107.96345985963301</v>
      </c>
      <c r="AS48" s="393">
        <v>3194.49451324251</v>
      </c>
      <c r="AT48" s="393">
        <v>115.006462097168</v>
      </c>
      <c r="AU48" s="393">
        <v>0.15764848947152699</v>
      </c>
      <c r="AV48" s="393">
        <v>-110.83513112927599</v>
      </c>
      <c r="AW48" s="393">
        <v>1.1330940717922799</v>
      </c>
      <c r="AX48" s="393">
        <v>1.13335007118353</v>
      </c>
      <c r="AY48" s="393">
        <v>107.95510717115801</v>
      </c>
      <c r="AZ48" s="393">
        <v>3194.58466570562</v>
      </c>
      <c r="BA48" s="393">
        <v>115.00617218017599</v>
      </c>
      <c r="BB48" s="393">
        <v>0.159728903977951</v>
      </c>
      <c r="BC48" s="393">
        <v>-111.31651067512099</v>
      </c>
      <c r="BD48" s="393">
        <v>1.1330973428320501</v>
      </c>
      <c r="BE48" s="393">
        <v>1.13280127617624</v>
      </c>
      <c r="BF48" s="393">
        <v>107.950564532502</v>
      </c>
      <c r="BG48" s="393">
        <v>3194.6148295324801</v>
      </c>
      <c r="BH48" s="393">
        <v>115.00543975830099</v>
      </c>
      <c r="BI48" s="393">
        <v>0.15481372069049801</v>
      </c>
      <c r="BJ48" s="393">
        <v>-111.162407484902</v>
      </c>
      <c r="BK48" s="393">
        <v>1.13309563619554</v>
      </c>
      <c r="BL48" s="393">
        <v>1.13271782475645</v>
      </c>
      <c r="BM48" s="393">
        <v>107.94138645166301</v>
      </c>
      <c r="BN48" s="393">
        <v>3194.5534930816898</v>
      </c>
      <c r="BO48" s="393">
        <v>115.00588226318401</v>
      </c>
      <c r="BP48" s="393"/>
      <c r="BQ48" s="393"/>
      <c r="BR48" s="393"/>
      <c r="BS48" s="393"/>
      <c r="BT48" s="393"/>
      <c r="BU48" s="393"/>
      <c r="BV48" s="393"/>
      <c r="BW48" s="393">
        <v>115.0019331</v>
      </c>
      <c r="BX48" s="393">
        <v>3.25092E-3</v>
      </c>
      <c r="BY48" s="393">
        <v>229.9964397</v>
      </c>
      <c r="BZ48" s="393">
        <v>0.500016142</v>
      </c>
      <c r="CA48" s="393">
        <v>-1.61966E-3</v>
      </c>
      <c r="CB48" s="393">
        <v>3.9031100000000001E-4</v>
      </c>
      <c r="CC48" s="393">
        <v>4.42977E-4</v>
      </c>
      <c r="CD48" s="393">
        <v>1.5166999999999999E-4</v>
      </c>
      <c r="CE48" s="399">
        <v>1.8742100000000001E-6</v>
      </c>
      <c r="CF48" s="393">
        <v>2.207E-4</v>
      </c>
      <c r="CG48" s="393">
        <v>2.02198E-3</v>
      </c>
      <c r="CH48" s="394">
        <v>2.4536889999999998E-3</v>
      </c>
      <c r="CI48" s="394">
        <v>24.033501619999999</v>
      </c>
      <c r="CJ48" s="46">
        <v>2.0614118690000001</v>
      </c>
      <c r="CK48" s="46">
        <v>5.0580629999999998E-3</v>
      </c>
      <c r="CL48" s="393">
        <v>1</v>
      </c>
      <c r="CM48" s="393">
        <v>459.97802949999999</v>
      </c>
      <c r="CN48" s="393">
        <v>4.2966499999999999E-3</v>
      </c>
      <c r="CO48" s="393">
        <v>100002.022</v>
      </c>
      <c r="CP48" s="393">
        <v>0</v>
      </c>
      <c r="CQ48" s="393">
        <v>0</v>
      </c>
      <c r="CR48" s="393">
        <v>109.286</v>
      </c>
      <c r="CS48" s="393">
        <v>23.96556021</v>
      </c>
      <c r="CT48" s="393">
        <v>0.32291170400000002</v>
      </c>
      <c r="CU48" s="393"/>
      <c r="CV48" s="393"/>
      <c r="CW48" s="393"/>
      <c r="CX48" s="393"/>
      <c r="CY48" s="393"/>
      <c r="CZ48" s="393"/>
      <c r="DA48" s="393"/>
    </row>
    <row r="49" spans="1:105" x14ac:dyDescent="0.2">
      <c r="A49" s="366">
        <f>ROW()</f>
        <v>49</v>
      </c>
      <c r="B49" s="367" t="s">
        <v>50</v>
      </c>
      <c r="C49" s="368">
        <v>0.5</v>
      </c>
      <c r="D49" s="368">
        <v>230</v>
      </c>
      <c r="E49" s="367">
        <v>0</v>
      </c>
      <c r="F49" s="441">
        <v>230</v>
      </c>
      <c r="G49" s="369" t="s">
        <v>359</v>
      </c>
      <c r="H49" s="370">
        <v>1</v>
      </c>
      <c r="I49" s="367">
        <v>50</v>
      </c>
      <c r="J49" s="371">
        <v>10</v>
      </c>
      <c r="K49" s="372">
        <v>5</v>
      </c>
      <c r="L49" s="482">
        <v>100000</v>
      </c>
      <c r="M49" s="443" t="s">
        <v>535</v>
      </c>
      <c r="N49" s="726">
        <f t="shared" si="1"/>
        <v>1.6327966805453765E-3</v>
      </c>
      <c r="O49" s="370">
        <v>6</v>
      </c>
      <c r="P49" s="66">
        <v>123</v>
      </c>
      <c r="Q49" s="220"/>
      <c r="R49" s="402"/>
      <c r="S49" s="402">
        <v>229.9966019</v>
      </c>
      <c r="T49" s="395">
        <v>0.50001349399999995</v>
      </c>
      <c r="U49" s="402">
        <v>-1.9919640000000001E-3</v>
      </c>
      <c r="V49" s="395">
        <v>0.99999999900000003</v>
      </c>
      <c r="W49" s="400">
        <v>1.8318049999999999E-3</v>
      </c>
      <c r="X49" s="400">
        <v>4.9739609999999998E-3</v>
      </c>
      <c r="Y49" s="402">
        <v>2.0631016180000001</v>
      </c>
      <c r="Z49" s="409">
        <v>100001.8318</v>
      </c>
      <c r="AA49" s="396">
        <v>42033.721099537041</v>
      </c>
      <c r="AB49" s="397">
        <v>50</v>
      </c>
      <c r="AC49" s="393">
        <v>0.44140625</v>
      </c>
      <c r="AD49" s="393" t="s">
        <v>134</v>
      </c>
      <c r="AE49" s="393">
        <v>0</v>
      </c>
      <c r="AF49" s="393" t="s">
        <v>133</v>
      </c>
      <c r="AG49" s="393">
        <v>0.157279378496477</v>
      </c>
      <c r="AH49" s="393">
        <v>-112.06141142116201</v>
      </c>
      <c r="AI49" s="393">
        <v>1.1330957882389401</v>
      </c>
      <c r="AJ49" s="393">
        <v>1.1329465104679499</v>
      </c>
      <c r="AK49" s="393">
        <v>107.96592676041899</v>
      </c>
      <c r="AL49" s="393">
        <v>3194.5306186303901</v>
      </c>
      <c r="AM49" s="393">
        <v>115.005699157715</v>
      </c>
      <c r="AN49" s="393">
        <v>0.16042376994190999</v>
      </c>
      <c r="AO49" s="393">
        <v>-110.076460318541</v>
      </c>
      <c r="AP49" s="393">
        <v>1.13309468728736</v>
      </c>
      <c r="AQ49" s="393">
        <v>1.13303120411772</v>
      </c>
      <c r="AR49" s="393">
        <v>107.949875240217</v>
      </c>
      <c r="AS49" s="393">
        <v>3194.58815645801</v>
      </c>
      <c r="AT49" s="393">
        <v>115.00518798828099</v>
      </c>
      <c r="AU49" s="393">
        <v>0.156432467886951</v>
      </c>
      <c r="AV49" s="393">
        <v>-110.036533008079</v>
      </c>
      <c r="AW49" s="393">
        <v>1.1330961390627201</v>
      </c>
      <c r="AX49" s="393">
        <v>1.1331040933866401</v>
      </c>
      <c r="AY49" s="393">
        <v>107.936859183991</v>
      </c>
      <c r="AZ49" s="393">
        <v>3194.5129191093802</v>
      </c>
      <c r="BA49" s="393">
        <v>115.005905151367</v>
      </c>
      <c r="BB49" s="393">
        <v>0.16047625396420601</v>
      </c>
      <c r="BC49" s="393">
        <v>-111.258920985326</v>
      </c>
      <c r="BD49" s="393">
        <v>1.1330968628056199</v>
      </c>
      <c r="BE49" s="393">
        <v>1.1336566083818</v>
      </c>
      <c r="BF49" s="393">
        <v>107.950803874531</v>
      </c>
      <c r="BG49" s="393">
        <v>3194.5457000777201</v>
      </c>
      <c r="BH49" s="393">
        <v>115.00577545166</v>
      </c>
      <c r="BI49" s="393">
        <v>0.15479040946698699</v>
      </c>
      <c r="BJ49" s="393">
        <v>-111.702226534285</v>
      </c>
      <c r="BK49" s="393">
        <v>1.1330948724516301</v>
      </c>
      <c r="BL49" s="393">
        <v>1.1329314562261601</v>
      </c>
      <c r="BM49" s="393">
        <v>107.964388023982</v>
      </c>
      <c r="BN49" s="393">
        <v>3194.53257207757</v>
      </c>
      <c r="BO49" s="393">
        <v>115.00563812255901</v>
      </c>
      <c r="BP49" s="393"/>
      <c r="BQ49" s="393"/>
      <c r="BR49" s="393"/>
      <c r="BS49" s="393"/>
      <c r="BT49" s="393"/>
      <c r="BU49" s="393"/>
      <c r="BV49" s="393"/>
      <c r="BW49" s="393">
        <v>115.00140519999999</v>
      </c>
      <c r="BX49" s="393">
        <v>3.9981729999999998E-3</v>
      </c>
      <c r="BY49" s="393">
        <v>229.9966019</v>
      </c>
      <c r="BZ49" s="393">
        <v>0.50001349399999995</v>
      </c>
      <c r="CA49" s="393">
        <v>-1.9919640000000001E-3</v>
      </c>
      <c r="CB49" s="393">
        <v>5.2651900000000003E-4</v>
      </c>
      <c r="CC49" s="399">
        <v>4.9776300000000002E-4</v>
      </c>
      <c r="CD49" s="399">
        <v>8.1940499999999999E-5</v>
      </c>
      <c r="CE49" s="399">
        <v>2.3090299999999998E-6</v>
      </c>
      <c r="CF49" s="399">
        <v>2.4799799999999998E-4</v>
      </c>
      <c r="CG49" s="393">
        <v>1.8318049999999999E-3</v>
      </c>
      <c r="CH49" s="394">
        <v>2.4109140000000001E-3</v>
      </c>
      <c r="CI49" s="394">
        <v>23.651785889999999</v>
      </c>
      <c r="CJ49" s="46">
        <v>2.0631016180000001</v>
      </c>
      <c r="CK49" s="46">
        <v>4.9739609999999998E-3</v>
      </c>
      <c r="CL49" s="393">
        <v>0.99999999900000003</v>
      </c>
      <c r="CM49" s="393">
        <v>459.9807897</v>
      </c>
      <c r="CN49" s="393">
        <v>4.8181120000000003E-3</v>
      </c>
      <c r="CO49" s="393">
        <v>100001.8318</v>
      </c>
      <c r="CP49" s="393">
        <v>0</v>
      </c>
      <c r="CQ49" s="393">
        <v>0</v>
      </c>
      <c r="CR49" s="393">
        <v>109.295</v>
      </c>
      <c r="CS49" s="393">
        <v>23.988753200000001</v>
      </c>
      <c r="CT49" s="393">
        <v>0.32291076099999999</v>
      </c>
      <c r="CU49" s="393"/>
      <c r="CV49" s="393"/>
      <c r="CW49" s="393"/>
      <c r="CX49" s="393"/>
      <c r="CY49" s="393"/>
      <c r="CZ49" s="393"/>
      <c r="DA49" s="393"/>
    </row>
    <row r="50" spans="1:105" x14ac:dyDescent="0.2">
      <c r="A50" s="366">
        <f>ROW()</f>
        <v>50</v>
      </c>
      <c r="B50" s="367" t="s">
        <v>50</v>
      </c>
      <c r="C50" s="368">
        <v>0.5</v>
      </c>
      <c r="D50" s="368">
        <v>230</v>
      </c>
      <c r="E50" s="367">
        <v>0</v>
      </c>
      <c r="F50" s="441">
        <v>230</v>
      </c>
      <c r="G50" s="369" t="s">
        <v>359</v>
      </c>
      <c r="H50" s="370">
        <v>1</v>
      </c>
      <c r="I50" s="367">
        <v>50</v>
      </c>
      <c r="J50" s="371">
        <v>10</v>
      </c>
      <c r="K50" s="372">
        <v>5</v>
      </c>
      <c r="L50" s="482">
        <v>100000</v>
      </c>
      <c r="M50" s="443" t="s">
        <v>535</v>
      </c>
      <c r="N50" s="726">
        <f t="shared" si="1"/>
        <v>1.6327966805453765E-3</v>
      </c>
      <c r="O50" s="370">
        <v>6</v>
      </c>
      <c r="P50" s="66">
        <v>123</v>
      </c>
      <c r="Q50" s="220"/>
      <c r="R50" s="402"/>
      <c r="S50" s="402">
        <v>229.9966579</v>
      </c>
      <c r="T50" s="395">
        <v>0.50001299499999996</v>
      </c>
      <c r="U50" s="402">
        <v>-1.7605870000000001E-3</v>
      </c>
      <c r="V50" s="395">
        <v>1</v>
      </c>
      <c r="W50" s="400">
        <v>2.47269E-3</v>
      </c>
      <c r="X50" s="400">
        <v>4.7465739999999999E-3</v>
      </c>
      <c r="Y50" s="402">
        <v>2.0790332810000001</v>
      </c>
      <c r="Z50" s="409">
        <v>100002.4727</v>
      </c>
      <c r="AA50" s="396">
        <v>42033.724004629628</v>
      </c>
      <c r="AB50" s="397">
        <v>50.000231141741402</v>
      </c>
      <c r="AC50" s="393">
        <v>0.44140625</v>
      </c>
      <c r="AD50" s="393" t="s">
        <v>134</v>
      </c>
      <c r="AE50" s="393">
        <v>0</v>
      </c>
      <c r="AF50" s="393" t="s">
        <v>133</v>
      </c>
      <c r="AG50" s="393">
        <v>0.158299038845721</v>
      </c>
      <c r="AH50" s="393">
        <v>-112.064808812051</v>
      </c>
      <c r="AI50" s="393">
        <v>1.1330955990078899</v>
      </c>
      <c r="AJ50" s="393">
        <v>1.1328766707531801</v>
      </c>
      <c r="AK50" s="393">
        <v>107.95477949281</v>
      </c>
      <c r="AL50" s="393">
        <v>3194.5895545778199</v>
      </c>
      <c r="AM50" s="393">
        <v>115.005699157715</v>
      </c>
      <c r="AN50" s="393">
        <v>0.158457328063808</v>
      </c>
      <c r="AO50" s="393">
        <v>-109.89012988962</v>
      </c>
      <c r="AP50" s="393">
        <v>1.1330972026505</v>
      </c>
      <c r="AQ50" s="393">
        <v>1.13287089983512</v>
      </c>
      <c r="AR50" s="393">
        <v>107.942222301672</v>
      </c>
      <c r="AS50" s="393">
        <v>3194.5409469544802</v>
      </c>
      <c r="AT50" s="393">
        <v>115.005645751953</v>
      </c>
      <c r="AU50" s="393">
        <v>0.15783297383751799</v>
      </c>
      <c r="AV50" s="393">
        <v>-112.033361016168</v>
      </c>
      <c r="AW50" s="393">
        <v>1.13309703746719</v>
      </c>
      <c r="AX50" s="393">
        <v>1.1329905768146</v>
      </c>
      <c r="AY50" s="393">
        <v>107.963439571037</v>
      </c>
      <c r="AZ50" s="393">
        <v>3194.5660392976602</v>
      </c>
      <c r="BA50" s="393">
        <v>115.005737304688</v>
      </c>
      <c r="BB50" s="393">
        <v>0.15660975747708999</v>
      </c>
      <c r="BC50" s="393">
        <v>-111.934953734742</v>
      </c>
      <c r="BD50" s="393">
        <v>1.1330952485033401</v>
      </c>
      <c r="BE50" s="393">
        <v>1.1329711226563199</v>
      </c>
      <c r="BF50" s="393">
        <v>107.941718893513</v>
      </c>
      <c r="BG50" s="393">
        <v>3194.5719820447198</v>
      </c>
      <c r="BH50" s="393">
        <v>115.005729675293</v>
      </c>
      <c r="BI50" s="393">
        <v>0.16060921444026399</v>
      </c>
      <c r="BJ50" s="393">
        <v>-110.955459175225</v>
      </c>
      <c r="BK50" s="393">
        <v>1.1330946406929401</v>
      </c>
      <c r="BL50" s="393">
        <v>1.13353646534972</v>
      </c>
      <c r="BM50" s="393">
        <v>107.948502084853</v>
      </c>
      <c r="BN50" s="393">
        <v>3194.5317473776099</v>
      </c>
      <c r="BO50" s="393">
        <v>115.005256652832</v>
      </c>
      <c r="BP50" s="393"/>
      <c r="BQ50" s="393"/>
      <c r="BR50" s="393"/>
      <c r="BS50" s="393"/>
      <c r="BT50" s="393"/>
      <c r="BU50" s="393"/>
      <c r="BV50" s="393"/>
      <c r="BW50" s="393">
        <v>115.00131829999999</v>
      </c>
      <c r="BX50" s="393">
        <v>3.5337620000000002E-3</v>
      </c>
      <c r="BY50" s="393">
        <v>229.9966579</v>
      </c>
      <c r="BZ50" s="393">
        <v>0.50001299499999996</v>
      </c>
      <c r="CA50" s="393">
        <v>-1.7605870000000001E-3</v>
      </c>
      <c r="CB50" s="393">
        <v>3.7567999999999998E-4</v>
      </c>
      <c r="CC50" s="393">
        <v>5.0854199999999996E-4</v>
      </c>
      <c r="CD50" s="393">
        <v>1.02302E-4</v>
      </c>
      <c r="CE50" s="399">
        <v>1.54242E-6</v>
      </c>
      <c r="CF50" s="393">
        <v>2.53367E-4</v>
      </c>
      <c r="CG50" s="393">
        <v>2.47269E-3</v>
      </c>
      <c r="CH50" s="394">
        <v>2.2830680000000001E-3</v>
      </c>
      <c r="CI50" s="394">
        <v>20.58760024</v>
      </c>
      <c r="CJ50" s="46">
        <v>2.0790332810000001</v>
      </c>
      <c r="CK50" s="46">
        <v>4.7465739999999999E-3</v>
      </c>
      <c r="CL50" s="393">
        <v>1</v>
      </c>
      <c r="CM50" s="393">
        <v>459.98136090000003</v>
      </c>
      <c r="CN50" s="399">
        <v>3.0435639999999999E-3</v>
      </c>
      <c r="CO50" s="393">
        <v>100002.4727</v>
      </c>
      <c r="CP50" s="393">
        <v>0</v>
      </c>
      <c r="CQ50" s="393">
        <v>0</v>
      </c>
      <c r="CR50" s="393">
        <v>109.3</v>
      </c>
      <c r="CS50" s="393">
        <v>24.001638270000001</v>
      </c>
      <c r="CT50" s="393">
        <v>0.32291023600000002</v>
      </c>
      <c r="CU50" s="393"/>
      <c r="CV50" s="393"/>
      <c r="CW50" s="393"/>
      <c r="CX50" s="393"/>
      <c r="CY50" s="393"/>
      <c r="CZ50" s="393"/>
      <c r="DA50" s="393"/>
    </row>
    <row r="51" spans="1:105" x14ac:dyDescent="0.2">
      <c r="A51" s="366">
        <f>ROW()</f>
        <v>51</v>
      </c>
      <c r="B51" s="367" t="s">
        <v>50</v>
      </c>
      <c r="C51" s="368">
        <v>0.5</v>
      </c>
      <c r="D51" s="368">
        <v>230</v>
      </c>
      <c r="E51" s="367">
        <v>-60</v>
      </c>
      <c r="F51" s="441">
        <v>230</v>
      </c>
      <c r="G51" s="369" t="s">
        <v>359</v>
      </c>
      <c r="H51" s="370">
        <v>1</v>
      </c>
      <c r="I51" s="367">
        <v>50</v>
      </c>
      <c r="J51" s="371">
        <v>10</v>
      </c>
      <c r="K51" s="372">
        <v>5</v>
      </c>
      <c r="L51" s="482">
        <v>100000</v>
      </c>
      <c r="M51" s="443" t="s">
        <v>535</v>
      </c>
      <c r="N51" s="726">
        <f t="shared" si="1"/>
        <v>2.5818646362658127E-3</v>
      </c>
      <c r="O51" s="370">
        <v>6</v>
      </c>
      <c r="P51" s="66">
        <v>123</v>
      </c>
      <c r="Q51" s="220"/>
      <c r="R51" s="402"/>
      <c r="S51" s="402">
        <v>229.9966163</v>
      </c>
      <c r="T51" s="395">
        <v>0.499994355</v>
      </c>
      <c r="U51" s="402">
        <v>-59.999468270000001</v>
      </c>
      <c r="V51" s="395">
        <v>0.50000803699999996</v>
      </c>
      <c r="W51" s="400">
        <v>-5.7520719999999996E-3</v>
      </c>
      <c r="X51" s="400">
        <v>8.9687499999999993E-3</v>
      </c>
      <c r="Y51" s="402">
        <v>2.0397223609999999</v>
      </c>
      <c r="Z51" s="409">
        <v>99994.247929999998</v>
      </c>
      <c r="AA51" s="396">
        <v>42033.726909722223</v>
      </c>
      <c r="AB51" s="397">
        <v>50.000433973269601</v>
      </c>
      <c r="AC51" s="393">
        <v>0.220703125</v>
      </c>
      <c r="AD51" s="393" t="s">
        <v>134</v>
      </c>
      <c r="AE51" s="393">
        <v>0.376953125</v>
      </c>
      <c r="AF51" s="393" t="s">
        <v>133</v>
      </c>
      <c r="AG51" s="393">
        <v>0.17242753477535799</v>
      </c>
      <c r="AH51" s="393">
        <v>173.21386766344401</v>
      </c>
      <c r="AI51" s="393">
        <v>1.13309584486964</v>
      </c>
      <c r="AJ51" s="393">
        <v>1.13327946891401</v>
      </c>
      <c r="AK51" s="393">
        <v>107.948744684091</v>
      </c>
      <c r="AL51" s="393">
        <v>1597.1536091620701</v>
      </c>
      <c r="AM51" s="393">
        <v>57.4954833984375</v>
      </c>
      <c r="AN51" s="393">
        <v>0.173336618049685</v>
      </c>
      <c r="AO51" s="393">
        <v>172.93024686174101</v>
      </c>
      <c r="AP51" s="393">
        <v>1.1330941694759</v>
      </c>
      <c r="AQ51" s="393">
        <v>1.1327916027321501</v>
      </c>
      <c r="AR51" s="393">
        <v>107.96274000905601</v>
      </c>
      <c r="AS51" s="393">
        <v>1597.0579310357</v>
      </c>
      <c r="AT51" s="393">
        <v>57.495441436767599</v>
      </c>
      <c r="AU51" s="393">
        <v>0.17022759105402599</v>
      </c>
      <c r="AV51" s="393">
        <v>171.82879436131401</v>
      </c>
      <c r="AW51" s="393">
        <v>1.13309573985344</v>
      </c>
      <c r="AX51" s="393">
        <v>1.1329175356510699</v>
      </c>
      <c r="AY51" s="393">
        <v>107.995529007329</v>
      </c>
      <c r="AZ51" s="393">
        <v>1597.1020950976899</v>
      </c>
      <c r="BA51" s="393">
        <v>57.495105743408203</v>
      </c>
      <c r="BB51" s="393">
        <v>0.16787509197750899</v>
      </c>
      <c r="BC51" s="393">
        <v>173.75771696416601</v>
      </c>
      <c r="BD51" s="393">
        <v>1.13309518970685</v>
      </c>
      <c r="BE51" s="393">
        <v>1.13351324909849</v>
      </c>
      <c r="BF51" s="393">
        <v>107.95990904739</v>
      </c>
      <c r="BG51" s="393">
        <v>1597.12759370091</v>
      </c>
      <c r="BH51" s="393">
        <v>57.494945526122997</v>
      </c>
      <c r="BI51" s="393">
        <v>0.17322785156951501</v>
      </c>
      <c r="BJ51" s="393">
        <v>173.009032382257</v>
      </c>
      <c r="BK51" s="393">
        <v>1.1330977605581001</v>
      </c>
      <c r="BL51" s="393">
        <v>1.13291569444893</v>
      </c>
      <c r="BM51" s="393">
        <v>107.962841688013</v>
      </c>
      <c r="BN51" s="393">
        <v>1597.1312824844599</v>
      </c>
      <c r="BO51" s="393">
        <v>57.495800018310497</v>
      </c>
      <c r="BP51" s="393"/>
      <c r="BQ51" s="393"/>
      <c r="BR51" s="393"/>
      <c r="BS51" s="393"/>
      <c r="BT51" s="393"/>
      <c r="BU51" s="393"/>
      <c r="BV51" s="393"/>
      <c r="BW51" s="393">
        <v>57.499429509999999</v>
      </c>
      <c r="BX51" s="393">
        <v>99.589798880000004</v>
      </c>
      <c r="BY51" s="393">
        <v>229.9966163</v>
      </c>
      <c r="BZ51" s="393">
        <v>0.499994355</v>
      </c>
      <c r="CA51" s="393">
        <v>-59.999468270000001</v>
      </c>
      <c r="CB51" s="393">
        <v>4.3409500000000001E-4</v>
      </c>
      <c r="CC51" s="393">
        <v>4.7146800000000001E-4</v>
      </c>
      <c r="CD51" s="393">
        <v>1.18918E-4</v>
      </c>
      <c r="CE51" s="399">
        <v>1.8909800000000001E-6</v>
      </c>
      <c r="CF51" s="393">
        <v>2.34074E-4</v>
      </c>
      <c r="CG51" s="393">
        <v>-5.7520719999999996E-3</v>
      </c>
      <c r="CH51" s="394">
        <v>4.3970440000000001E-3</v>
      </c>
      <c r="CI51" s="394">
        <v>30.375698020000002</v>
      </c>
      <c r="CJ51" s="46">
        <v>2.0397223609999999</v>
      </c>
      <c r="CK51" s="46">
        <v>8.9687499999999993E-3</v>
      </c>
      <c r="CL51" s="393">
        <v>0.50000803699999996</v>
      </c>
      <c r="CM51" s="393">
        <v>459.99842569999998</v>
      </c>
      <c r="CN51" s="393">
        <v>3.9535730000000002E-3</v>
      </c>
      <c r="CO51" s="393">
        <v>99994.247929999998</v>
      </c>
      <c r="CP51" s="393">
        <v>0</v>
      </c>
      <c r="CQ51" s="393">
        <v>0</v>
      </c>
      <c r="CR51" s="393">
        <v>109.29900000000001</v>
      </c>
      <c r="CS51" s="393">
        <v>23.99906125</v>
      </c>
      <c r="CT51" s="393">
        <v>0.32291034099999999</v>
      </c>
      <c r="CU51" s="393"/>
      <c r="CV51" s="393"/>
      <c r="CW51" s="393"/>
      <c r="CX51" s="393"/>
      <c r="CY51" s="393"/>
      <c r="CZ51" s="393"/>
      <c r="DA51" s="393"/>
    </row>
    <row r="52" spans="1:105" x14ac:dyDescent="0.2">
      <c r="A52" s="366">
        <f>ROW()</f>
        <v>52</v>
      </c>
      <c r="B52" s="367" t="s">
        <v>50</v>
      </c>
      <c r="C52" s="368">
        <v>0.5</v>
      </c>
      <c r="D52" s="368">
        <v>230</v>
      </c>
      <c r="E52" s="367">
        <v>-60</v>
      </c>
      <c r="F52" s="441">
        <v>230</v>
      </c>
      <c r="G52" s="369" t="s">
        <v>359</v>
      </c>
      <c r="H52" s="370">
        <v>1</v>
      </c>
      <c r="I52" s="367">
        <v>50</v>
      </c>
      <c r="J52" s="371">
        <v>10</v>
      </c>
      <c r="K52" s="372">
        <v>5</v>
      </c>
      <c r="L52" s="482">
        <v>100000</v>
      </c>
      <c r="M52" s="443" t="s">
        <v>535</v>
      </c>
      <c r="N52" s="726">
        <f t="shared" si="1"/>
        <v>2.5818646362658127E-3</v>
      </c>
      <c r="O52" s="370">
        <v>6</v>
      </c>
      <c r="P52" s="66">
        <v>123</v>
      </c>
      <c r="Q52" s="220"/>
      <c r="R52" s="402"/>
      <c r="S52" s="402">
        <v>229.9968054</v>
      </c>
      <c r="T52" s="395">
        <v>0.49999961199999998</v>
      </c>
      <c r="U52" s="402">
        <v>-59.99920049</v>
      </c>
      <c r="V52" s="395">
        <v>0.50001208500000005</v>
      </c>
      <c r="W52" s="400">
        <v>-6.3142600000000004E-3</v>
      </c>
      <c r="X52" s="400">
        <v>8.8893749999999997E-3</v>
      </c>
      <c r="Y52" s="402">
        <v>2.0405737130000001</v>
      </c>
      <c r="Z52" s="409">
        <v>99993.685740000001</v>
      </c>
      <c r="AA52" s="396">
        <v>42033.729814814818</v>
      </c>
      <c r="AB52" s="397">
        <v>50.000179251350502</v>
      </c>
      <c r="AC52" s="393">
        <v>0.220703125</v>
      </c>
      <c r="AD52" s="393" t="s">
        <v>134</v>
      </c>
      <c r="AE52" s="393">
        <v>0.376953125</v>
      </c>
      <c r="AF52" s="393" t="s">
        <v>133</v>
      </c>
      <c r="AG52" s="393">
        <v>0.16668432592896101</v>
      </c>
      <c r="AH52" s="393">
        <v>172.66404581242</v>
      </c>
      <c r="AI52" s="393">
        <v>1.1330964416298199</v>
      </c>
      <c r="AJ52" s="393">
        <v>1.1333509546537901</v>
      </c>
      <c r="AK52" s="393">
        <v>107.928813538227</v>
      </c>
      <c r="AL52" s="393">
        <v>1597.19202899569</v>
      </c>
      <c r="AM52" s="393">
        <v>57.494491577148402</v>
      </c>
      <c r="AN52" s="393">
        <v>0.17081654205546101</v>
      </c>
      <c r="AO52" s="393">
        <v>171.72733450705499</v>
      </c>
      <c r="AP52" s="393">
        <v>1.1330968424083501</v>
      </c>
      <c r="AQ52" s="393">
        <v>1.1329981072792901</v>
      </c>
      <c r="AR52" s="393">
        <v>107.93916786372699</v>
      </c>
      <c r="AS52" s="393">
        <v>1597.1361976517701</v>
      </c>
      <c r="AT52" s="393">
        <v>57.495391845703097</v>
      </c>
      <c r="AU52" s="393">
        <v>0.16658681565144201</v>
      </c>
      <c r="AV52" s="393">
        <v>171.56370721321201</v>
      </c>
      <c r="AW52" s="393">
        <v>1.13309568756166</v>
      </c>
      <c r="AX52" s="393">
        <v>1.1329765860173799</v>
      </c>
      <c r="AY52" s="393">
        <v>107.947691214437</v>
      </c>
      <c r="AZ52" s="393">
        <v>1597.1171173631601</v>
      </c>
      <c r="BA52" s="393">
        <v>57.494640350341797</v>
      </c>
      <c r="BB52" s="393">
        <v>0.17122464779466101</v>
      </c>
      <c r="BC52" s="393">
        <v>171.37891930169201</v>
      </c>
      <c r="BD52" s="393">
        <v>1.1330985012594099</v>
      </c>
      <c r="BE52" s="393">
        <v>1.13283559947709</v>
      </c>
      <c r="BF52" s="393">
        <v>107.95155195098801</v>
      </c>
      <c r="BG52" s="393">
        <v>1597.1422937759401</v>
      </c>
      <c r="BH52" s="393">
        <v>57.495548248291001</v>
      </c>
      <c r="BI52" s="393">
        <v>0.169941136918071</v>
      </c>
      <c r="BJ52" s="393">
        <v>173.791652601685</v>
      </c>
      <c r="BK52" s="393">
        <v>1.13309588968203</v>
      </c>
      <c r="BL52" s="393">
        <v>1.13296195649113</v>
      </c>
      <c r="BM52" s="393">
        <v>107.955679959911</v>
      </c>
      <c r="BN52" s="393">
        <v>1597.0951445698299</v>
      </c>
      <c r="BO52" s="393">
        <v>57.494956970214801</v>
      </c>
      <c r="BP52" s="393"/>
      <c r="BQ52" s="393"/>
      <c r="BR52" s="393"/>
      <c r="BS52" s="393"/>
      <c r="BT52" s="393"/>
      <c r="BU52" s="393"/>
      <c r="BV52" s="393"/>
      <c r="BW52" s="393">
        <v>57.500546790000001</v>
      </c>
      <c r="BX52" s="393">
        <v>99.590659110000004</v>
      </c>
      <c r="BY52" s="393">
        <v>229.9968054</v>
      </c>
      <c r="BZ52" s="393">
        <v>0.49999961199999998</v>
      </c>
      <c r="CA52" s="393">
        <v>-59.99920049</v>
      </c>
      <c r="CB52" s="393">
        <v>6.2782099999999998E-4</v>
      </c>
      <c r="CC52" s="393">
        <v>4.0537700000000001E-4</v>
      </c>
      <c r="CD52" s="393">
        <v>1.01588E-4</v>
      </c>
      <c r="CE52" s="399">
        <v>1.97923E-6</v>
      </c>
      <c r="CF52" s="393">
        <v>2.9754199999999998E-4</v>
      </c>
      <c r="CG52" s="393">
        <v>-6.3142600000000004E-3</v>
      </c>
      <c r="CH52" s="394">
        <v>4.3563120000000002E-3</v>
      </c>
      <c r="CI52" s="394">
        <v>30.0621735</v>
      </c>
      <c r="CJ52" s="46">
        <v>2.0405737130000001</v>
      </c>
      <c r="CK52" s="46">
        <v>8.8893749999999997E-3</v>
      </c>
      <c r="CL52" s="393">
        <v>0.50001208500000005</v>
      </c>
      <c r="CM52" s="393">
        <v>459.99396760000002</v>
      </c>
      <c r="CN52" s="393">
        <v>4.1738019999999999E-3</v>
      </c>
      <c r="CO52" s="393">
        <v>99993.685740000001</v>
      </c>
      <c r="CP52" s="393">
        <v>0</v>
      </c>
      <c r="CQ52" s="393">
        <v>0</v>
      </c>
      <c r="CR52" s="393">
        <v>109.29300000000001</v>
      </c>
      <c r="CS52" s="393">
        <v>23.983599179999999</v>
      </c>
      <c r="CT52" s="393">
        <v>0.32291097000000002</v>
      </c>
      <c r="CU52" s="393"/>
      <c r="CV52" s="393"/>
      <c r="CW52" s="393"/>
      <c r="CX52" s="393"/>
      <c r="CY52" s="393"/>
      <c r="CZ52" s="393"/>
      <c r="DA52" s="393"/>
    </row>
    <row r="53" spans="1:105" x14ac:dyDescent="0.2">
      <c r="A53" s="366">
        <f>ROW()</f>
        <v>53</v>
      </c>
      <c r="B53" s="367" t="s">
        <v>50</v>
      </c>
      <c r="C53" s="368">
        <v>0.5</v>
      </c>
      <c r="D53" s="368">
        <v>230</v>
      </c>
      <c r="E53" s="367">
        <v>-60</v>
      </c>
      <c r="F53" s="441">
        <v>230</v>
      </c>
      <c r="G53" s="369" t="s">
        <v>359</v>
      </c>
      <c r="H53" s="370">
        <v>1</v>
      </c>
      <c r="I53" s="367">
        <v>50</v>
      </c>
      <c r="J53" s="371">
        <v>10</v>
      </c>
      <c r="K53" s="372">
        <v>5</v>
      </c>
      <c r="L53" s="482">
        <v>100000</v>
      </c>
      <c r="M53" s="443" t="s">
        <v>535</v>
      </c>
      <c r="N53" s="726">
        <f t="shared" si="1"/>
        <v>2.5818646362658127E-3</v>
      </c>
      <c r="O53" s="370">
        <v>6</v>
      </c>
      <c r="P53" s="66">
        <v>123</v>
      </c>
      <c r="Q53" s="220"/>
      <c r="R53" s="402"/>
      <c r="S53" s="402">
        <v>229.99682279999999</v>
      </c>
      <c r="T53" s="395">
        <v>0.499999101</v>
      </c>
      <c r="U53" s="402">
        <v>-59.999356280000001</v>
      </c>
      <c r="V53" s="395">
        <v>0.50000973000000004</v>
      </c>
      <c r="W53" s="400">
        <v>-6.8845299999999998E-3</v>
      </c>
      <c r="X53" s="400">
        <v>8.6729029999999992E-3</v>
      </c>
      <c r="Y53" s="402">
        <v>2.0455830910000001</v>
      </c>
      <c r="Z53" s="409">
        <v>99993.115470000004</v>
      </c>
      <c r="AA53" s="396">
        <v>42033.732719907406</v>
      </c>
      <c r="AB53" s="397">
        <v>50.000207551563697</v>
      </c>
      <c r="AC53" s="393">
        <v>0.220703125</v>
      </c>
      <c r="AD53" s="393" t="s">
        <v>134</v>
      </c>
      <c r="AE53" s="393">
        <v>0.376953125</v>
      </c>
      <c r="AF53" s="393" t="s">
        <v>133</v>
      </c>
      <c r="AG53" s="393">
        <v>0.168170602750915</v>
      </c>
      <c r="AH53" s="393">
        <v>171.99809952313399</v>
      </c>
      <c r="AI53" s="393">
        <v>1.1330971888063499</v>
      </c>
      <c r="AJ53" s="393">
        <v>1.1330087298581999</v>
      </c>
      <c r="AK53" s="393">
        <v>107.96621180858401</v>
      </c>
      <c r="AL53" s="393">
        <v>1597.1240100610501</v>
      </c>
      <c r="AM53" s="393">
        <v>57.495033264160199</v>
      </c>
      <c r="AN53" s="393">
        <v>0.16980746242364</v>
      </c>
      <c r="AO53" s="393">
        <v>173.611606648524</v>
      </c>
      <c r="AP53" s="393">
        <v>1.1330967956320099</v>
      </c>
      <c r="AQ53" s="393">
        <v>1.1329157171469499</v>
      </c>
      <c r="AR53" s="393">
        <v>107.97654929594999</v>
      </c>
      <c r="AS53" s="393">
        <v>1597.1001773732501</v>
      </c>
      <c r="AT53" s="393">
        <v>57.494831085205099</v>
      </c>
      <c r="AU53" s="393">
        <v>0.17030674825429801</v>
      </c>
      <c r="AV53" s="393">
        <v>171.65002924518299</v>
      </c>
      <c r="AW53" s="393">
        <v>1.1330970700002401</v>
      </c>
      <c r="AX53" s="393">
        <v>1.1330243562937901</v>
      </c>
      <c r="AY53" s="393">
        <v>107.943139862653</v>
      </c>
      <c r="AZ53" s="393">
        <v>1597.1502395407599</v>
      </c>
      <c r="BA53" s="393">
        <v>57.495704650878899</v>
      </c>
      <c r="BB53" s="393">
        <v>0.16865290617016099</v>
      </c>
      <c r="BC53" s="393">
        <v>173.389022513681</v>
      </c>
      <c r="BD53" s="393">
        <v>1.13309672481324</v>
      </c>
      <c r="BE53" s="393">
        <v>1.13322664203877</v>
      </c>
      <c r="BF53" s="393">
        <v>107.936618212822</v>
      </c>
      <c r="BG53" s="393">
        <v>1597.1148588759399</v>
      </c>
      <c r="BH53" s="393">
        <v>57.495147705078097</v>
      </c>
      <c r="BI53" s="393">
        <v>0.17149832155734299</v>
      </c>
      <c r="BJ53" s="393">
        <v>171.70821941082801</v>
      </c>
      <c r="BK53" s="393">
        <v>1.13309601148852</v>
      </c>
      <c r="BL53" s="393">
        <v>1.13279706830493</v>
      </c>
      <c r="BM53" s="393">
        <v>107.953742614809</v>
      </c>
      <c r="BN53" s="393">
        <v>1597.1027876738999</v>
      </c>
      <c r="BO53" s="393">
        <v>57.495536804199197</v>
      </c>
      <c r="BP53" s="393"/>
      <c r="BQ53" s="393"/>
      <c r="BR53" s="393"/>
      <c r="BS53" s="393"/>
      <c r="BT53" s="393"/>
      <c r="BU53" s="393"/>
      <c r="BV53" s="393"/>
      <c r="BW53" s="393">
        <v>57.50022156</v>
      </c>
      <c r="BX53" s="393">
        <v>99.590721189999996</v>
      </c>
      <c r="BY53" s="393">
        <v>229.99682279999999</v>
      </c>
      <c r="BZ53" s="393">
        <v>0.499999101</v>
      </c>
      <c r="CA53" s="393">
        <v>-59.999356280000001</v>
      </c>
      <c r="CB53" s="393">
        <v>5.6195599999999996E-4</v>
      </c>
      <c r="CC53" s="393">
        <v>3.1340699999999998E-4</v>
      </c>
      <c r="CD53" s="399">
        <v>4.1683300000000001E-5</v>
      </c>
      <c r="CE53" s="399">
        <v>1.2259899999999999E-6</v>
      </c>
      <c r="CF53" s="393">
        <v>2.8474199999999999E-4</v>
      </c>
      <c r="CG53" s="393">
        <v>-6.8845299999999998E-3</v>
      </c>
      <c r="CH53" s="394">
        <v>4.23982E-3</v>
      </c>
      <c r="CI53" s="394">
        <v>28.344034000000001</v>
      </c>
      <c r="CJ53" s="46">
        <v>2.0455830910000001</v>
      </c>
      <c r="CK53" s="46">
        <v>8.6729029999999992E-3</v>
      </c>
      <c r="CL53" s="393">
        <v>0.50000973000000004</v>
      </c>
      <c r="CM53" s="393">
        <v>459.99447249999997</v>
      </c>
      <c r="CN53" s="393">
        <v>2.4080619999999999E-3</v>
      </c>
      <c r="CO53" s="393">
        <v>99993.115470000004</v>
      </c>
      <c r="CP53" s="393">
        <v>0</v>
      </c>
      <c r="CQ53" s="393">
        <v>0</v>
      </c>
      <c r="CR53" s="393">
        <v>109.285</v>
      </c>
      <c r="CS53" s="393">
        <v>23.962983220000002</v>
      </c>
      <c r="CT53" s="393">
        <v>0.32291180899999999</v>
      </c>
      <c r="CU53" s="393"/>
      <c r="CV53" s="393"/>
      <c r="CW53" s="393"/>
      <c r="CX53" s="393"/>
      <c r="CY53" s="393"/>
      <c r="CZ53" s="393"/>
      <c r="DA53" s="393"/>
    </row>
    <row r="54" spans="1:105" x14ac:dyDescent="0.2">
      <c r="A54" s="366">
        <f>ROW()</f>
        <v>54</v>
      </c>
      <c r="B54" s="367" t="s">
        <v>50</v>
      </c>
      <c r="C54" s="368">
        <v>0.5</v>
      </c>
      <c r="D54" s="368">
        <v>230</v>
      </c>
      <c r="E54" s="367">
        <v>36.869999999999997</v>
      </c>
      <c r="F54" s="441">
        <v>230</v>
      </c>
      <c r="G54" s="369" t="s">
        <v>359</v>
      </c>
      <c r="H54" s="370">
        <v>1</v>
      </c>
      <c r="I54" s="367">
        <v>50</v>
      </c>
      <c r="J54" s="371">
        <v>10</v>
      </c>
      <c r="K54" s="372">
        <v>5</v>
      </c>
      <c r="L54" s="482">
        <v>100000</v>
      </c>
      <c r="M54" s="443" t="s">
        <v>535</v>
      </c>
      <c r="N54" s="726">
        <f t="shared" si="1"/>
        <v>1.8650819986527408E-3</v>
      </c>
      <c r="O54" s="370">
        <v>6</v>
      </c>
      <c r="P54" s="66">
        <v>123</v>
      </c>
      <c r="Q54" s="220"/>
      <c r="R54" s="402"/>
      <c r="S54" s="402">
        <v>229.9967623</v>
      </c>
      <c r="T54" s="395">
        <v>0.49999369100000002</v>
      </c>
      <c r="U54" s="402">
        <v>36.89657236</v>
      </c>
      <c r="V54" s="395">
        <v>0.79972057600000002</v>
      </c>
      <c r="W54" s="400">
        <v>5.1805790000000003E-3</v>
      </c>
      <c r="X54" s="400">
        <v>5.7978960000000003E-3</v>
      </c>
      <c r="Y54" s="402">
        <v>2.0487617820000001</v>
      </c>
      <c r="Z54" s="409">
        <v>100005.18060000001</v>
      </c>
      <c r="AA54" s="396">
        <v>42033.735625000001</v>
      </c>
      <c r="AB54" s="397">
        <v>50.0003018922745</v>
      </c>
      <c r="AC54" s="393">
        <v>0.3525390625</v>
      </c>
      <c r="AD54" s="393" t="s">
        <v>134</v>
      </c>
      <c r="AE54" s="393">
        <v>0.2607421875</v>
      </c>
      <c r="AF54" s="393" t="s">
        <v>135</v>
      </c>
      <c r="AG54" s="393">
        <v>0.227722363124923</v>
      </c>
      <c r="AH54" s="393">
        <v>146.42890003809501</v>
      </c>
      <c r="AI54" s="393">
        <v>1.13309732535901</v>
      </c>
      <c r="AJ54" s="393">
        <v>1.1328870869371801</v>
      </c>
      <c r="AK54" s="393">
        <v>107.94294823542</v>
      </c>
      <c r="AL54" s="393">
        <v>2554.7245550493199</v>
      </c>
      <c r="AM54" s="393">
        <v>91.973449707031193</v>
      </c>
      <c r="AN54" s="393">
        <v>0.22581079652224301</v>
      </c>
      <c r="AO54" s="393">
        <v>147.407366813534</v>
      </c>
      <c r="AP54" s="393">
        <v>1.1330977683685599</v>
      </c>
      <c r="AQ54" s="393">
        <v>1.13306034979371</v>
      </c>
      <c r="AR54" s="393">
        <v>107.97089457107801</v>
      </c>
      <c r="AS54" s="393">
        <v>2554.76395560735</v>
      </c>
      <c r="AT54" s="393">
        <v>91.973060607910199</v>
      </c>
      <c r="AU54" s="393">
        <v>0.22673282579099499</v>
      </c>
      <c r="AV54" s="393">
        <v>147.785474078269</v>
      </c>
      <c r="AW54" s="393">
        <v>1.1330956195663799</v>
      </c>
      <c r="AX54" s="393">
        <v>1.13355950118159</v>
      </c>
      <c r="AY54" s="393">
        <v>107.964303771316</v>
      </c>
      <c r="AZ54" s="393">
        <v>2554.71471691344</v>
      </c>
      <c r="BA54" s="393">
        <v>91.973495483398395</v>
      </c>
      <c r="BB54" s="393">
        <v>0.22636641747175501</v>
      </c>
      <c r="BC54" s="393">
        <v>146.72994947447799</v>
      </c>
      <c r="BD54" s="393">
        <v>1.13309603822219</v>
      </c>
      <c r="BE54" s="393">
        <v>1.1333406619972699</v>
      </c>
      <c r="BF54" s="393">
        <v>107.926436607669</v>
      </c>
      <c r="BG54" s="393">
        <v>2554.7006990801501</v>
      </c>
      <c r="BH54" s="393">
        <v>91.972610473632798</v>
      </c>
      <c r="BI54" s="393">
        <v>0.22872453120679101</v>
      </c>
      <c r="BJ54" s="393">
        <v>146.873743996592</v>
      </c>
      <c r="BK54" s="393">
        <v>1.13309555019217</v>
      </c>
      <c r="BL54" s="393">
        <v>1.13360084748203</v>
      </c>
      <c r="BM54" s="393">
        <v>107.95485295797999</v>
      </c>
      <c r="BN54" s="393">
        <v>2554.73163101011</v>
      </c>
      <c r="BO54" s="393">
        <v>91.973312377929702</v>
      </c>
      <c r="BP54" s="393"/>
      <c r="BQ54" s="393"/>
      <c r="BR54" s="393"/>
      <c r="BS54" s="393"/>
      <c r="BT54" s="393"/>
      <c r="BU54" s="393"/>
      <c r="BV54" s="393"/>
      <c r="BW54" s="393">
        <v>91.965411680000003</v>
      </c>
      <c r="BX54" s="393">
        <v>69.040981459999998</v>
      </c>
      <c r="BY54" s="393">
        <v>229.9967623</v>
      </c>
      <c r="BZ54" s="393">
        <v>0.49999369100000002</v>
      </c>
      <c r="CA54" s="393">
        <v>36.89657236</v>
      </c>
      <c r="CB54" s="393">
        <v>4.5828999999999998E-4</v>
      </c>
      <c r="CC54" s="393">
        <v>1.7176999999999999E-4</v>
      </c>
      <c r="CD54" s="399">
        <v>9.2705800000000003E-5</v>
      </c>
      <c r="CE54" s="399">
        <v>1.5777500000000001E-6</v>
      </c>
      <c r="CF54" s="393">
        <v>1.61717E-4</v>
      </c>
      <c r="CG54" s="393">
        <v>5.1805790000000003E-3</v>
      </c>
      <c r="CH54" s="394">
        <v>2.8299509999999998E-3</v>
      </c>
      <c r="CI54" s="394">
        <v>27.354632209999998</v>
      </c>
      <c r="CJ54" s="46">
        <v>2.0487617820000001</v>
      </c>
      <c r="CK54" s="46">
        <v>5.7978960000000003E-3</v>
      </c>
      <c r="CL54" s="393">
        <v>0.79972057600000002</v>
      </c>
      <c r="CM54" s="393">
        <v>459.99932940000002</v>
      </c>
      <c r="CN54" s="393">
        <v>3.267786E-3</v>
      </c>
      <c r="CO54" s="393">
        <v>100005.18060000001</v>
      </c>
      <c r="CP54" s="393">
        <v>0</v>
      </c>
      <c r="CQ54" s="393">
        <v>0</v>
      </c>
      <c r="CR54" s="393">
        <v>109.28400000000001</v>
      </c>
      <c r="CS54" s="393">
        <v>23.960406240000001</v>
      </c>
      <c r="CT54" s="393">
        <v>0.32291191400000002</v>
      </c>
      <c r="CU54" s="393"/>
      <c r="CV54" s="393"/>
      <c r="CW54" s="393"/>
      <c r="CX54" s="393"/>
      <c r="CY54" s="393"/>
      <c r="CZ54" s="393"/>
      <c r="DA54" s="393"/>
    </row>
    <row r="55" spans="1:105" x14ac:dyDescent="0.2">
      <c r="A55" s="366">
        <f>ROW()</f>
        <v>55</v>
      </c>
      <c r="B55" s="367" t="s">
        <v>50</v>
      </c>
      <c r="C55" s="368">
        <v>0.5</v>
      </c>
      <c r="D55" s="368">
        <v>230</v>
      </c>
      <c r="E55" s="367">
        <v>36.869999999999997</v>
      </c>
      <c r="F55" s="441">
        <v>230</v>
      </c>
      <c r="G55" s="369" t="s">
        <v>359</v>
      </c>
      <c r="H55" s="370">
        <v>1</v>
      </c>
      <c r="I55" s="367">
        <v>50</v>
      </c>
      <c r="J55" s="371">
        <v>10</v>
      </c>
      <c r="K55" s="372">
        <v>5</v>
      </c>
      <c r="L55" s="482">
        <v>100000</v>
      </c>
      <c r="M55" s="443" t="s">
        <v>535</v>
      </c>
      <c r="N55" s="726">
        <f t="shared" si="1"/>
        <v>1.8650819986527408E-3</v>
      </c>
      <c r="O55" s="370">
        <v>6</v>
      </c>
      <c r="P55" s="66">
        <v>123</v>
      </c>
      <c r="Q55" s="220"/>
      <c r="R55" s="402"/>
      <c r="S55" s="402">
        <v>229.99674540000001</v>
      </c>
      <c r="T55" s="395">
        <v>0.49999734200000001</v>
      </c>
      <c r="U55" s="402">
        <v>36.896666609999997</v>
      </c>
      <c r="V55" s="395">
        <v>0.79971958899999995</v>
      </c>
      <c r="W55" s="400">
        <v>5.118053E-3</v>
      </c>
      <c r="X55" s="400">
        <v>5.8418439999999997E-3</v>
      </c>
      <c r="Y55" s="402">
        <v>2.0471379729999999</v>
      </c>
      <c r="Z55" s="409">
        <v>100005.11810000001</v>
      </c>
      <c r="AA55" s="396">
        <v>42033.738541666666</v>
      </c>
      <c r="AB55" s="397">
        <v>50.000160381208303</v>
      </c>
      <c r="AC55" s="393">
        <v>0.3525390625</v>
      </c>
      <c r="AD55" s="393" t="s">
        <v>134</v>
      </c>
      <c r="AE55" s="393">
        <v>0.2607421875</v>
      </c>
      <c r="AF55" s="393" t="s">
        <v>135</v>
      </c>
      <c r="AG55" s="393">
        <v>0.23044917360608999</v>
      </c>
      <c r="AH55" s="393">
        <v>146.69953190633299</v>
      </c>
      <c r="AI55" s="393">
        <v>1.1330962366519599</v>
      </c>
      <c r="AJ55" s="393">
        <v>1.1335658841164999</v>
      </c>
      <c r="AK55" s="393">
        <v>107.95643064749</v>
      </c>
      <c r="AL55" s="393">
        <v>2554.7053599119199</v>
      </c>
      <c r="AM55" s="393">
        <v>91.9736328125</v>
      </c>
      <c r="AN55" s="393">
        <v>0.22644911396148901</v>
      </c>
      <c r="AO55" s="393">
        <v>147.66682519069701</v>
      </c>
      <c r="AP55" s="393">
        <v>1.13309823915993</v>
      </c>
      <c r="AQ55" s="393">
        <v>1.1326722452522</v>
      </c>
      <c r="AR55" s="393">
        <v>107.956335091076</v>
      </c>
      <c r="AS55" s="393">
        <v>2554.7714577288498</v>
      </c>
      <c r="AT55" s="393">
        <v>91.973060607910199</v>
      </c>
      <c r="AU55" s="393">
        <v>0.23013731704764401</v>
      </c>
      <c r="AV55" s="393">
        <v>146.83410048795699</v>
      </c>
      <c r="AW55" s="393">
        <v>1.1330962999824701</v>
      </c>
      <c r="AX55" s="393">
        <v>1.13277559405381</v>
      </c>
      <c r="AY55" s="393">
        <v>107.969554183429</v>
      </c>
      <c r="AZ55" s="393">
        <v>2554.7365668093098</v>
      </c>
      <c r="BA55" s="393">
        <v>91.9735107421875</v>
      </c>
      <c r="BB55" s="393">
        <v>0.23046254130701599</v>
      </c>
      <c r="BC55" s="393">
        <v>146.90035103156799</v>
      </c>
      <c r="BD55" s="393">
        <v>1.1330958642256299</v>
      </c>
      <c r="BE55" s="393">
        <v>1.13282496095179</v>
      </c>
      <c r="BF55" s="393">
        <v>107.962967114568</v>
      </c>
      <c r="BG55" s="393">
        <v>2554.75526307262</v>
      </c>
      <c r="BH55" s="393">
        <v>91.973320007324205</v>
      </c>
      <c r="BI55" s="393">
        <v>0.22819130256248399</v>
      </c>
      <c r="BJ55" s="393">
        <v>146.49236877281299</v>
      </c>
      <c r="BK55" s="393">
        <v>1.1330952443553399</v>
      </c>
      <c r="BL55" s="393">
        <v>1.13333422043205</v>
      </c>
      <c r="BM55" s="393">
        <v>107.93338685133</v>
      </c>
      <c r="BN55" s="393">
        <v>2554.7354948380598</v>
      </c>
      <c r="BO55" s="393">
        <v>91.973304748535199</v>
      </c>
      <c r="BP55" s="393"/>
      <c r="BQ55" s="393"/>
      <c r="BR55" s="393"/>
      <c r="BS55" s="393"/>
      <c r="BT55" s="393"/>
      <c r="BU55" s="393"/>
      <c r="BV55" s="393"/>
      <c r="BW55" s="393">
        <v>91.965962970000007</v>
      </c>
      <c r="BX55" s="393">
        <v>69.041631859999995</v>
      </c>
      <c r="BY55" s="393">
        <v>229.99674540000001</v>
      </c>
      <c r="BZ55" s="393">
        <v>0.49999734200000001</v>
      </c>
      <c r="CA55" s="393">
        <v>36.896666609999997</v>
      </c>
      <c r="CB55" s="393">
        <v>3.5575899999999998E-4</v>
      </c>
      <c r="CC55" s="399">
        <v>2.5872299999999998E-4</v>
      </c>
      <c r="CD55" s="393">
        <v>1.01875E-4</v>
      </c>
      <c r="CE55" s="399">
        <v>1.7949299999999999E-6</v>
      </c>
      <c r="CF55" s="399">
        <v>1.1445E-4</v>
      </c>
      <c r="CG55" s="393">
        <v>5.118053E-3</v>
      </c>
      <c r="CH55" s="394">
        <v>2.8536640000000001E-3</v>
      </c>
      <c r="CI55" s="394">
        <v>27.85101508</v>
      </c>
      <c r="CJ55" s="46">
        <v>2.0471379729999999</v>
      </c>
      <c r="CK55" s="46">
        <v>5.8418439999999997E-3</v>
      </c>
      <c r="CL55" s="393">
        <v>0.79971958899999995</v>
      </c>
      <c r="CM55" s="393">
        <v>459.99593609999999</v>
      </c>
      <c r="CN55" s="393">
        <v>4.0528170000000002E-3</v>
      </c>
      <c r="CO55" s="393">
        <v>100005.11810000001</v>
      </c>
      <c r="CP55" s="393">
        <v>0</v>
      </c>
      <c r="CQ55" s="393">
        <v>0</v>
      </c>
      <c r="CR55" s="393">
        <v>109.28100000000001</v>
      </c>
      <c r="CS55" s="393">
        <v>23.952675289999998</v>
      </c>
      <c r="CT55" s="393">
        <v>0.322912229</v>
      </c>
      <c r="CU55" s="393"/>
      <c r="CV55" s="393"/>
      <c r="CW55" s="393"/>
      <c r="CX55" s="393"/>
      <c r="CY55" s="393"/>
      <c r="CZ55" s="393"/>
      <c r="DA55" s="393"/>
    </row>
    <row r="56" spans="1:105" x14ac:dyDescent="0.2">
      <c r="A56" s="366">
        <f>ROW()</f>
        <v>56</v>
      </c>
      <c r="B56" s="367" t="s">
        <v>50</v>
      </c>
      <c r="C56" s="368">
        <v>0.5</v>
      </c>
      <c r="D56" s="368">
        <v>230</v>
      </c>
      <c r="E56" s="367">
        <v>36.869999999999997</v>
      </c>
      <c r="F56" s="441">
        <v>230</v>
      </c>
      <c r="G56" s="369" t="s">
        <v>359</v>
      </c>
      <c r="H56" s="370">
        <v>1</v>
      </c>
      <c r="I56" s="367">
        <v>50</v>
      </c>
      <c r="J56" s="371">
        <v>10</v>
      </c>
      <c r="K56" s="372">
        <v>5</v>
      </c>
      <c r="L56" s="482">
        <v>100000</v>
      </c>
      <c r="M56" s="443" t="s">
        <v>535</v>
      </c>
      <c r="N56" s="726">
        <f t="shared" si="1"/>
        <v>1.8650819986527408E-3</v>
      </c>
      <c r="O56" s="370">
        <v>6</v>
      </c>
      <c r="P56" s="66">
        <v>123</v>
      </c>
      <c r="Q56" s="220"/>
      <c r="R56" s="402"/>
      <c r="S56" s="402">
        <v>229.9970409</v>
      </c>
      <c r="T56" s="395">
        <v>0.49999464300000002</v>
      </c>
      <c r="U56" s="402">
        <v>36.89688743</v>
      </c>
      <c r="V56" s="395">
        <v>0.79971727500000001</v>
      </c>
      <c r="W56" s="400">
        <v>5.9269220000000003E-3</v>
      </c>
      <c r="X56" s="400">
        <v>5.7596339999999996E-3</v>
      </c>
      <c r="Y56" s="402">
        <v>2.0505485769999998</v>
      </c>
      <c r="Z56" s="409">
        <v>100005.92690000001</v>
      </c>
      <c r="AA56" s="396">
        <v>42033.741446759261</v>
      </c>
      <c r="AB56" s="397">
        <v>50.000183971386001</v>
      </c>
      <c r="AC56" s="393">
        <v>0.3525390625</v>
      </c>
      <c r="AD56" s="393" t="s">
        <v>134</v>
      </c>
      <c r="AE56" s="393">
        <v>0.2607421875</v>
      </c>
      <c r="AF56" s="393" t="s">
        <v>135</v>
      </c>
      <c r="AG56" s="393">
        <v>0.226654175427281</v>
      </c>
      <c r="AH56" s="393">
        <v>147.6486539734</v>
      </c>
      <c r="AI56" s="393">
        <v>1.13309711625461</v>
      </c>
      <c r="AJ56" s="393">
        <v>1.1328749607526201</v>
      </c>
      <c r="AK56" s="393">
        <v>107.93800706287399</v>
      </c>
      <c r="AL56" s="393">
        <v>2554.7493768088998</v>
      </c>
      <c r="AM56" s="393">
        <v>91.972824096679702</v>
      </c>
      <c r="AN56" s="393">
        <v>0.227370812537975</v>
      </c>
      <c r="AO56" s="393">
        <v>146.702876940409</v>
      </c>
      <c r="AP56" s="393">
        <v>1.13309812369027</v>
      </c>
      <c r="AQ56" s="393">
        <v>1.1327114580692099</v>
      </c>
      <c r="AR56" s="393">
        <v>107.945217853142</v>
      </c>
      <c r="AS56" s="393">
        <v>2554.7682971242598</v>
      </c>
      <c r="AT56" s="393">
        <v>91.9730224609375</v>
      </c>
      <c r="AU56" s="393">
        <v>0.22968671288377701</v>
      </c>
      <c r="AV56" s="393">
        <v>147.50816897162301</v>
      </c>
      <c r="AW56" s="393">
        <v>1.1330981335921499</v>
      </c>
      <c r="AX56" s="393">
        <v>1.1332062521336099</v>
      </c>
      <c r="AY56" s="393">
        <v>107.93807084221901</v>
      </c>
      <c r="AZ56" s="393">
        <v>2554.7795562472502</v>
      </c>
      <c r="BA56" s="393">
        <v>91.973335266113295</v>
      </c>
      <c r="BB56" s="393">
        <v>0.230834287753411</v>
      </c>
      <c r="BC56" s="393">
        <v>146.99807644297599</v>
      </c>
      <c r="BD56" s="393">
        <v>1.1330976520348901</v>
      </c>
      <c r="BE56" s="393">
        <v>1.1331111297740299</v>
      </c>
      <c r="BF56" s="393">
        <v>107.935342221273</v>
      </c>
      <c r="BG56" s="393">
        <v>2554.7268895491202</v>
      </c>
      <c r="BH56" s="393">
        <v>91.973930358886705</v>
      </c>
      <c r="BI56" s="393">
        <v>0.226197960724562</v>
      </c>
      <c r="BJ56" s="393">
        <v>147.777840737822</v>
      </c>
      <c r="BK56" s="393">
        <v>1.1330981388817301</v>
      </c>
      <c r="BL56" s="393">
        <v>1.1328434846439499</v>
      </c>
      <c r="BM56" s="393">
        <v>107.945517129244</v>
      </c>
      <c r="BN56" s="393">
        <v>2554.6938513939099</v>
      </c>
      <c r="BO56" s="393">
        <v>91.972801208496094</v>
      </c>
      <c r="BP56" s="393"/>
      <c r="BQ56" s="393"/>
      <c r="BR56" s="393"/>
      <c r="BS56" s="393"/>
      <c r="BT56" s="393"/>
      <c r="BU56" s="393"/>
      <c r="BV56" s="393"/>
      <c r="BW56" s="393">
        <v>91.965318679999996</v>
      </c>
      <c r="BX56" s="393">
        <v>69.041702369999996</v>
      </c>
      <c r="BY56" s="393">
        <v>229.9970409</v>
      </c>
      <c r="BZ56" s="393">
        <v>0.49999464300000002</v>
      </c>
      <c r="CA56" s="393">
        <v>36.89688743</v>
      </c>
      <c r="CB56" s="393">
        <v>4.3208100000000001E-4</v>
      </c>
      <c r="CC56" s="393">
        <v>3.5271199999999998E-4</v>
      </c>
      <c r="CD56" s="399">
        <v>4.0979200000000002E-5</v>
      </c>
      <c r="CE56" s="399">
        <v>2.0184200000000001E-6</v>
      </c>
      <c r="CF56" s="399">
        <v>1.5102200000000001E-4</v>
      </c>
      <c r="CG56" s="393">
        <v>5.9269220000000003E-3</v>
      </c>
      <c r="CH56" s="394">
        <v>2.8088259999999999E-3</v>
      </c>
      <c r="CI56" s="394">
        <v>26.829060420000001</v>
      </c>
      <c r="CJ56" s="46">
        <v>2.0505485769999998</v>
      </c>
      <c r="CK56" s="46">
        <v>5.7596339999999996E-3</v>
      </c>
      <c r="CL56" s="393">
        <v>0.79971727500000001</v>
      </c>
      <c r="CM56" s="393">
        <v>459.99901</v>
      </c>
      <c r="CN56" s="399">
        <v>4.1245329999999997E-3</v>
      </c>
      <c r="CO56" s="393">
        <v>100005.92690000001</v>
      </c>
      <c r="CP56" s="393">
        <v>0</v>
      </c>
      <c r="CQ56" s="393">
        <v>0</v>
      </c>
      <c r="CR56" s="393">
        <v>109.28100000000001</v>
      </c>
      <c r="CS56" s="393">
        <v>23.952675289999998</v>
      </c>
      <c r="CT56" s="393">
        <v>0.322912229</v>
      </c>
      <c r="CU56" s="393"/>
      <c r="CV56" s="393"/>
      <c r="CW56" s="393"/>
      <c r="CX56" s="393"/>
      <c r="CY56" s="393"/>
      <c r="CZ56" s="393"/>
      <c r="DA56" s="393"/>
    </row>
    <row r="57" spans="1:105" x14ac:dyDescent="0.2">
      <c r="A57" s="366">
        <f>ROW()</f>
        <v>57</v>
      </c>
      <c r="B57" s="367" t="s">
        <v>50</v>
      </c>
      <c r="C57" s="368">
        <v>1</v>
      </c>
      <c r="D57" s="368">
        <v>230</v>
      </c>
      <c r="E57" s="367">
        <v>0</v>
      </c>
      <c r="F57" s="441">
        <v>230</v>
      </c>
      <c r="G57" s="369" t="s">
        <v>359</v>
      </c>
      <c r="H57" s="370">
        <v>1</v>
      </c>
      <c r="I57" s="367">
        <v>50</v>
      </c>
      <c r="J57" s="371">
        <v>10</v>
      </c>
      <c r="K57" s="372">
        <v>5</v>
      </c>
      <c r="L57" s="482">
        <v>100000</v>
      </c>
      <c r="M57" s="443" t="s">
        <v>535</v>
      </c>
      <c r="N57" s="726">
        <f t="shared" si="1"/>
        <v>1.6327966805453765E-3</v>
      </c>
      <c r="O57" s="370">
        <v>6</v>
      </c>
      <c r="P57" s="66">
        <v>123</v>
      </c>
      <c r="Q57" s="220"/>
      <c r="R57" s="402"/>
      <c r="S57" s="402">
        <v>229.99692730000001</v>
      </c>
      <c r="T57" s="395">
        <v>1.0000231230000001</v>
      </c>
      <c r="U57" s="402">
        <v>-1.343391E-3</v>
      </c>
      <c r="V57" s="395">
        <v>1</v>
      </c>
      <c r="W57" s="400">
        <v>3.0606679999999999E-3</v>
      </c>
      <c r="X57" s="400">
        <v>4.7570119999999997E-3</v>
      </c>
      <c r="Y57" s="402">
        <v>2.0780620989999998</v>
      </c>
      <c r="Z57" s="409">
        <v>100003.0607</v>
      </c>
      <c r="AA57" s="396">
        <v>42033.744351851848</v>
      </c>
      <c r="AB57" s="397">
        <v>50.000580194371203</v>
      </c>
      <c r="AC57" s="393">
        <v>0.8828125</v>
      </c>
      <c r="AD57" s="393" t="s">
        <v>134</v>
      </c>
      <c r="AE57" s="393">
        <v>0</v>
      </c>
      <c r="AF57" s="393" t="s">
        <v>133</v>
      </c>
      <c r="AG57" s="393">
        <v>0.32395470458993503</v>
      </c>
      <c r="AH57" s="393">
        <v>-111.01303909105199</v>
      </c>
      <c r="AI57" s="393">
        <v>1.13309737670066</v>
      </c>
      <c r="AJ57" s="393">
        <v>1.1328649266237101</v>
      </c>
      <c r="AK57" s="393">
        <v>107.946828810376</v>
      </c>
      <c r="AL57" s="393">
        <v>6389.1168060806303</v>
      </c>
      <c r="AM57" s="393">
        <v>230.00970458984401</v>
      </c>
      <c r="AN57" s="393">
        <v>0.31950068353723199</v>
      </c>
      <c r="AO57" s="393">
        <v>-111.25150986992401</v>
      </c>
      <c r="AP57" s="393">
        <v>1.1330967874533899</v>
      </c>
      <c r="AQ57" s="393">
        <v>1.1329165942433299</v>
      </c>
      <c r="AR57" s="393">
        <v>107.942441220793</v>
      </c>
      <c r="AS57" s="393">
        <v>6389.1696637387004</v>
      </c>
      <c r="AT57" s="393">
        <v>230.00914001464801</v>
      </c>
      <c r="AU57" s="393">
        <v>0.32485828054941701</v>
      </c>
      <c r="AV57" s="393">
        <v>-111.104719946373</v>
      </c>
      <c r="AW57" s="393">
        <v>1.1330975606589599</v>
      </c>
      <c r="AX57" s="393">
        <v>1.1332105707756599</v>
      </c>
      <c r="AY57" s="393">
        <v>107.96090772742799</v>
      </c>
      <c r="AZ57" s="393">
        <v>6389.1870140649999</v>
      </c>
      <c r="BA57" s="393">
        <v>230.00993347168</v>
      </c>
      <c r="BB57" s="393">
        <v>0.31629779633642802</v>
      </c>
      <c r="BC57" s="393">
        <v>-110.910884518351</v>
      </c>
      <c r="BD57" s="393">
        <v>1.1330968118696501</v>
      </c>
      <c r="BE57" s="393">
        <v>1.13325975939385</v>
      </c>
      <c r="BF57" s="393">
        <v>107.950718459295</v>
      </c>
      <c r="BG57" s="393">
        <v>6389.1575161011096</v>
      </c>
      <c r="BH57" s="393">
        <v>230.00988769531199</v>
      </c>
      <c r="BI57" s="393">
        <v>0.31900717338684798</v>
      </c>
      <c r="BJ57" s="393">
        <v>-110.927209799007</v>
      </c>
      <c r="BK57" s="393">
        <v>1.1330978280035899</v>
      </c>
      <c r="BL57" s="393">
        <v>1.13279436165248</v>
      </c>
      <c r="BM57" s="393">
        <v>107.96471256599099</v>
      </c>
      <c r="BN57" s="393">
        <v>6389.1032139778399</v>
      </c>
      <c r="BO57" s="393">
        <v>230.00985717773401</v>
      </c>
      <c r="BP57" s="393"/>
      <c r="BQ57" s="393"/>
      <c r="BR57" s="393"/>
      <c r="BS57" s="393"/>
      <c r="BT57" s="393"/>
      <c r="BU57" s="393"/>
      <c r="BV57" s="393"/>
      <c r="BW57" s="393">
        <v>230.0022467</v>
      </c>
      <c r="BX57" s="393">
        <v>5.392773E-3</v>
      </c>
      <c r="BY57" s="393">
        <v>229.99692730000001</v>
      </c>
      <c r="BZ57" s="393">
        <v>1.0000231230000001</v>
      </c>
      <c r="CA57" s="393">
        <v>-1.343391E-3</v>
      </c>
      <c r="CB57" s="393">
        <v>6.7332999999999998E-4</v>
      </c>
      <c r="CC57" s="393">
        <v>2.25145E-4</v>
      </c>
      <c r="CD57" s="399">
        <v>4.1822700000000002E-5</v>
      </c>
      <c r="CE57" s="399">
        <v>3.00589E-6</v>
      </c>
      <c r="CF57" s="399">
        <v>5.6082499999999997E-5</v>
      </c>
      <c r="CG57" s="393">
        <v>3.0606679999999999E-3</v>
      </c>
      <c r="CH57" s="394">
        <v>2.2891579999999999E-3</v>
      </c>
      <c r="CI57" s="394">
        <v>20.75061831</v>
      </c>
      <c r="CJ57" s="46">
        <v>2.0780620989999998</v>
      </c>
      <c r="CK57" s="46">
        <v>4.7570119999999997E-3</v>
      </c>
      <c r="CL57" s="393">
        <v>1</v>
      </c>
      <c r="CM57" s="393">
        <v>229.9916092</v>
      </c>
      <c r="CN57" s="399">
        <v>1.590592E-3</v>
      </c>
      <c r="CO57" s="393">
        <v>100003.0607</v>
      </c>
      <c r="CP57" s="393">
        <v>0</v>
      </c>
      <c r="CQ57" s="393">
        <v>0</v>
      </c>
      <c r="CR57" s="393">
        <v>109.28100000000001</v>
      </c>
      <c r="CS57" s="393">
        <v>23.952675289999998</v>
      </c>
      <c r="CT57" s="393">
        <v>0.322912229</v>
      </c>
      <c r="CU57" s="393"/>
      <c r="CV57" s="393"/>
      <c r="CW57" s="393"/>
      <c r="CX57" s="393"/>
      <c r="CY57" s="393"/>
      <c r="CZ57" s="393"/>
      <c r="DA57" s="393"/>
    </row>
    <row r="58" spans="1:105" x14ac:dyDescent="0.2">
      <c r="A58" s="366">
        <f>ROW()</f>
        <v>58</v>
      </c>
      <c r="B58" s="367" t="s">
        <v>50</v>
      </c>
      <c r="C58" s="368">
        <v>1</v>
      </c>
      <c r="D58" s="368">
        <v>230</v>
      </c>
      <c r="E58" s="367">
        <v>0</v>
      </c>
      <c r="F58" s="441">
        <v>230</v>
      </c>
      <c r="G58" s="369" t="s">
        <v>359</v>
      </c>
      <c r="H58" s="370">
        <v>1</v>
      </c>
      <c r="I58" s="367">
        <v>50</v>
      </c>
      <c r="J58" s="371">
        <v>10</v>
      </c>
      <c r="K58" s="372">
        <v>5</v>
      </c>
      <c r="L58" s="482">
        <v>100000</v>
      </c>
      <c r="M58" s="443" t="s">
        <v>535</v>
      </c>
      <c r="N58" s="726">
        <f t="shared" si="1"/>
        <v>1.6327966805453765E-3</v>
      </c>
      <c r="O58" s="370">
        <v>6</v>
      </c>
      <c r="P58" s="66">
        <v>123</v>
      </c>
      <c r="Q58" s="220"/>
      <c r="R58" s="402"/>
      <c r="S58" s="402">
        <v>229.99676489999999</v>
      </c>
      <c r="T58" s="395">
        <v>1.000024501</v>
      </c>
      <c r="U58" s="402">
        <v>-1.21707E-3</v>
      </c>
      <c r="V58" s="395">
        <v>1</v>
      </c>
      <c r="W58" s="400">
        <v>2.132246E-3</v>
      </c>
      <c r="X58" s="400">
        <v>4.716273E-3</v>
      </c>
      <c r="Y58" s="402">
        <v>2.0829056939999999</v>
      </c>
      <c r="Z58" s="409">
        <v>100002.13219999999</v>
      </c>
      <c r="AA58" s="396">
        <v>42033.74726851852</v>
      </c>
      <c r="AB58" s="397">
        <v>49.999660387441402</v>
      </c>
      <c r="AC58" s="393">
        <v>0.8828125</v>
      </c>
      <c r="AD58" s="393" t="s">
        <v>134</v>
      </c>
      <c r="AE58" s="393">
        <v>0</v>
      </c>
      <c r="AF58" s="393" t="s">
        <v>133</v>
      </c>
      <c r="AG58" s="393">
        <v>0.31948846868874398</v>
      </c>
      <c r="AH58" s="393">
        <v>-111.015981197941</v>
      </c>
      <c r="AI58" s="393">
        <v>1.1330955126926301</v>
      </c>
      <c r="AJ58" s="393">
        <v>1.1329804089919</v>
      </c>
      <c r="AK58" s="393">
        <v>107.93902692162099</v>
      </c>
      <c r="AL58" s="393">
        <v>6389.1115486072804</v>
      </c>
      <c r="AM58" s="393">
        <v>230.00944519043</v>
      </c>
      <c r="AN58" s="393">
        <v>0.319047569014208</v>
      </c>
      <c r="AO58" s="393">
        <v>-111.79543213887899</v>
      </c>
      <c r="AP58" s="393">
        <v>1.1330962216154701</v>
      </c>
      <c r="AQ58" s="393">
        <v>1.1329796448021201</v>
      </c>
      <c r="AR58" s="393">
        <v>107.921125128437</v>
      </c>
      <c r="AS58" s="393">
        <v>6389.0917247948501</v>
      </c>
      <c r="AT58" s="393">
        <v>230.00880432128901</v>
      </c>
      <c r="AU58" s="393">
        <v>0.31822356966109699</v>
      </c>
      <c r="AV58" s="393">
        <v>-110.909253621362</v>
      </c>
      <c r="AW58" s="393">
        <v>1.1330967881274301</v>
      </c>
      <c r="AX58" s="393">
        <v>1.13270352738598</v>
      </c>
      <c r="AY58" s="393">
        <v>107.965094036371</v>
      </c>
      <c r="AZ58" s="393">
        <v>6389.06494913187</v>
      </c>
      <c r="BA58" s="393">
        <v>230.00915527343801</v>
      </c>
      <c r="BB58" s="393">
        <v>0.32244576133914299</v>
      </c>
      <c r="BC58" s="393">
        <v>-111.343368222103</v>
      </c>
      <c r="BD58" s="393">
        <v>1.1330978273763599</v>
      </c>
      <c r="BE58" s="393">
        <v>1.13239004020522</v>
      </c>
      <c r="BF58" s="393">
        <v>107.949149725955</v>
      </c>
      <c r="BG58" s="393">
        <v>6389.0665508477796</v>
      </c>
      <c r="BH58" s="393">
        <v>230.01014709472699</v>
      </c>
      <c r="BI58" s="393">
        <v>0.320167081557655</v>
      </c>
      <c r="BJ58" s="393">
        <v>-111.312112459886</v>
      </c>
      <c r="BK58" s="393">
        <v>1.1330960159833601</v>
      </c>
      <c r="BL58" s="393">
        <v>1.1328762500857099</v>
      </c>
      <c r="BM58" s="393">
        <v>107.96070029844699</v>
      </c>
      <c r="BN58" s="393">
        <v>6389.1243288964397</v>
      </c>
      <c r="BO58" s="393">
        <v>230.00946044921901</v>
      </c>
      <c r="BP58" s="393"/>
      <c r="BQ58" s="393"/>
      <c r="BR58" s="393"/>
      <c r="BS58" s="393"/>
      <c r="BT58" s="393"/>
      <c r="BU58" s="393"/>
      <c r="BV58" s="393"/>
      <c r="BW58" s="393">
        <v>230.0024013</v>
      </c>
      <c r="BX58" s="393">
        <v>4.8856840000000004E-3</v>
      </c>
      <c r="BY58" s="393">
        <v>229.99676489999999</v>
      </c>
      <c r="BZ58" s="393">
        <v>1.000024501</v>
      </c>
      <c r="CA58" s="393">
        <v>-1.21707E-3</v>
      </c>
      <c r="CB58" s="393">
        <v>2.5290000000000002E-4</v>
      </c>
      <c r="CC58" s="393">
        <v>3.8738299999999999E-4</v>
      </c>
      <c r="CD58" s="399">
        <v>8.0272000000000007E-5</v>
      </c>
      <c r="CE58" s="399">
        <v>1.1892800000000001E-6</v>
      </c>
      <c r="CF58" s="399">
        <v>9.6500499999999995E-5</v>
      </c>
      <c r="CG58" s="393">
        <v>2.132246E-3</v>
      </c>
      <c r="CH58" s="394">
        <v>2.264276E-3</v>
      </c>
      <c r="CI58" s="394">
        <v>19.963336139999999</v>
      </c>
      <c r="CJ58" s="46">
        <v>2.0829056939999999</v>
      </c>
      <c r="CK58" s="46">
        <v>4.716273E-3</v>
      </c>
      <c r="CL58" s="393">
        <v>1</v>
      </c>
      <c r="CM58" s="393">
        <v>229.99113</v>
      </c>
      <c r="CN58" s="399">
        <v>7.0194599999999995E-4</v>
      </c>
      <c r="CO58" s="393">
        <v>100002.13219999999</v>
      </c>
      <c r="CP58" s="393">
        <v>0</v>
      </c>
      <c r="CQ58" s="393">
        <v>0</v>
      </c>
      <c r="CR58" s="393">
        <v>109.28100000000001</v>
      </c>
      <c r="CS58" s="393">
        <v>23.952675289999998</v>
      </c>
      <c r="CT58" s="393">
        <v>0.322912229</v>
      </c>
      <c r="CU58" s="393"/>
      <c r="CV58" s="393"/>
      <c r="CW58" s="393"/>
      <c r="CX58" s="393"/>
      <c r="CY58" s="393"/>
      <c r="CZ58" s="393"/>
      <c r="DA58" s="393"/>
    </row>
    <row r="59" spans="1:105" x14ac:dyDescent="0.2">
      <c r="A59" s="366">
        <f>ROW()</f>
        <v>59</v>
      </c>
      <c r="B59" s="367" t="s">
        <v>50</v>
      </c>
      <c r="C59" s="368">
        <v>1</v>
      </c>
      <c r="D59" s="368">
        <v>230</v>
      </c>
      <c r="E59" s="367">
        <v>0</v>
      </c>
      <c r="F59" s="441">
        <v>230</v>
      </c>
      <c r="G59" s="369" t="s">
        <v>359</v>
      </c>
      <c r="H59" s="370">
        <v>1</v>
      </c>
      <c r="I59" s="367">
        <v>50</v>
      </c>
      <c r="J59" s="371">
        <v>10</v>
      </c>
      <c r="K59" s="372">
        <v>5</v>
      </c>
      <c r="L59" s="482">
        <v>100000</v>
      </c>
      <c r="M59" s="443" t="s">
        <v>535</v>
      </c>
      <c r="N59" s="726">
        <f t="shared" si="1"/>
        <v>1.6327966805453765E-3</v>
      </c>
      <c r="O59" s="370">
        <v>6</v>
      </c>
      <c r="P59" s="66">
        <v>123</v>
      </c>
      <c r="Q59" s="220"/>
      <c r="R59" s="402"/>
      <c r="S59" s="402">
        <v>229.99685030000001</v>
      </c>
      <c r="T59" s="395">
        <v>1.000022781</v>
      </c>
      <c r="U59" s="402">
        <v>-1.2966259999999999E-3</v>
      </c>
      <c r="V59" s="395">
        <v>1</v>
      </c>
      <c r="W59" s="400">
        <v>2.5232409999999999E-3</v>
      </c>
      <c r="X59" s="400">
        <v>4.7127660000000002E-3</v>
      </c>
      <c r="Y59" s="402">
        <v>2.0833758410000001</v>
      </c>
      <c r="Z59" s="409">
        <v>100002.5232</v>
      </c>
      <c r="AA59" s="396">
        <v>42033.750185185185</v>
      </c>
      <c r="AB59" s="397">
        <v>50.000254721919099</v>
      </c>
      <c r="AC59" s="393">
        <v>0.8828125</v>
      </c>
      <c r="AD59" s="393" t="s">
        <v>134</v>
      </c>
      <c r="AE59" s="393">
        <v>0</v>
      </c>
      <c r="AF59" s="393" t="s">
        <v>133</v>
      </c>
      <c r="AG59" s="393">
        <v>0.31971556429730202</v>
      </c>
      <c r="AH59" s="393">
        <v>-111.537454612693</v>
      </c>
      <c r="AI59" s="393">
        <v>1.1330967200756901</v>
      </c>
      <c r="AJ59" s="393">
        <v>1.13302987360973</v>
      </c>
      <c r="AK59" s="393">
        <v>107.957849482763</v>
      </c>
      <c r="AL59" s="393">
        <v>6389.1369413531802</v>
      </c>
      <c r="AM59" s="393">
        <v>230.00958251953099</v>
      </c>
      <c r="AN59" s="393">
        <v>0.32028691632126</v>
      </c>
      <c r="AO59" s="393">
        <v>-111.31123148204701</v>
      </c>
      <c r="AP59" s="393">
        <v>1.1330960709881801</v>
      </c>
      <c r="AQ59" s="393">
        <v>1.13276233556337</v>
      </c>
      <c r="AR59" s="393">
        <v>107.953923294174</v>
      </c>
      <c r="AS59" s="393">
        <v>6389.0957488204504</v>
      </c>
      <c r="AT59" s="393">
        <v>230.00933837890599</v>
      </c>
      <c r="AU59" s="393">
        <v>0.31917365477874299</v>
      </c>
      <c r="AV59" s="393">
        <v>-111.55210749512</v>
      </c>
      <c r="AW59" s="393">
        <v>1.1330964308509499</v>
      </c>
      <c r="AX59" s="393">
        <v>1.13257562949082</v>
      </c>
      <c r="AY59" s="393">
        <v>107.95535965101401</v>
      </c>
      <c r="AZ59" s="393">
        <v>6389.1331460437596</v>
      </c>
      <c r="BA59" s="393">
        <v>230.00997924804699</v>
      </c>
      <c r="BB59" s="393">
        <v>0.32386834259411101</v>
      </c>
      <c r="BC59" s="393">
        <v>-110.718401869194</v>
      </c>
      <c r="BD59" s="393">
        <v>1.13309716467291</v>
      </c>
      <c r="BE59" s="393">
        <v>1.13304381090508</v>
      </c>
      <c r="BF59" s="393">
        <v>107.935608522159</v>
      </c>
      <c r="BG59" s="393">
        <v>6389.0218791560901</v>
      </c>
      <c r="BH59" s="393">
        <v>230.00985717773401</v>
      </c>
      <c r="BI59" s="393">
        <v>0.32098018297824699</v>
      </c>
      <c r="BJ59" s="393">
        <v>-110.49215694919</v>
      </c>
      <c r="BK59" s="393">
        <v>1.13309808246235</v>
      </c>
      <c r="BL59" s="393">
        <v>1.1326442567736501</v>
      </c>
      <c r="BM59" s="393">
        <v>107.931546593441</v>
      </c>
      <c r="BN59" s="393">
        <v>6389.1532053114597</v>
      </c>
      <c r="BO59" s="393">
        <v>230.01039123535199</v>
      </c>
      <c r="BP59" s="393"/>
      <c r="BQ59" s="393"/>
      <c r="BR59" s="393"/>
      <c r="BS59" s="393"/>
      <c r="BT59" s="393"/>
      <c r="BU59" s="393"/>
      <c r="BV59" s="393"/>
      <c r="BW59" s="393">
        <v>230.0020911</v>
      </c>
      <c r="BX59" s="393">
        <v>5.2050339999999999E-3</v>
      </c>
      <c r="BY59" s="393">
        <v>229.99685030000001</v>
      </c>
      <c r="BZ59" s="393">
        <v>1.000022781</v>
      </c>
      <c r="CA59" s="393">
        <v>-1.2966259999999999E-3</v>
      </c>
      <c r="CB59" s="393">
        <v>3.8603500000000001E-4</v>
      </c>
      <c r="CC59" s="393">
        <v>5.18564E-4</v>
      </c>
      <c r="CD59" s="399">
        <v>7.0422199999999998E-5</v>
      </c>
      <c r="CE59" s="399">
        <v>1.77774E-6</v>
      </c>
      <c r="CF59" s="399">
        <v>1.29181E-4</v>
      </c>
      <c r="CG59" s="393">
        <v>2.5232409999999999E-3</v>
      </c>
      <c r="CH59" s="394">
        <v>2.2620819999999999E-3</v>
      </c>
      <c r="CI59" s="394">
        <v>19.890225789999999</v>
      </c>
      <c r="CJ59" s="46">
        <v>2.0833758410000001</v>
      </c>
      <c r="CK59" s="46">
        <v>4.7127660000000002E-3</v>
      </c>
      <c r="CL59" s="393">
        <v>1</v>
      </c>
      <c r="CM59" s="393">
        <v>229.99161090000001</v>
      </c>
      <c r="CN59" s="399">
        <v>9.8801399999999995E-4</v>
      </c>
      <c r="CO59" s="393">
        <v>100002.5232</v>
      </c>
      <c r="CP59" s="393">
        <v>0</v>
      </c>
      <c r="CQ59" s="393">
        <v>0</v>
      </c>
      <c r="CR59" s="393">
        <v>109.277</v>
      </c>
      <c r="CS59" s="393">
        <v>23.942367390000001</v>
      </c>
      <c r="CT59" s="393">
        <v>0.32291264800000002</v>
      </c>
      <c r="CU59" s="393"/>
      <c r="CV59" s="393"/>
      <c r="CW59" s="393"/>
      <c r="CX59" s="393"/>
      <c r="CY59" s="393"/>
      <c r="CZ59" s="393"/>
      <c r="DA59" s="393"/>
    </row>
    <row r="60" spans="1:105" x14ac:dyDescent="0.2">
      <c r="A60" s="366">
        <f>ROW()</f>
        <v>60</v>
      </c>
      <c r="B60" s="367" t="s">
        <v>50</v>
      </c>
      <c r="C60" s="368">
        <v>1</v>
      </c>
      <c r="D60" s="368">
        <v>230</v>
      </c>
      <c r="E60" s="367">
        <v>-60</v>
      </c>
      <c r="F60" s="441">
        <v>230</v>
      </c>
      <c r="G60" s="369" t="s">
        <v>359</v>
      </c>
      <c r="H60" s="370">
        <v>1</v>
      </c>
      <c r="I60" s="367">
        <v>50</v>
      </c>
      <c r="J60" s="371">
        <v>10</v>
      </c>
      <c r="K60" s="372">
        <v>5</v>
      </c>
      <c r="L60" s="482">
        <v>100000</v>
      </c>
      <c r="M60" s="443" t="s">
        <v>535</v>
      </c>
      <c r="N60" s="726">
        <f t="shared" si="1"/>
        <v>2.5818646362658127E-3</v>
      </c>
      <c r="O60" s="370">
        <v>6</v>
      </c>
      <c r="P60" s="66">
        <v>123</v>
      </c>
      <c r="Q60" s="220"/>
      <c r="R60" s="402"/>
      <c r="S60" s="402">
        <v>229.9968949</v>
      </c>
      <c r="T60" s="395">
        <v>0.99998790999999998</v>
      </c>
      <c r="U60" s="402">
        <v>-59.998517149999998</v>
      </c>
      <c r="V60" s="395">
        <v>0.50002241300000005</v>
      </c>
      <c r="W60" s="400">
        <v>-5.7302489999999998E-3</v>
      </c>
      <c r="X60" s="400">
        <v>8.6366789999999995E-3</v>
      </c>
      <c r="Y60" s="402">
        <v>2.0474173379999998</v>
      </c>
      <c r="Z60" s="409">
        <v>99994.269750000007</v>
      </c>
      <c r="AA60" s="396">
        <v>42033.753101851849</v>
      </c>
      <c r="AB60" s="397">
        <v>49.999948119609101</v>
      </c>
      <c r="AC60" s="393">
        <v>0.44140625</v>
      </c>
      <c r="AD60" s="393" t="s">
        <v>134</v>
      </c>
      <c r="AE60" s="393">
        <v>0.7529296875</v>
      </c>
      <c r="AF60" s="393" t="s">
        <v>133</v>
      </c>
      <c r="AG60" s="393">
        <v>0.227965584381811</v>
      </c>
      <c r="AH60" s="393">
        <v>-16.847026472149299</v>
      </c>
      <c r="AI60" s="393">
        <v>1.13309689658738</v>
      </c>
      <c r="AJ60" s="393">
        <v>1.13329658093357</v>
      </c>
      <c r="AK60" s="393">
        <v>107.95983407346201</v>
      </c>
      <c r="AL60" s="393">
        <v>3194.3002954394601</v>
      </c>
      <c r="AM60" s="393">
        <v>114.991989135742</v>
      </c>
      <c r="AN60" s="393">
        <v>0.23009810597160699</v>
      </c>
      <c r="AO60" s="393">
        <v>-17.954608470790699</v>
      </c>
      <c r="AP60" s="393">
        <v>1.13309616075921</v>
      </c>
      <c r="AQ60" s="393">
        <v>1.13315904852308</v>
      </c>
      <c r="AR60" s="393">
        <v>107.94279869681201</v>
      </c>
      <c r="AS60" s="393">
        <v>3194.2014129817398</v>
      </c>
      <c r="AT60" s="393">
        <v>114.990859985352</v>
      </c>
      <c r="AU60" s="393">
        <v>0.22789832266008</v>
      </c>
      <c r="AV60" s="393">
        <v>-16.5116961749717</v>
      </c>
      <c r="AW60" s="393">
        <v>1.1330980697845101</v>
      </c>
      <c r="AX60" s="393">
        <v>1.13341392776993</v>
      </c>
      <c r="AY60" s="393">
        <v>107.94373058229699</v>
      </c>
      <c r="AZ60" s="393">
        <v>3194.4105267049199</v>
      </c>
      <c r="BA60" s="393">
        <v>114.991577148438</v>
      </c>
      <c r="BB60" s="393">
        <v>0.22486854150816399</v>
      </c>
      <c r="BC60" s="393">
        <v>-17.512361325656499</v>
      </c>
      <c r="BD60" s="393">
        <v>1.13309768566045</v>
      </c>
      <c r="BE60" s="393">
        <v>1.1331585212737201</v>
      </c>
      <c r="BF60" s="393">
        <v>107.96733143636899</v>
      </c>
      <c r="BG60" s="393">
        <v>3194.3986658313702</v>
      </c>
      <c r="BH60" s="393">
        <v>114.991828918457</v>
      </c>
      <c r="BI60" s="393">
        <v>0.227782313274346</v>
      </c>
      <c r="BJ60" s="393">
        <v>-17.360080865728101</v>
      </c>
      <c r="BK60" s="393">
        <v>1.13309675421231</v>
      </c>
      <c r="BL60" s="393">
        <v>1.13389840391465</v>
      </c>
      <c r="BM60" s="393">
        <v>107.966398587448</v>
      </c>
      <c r="BN60" s="393">
        <v>3194.3033626629299</v>
      </c>
      <c r="BO60" s="393">
        <v>114.990936279297</v>
      </c>
      <c r="BP60" s="393"/>
      <c r="BQ60" s="393"/>
      <c r="BR60" s="393"/>
      <c r="BS60" s="393"/>
      <c r="BT60" s="393"/>
      <c r="BU60" s="393"/>
      <c r="BV60" s="393"/>
      <c r="BW60" s="393">
        <v>115.00221259999999</v>
      </c>
      <c r="BX60" s="393">
        <v>199.17777039999999</v>
      </c>
      <c r="BY60" s="393">
        <v>229.9968949</v>
      </c>
      <c r="BZ60" s="393">
        <v>0.99998790999999998</v>
      </c>
      <c r="CA60" s="393">
        <v>-59.998517149999998</v>
      </c>
      <c r="CB60" s="393">
        <v>5.1797099999999999E-4</v>
      </c>
      <c r="CC60" s="393">
        <v>3.1505599999999997E-4</v>
      </c>
      <c r="CD60" s="399">
        <v>6.9213400000000004E-5</v>
      </c>
      <c r="CE60" s="399">
        <v>1.6374500000000001E-6</v>
      </c>
      <c r="CF60" s="393">
        <v>1.15376E-4</v>
      </c>
      <c r="CG60" s="393">
        <v>-5.7302489999999998E-3</v>
      </c>
      <c r="CH60" s="394">
        <v>4.2183280000000004E-3</v>
      </c>
      <c r="CI60" s="394">
        <v>27.764298459999999</v>
      </c>
      <c r="CJ60" s="46">
        <v>2.0474173379999998</v>
      </c>
      <c r="CK60" s="46">
        <v>8.6366789999999995E-3</v>
      </c>
      <c r="CL60" s="393">
        <v>0.50002241300000005</v>
      </c>
      <c r="CM60" s="393">
        <v>229.99967570000001</v>
      </c>
      <c r="CN60" s="399">
        <v>8.3723700000000001E-4</v>
      </c>
      <c r="CO60" s="393">
        <v>99994.269750000007</v>
      </c>
      <c r="CP60" s="393">
        <v>0</v>
      </c>
      <c r="CQ60" s="393">
        <v>0</v>
      </c>
      <c r="CR60" s="393">
        <v>109.274</v>
      </c>
      <c r="CS60" s="393">
        <v>23.9346365</v>
      </c>
      <c r="CT60" s="393">
        <v>0.322912963</v>
      </c>
      <c r="CU60" s="393"/>
      <c r="CV60" s="393"/>
      <c r="CW60" s="393"/>
      <c r="CX60" s="393"/>
      <c r="CY60" s="393"/>
      <c r="CZ60" s="393"/>
      <c r="DA60" s="393"/>
    </row>
    <row r="61" spans="1:105" x14ac:dyDescent="0.2">
      <c r="A61" s="366">
        <f>ROW()</f>
        <v>61</v>
      </c>
      <c r="B61" s="367" t="s">
        <v>50</v>
      </c>
      <c r="C61" s="368">
        <v>1</v>
      </c>
      <c r="D61" s="368">
        <v>230</v>
      </c>
      <c r="E61" s="367">
        <v>-60</v>
      </c>
      <c r="F61" s="441">
        <v>230</v>
      </c>
      <c r="G61" s="369" t="s">
        <v>359</v>
      </c>
      <c r="H61" s="370">
        <v>1</v>
      </c>
      <c r="I61" s="367">
        <v>50</v>
      </c>
      <c r="J61" s="371">
        <v>10</v>
      </c>
      <c r="K61" s="372">
        <v>5</v>
      </c>
      <c r="L61" s="482">
        <v>100000</v>
      </c>
      <c r="M61" s="443" t="s">
        <v>535</v>
      </c>
      <c r="N61" s="726">
        <f t="shared" si="1"/>
        <v>2.5818646362658127E-3</v>
      </c>
      <c r="O61" s="370">
        <v>6</v>
      </c>
      <c r="P61" s="66">
        <v>123</v>
      </c>
      <c r="Q61" s="220"/>
      <c r="R61" s="402"/>
      <c r="S61" s="402">
        <v>229.99697750000001</v>
      </c>
      <c r="T61" s="395">
        <v>0.99999698999999997</v>
      </c>
      <c r="U61" s="402">
        <v>-59.99913557</v>
      </c>
      <c r="V61" s="395">
        <v>0.50001306599999995</v>
      </c>
      <c r="W61" s="400">
        <v>-5.7348429999999999E-3</v>
      </c>
      <c r="X61" s="400">
        <v>8.5930710000000007E-3</v>
      </c>
      <c r="Y61" s="402">
        <v>2.0489336069999999</v>
      </c>
      <c r="Z61" s="409">
        <v>99994.265159999995</v>
      </c>
      <c r="AA61" s="396">
        <v>42033.756018518521</v>
      </c>
      <c r="AB61" s="397">
        <v>50.000660384975298</v>
      </c>
      <c r="AC61" s="393">
        <v>0.44140625</v>
      </c>
      <c r="AD61" s="393" t="s">
        <v>134</v>
      </c>
      <c r="AE61" s="393">
        <v>0.7529296875</v>
      </c>
      <c r="AF61" s="393" t="s">
        <v>133</v>
      </c>
      <c r="AG61" s="393">
        <v>0.228292145699201</v>
      </c>
      <c r="AH61" s="393">
        <v>-17.9853790385813</v>
      </c>
      <c r="AI61" s="393">
        <v>1.1330972780139501</v>
      </c>
      <c r="AJ61" s="393">
        <v>1.13320974681438</v>
      </c>
      <c r="AK61" s="393">
        <v>107.940580273656</v>
      </c>
      <c r="AL61" s="393">
        <v>3194.2190342050999</v>
      </c>
      <c r="AM61" s="393">
        <v>114.99111938476599</v>
      </c>
      <c r="AN61" s="393">
        <v>0.22677598583908001</v>
      </c>
      <c r="AO61" s="393">
        <v>-16.9621589708571</v>
      </c>
      <c r="AP61" s="393">
        <v>1.1330959127337601</v>
      </c>
      <c r="AQ61" s="393">
        <v>1.1334116024594501</v>
      </c>
      <c r="AR61" s="393">
        <v>107.96008681225899</v>
      </c>
      <c r="AS61" s="393">
        <v>3194.2815462114099</v>
      </c>
      <c r="AT61" s="393">
        <v>114.991493225098</v>
      </c>
      <c r="AU61" s="393">
        <v>0.22425987129577199</v>
      </c>
      <c r="AV61" s="393">
        <v>-18.086496266913599</v>
      </c>
      <c r="AW61" s="393">
        <v>1.133098279365</v>
      </c>
      <c r="AX61" s="393">
        <v>1.13297931710306</v>
      </c>
      <c r="AY61" s="393">
        <v>107.949042824532</v>
      </c>
      <c r="AZ61" s="393">
        <v>3194.3337377551902</v>
      </c>
      <c r="BA61" s="393">
        <v>114.991737365723</v>
      </c>
      <c r="BB61" s="393">
        <v>0.228490929639384</v>
      </c>
      <c r="BC61" s="393">
        <v>-18.243762862097899</v>
      </c>
      <c r="BD61" s="393">
        <v>1.13309669502173</v>
      </c>
      <c r="BE61" s="393">
        <v>1.1336804694648099</v>
      </c>
      <c r="BF61" s="393">
        <v>107.943195921701</v>
      </c>
      <c r="BG61" s="393">
        <v>3194.2834777062099</v>
      </c>
      <c r="BH61" s="393">
        <v>114.991012573242</v>
      </c>
      <c r="BI61" s="393">
        <v>0.228709894951557</v>
      </c>
      <c r="BJ61" s="393">
        <v>-18.188824305126001</v>
      </c>
      <c r="BK61" s="393">
        <v>1.1330994376842101</v>
      </c>
      <c r="BL61" s="393">
        <v>1.1325873854261399</v>
      </c>
      <c r="BM61" s="393">
        <v>107.954482782817</v>
      </c>
      <c r="BN61" s="393">
        <v>3194.3479230398698</v>
      </c>
      <c r="BO61" s="393">
        <v>114.99127960205099</v>
      </c>
      <c r="BP61" s="393"/>
      <c r="BQ61" s="393"/>
      <c r="BR61" s="393"/>
      <c r="BS61" s="393"/>
      <c r="BT61" s="393"/>
      <c r="BU61" s="393"/>
      <c r="BV61" s="393"/>
      <c r="BW61" s="393">
        <v>115.0011483</v>
      </c>
      <c r="BX61" s="393">
        <v>199.18089190000001</v>
      </c>
      <c r="BY61" s="393">
        <v>229.99697750000001</v>
      </c>
      <c r="BZ61" s="393">
        <v>0.99999698999999997</v>
      </c>
      <c r="CA61" s="393">
        <v>-59.99913557</v>
      </c>
      <c r="CB61" s="393">
        <v>3.6376099999999999E-4</v>
      </c>
      <c r="CC61" s="393">
        <v>4.1377800000000001E-4</v>
      </c>
      <c r="CD61" s="393">
        <v>1.24945E-4</v>
      </c>
      <c r="CE61" s="399">
        <v>1.3598000000000001E-6</v>
      </c>
      <c r="CF61" s="393">
        <v>1.1128699999999999E-4</v>
      </c>
      <c r="CG61" s="393">
        <v>-5.7348429999999999E-3</v>
      </c>
      <c r="CH61" s="394">
        <v>4.1939229999999996E-3</v>
      </c>
      <c r="CI61" s="394">
        <v>27.303170550000001</v>
      </c>
      <c r="CJ61" s="46">
        <v>2.0489336069999999</v>
      </c>
      <c r="CK61" s="46">
        <v>8.5930710000000007E-3</v>
      </c>
      <c r="CL61" s="393">
        <v>0.50001306599999995</v>
      </c>
      <c r="CM61" s="393">
        <v>229.99766990000001</v>
      </c>
      <c r="CN61" s="399">
        <v>7.8382500000000004E-4</v>
      </c>
      <c r="CO61" s="393">
        <v>99994.265159999995</v>
      </c>
      <c r="CP61" s="393">
        <v>0</v>
      </c>
      <c r="CQ61" s="393">
        <v>0</v>
      </c>
      <c r="CR61" s="393">
        <v>109.267</v>
      </c>
      <c r="CS61" s="393">
        <v>23.916597800000002</v>
      </c>
      <c r="CT61" s="393">
        <v>0.322913697</v>
      </c>
      <c r="CU61" s="393"/>
      <c r="CV61" s="393"/>
      <c r="CW61" s="393"/>
      <c r="CX61" s="393"/>
      <c r="CY61" s="393"/>
      <c r="CZ61" s="393"/>
      <c r="DA61" s="393"/>
    </row>
    <row r="62" spans="1:105" x14ac:dyDescent="0.2">
      <c r="A62" s="366">
        <f>ROW()</f>
        <v>62</v>
      </c>
      <c r="B62" s="367" t="s">
        <v>50</v>
      </c>
      <c r="C62" s="368">
        <v>1</v>
      </c>
      <c r="D62" s="368">
        <v>230</v>
      </c>
      <c r="E62" s="367">
        <v>-60</v>
      </c>
      <c r="F62" s="441">
        <v>230</v>
      </c>
      <c r="G62" s="369" t="s">
        <v>359</v>
      </c>
      <c r="H62" s="370">
        <v>1</v>
      </c>
      <c r="I62" s="367">
        <v>50</v>
      </c>
      <c r="J62" s="371">
        <v>10</v>
      </c>
      <c r="K62" s="372">
        <v>5</v>
      </c>
      <c r="L62" s="482">
        <v>100000</v>
      </c>
      <c r="M62" s="443" t="s">
        <v>535</v>
      </c>
      <c r="N62" s="726">
        <f t="shared" si="1"/>
        <v>2.5818646362658127E-3</v>
      </c>
      <c r="O62" s="370">
        <v>6</v>
      </c>
      <c r="P62" s="66">
        <v>123</v>
      </c>
      <c r="Q62" s="220"/>
      <c r="R62" s="402"/>
      <c r="S62" s="402">
        <v>229.9968867</v>
      </c>
      <c r="T62" s="395">
        <v>0.999989303</v>
      </c>
      <c r="U62" s="402">
        <v>-59.998845469999999</v>
      </c>
      <c r="V62" s="395">
        <v>0.50001745099999995</v>
      </c>
      <c r="W62" s="400">
        <v>-5.3910130000000001E-3</v>
      </c>
      <c r="X62" s="400">
        <v>8.6049349999999993E-3</v>
      </c>
      <c r="Y62" s="402">
        <v>2.0484982829999998</v>
      </c>
      <c r="Z62" s="409">
        <v>99994.608989999993</v>
      </c>
      <c r="AA62" s="396">
        <v>42033.758923611109</v>
      </c>
      <c r="AB62" s="397">
        <v>50.000245291848003</v>
      </c>
      <c r="AC62" s="393">
        <v>0.44140625</v>
      </c>
      <c r="AD62" s="393" t="s">
        <v>134</v>
      </c>
      <c r="AE62" s="393">
        <v>0.7529296875</v>
      </c>
      <c r="AF62" s="393" t="s">
        <v>133</v>
      </c>
      <c r="AG62" s="393">
        <v>0.22279303699960301</v>
      </c>
      <c r="AH62" s="393">
        <v>-17.649837326625399</v>
      </c>
      <c r="AI62" s="393">
        <v>1.13309631196487</v>
      </c>
      <c r="AJ62" s="393">
        <v>1.1329778124026799</v>
      </c>
      <c r="AK62" s="393">
        <v>107.945400577122</v>
      </c>
      <c r="AL62" s="393">
        <v>3194.2766330700902</v>
      </c>
      <c r="AM62" s="393">
        <v>114.99152374267599</v>
      </c>
      <c r="AN62" s="393">
        <v>0.22863487218216499</v>
      </c>
      <c r="AO62" s="393">
        <v>-18.317691739831599</v>
      </c>
      <c r="AP62" s="393">
        <v>1.13309708215908</v>
      </c>
      <c r="AQ62" s="393">
        <v>1.1328392175753801</v>
      </c>
      <c r="AR62" s="393">
        <v>107.963641714863</v>
      </c>
      <c r="AS62" s="393">
        <v>3194.3806692291801</v>
      </c>
      <c r="AT62" s="393">
        <v>114.99135589599599</v>
      </c>
      <c r="AU62" s="393">
        <v>0.22790935145459501</v>
      </c>
      <c r="AV62" s="393">
        <v>-17.147007445362298</v>
      </c>
      <c r="AW62" s="393">
        <v>1.13309744624986</v>
      </c>
      <c r="AX62" s="393">
        <v>1.13384856883411</v>
      </c>
      <c r="AY62" s="393">
        <v>107.927675692888</v>
      </c>
      <c r="AZ62" s="393">
        <v>3194.3099881016301</v>
      </c>
      <c r="BA62" s="393">
        <v>114.991348266602</v>
      </c>
      <c r="BB62" s="393">
        <v>0.22357681616387001</v>
      </c>
      <c r="BC62" s="393">
        <v>-17.667289037554902</v>
      </c>
      <c r="BD62" s="393">
        <v>1.13309716679735</v>
      </c>
      <c r="BE62" s="393">
        <v>1.13329177992196</v>
      </c>
      <c r="BF62" s="393">
        <v>107.94962372637001</v>
      </c>
      <c r="BG62" s="393">
        <v>3194.2945100152901</v>
      </c>
      <c r="BH62" s="393">
        <v>114.991401672363</v>
      </c>
      <c r="BI62" s="393">
        <v>0.22782237847120501</v>
      </c>
      <c r="BJ62" s="393">
        <v>-18.376698055457702</v>
      </c>
      <c r="BK62" s="393">
        <v>1.13309735890528</v>
      </c>
      <c r="BL62" s="393">
        <v>1.13258417494838</v>
      </c>
      <c r="BM62" s="393">
        <v>107.950851810491</v>
      </c>
      <c r="BN62" s="393">
        <v>3194.2698208015399</v>
      </c>
      <c r="BO62" s="393">
        <v>114.99089050293</v>
      </c>
      <c r="BP62" s="393"/>
      <c r="BQ62" s="393"/>
      <c r="BR62" s="393"/>
      <c r="BS62" s="393"/>
      <c r="BT62" s="393"/>
      <c r="BU62" s="393"/>
      <c r="BV62" s="393"/>
      <c r="BW62" s="393">
        <v>115.0012274</v>
      </c>
      <c r="BX62" s="393">
        <v>199.1786999</v>
      </c>
      <c r="BY62" s="393">
        <v>229.9968867</v>
      </c>
      <c r="BZ62" s="393">
        <v>0.999989303</v>
      </c>
      <c r="CA62" s="393">
        <v>-59.998845469999999</v>
      </c>
      <c r="CB62" s="393">
        <v>4.4438099999999999E-4</v>
      </c>
      <c r="CC62" s="393">
        <v>5.9097200000000005E-4</v>
      </c>
      <c r="CD62" s="399">
        <v>4.0801199999999998E-5</v>
      </c>
      <c r="CE62" s="399">
        <v>2.0137899999999998E-6</v>
      </c>
      <c r="CF62" s="393">
        <v>1.3687399999999999E-4</v>
      </c>
      <c r="CG62" s="393">
        <v>-5.3910130000000001E-3</v>
      </c>
      <c r="CH62" s="394">
        <v>4.200606E-3</v>
      </c>
      <c r="CI62" s="394">
        <v>27.433939509999998</v>
      </c>
      <c r="CJ62" s="46">
        <v>2.0484982829999998</v>
      </c>
      <c r="CK62" s="46">
        <v>8.6049349999999993E-3</v>
      </c>
      <c r="CL62" s="393">
        <v>0.50001745099999995</v>
      </c>
      <c r="CM62" s="393">
        <v>229.99934709999999</v>
      </c>
      <c r="CN62" s="393">
        <v>9.6834700000000004E-4</v>
      </c>
      <c r="CO62" s="393">
        <v>99994.608989999993</v>
      </c>
      <c r="CP62" s="393">
        <v>0</v>
      </c>
      <c r="CQ62" s="393">
        <v>0</v>
      </c>
      <c r="CR62" s="393">
        <v>109.265</v>
      </c>
      <c r="CS62" s="393">
        <v>23.911443909999999</v>
      </c>
      <c r="CT62" s="393">
        <v>0.32291390599999997</v>
      </c>
      <c r="CU62" s="393"/>
      <c r="CV62" s="393"/>
      <c r="CW62" s="393"/>
      <c r="CX62" s="393"/>
      <c r="CY62" s="393"/>
      <c r="CZ62" s="393"/>
      <c r="DA62" s="393"/>
    </row>
    <row r="63" spans="1:105" x14ac:dyDescent="0.2">
      <c r="A63" s="366">
        <f>ROW()</f>
        <v>63</v>
      </c>
      <c r="B63" s="367" t="s">
        <v>50</v>
      </c>
      <c r="C63" s="368">
        <v>1</v>
      </c>
      <c r="D63" s="368">
        <v>230</v>
      </c>
      <c r="E63" s="367">
        <v>36.869999999999997</v>
      </c>
      <c r="F63" s="441">
        <v>230</v>
      </c>
      <c r="G63" s="369" t="s">
        <v>359</v>
      </c>
      <c r="H63" s="370">
        <v>1</v>
      </c>
      <c r="I63" s="367">
        <v>50</v>
      </c>
      <c r="J63" s="371">
        <v>10</v>
      </c>
      <c r="K63" s="372">
        <v>5</v>
      </c>
      <c r="L63" s="482">
        <v>100000</v>
      </c>
      <c r="M63" s="443" t="s">
        <v>535</v>
      </c>
      <c r="N63" s="726">
        <f t="shared" si="1"/>
        <v>1.8650819986527408E-3</v>
      </c>
      <c r="O63" s="370">
        <v>6</v>
      </c>
      <c r="P63" s="66">
        <v>123</v>
      </c>
      <c r="Q63" s="220"/>
      <c r="R63" s="402"/>
      <c r="S63" s="402">
        <v>229.9968848</v>
      </c>
      <c r="T63" s="395">
        <v>0.99998823800000003</v>
      </c>
      <c r="U63" s="402">
        <v>36.89671474</v>
      </c>
      <c r="V63" s="395">
        <v>0.79971908400000002</v>
      </c>
      <c r="W63" s="400">
        <v>5.3894260000000001E-3</v>
      </c>
      <c r="X63" s="400">
        <v>5.7098080000000002E-3</v>
      </c>
      <c r="Y63" s="402">
        <v>2.0540064830000002</v>
      </c>
      <c r="Z63" s="409">
        <v>100005.3894</v>
      </c>
      <c r="AA63" s="396">
        <v>42033.761840277781</v>
      </c>
      <c r="AB63" s="397">
        <v>50.000009440071103</v>
      </c>
      <c r="AC63" s="393">
        <v>0.7060546875</v>
      </c>
      <c r="AD63" s="393" t="s">
        <v>134</v>
      </c>
      <c r="AE63" s="393">
        <v>0.5224609375</v>
      </c>
      <c r="AF63" s="393" t="s">
        <v>135</v>
      </c>
      <c r="AG63" s="393">
        <v>0.422228925120678</v>
      </c>
      <c r="AH63" s="393">
        <v>-80.531064844607499</v>
      </c>
      <c r="AI63" s="393">
        <v>1.13309821618761</v>
      </c>
      <c r="AJ63" s="393">
        <v>1.1327058433456501</v>
      </c>
      <c r="AK63" s="393">
        <v>107.933942607869</v>
      </c>
      <c r="AL63" s="393">
        <v>5109.4012094833997</v>
      </c>
      <c r="AM63" s="393">
        <v>183.94346618652301</v>
      </c>
      <c r="AN63" s="393">
        <v>0.41677517696892802</v>
      </c>
      <c r="AO63" s="393">
        <v>-80.962758811021104</v>
      </c>
      <c r="AP63" s="393">
        <v>1.1330961628095999</v>
      </c>
      <c r="AQ63" s="393">
        <v>1.1327278830191401</v>
      </c>
      <c r="AR63" s="393">
        <v>107.956445912327</v>
      </c>
      <c r="AS63" s="393">
        <v>5109.5458297720998</v>
      </c>
      <c r="AT63" s="393">
        <v>183.94483947753901</v>
      </c>
      <c r="AU63" s="393">
        <v>0.42313663511756899</v>
      </c>
      <c r="AV63" s="393">
        <v>-80.627828441842098</v>
      </c>
      <c r="AW63" s="393">
        <v>1.13309737508856</v>
      </c>
      <c r="AX63" s="393">
        <v>1.1331937425422001</v>
      </c>
      <c r="AY63" s="393">
        <v>107.960686478998</v>
      </c>
      <c r="AZ63" s="393">
        <v>5109.4853175696298</v>
      </c>
      <c r="BA63" s="393">
        <v>183.94470214843801</v>
      </c>
      <c r="BB63" s="393">
        <v>0.41825343495064898</v>
      </c>
      <c r="BC63" s="393">
        <v>-80.834464378397001</v>
      </c>
      <c r="BD63" s="393">
        <v>1.1330971621766599</v>
      </c>
      <c r="BE63" s="393">
        <v>1.1331541635051301</v>
      </c>
      <c r="BF63" s="393">
        <v>107.932801502492</v>
      </c>
      <c r="BG63" s="393">
        <v>5109.4017681403202</v>
      </c>
      <c r="BH63" s="393">
        <v>183.94442749023401</v>
      </c>
      <c r="BI63" s="393">
        <v>0.42083574825337999</v>
      </c>
      <c r="BJ63" s="393">
        <v>-81.061248955198494</v>
      </c>
      <c r="BK63" s="393">
        <v>1.1330964012236699</v>
      </c>
      <c r="BL63" s="393">
        <v>1.1326289767912301</v>
      </c>
      <c r="BM63" s="393">
        <v>107.941827679062</v>
      </c>
      <c r="BN63" s="393">
        <v>5109.4781809982096</v>
      </c>
      <c r="BO63" s="393">
        <v>183.94451904296901</v>
      </c>
      <c r="BP63" s="393"/>
      <c r="BQ63" s="393"/>
      <c r="BR63" s="393"/>
      <c r="BS63" s="393"/>
      <c r="BT63" s="393"/>
      <c r="BU63" s="393"/>
      <c r="BV63" s="393"/>
      <c r="BW63" s="393">
        <v>183.93073580000001</v>
      </c>
      <c r="BX63" s="393">
        <v>138.0826118</v>
      </c>
      <c r="BY63" s="393">
        <v>229.9968848</v>
      </c>
      <c r="BZ63" s="393">
        <v>0.99998823800000003</v>
      </c>
      <c r="CA63" s="393">
        <v>36.89671474</v>
      </c>
      <c r="CB63" s="393">
        <v>3.9880100000000001E-4</v>
      </c>
      <c r="CC63" s="393">
        <v>3.7811700000000003E-4</v>
      </c>
      <c r="CD63" s="399">
        <v>7.43817E-5</v>
      </c>
      <c r="CE63" s="399">
        <v>2.3176200000000002E-6</v>
      </c>
      <c r="CF63" s="399">
        <v>6.3577299999999999E-5</v>
      </c>
      <c r="CG63" s="393">
        <v>5.3894260000000001E-3</v>
      </c>
      <c r="CH63" s="394">
        <v>2.7798390000000001E-3</v>
      </c>
      <c r="CI63" s="394">
        <v>25.868863080000001</v>
      </c>
      <c r="CJ63" s="46">
        <v>2.0540064830000002</v>
      </c>
      <c r="CK63" s="46">
        <v>5.7098080000000002E-3</v>
      </c>
      <c r="CL63" s="393">
        <v>0.79971908400000002</v>
      </c>
      <c r="CM63" s="393">
        <v>229.99959000000001</v>
      </c>
      <c r="CN63" s="399">
        <v>1.308558E-3</v>
      </c>
      <c r="CO63" s="393">
        <v>100005.3894</v>
      </c>
      <c r="CP63" s="393">
        <v>0</v>
      </c>
      <c r="CQ63" s="393">
        <v>0</v>
      </c>
      <c r="CR63" s="393">
        <v>109.265</v>
      </c>
      <c r="CS63" s="393">
        <v>23.911443909999999</v>
      </c>
      <c r="CT63" s="393">
        <v>0.32291390599999997</v>
      </c>
      <c r="CU63" s="393"/>
      <c r="CV63" s="393"/>
      <c r="CW63" s="393"/>
      <c r="CX63" s="393"/>
      <c r="CY63" s="393"/>
      <c r="CZ63" s="393"/>
      <c r="DA63" s="393"/>
    </row>
    <row r="64" spans="1:105" x14ac:dyDescent="0.2">
      <c r="A64" s="366">
        <f>ROW()</f>
        <v>64</v>
      </c>
      <c r="B64" s="367" t="s">
        <v>50</v>
      </c>
      <c r="C64" s="368">
        <v>1</v>
      </c>
      <c r="D64" s="368">
        <v>230</v>
      </c>
      <c r="E64" s="367">
        <v>36.869999999999997</v>
      </c>
      <c r="F64" s="441">
        <v>230</v>
      </c>
      <c r="G64" s="369" t="s">
        <v>359</v>
      </c>
      <c r="H64" s="370">
        <v>1</v>
      </c>
      <c r="I64" s="367">
        <v>50</v>
      </c>
      <c r="J64" s="371">
        <v>10</v>
      </c>
      <c r="K64" s="372">
        <v>5</v>
      </c>
      <c r="L64" s="482">
        <v>100000</v>
      </c>
      <c r="M64" s="443" t="s">
        <v>535</v>
      </c>
      <c r="N64" s="726">
        <f t="shared" si="1"/>
        <v>1.8650819986527408E-3</v>
      </c>
      <c r="O64" s="370">
        <v>6</v>
      </c>
      <c r="P64" s="66">
        <v>123</v>
      </c>
      <c r="Q64" s="220"/>
      <c r="R64" s="402"/>
      <c r="S64" s="402">
        <v>229.9968858</v>
      </c>
      <c r="T64" s="395">
        <v>0.99998839299999998</v>
      </c>
      <c r="U64" s="402">
        <v>36.897151899999997</v>
      </c>
      <c r="V64" s="395">
        <v>0.79971450399999999</v>
      </c>
      <c r="W64" s="400">
        <v>6.2851749999999996E-3</v>
      </c>
      <c r="X64" s="400">
        <v>5.70252E-3</v>
      </c>
      <c r="Y64" s="402">
        <v>2.0544265500000001</v>
      </c>
      <c r="Z64" s="409">
        <v>100006.2852</v>
      </c>
      <c r="AA64" s="396">
        <v>42033.764756944445</v>
      </c>
      <c r="AB64" s="397">
        <v>50.000481143624903</v>
      </c>
      <c r="AC64" s="393">
        <v>0.7060546875</v>
      </c>
      <c r="AD64" s="393" t="s">
        <v>134</v>
      </c>
      <c r="AE64" s="393">
        <v>0.5224609375</v>
      </c>
      <c r="AF64" s="393" t="s">
        <v>135</v>
      </c>
      <c r="AG64" s="393">
        <v>0.42495468579091</v>
      </c>
      <c r="AH64" s="393">
        <v>-81.033634235110895</v>
      </c>
      <c r="AI64" s="393">
        <v>1.1330952561765799</v>
      </c>
      <c r="AJ64" s="393">
        <v>1.13324820401334</v>
      </c>
      <c r="AK64" s="393">
        <v>107.957818995949</v>
      </c>
      <c r="AL64" s="393">
        <v>5109.4567014517297</v>
      </c>
      <c r="AM64" s="393">
        <v>183.94412231445301</v>
      </c>
      <c r="AN64" s="393">
        <v>0.41709905132828401</v>
      </c>
      <c r="AO64" s="393">
        <v>-81.222728672945905</v>
      </c>
      <c r="AP64" s="393">
        <v>1.13309686333282</v>
      </c>
      <c r="AQ64" s="393">
        <v>1.1334195870652299</v>
      </c>
      <c r="AR64" s="393">
        <v>107.948095729998</v>
      </c>
      <c r="AS64" s="393">
        <v>5109.4211947438398</v>
      </c>
      <c r="AT64" s="393">
        <v>183.94436645507801</v>
      </c>
      <c r="AU64" s="393">
        <v>0.42493548780304902</v>
      </c>
      <c r="AV64" s="393">
        <v>-80.578631107249805</v>
      </c>
      <c r="AW64" s="393">
        <v>1.1330965128188799</v>
      </c>
      <c r="AX64" s="393">
        <v>1.13266486915484</v>
      </c>
      <c r="AY64" s="393">
        <v>107.944711802326</v>
      </c>
      <c r="AZ64" s="393">
        <v>5109.4957354748603</v>
      </c>
      <c r="BA64" s="393">
        <v>183.94361877441401</v>
      </c>
      <c r="BB64" s="393">
        <v>0.42196611057719402</v>
      </c>
      <c r="BC64" s="393">
        <v>-80.555783733716794</v>
      </c>
      <c r="BD64" s="393">
        <v>1.13309853586672</v>
      </c>
      <c r="BE64" s="393">
        <v>1.1331796850176401</v>
      </c>
      <c r="BF64" s="393">
        <v>107.948600528358</v>
      </c>
      <c r="BG64" s="393">
        <v>5109.5056040673098</v>
      </c>
      <c r="BH64" s="393">
        <v>183.94386291503901</v>
      </c>
      <c r="BI64" s="393">
        <v>0.422379130130485</v>
      </c>
      <c r="BJ64" s="393">
        <v>-81.293706995352807</v>
      </c>
      <c r="BK64" s="393">
        <v>1.1330981744422299</v>
      </c>
      <c r="BL64" s="393">
        <v>1.1329365580219599</v>
      </c>
      <c r="BM64" s="393">
        <v>107.97338381341601</v>
      </c>
      <c r="BN64" s="393">
        <v>5109.5196355312801</v>
      </c>
      <c r="BO64" s="393">
        <v>183.944259643555</v>
      </c>
      <c r="BP64" s="393"/>
      <c r="BQ64" s="393"/>
      <c r="BR64" s="393"/>
      <c r="BS64" s="393"/>
      <c r="BT64" s="393"/>
      <c r="BU64" s="393"/>
      <c r="BV64" s="393"/>
      <c r="BW64" s="393">
        <v>183.92971159999999</v>
      </c>
      <c r="BX64" s="393">
        <v>138.08403720000001</v>
      </c>
      <c r="BY64" s="393">
        <v>229.9968858</v>
      </c>
      <c r="BZ64" s="393">
        <v>0.99998839299999998</v>
      </c>
      <c r="CA64" s="393">
        <v>36.897151899999997</v>
      </c>
      <c r="CB64" s="393">
        <v>6.5621799999999997E-4</v>
      </c>
      <c r="CC64" s="393">
        <v>6.5867400000000004E-4</v>
      </c>
      <c r="CD64" s="393">
        <v>1.20196E-4</v>
      </c>
      <c r="CE64" s="399">
        <v>3.2439899999999999E-6</v>
      </c>
      <c r="CF64" s="399">
        <v>1.16347E-4</v>
      </c>
      <c r="CG64" s="393">
        <v>6.2851749999999996E-3</v>
      </c>
      <c r="CH64" s="394">
        <v>2.7757229999999999E-3</v>
      </c>
      <c r="CI64" s="394">
        <v>25.757024099999999</v>
      </c>
      <c r="CJ64" s="46">
        <v>2.0544265500000001</v>
      </c>
      <c r="CK64" s="46">
        <v>5.70252E-3</v>
      </c>
      <c r="CL64" s="393">
        <v>0.79971450399999999</v>
      </c>
      <c r="CM64" s="393">
        <v>229.9995553</v>
      </c>
      <c r="CN64" s="393">
        <v>1.5746429999999999E-3</v>
      </c>
      <c r="CO64" s="393">
        <v>100006.2852</v>
      </c>
      <c r="CP64" s="393">
        <v>0</v>
      </c>
      <c r="CQ64" s="393">
        <v>0</v>
      </c>
      <c r="CR64" s="393">
        <v>109.265</v>
      </c>
      <c r="CS64" s="393">
        <v>23.911443909999999</v>
      </c>
      <c r="CT64" s="393">
        <v>0.32291390599999997</v>
      </c>
      <c r="CU64" s="393"/>
      <c r="CV64" s="393"/>
      <c r="CW64" s="393"/>
      <c r="CX64" s="393"/>
      <c r="CY64" s="393"/>
      <c r="CZ64" s="393"/>
      <c r="DA64" s="393"/>
    </row>
    <row r="65" spans="1:105" x14ac:dyDescent="0.2">
      <c r="A65" s="366">
        <f>ROW()</f>
        <v>65</v>
      </c>
      <c r="B65" s="367" t="s">
        <v>50</v>
      </c>
      <c r="C65" s="368">
        <v>1</v>
      </c>
      <c r="D65" s="368">
        <v>230</v>
      </c>
      <c r="E65" s="367">
        <v>36.869999999999997</v>
      </c>
      <c r="F65" s="441">
        <v>230</v>
      </c>
      <c r="G65" s="369" t="s">
        <v>359</v>
      </c>
      <c r="H65" s="370">
        <v>1</v>
      </c>
      <c r="I65" s="367">
        <v>50</v>
      </c>
      <c r="J65" s="371">
        <v>10</v>
      </c>
      <c r="K65" s="372">
        <v>5</v>
      </c>
      <c r="L65" s="482">
        <v>100000</v>
      </c>
      <c r="M65" s="443" t="s">
        <v>535</v>
      </c>
      <c r="N65" s="726">
        <f t="shared" si="1"/>
        <v>1.8650819986527408E-3</v>
      </c>
      <c r="O65" s="370">
        <v>6</v>
      </c>
      <c r="P65" s="66">
        <v>123</v>
      </c>
      <c r="Q65" s="220"/>
      <c r="R65" s="402"/>
      <c r="S65" s="402">
        <v>229.99697810000001</v>
      </c>
      <c r="T65" s="395">
        <v>0.999983493</v>
      </c>
      <c r="U65" s="402">
        <v>36.896626390000002</v>
      </c>
      <c r="V65" s="395">
        <v>0.79972001000000004</v>
      </c>
      <c r="W65" s="400">
        <v>6.7804379999999997E-3</v>
      </c>
      <c r="X65" s="400">
        <v>5.6851769999999996E-3</v>
      </c>
      <c r="Y65" s="402">
        <v>2.0554929419999999</v>
      </c>
      <c r="Z65" s="409">
        <v>100006.7804</v>
      </c>
      <c r="AA65" s="396">
        <v>42033.76767361111</v>
      </c>
      <c r="AB65" s="397">
        <v>49.9998820791116</v>
      </c>
      <c r="AC65" s="393">
        <v>0.7060546875</v>
      </c>
      <c r="AD65" s="393" t="s">
        <v>134</v>
      </c>
      <c r="AE65" s="393">
        <v>0.5224609375</v>
      </c>
      <c r="AF65" s="393" t="s">
        <v>135</v>
      </c>
      <c r="AG65" s="393">
        <v>0.41964322333169601</v>
      </c>
      <c r="AH65" s="393">
        <v>-80.876744567963399</v>
      </c>
      <c r="AI65" s="393">
        <v>1.1330985475302799</v>
      </c>
      <c r="AJ65" s="393">
        <v>1.13343639388892</v>
      </c>
      <c r="AK65" s="393">
        <v>107.945541117779</v>
      </c>
      <c r="AL65" s="393">
        <v>5109.5223198751601</v>
      </c>
      <c r="AM65" s="393">
        <v>183.944412231445</v>
      </c>
      <c r="AN65" s="393">
        <v>0.42477842550149197</v>
      </c>
      <c r="AO65" s="393">
        <v>-80.682355474763995</v>
      </c>
      <c r="AP65" s="393">
        <v>1.1330961465889999</v>
      </c>
      <c r="AQ65" s="393">
        <v>1.13279950004295</v>
      </c>
      <c r="AR65" s="393">
        <v>107.941606638235</v>
      </c>
      <c r="AS65" s="393">
        <v>5109.5333636597497</v>
      </c>
      <c r="AT65" s="393">
        <v>183.94357299804699</v>
      </c>
      <c r="AU65" s="393">
        <v>0.42282590984802998</v>
      </c>
      <c r="AV65" s="393">
        <v>-80.380994814493704</v>
      </c>
      <c r="AW65" s="393">
        <v>1.1330984311488199</v>
      </c>
      <c r="AX65" s="393">
        <v>1.13301573896861</v>
      </c>
      <c r="AY65" s="393">
        <v>107.939990318288</v>
      </c>
      <c r="AZ65" s="393">
        <v>5109.4797416125803</v>
      </c>
      <c r="BA65" s="393">
        <v>183.94462585449199</v>
      </c>
      <c r="BB65" s="393">
        <v>0.42092488387666099</v>
      </c>
      <c r="BC65" s="393">
        <v>-80.440379189485995</v>
      </c>
      <c r="BD65" s="393">
        <v>1.1330964185604899</v>
      </c>
      <c r="BE65" s="393">
        <v>1.1328977708955299</v>
      </c>
      <c r="BF65" s="393">
        <v>107.927406557121</v>
      </c>
      <c r="BG65" s="393">
        <v>5109.48639309193</v>
      </c>
      <c r="BH65" s="393">
        <v>183.94503784179699</v>
      </c>
      <c r="BI65" s="393">
        <v>0.42262330223496197</v>
      </c>
      <c r="BJ65" s="393">
        <v>-81.326497752464704</v>
      </c>
      <c r="BK65" s="393">
        <v>1.1330980721377499</v>
      </c>
      <c r="BL65" s="393">
        <v>1.13326418995642</v>
      </c>
      <c r="BM65" s="393">
        <v>107.956918711208</v>
      </c>
      <c r="BN65" s="393">
        <v>5109.5645369019803</v>
      </c>
      <c r="BO65" s="393">
        <v>183.94380187988301</v>
      </c>
      <c r="BP65" s="393"/>
      <c r="BQ65" s="393"/>
      <c r="BR65" s="393"/>
      <c r="BS65" s="393"/>
      <c r="BT65" s="393"/>
      <c r="BU65" s="393"/>
      <c r="BV65" s="393"/>
      <c r="BW65" s="393">
        <v>183.9301505</v>
      </c>
      <c r="BX65" s="393">
        <v>138.081729</v>
      </c>
      <c r="BY65" s="393">
        <v>229.99697810000001</v>
      </c>
      <c r="BZ65" s="393">
        <v>0.999983493</v>
      </c>
      <c r="CA65" s="393">
        <v>36.896626390000002</v>
      </c>
      <c r="CB65" s="393">
        <v>4.88293E-4</v>
      </c>
      <c r="CC65" s="393">
        <v>6.3285200000000005E-4</v>
      </c>
      <c r="CD65" s="393">
        <v>1.044E-4</v>
      </c>
      <c r="CE65" s="399">
        <v>2.1008100000000001E-6</v>
      </c>
      <c r="CF65" s="393">
        <v>1.4240699999999999E-4</v>
      </c>
      <c r="CG65" s="393">
        <v>6.7804379999999997E-3</v>
      </c>
      <c r="CH65" s="394">
        <v>2.7658460000000002E-3</v>
      </c>
      <c r="CI65" s="394">
        <v>25.477540829999999</v>
      </c>
      <c r="CJ65" s="46">
        <v>2.0554929419999999</v>
      </c>
      <c r="CK65" s="46">
        <v>5.6851769999999996E-3</v>
      </c>
      <c r="CL65" s="393">
        <v>0.79972001000000004</v>
      </c>
      <c r="CM65" s="393">
        <v>230.00077469999999</v>
      </c>
      <c r="CN65" s="399">
        <v>9.3961700000000001E-4</v>
      </c>
      <c r="CO65" s="393">
        <v>100006.7804</v>
      </c>
      <c r="CP65" s="393">
        <v>0</v>
      </c>
      <c r="CQ65" s="393">
        <v>0</v>
      </c>
      <c r="CR65" s="393">
        <v>109.268</v>
      </c>
      <c r="CS65" s="393">
        <v>23.91917475</v>
      </c>
      <c r="CT65" s="393">
        <v>0.32291359200000003</v>
      </c>
      <c r="CU65" s="393"/>
      <c r="CV65" s="393"/>
      <c r="CW65" s="393"/>
      <c r="CX65" s="393"/>
      <c r="CY65" s="393"/>
      <c r="CZ65" s="393"/>
      <c r="DA65" s="393"/>
    </row>
    <row r="66" spans="1:105" x14ac:dyDescent="0.2">
      <c r="A66" s="366">
        <f>ROW()</f>
        <v>66</v>
      </c>
      <c r="B66" s="367" t="s">
        <v>50</v>
      </c>
      <c r="C66" s="368">
        <v>1</v>
      </c>
      <c r="D66" s="368">
        <v>230</v>
      </c>
      <c r="E66" s="367">
        <v>36.869999999999997</v>
      </c>
      <c r="F66" s="441">
        <v>230</v>
      </c>
      <c r="G66" s="369" t="s">
        <v>359</v>
      </c>
      <c r="H66" s="370">
        <v>1</v>
      </c>
      <c r="I66" s="367">
        <v>50</v>
      </c>
      <c r="J66" s="371">
        <v>10</v>
      </c>
      <c r="K66" s="372">
        <v>5</v>
      </c>
      <c r="L66" s="482">
        <v>100000</v>
      </c>
      <c r="M66" s="443" t="s">
        <v>535</v>
      </c>
      <c r="N66" s="726">
        <f>IF(M66="watts",SQRT((0.0005+0.001/COS(RADIANS(ABS(E66))))^2+0.000645^2)*IF(T63&gt;26,2,1),SQRT((0.001+0.001/SIN(RADIANS(ABS(E66))))^2+0.000645^2+0.0035^2))</f>
        <v>1.8650819986527408E-3</v>
      </c>
      <c r="O66" s="370">
        <v>6</v>
      </c>
      <c r="P66" s="66">
        <v>123</v>
      </c>
      <c r="Q66" s="220"/>
      <c r="R66" s="534" t="s">
        <v>130</v>
      </c>
      <c r="S66" s="402">
        <v>229.99650360000001</v>
      </c>
      <c r="T66" s="395">
        <v>1.0000019659999999</v>
      </c>
      <c r="U66" s="402">
        <v>36.867252190000002</v>
      </c>
      <c r="V66" s="395">
        <v>0.80002770199999995</v>
      </c>
      <c r="W66" s="400">
        <v>7.6623239999999999E-3</v>
      </c>
      <c r="X66" s="400">
        <v>5.6211109999999998E-3</v>
      </c>
      <c r="Y66" s="402">
        <v>2.0602799620000001</v>
      </c>
      <c r="Z66" s="409">
        <v>100007.6623</v>
      </c>
      <c r="AA66" s="396">
        <v>42034.429224537038</v>
      </c>
      <c r="AB66" s="397">
        <v>50.000627374726598</v>
      </c>
      <c r="AC66" s="393">
        <v>0.7060546875</v>
      </c>
      <c r="AD66" s="393" t="s">
        <v>134</v>
      </c>
      <c r="AE66" s="393">
        <v>0.521484375</v>
      </c>
      <c r="AF66" s="393" t="s">
        <v>135</v>
      </c>
      <c r="AG66" s="393">
        <v>0.30783447803773201</v>
      </c>
      <c r="AH66" s="393">
        <v>-142.33765673553</v>
      </c>
      <c r="AI66" s="393">
        <v>1.1330960073621501</v>
      </c>
      <c r="AJ66" s="393">
        <v>1.13296444315178</v>
      </c>
      <c r="AK66" s="393">
        <v>107.93214378174601</v>
      </c>
      <c r="AL66" s="393">
        <v>5111.5721073818404</v>
      </c>
      <c r="AM66" s="393">
        <v>184.01800537109401</v>
      </c>
      <c r="AN66" s="393">
        <v>0.30533426193062302</v>
      </c>
      <c r="AO66" s="393">
        <v>-142.925720904098</v>
      </c>
      <c r="AP66" s="393">
        <v>1.13309546841926</v>
      </c>
      <c r="AQ66" s="393">
        <v>1.13284965699438</v>
      </c>
      <c r="AR66" s="393">
        <v>107.95817070197801</v>
      </c>
      <c r="AS66" s="393">
        <v>5111.6073052162901</v>
      </c>
      <c r="AT66" s="393">
        <v>184.01818847656199</v>
      </c>
      <c r="AU66" s="393">
        <v>0.30355556116159899</v>
      </c>
      <c r="AV66" s="393">
        <v>-142.76798387572899</v>
      </c>
      <c r="AW66" s="393">
        <v>1.1330945432938999</v>
      </c>
      <c r="AX66" s="393">
        <v>1.13276004905149</v>
      </c>
      <c r="AY66" s="393">
        <v>107.964024877512</v>
      </c>
      <c r="AZ66" s="393">
        <v>5111.6728549169602</v>
      </c>
      <c r="BA66" s="393">
        <v>184.01835632324199</v>
      </c>
      <c r="BB66" s="393">
        <v>0.304863039466512</v>
      </c>
      <c r="BC66" s="393">
        <v>-141.88825294432601</v>
      </c>
      <c r="BD66" s="393">
        <v>1.13309407998972</v>
      </c>
      <c r="BE66" s="393">
        <v>1.1332714407978099</v>
      </c>
      <c r="BF66" s="393">
        <v>107.93818777667001</v>
      </c>
      <c r="BG66" s="393">
        <v>5111.5904512050101</v>
      </c>
      <c r="BH66" s="393">
        <v>184.017013549805</v>
      </c>
      <c r="BI66" s="393">
        <v>0.30495904889377501</v>
      </c>
      <c r="BJ66" s="393">
        <v>-142.920154555778</v>
      </c>
      <c r="BK66" s="393">
        <v>1.1330958280916701</v>
      </c>
      <c r="BL66" s="393">
        <v>1.1326247585140199</v>
      </c>
      <c r="BM66" s="393">
        <v>107.97631442324899</v>
      </c>
      <c r="BN66" s="393">
        <v>5111.6178538943996</v>
      </c>
      <c r="BO66" s="393">
        <v>184.01721191406199</v>
      </c>
      <c r="BP66" s="393"/>
      <c r="BQ66" s="393"/>
      <c r="BR66" s="393"/>
      <c r="BS66" s="393"/>
      <c r="BT66" s="393"/>
      <c r="BU66" s="393"/>
      <c r="BV66" s="393"/>
      <c r="BW66" s="393">
        <v>184.0039371</v>
      </c>
      <c r="BX66" s="393">
        <v>137.98967859999999</v>
      </c>
      <c r="BY66" s="393">
        <v>229.99650360000001</v>
      </c>
      <c r="BZ66" s="393">
        <v>1.0000019659999999</v>
      </c>
      <c r="CA66" s="393">
        <v>36.867252190000002</v>
      </c>
      <c r="CB66" s="393">
        <v>4.7542400000000001E-4</v>
      </c>
      <c r="CC66" s="393">
        <v>4.59617E-4</v>
      </c>
      <c r="CD66" s="399">
        <v>7.60073E-5</v>
      </c>
      <c r="CE66" s="399">
        <v>2.3825800000000001E-6</v>
      </c>
      <c r="CF66" s="399">
        <v>7.4544799999999998E-5</v>
      </c>
      <c r="CG66" s="393">
        <v>7.6623239999999999E-3</v>
      </c>
      <c r="CH66" s="394">
        <v>2.7283239999999999E-3</v>
      </c>
      <c r="CI66" s="394">
        <v>24.296422840000002</v>
      </c>
      <c r="CJ66" s="46">
        <v>2.0602799620000001</v>
      </c>
      <c r="CK66" s="46">
        <v>5.6211109999999998E-3</v>
      </c>
      <c r="CL66" s="393">
        <v>0.80002770199999995</v>
      </c>
      <c r="CM66" s="393">
        <v>229.9960513</v>
      </c>
      <c r="CN66" s="393">
        <v>1.149756E-3</v>
      </c>
      <c r="CO66" s="393">
        <v>100007.6623</v>
      </c>
      <c r="CP66" s="393">
        <v>0</v>
      </c>
      <c r="CQ66" s="393">
        <v>0</v>
      </c>
      <c r="CR66" s="393">
        <v>109.14700000000001</v>
      </c>
      <c r="CS66" s="393">
        <v>23.607379479999999</v>
      </c>
      <c r="CT66" s="393">
        <v>0.32292627800000001</v>
      </c>
      <c r="CU66" s="393"/>
      <c r="CV66" s="393"/>
      <c r="CW66" s="393"/>
      <c r="CX66" s="393"/>
      <c r="CY66" s="393"/>
      <c r="CZ66" s="393"/>
      <c r="DA66" s="393"/>
    </row>
    <row r="67" spans="1:105" x14ac:dyDescent="0.2">
      <c r="A67" s="366">
        <f>ROW()</f>
        <v>67</v>
      </c>
      <c r="B67" s="367" t="s">
        <v>50</v>
      </c>
      <c r="C67" s="368">
        <v>1</v>
      </c>
      <c r="D67" s="368">
        <v>230</v>
      </c>
      <c r="E67" s="367">
        <v>36.869999999999997</v>
      </c>
      <c r="F67" s="441">
        <v>230</v>
      </c>
      <c r="G67" s="369" t="s">
        <v>359</v>
      </c>
      <c r="H67" s="370">
        <v>1</v>
      </c>
      <c r="I67" s="367">
        <v>50</v>
      </c>
      <c r="J67" s="371">
        <v>10</v>
      </c>
      <c r="K67" s="372">
        <v>5</v>
      </c>
      <c r="L67" s="482">
        <v>100000</v>
      </c>
      <c r="M67" s="443" t="s">
        <v>535</v>
      </c>
      <c r="N67" s="726">
        <f>IF(M67="watts",SQRT((0.0005+0.001/COS(RADIANS(ABS(E67))))^2+0.000645^2)*IF(T58&gt;26,2,1),SQRT((0.001+0.001/SIN(RADIANS(ABS(E67))))^2+0.000645^2+0.0035^2))</f>
        <v>1.8650819986527408E-3</v>
      </c>
      <c r="O67" s="370">
        <v>6</v>
      </c>
      <c r="P67" s="66">
        <v>123</v>
      </c>
      <c r="Q67" s="220"/>
      <c r="R67" s="394"/>
      <c r="S67" s="402">
        <v>229.99681659999999</v>
      </c>
      <c r="T67" s="395">
        <v>0.99999302800000001</v>
      </c>
      <c r="U67" s="402">
        <v>36.867152249999997</v>
      </c>
      <c r="V67" s="395">
        <v>0.80002874899999998</v>
      </c>
      <c r="W67" s="400">
        <v>7.6563209999999998E-3</v>
      </c>
      <c r="X67" s="400">
        <v>5.6264649999999998E-3</v>
      </c>
      <c r="Y67" s="402">
        <v>2.0598210080000001</v>
      </c>
      <c r="Z67" s="409">
        <v>100007.6563</v>
      </c>
      <c r="AA67" s="396">
        <v>42034.432152777779</v>
      </c>
      <c r="AB67" s="397">
        <v>50.000391512949697</v>
      </c>
      <c r="AC67" s="393">
        <v>0.7060546875</v>
      </c>
      <c r="AD67" s="393" t="s">
        <v>134</v>
      </c>
      <c r="AE67" s="393">
        <v>0.521484375</v>
      </c>
      <c r="AF67" s="393" t="s">
        <v>135</v>
      </c>
      <c r="AG67" s="393">
        <v>0.30736182691930902</v>
      </c>
      <c r="AH67" s="393">
        <v>-142.135979334224</v>
      </c>
      <c r="AI67" s="393">
        <v>1.1330962313242301</v>
      </c>
      <c r="AJ67" s="393">
        <v>1.13334440121256</v>
      </c>
      <c r="AK67" s="393">
        <v>107.959624369522</v>
      </c>
      <c r="AL67" s="393">
        <v>5111.6296143868103</v>
      </c>
      <c r="AM67" s="393">
        <v>184.01690673828099</v>
      </c>
      <c r="AN67" s="393">
        <v>0.30588337206973198</v>
      </c>
      <c r="AO67" s="393">
        <v>-142.34530662010201</v>
      </c>
      <c r="AP67" s="393">
        <v>1.13309719194822</v>
      </c>
      <c r="AQ67" s="393">
        <v>1.1327460469872499</v>
      </c>
      <c r="AR67" s="393">
        <v>107.94250490814299</v>
      </c>
      <c r="AS67" s="393">
        <v>5111.6254691808699</v>
      </c>
      <c r="AT67" s="393">
        <v>184.01713562011699</v>
      </c>
      <c r="AU67" s="393">
        <v>0.30680306806505397</v>
      </c>
      <c r="AV67" s="393">
        <v>-141.788824238329</v>
      </c>
      <c r="AW67" s="393">
        <v>1.1330949303415601</v>
      </c>
      <c r="AX67" s="393">
        <v>1.1328123263944501</v>
      </c>
      <c r="AY67" s="393">
        <v>107.94754174262</v>
      </c>
      <c r="AZ67" s="393">
        <v>5111.55400997589</v>
      </c>
      <c r="BA67" s="393">
        <v>184.01646423339801</v>
      </c>
      <c r="BB67" s="393">
        <v>0.30602777107240198</v>
      </c>
      <c r="BC67" s="393">
        <v>-141.188571218757</v>
      </c>
      <c r="BD67" s="393">
        <v>1.13309765984524</v>
      </c>
      <c r="BE67" s="393">
        <v>1.13262789410037</v>
      </c>
      <c r="BF67" s="393">
        <v>107.968987795782</v>
      </c>
      <c r="BG67" s="393">
        <v>5111.5330616862502</v>
      </c>
      <c r="BH67" s="393">
        <v>184.01631164550801</v>
      </c>
      <c r="BI67" s="393">
        <v>0.306472156524978</v>
      </c>
      <c r="BJ67" s="393">
        <v>-141.46148698057999</v>
      </c>
      <c r="BK67" s="393">
        <v>1.13309762559003</v>
      </c>
      <c r="BL67" s="393">
        <v>1.1334827151896201</v>
      </c>
      <c r="BM67" s="393">
        <v>107.940043451279</v>
      </c>
      <c r="BN67" s="393">
        <v>5111.5566485436502</v>
      </c>
      <c r="BO67" s="393">
        <v>184.01654052734401</v>
      </c>
      <c r="BP67" s="393"/>
      <c r="BQ67" s="393"/>
      <c r="BR67" s="393"/>
      <c r="BS67" s="393"/>
      <c r="BT67" s="393"/>
      <c r="BU67" s="393"/>
      <c r="BV67" s="393"/>
      <c r="BW67" s="393">
        <v>184.00278349999999</v>
      </c>
      <c r="BX67" s="393">
        <v>137.9883121</v>
      </c>
      <c r="BY67" s="393">
        <v>229.99681659999999</v>
      </c>
      <c r="BZ67" s="393">
        <v>0.99999302800000001</v>
      </c>
      <c r="CA67" s="393">
        <v>36.867152249999997</v>
      </c>
      <c r="CB67" s="393">
        <v>3.3526999999999998E-4</v>
      </c>
      <c r="CC67" s="393">
        <v>3.7495699999999998E-4</v>
      </c>
      <c r="CD67" s="393">
        <v>1.05164E-4</v>
      </c>
      <c r="CE67" s="399">
        <v>2.0368300000000001E-6</v>
      </c>
      <c r="CF67" s="399">
        <v>4.55673E-5</v>
      </c>
      <c r="CG67" s="393">
        <v>7.6563209999999998E-3</v>
      </c>
      <c r="CH67" s="394">
        <v>2.7315310000000001E-3</v>
      </c>
      <c r="CI67" s="394">
        <v>24.40473502</v>
      </c>
      <c r="CJ67" s="46">
        <v>2.0598210080000001</v>
      </c>
      <c r="CK67" s="46">
        <v>5.6264649999999998E-3</v>
      </c>
      <c r="CL67" s="393">
        <v>0.80002874899999998</v>
      </c>
      <c r="CM67" s="393">
        <v>229.99842029999999</v>
      </c>
      <c r="CN67" s="393">
        <v>1.0988510000000001E-3</v>
      </c>
      <c r="CO67" s="393">
        <v>100007.6563</v>
      </c>
      <c r="CP67" s="393">
        <v>0</v>
      </c>
      <c r="CQ67" s="393">
        <v>0</v>
      </c>
      <c r="CR67" s="393">
        <v>109.14700000000001</v>
      </c>
      <c r="CS67" s="393">
        <v>23.607379479999999</v>
      </c>
      <c r="CT67" s="393">
        <v>0.32292627800000001</v>
      </c>
      <c r="CU67" s="393"/>
      <c r="CV67" s="393"/>
      <c r="CW67" s="393"/>
      <c r="CX67" s="393"/>
      <c r="CY67" s="393"/>
      <c r="CZ67" s="393"/>
      <c r="DA67" s="393"/>
    </row>
    <row r="68" spans="1:105" x14ac:dyDescent="0.2">
      <c r="A68" s="366">
        <f>ROW()</f>
        <v>68</v>
      </c>
      <c r="B68" s="367" t="s">
        <v>50</v>
      </c>
      <c r="C68" s="368">
        <v>1</v>
      </c>
      <c r="D68" s="368">
        <v>230</v>
      </c>
      <c r="E68" s="367">
        <v>36.869999999999997</v>
      </c>
      <c r="F68" s="441">
        <v>230</v>
      </c>
      <c r="G68" s="369" t="s">
        <v>359</v>
      </c>
      <c r="H68" s="370">
        <v>1</v>
      </c>
      <c r="I68" s="367">
        <v>50</v>
      </c>
      <c r="J68" s="371">
        <v>10</v>
      </c>
      <c r="K68" s="372">
        <v>5</v>
      </c>
      <c r="L68" s="482">
        <v>100000</v>
      </c>
      <c r="M68" s="443" t="s">
        <v>535</v>
      </c>
      <c r="N68" s="726">
        <f>IF(M68="watts",SQRT((0.0005+0.001/COS(RADIANS(ABS(E68))))^2+0.000645^2)*IF(T59&gt;26,2,1),SQRT((0.001+0.001/SIN(RADIANS(ABS(E68))))^2+0.000645^2+0.0035^2))</f>
        <v>1.8650819986527408E-3</v>
      </c>
      <c r="O68" s="370">
        <v>6</v>
      </c>
      <c r="P68" s="66">
        <v>123</v>
      </c>
      <c r="Q68" s="220"/>
      <c r="R68" s="394"/>
      <c r="S68" s="402">
        <v>229.9965698</v>
      </c>
      <c r="T68" s="395">
        <v>0.99999781799999998</v>
      </c>
      <c r="U68" s="402">
        <v>36.867264540000001</v>
      </c>
      <c r="V68" s="395">
        <v>0.80002757300000005</v>
      </c>
      <c r="W68" s="400">
        <v>7.5200989999999997E-3</v>
      </c>
      <c r="X68" s="400">
        <v>5.6166020000000001E-3</v>
      </c>
      <c r="Y68" s="402">
        <v>2.0606761680000001</v>
      </c>
      <c r="Z68" s="409">
        <v>100007.52009999999</v>
      </c>
      <c r="AA68" s="396">
        <v>42034.435046296298</v>
      </c>
      <c r="AB68" s="397">
        <v>50.0004858536604</v>
      </c>
      <c r="AC68" s="393">
        <v>0.7060546875</v>
      </c>
      <c r="AD68" s="393" t="s">
        <v>134</v>
      </c>
      <c r="AE68" s="393">
        <v>0.521484375</v>
      </c>
      <c r="AF68" s="393" t="s">
        <v>135</v>
      </c>
      <c r="AG68" s="393">
        <v>0.30588924704736198</v>
      </c>
      <c r="AH68" s="393">
        <v>-142.73129753209801</v>
      </c>
      <c r="AI68" s="393">
        <v>1.1330949129682799</v>
      </c>
      <c r="AJ68" s="393">
        <v>1.1331598351891301</v>
      </c>
      <c r="AK68" s="393">
        <v>107.9698584888</v>
      </c>
      <c r="AL68" s="393">
        <v>5111.5697448806804</v>
      </c>
      <c r="AM68" s="393">
        <v>184.01669311523401</v>
      </c>
      <c r="AN68" s="393">
        <v>0.30343450055878501</v>
      </c>
      <c r="AO68" s="393">
        <v>-142.46470583374</v>
      </c>
      <c r="AP68" s="393">
        <v>1.1330947068258601</v>
      </c>
      <c r="AQ68" s="393">
        <v>1.13261563093519</v>
      </c>
      <c r="AR68" s="393">
        <v>107.95779861587</v>
      </c>
      <c r="AS68" s="393">
        <v>5111.6113954610601</v>
      </c>
      <c r="AT68" s="393">
        <v>184.01736450195301</v>
      </c>
      <c r="AU68" s="393">
        <v>0.30835450345884902</v>
      </c>
      <c r="AV68" s="393">
        <v>-142.25319227454099</v>
      </c>
      <c r="AW68" s="393">
        <v>1.1330969024064399</v>
      </c>
      <c r="AX68" s="393">
        <v>1.1334097045640401</v>
      </c>
      <c r="AY68" s="393">
        <v>107.945465170468</v>
      </c>
      <c r="AZ68" s="393">
        <v>5111.6018808773897</v>
      </c>
      <c r="BA68" s="393">
        <v>184.01679992675801</v>
      </c>
      <c r="BB68" s="393">
        <v>0.30609016036327502</v>
      </c>
      <c r="BC68" s="393">
        <v>-141.81410289098301</v>
      </c>
      <c r="BD68" s="393">
        <v>1.1330946552616501</v>
      </c>
      <c r="BE68" s="393">
        <v>1.13345816724325</v>
      </c>
      <c r="BF68" s="393">
        <v>107.971338384676</v>
      </c>
      <c r="BG68" s="393">
        <v>5111.5772762291299</v>
      </c>
      <c r="BH68" s="393">
        <v>184.01742553710901</v>
      </c>
      <c r="BI68" s="393">
        <v>0.30816708575506502</v>
      </c>
      <c r="BJ68" s="393">
        <v>-142.06897797911401</v>
      </c>
      <c r="BK68" s="393">
        <v>1.13309638101788</v>
      </c>
      <c r="BL68" s="393">
        <v>1.13318621295158</v>
      </c>
      <c r="BM68" s="393">
        <v>107.938686431447</v>
      </c>
      <c r="BN68" s="393">
        <v>5111.56113125914</v>
      </c>
      <c r="BO68" s="393">
        <v>184.01608276367199</v>
      </c>
      <c r="BP68" s="393"/>
      <c r="BQ68" s="393"/>
      <c r="BR68" s="393"/>
      <c r="BS68" s="393"/>
      <c r="BT68" s="393"/>
      <c r="BU68" s="393"/>
      <c r="BV68" s="393"/>
      <c r="BW68" s="393">
        <v>184.00319709999999</v>
      </c>
      <c r="BX68" s="393">
        <v>137.98918560000001</v>
      </c>
      <c r="BY68" s="393">
        <v>229.9965698</v>
      </c>
      <c r="BZ68" s="393">
        <v>0.99999781799999998</v>
      </c>
      <c r="CA68" s="393">
        <v>36.867264540000001</v>
      </c>
      <c r="CB68" s="393">
        <v>3.8487599999999998E-4</v>
      </c>
      <c r="CC68" s="393">
        <v>3.8377399999999997E-4</v>
      </c>
      <c r="CD68" s="399">
        <v>9.5535100000000006E-5</v>
      </c>
      <c r="CE68" s="399">
        <v>1.72269E-6</v>
      </c>
      <c r="CF68" s="399">
        <v>9.3046600000000005E-5</v>
      </c>
      <c r="CG68" s="393">
        <v>7.5200989999999997E-3</v>
      </c>
      <c r="CH68" s="394">
        <v>2.7256110000000002E-3</v>
      </c>
      <c r="CI68" s="394">
        <v>24.203716450000002</v>
      </c>
      <c r="CJ68" s="46">
        <v>2.0606761680000001</v>
      </c>
      <c r="CK68" s="46">
        <v>5.6166020000000001E-3</v>
      </c>
      <c r="CL68" s="393">
        <v>0.80002757300000005</v>
      </c>
      <c r="CM68" s="393">
        <v>229.99707169999999</v>
      </c>
      <c r="CN68" s="393">
        <v>9.3892699999999999E-4</v>
      </c>
      <c r="CO68" s="393">
        <v>100007.52009999999</v>
      </c>
      <c r="CP68" s="393">
        <v>0</v>
      </c>
      <c r="CQ68" s="393">
        <v>0</v>
      </c>
      <c r="CR68" s="393">
        <v>109.146</v>
      </c>
      <c r="CS68" s="393">
        <v>23.604802790000001</v>
      </c>
      <c r="CT68" s="393">
        <v>0.32292638299999998</v>
      </c>
      <c r="CU68" s="393"/>
      <c r="CV68" s="393"/>
      <c r="CW68" s="393"/>
      <c r="CX68" s="393"/>
      <c r="CY68" s="393"/>
      <c r="CZ68" s="393"/>
      <c r="DA68" s="393"/>
    </row>
    <row r="69" spans="1:105" x14ac:dyDescent="0.2">
      <c r="A69" s="366">
        <f>ROW()</f>
        <v>69</v>
      </c>
      <c r="B69" s="367" t="s">
        <v>50</v>
      </c>
      <c r="C69" s="368">
        <v>0.5</v>
      </c>
      <c r="D69" s="368">
        <v>230</v>
      </c>
      <c r="E69" s="367">
        <v>36.869999999999997</v>
      </c>
      <c r="F69" s="441">
        <v>230</v>
      </c>
      <c r="G69" s="369" t="s">
        <v>359</v>
      </c>
      <c r="H69" s="370">
        <v>1</v>
      </c>
      <c r="I69" s="367">
        <v>50</v>
      </c>
      <c r="J69" s="371">
        <v>10</v>
      </c>
      <c r="K69" s="372">
        <v>5</v>
      </c>
      <c r="L69" s="482">
        <v>100000</v>
      </c>
      <c r="M69" s="443" t="s">
        <v>535</v>
      </c>
      <c r="N69" s="726">
        <f>IF(M69="watts",SQRT((0.0005+0.001/COS(RADIANS(ABS(E69))))^2+0.000645^2)*IF(T66&gt;26,2,1),SQRT((0.001+0.001/SIN(RADIANS(ABS(E69))))^2+0.000645^2+0.0035^2))</f>
        <v>1.8650819986527408E-3</v>
      </c>
      <c r="O69" s="370">
        <v>6</v>
      </c>
      <c r="P69" s="66">
        <v>123</v>
      </c>
      <c r="Q69" s="220"/>
      <c r="R69" s="393"/>
      <c r="S69" s="402">
        <v>229.99661320000001</v>
      </c>
      <c r="T69" s="395">
        <v>0.49999493299999997</v>
      </c>
      <c r="U69" s="402">
        <v>36.866864550000003</v>
      </c>
      <c r="V69" s="395">
        <v>0.80003176099999995</v>
      </c>
      <c r="W69" s="400">
        <v>6.6877389999999998E-3</v>
      </c>
      <c r="X69" s="400">
        <v>5.7261109999999999E-3</v>
      </c>
      <c r="Y69" s="402">
        <v>2.0523578699999998</v>
      </c>
      <c r="Z69" s="409">
        <v>100006.68769999999</v>
      </c>
      <c r="AA69" s="396">
        <v>42034.437951388885</v>
      </c>
      <c r="AB69" s="397">
        <v>50.000018870142199</v>
      </c>
      <c r="AC69" s="393">
        <v>0.353515625</v>
      </c>
      <c r="AD69" s="393" t="s">
        <v>134</v>
      </c>
      <c r="AE69" s="393">
        <v>0.2607421875</v>
      </c>
      <c r="AF69" s="393" t="s">
        <v>135</v>
      </c>
      <c r="AG69" s="393">
        <v>0.40749097727658601</v>
      </c>
      <c r="AH69" s="393">
        <v>-116.135660728525</v>
      </c>
      <c r="AI69" s="393">
        <v>1.1330954749678701</v>
      </c>
      <c r="AJ69" s="393">
        <v>1.1324616883041001</v>
      </c>
      <c r="AK69" s="393">
        <v>107.94288366241901</v>
      </c>
      <c r="AL69" s="393">
        <v>2555.7683827402002</v>
      </c>
      <c r="AM69" s="393">
        <v>92.009162902832003</v>
      </c>
      <c r="AN69" s="393">
        <v>0.40954762465400801</v>
      </c>
      <c r="AO69" s="393">
        <v>-115.274009536859</v>
      </c>
      <c r="AP69" s="393">
        <v>1.1330957317710499</v>
      </c>
      <c r="AQ69" s="393">
        <v>1.1334679390184099</v>
      </c>
      <c r="AR69" s="393">
        <v>107.9468490445</v>
      </c>
      <c r="AS69" s="393">
        <v>2555.7571737080798</v>
      </c>
      <c r="AT69" s="393">
        <v>92.009506225585895</v>
      </c>
      <c r="AU69" s="393">
        <v>0.41257695522893401</v>
      </c>
      <c r="AV69" s="393">
        <v>-115.70126500110599</v>
      </c>
      <c r="AW69" s="393">
        <v>1.1330953219864399</v>
      </c>
      <c r="AX69" s="393">
        <v>1.13326781112786</v>
      </c>
      <c r="AY69" s="393">
        <v>107.930652321724</v>
      </c>
      <c r="AZ69" s="393">
        <v>2555.76744472272</v>
      </c>
      <c r="BA69" s="393">
        <v>92.009307861328097</v>
      </c>
      <c r="BB69" s="393">
        <v>0.41087321051977799</v>
      </c>
      <c r="BC69" s="393">
        <v>-116.08046749156399</v>
      </c>
      <c r="BD69" s="393">
        <v>1.1330973784026199</v>
      </c>
      <c r="BE69" s="393">
        <v>1.1324631846333699</v>
      </c>
      <c r="BF69" s="393">
        <v>107.950474495907</v>
      </c>
      <c r="BG69" s="393">
        <v>2555.76391035289</v>
      </c>
      <c r="BH69" s="393">
        <v>92.009452819824205</v>
      </c>
      <c r="BI69" s="393">
        <v>0.411954135349617</v>
      </c>
      <c r="BJ69" s="393">
        <v>-115.945593045159</v>
      </c>
      <c r="BK69" s="393">
        <v>1.1330947209390601</v>
      </c>
      <c r="BL69" s="393">
        <v>1.13340136252154</v>
      </c>
      <c r="BM69" s="393">
        <v>107.944274444811</v>
      </c>
      <c r="BN69" s="393">
        <v>2555.7651380228299</v>
      </c>
      <c r="BO69" s="393">
        <v>92.0091552734375</v>
      </c>
      <c r="BP69" s="393"/>
      <c r="BQ69" s="393"/>
      <c r="BR69" s="393"/>
      <c r="BS69" s="393"/>
      <c r="BT69" s="393"/>
      <c r="BU69" s="393"/>
      <c r="BV69" s="393"/>
      <c r="BW69" s="393">
        <v>92.001365949999993</v>
      </c>
      <c r="BX69" s="393">
        <v>68.993414889999997</v>
      </c>
      <c r="BY69" s="393">
        <v>229.99661320000001</v>
      </c>
      <c r="BZ69" s="393">
        <v>0.49999493299999997</v>
      </c>
      <c r="CA69" s="393">
        <v>36.866864550000003</v>
      </c>
      <c r="CB69" s="393">
        <v>4.5507000000000002E-4</v>
      </c>
      <c r="CC69" s="393">
        <v>5.0570599999999997E-4</v>
      </c>
      <c r="CD69" s="399">
        <v>9.0384999999999996E-5</v>
      </c>
      <c r="CE69" s="399">
        <v>2.2534700000000001E-6</v>
      </c>
      <c r="CF69" s="393">
        <v>2.10192E-4</v>
      </c>
      <c r="CG69" s="393">
        <v>6.6877389999999998E-3</v>
      </c>
      <c r="CH69" s="394">
        <v>2.7900160000000002E-3</v>
      </c>
      <c r="CI69" s="394">
        <v>26.317655630000001</v>
      </c>
      <c r="CJ69" s="46">
        <v>2.0523578699999998</v>
      </c>
      <c r="CK69" s="46">
        <v>5.7261109999999999E-3</v>
      </c>
      <c r="CL69" s="393">
        <v>0.80003176099999995</v>
      </c>
      <c r="CM69" s="393">
        <v>459.99788810000001</v>
      </c>
      <c r="CN69" s="393">
        <v>4.5298179999999997E-3</v>
      </c>
      <c r="CO69" s="393">
        <v>100006.68769999999</v>
      </c>
      <c r="CP69" s="393">
        <v>0</v>
      </c>
      <c r="CQ69" s="393">
        <v>0</v>
      </c>
      <c r="CR69" s="393">
        <v>109.145</v>
      </c>
      <c r="CS69" s="393">
        <v>23.602226099999999</v>
      </c>
      <c r="CT69" s="393">
        <v>0.32292648800000001</v>
      </c>
      <c r="CU69" s="393"/>
      <c r="CV69" s="393"/>
      <c r="CW69" s="393"/>
      <c r="CX69" s="393"/>
      <c r="CY69" s="393"/>
      <c r="CZ69" s="393"/>
      <c r="DA69" s="393"/>
    </row>
    <row r="70" spans="1:105" x14ac:dyDescent="0.2">
      <c r="A70" s="366">
        <f>ROW()</f>
        <v>70</v>
      </c>
      <c r="B70" s="367" t="s">
        <v>50</v>
      </c>
      <c r="C70" s="368">
        <v>0.5</v>
      </c>
      <c r="D70" s="368">
        <v>230</v>
      </c>
      <c r="E70" s="367">
        <v>36.869999999999997</v>
      </c>
      <c r="F70" s="441">
        <v>230</v>
      </c>
      <c r="G70" s="369" t="s">
        <v>359</v>
      </c>
      <c r="H70" s="370">
        <v>1</v>
      </c>
      <c r="I70" s="367">
        <v>50</v>
      </c>
      <c r="J70" s="371">
        <v>10</v>
      </c>
      <c r="K70" s="372">
        <v>5</v>
      </c>
      <c r="L70" s="482">
        <v>100000</v>
      </c>
      <c r="M70" s="443" t="s">
        <v>535</v>
      </c>
      <c r="N70" s="726">
        <f>IF(M70="watts",SQRT((0.0005+0.001/COS(RADIANS(ABS(E70))))^2+0.000645^2)*IF(T67&gt;26,2,1),SQRT((0.001+0.001/SIN(RADIANS(ABS(E70))))^2+0.000645^2+0.0035^2))</f>
        <v>1.8650819986527408E-3</v>
      </c>
      <c r="O70" s="370">
        <v>6</v>
      </c>
      <c r="P70" s="66">
        <v>123</v>
      </c>
      <c r="Q70" s="220"/>
      <c r="R70" s="393"/>
      <c r="S70" s="402">
        <v>229.99685059999999</v>
      </c>
      <c r="T70" s="395">
        <v>0.49999717199999999</v>
      </c>
      <c r="U70" s="402">
        <v>36.86659599</v>
      </c>
      <c r="V70" s="395">
        <v>0.800034574</v>
      </c>
      <c r="W70" s="400">
        <v>5.8722289999999996E-3</v>
      </c>
      <c r="X70" s="400">
        <v>5.7575810000000003E-3</v>
      </c>
      <c r="Y70" s="402">
        <v>2.050557639</v>
      </c>
      <c r="Z70" s="409">
        <v>100005.8722</v>
      </c>
      <c r="AA70" s="396">
        <v>42034.440833333334</v>
      </c>
      <c r="AB70" s="397">
        <v>50.000504723802599</v>
      </c>
      <c r="AC70" s="393">
        <v>0.353515625</v>
      </c>
      <c r="AD70" s="393" t="s">
        <v>134</v>
      </c>
      <c r="AE70" s="393">
        <v>0.2607421875</v>
      </c>
      <c r="AF70" s="393" t="s">
        <v>135</v>
      </c>
      <c r="AG70" s="393">
        <v>0.40829240705065101</v>
      </c>
      <c r="AH70" s="393">
        <v>-115.364034915956</v>
      </c>
      <c r="AI70" s="393">
        <v>1.13309602221636</v>
      </c>
      <c r="AJ70" s="393">
        <v>1.1330048440376399</v>
      </c>
      <c r="AK70" s="393">
        <v>107.94938542772</v>
      </c>
      <c r="AL70" s="393">
        <v>2555.74317059749</v>
      </c>
      <c r="AM70" s="393">
        <v>92.009147644042997</v>
      </c>
      <c r="AN70" s="393">
        <v>0.41317274823787598</v>
      </c>
      <c r="AO70" s="393">
        <v>-116.026741628172</v>
      </c>
      <c r="AP70" s="393">
        <v>1.1330974316369899</v>
      </c>
      <c r="AQ70" s="393">
        <v>1.1330373031327501</v>
      </c>
      <c r="AR70" s="393">
        <v>107.94158534501</v>
      </c>
      <c r="AS70" s="393">
        <v>2555.7559372656701</v>
      </c>
      <c r="AT70" s="393">
        <v>92.009231567382798</v>
      </c>
      <c r="AU70" s="393">
        <v>0.40671858114201798</v>
      </c>
      <c r="AV70" s="393">
        <v>-115.44047908256501</v>
      </c>
      <c r="AW70" s="393">
        <v>1.1330965302487701</v>
      </c>
      <c r="AX70" s="393">
        <v>1.13265689368518</v>
      </c>
      <c r="AY70" s="393">
        <v>107.97782079386</v>
      </c>
      <c r="AZ70" s="393">
        <v>2555.76259329201</v>
      </c>
      <c r="BA70" s="393">
        <v>92.009727478027301</v>
      </c>
      <c r="BB70" s="393">
        <v>0.40672157903024497</v>
      </c>
      <c r="BC70" s="393">
        <v>-115.365865217528</v>
      </c>
      <c r="BD70" s="393">
        <v>1.1330966845336301</v>
      </c>
      <c r="BE70" s="393">
        <v>1.1334160230508601</v>
      </c>
      <c r="BF70" s="393">
        <v>107.948528913213</v>
      </c>
      <c r="BG70" s="393">
        <v>2555.7532373720401</v>
      </c>
      <c r="BH70" s="393">
        <v>92.009178161621094</v>
      </c>
      <c r="BI70" s="393">
        <v>0.40843761078058699</v>
      </c>
      <c r="BJ70" s="393">
        <v>-115.865393841425</v>
      </c>
      <c r="BK70" s="393">
        <v>1.1330978063725401</v>
      </c>
      <c r="BL70" s="393">
        <v>1.1332707315173101</v>
      </c>
      <c r="BM70" s="393">
        <v>107.952139695673</v>
      </c>
      <c r="BN70" s="393">
        <v>2555.8182488229299</v>
      </c>
      <c r="BO70" s="393">
        <v>92.009918212890597</v>
      </c>
      <c r="BP70" s="393"/>
      <c r="BQ70" s="393"/>
      <c r="BR70" s="393"/>
      <c r="BS70" s="393"/>
      <c r="BT70" s="393"/>
      <c r="BU70" s="393"/>
      <c r="BV70" s="393"/>
      <c r="BW70" s="393">
        <v>92.002196369999993</v>
      </c>
      <c r="BX70" s="393">
        <v>68.993363880000004</v>
      </c>
      <c r="BY70" s="393">
        <v>229.99685059999999</v>
      </c>
      <c r="BZ70" s="393">
        <v>0.49999717199999999</v>
      </c>
      <c r="CA70" s="393">
        <v>36.86659599</v>
      </c>
      <c r="CB70" s="393">
        <v>4.2289299999999998E-4</v>
      </c>
      <c r="CC70" s="393">
        <v>5.7541099999999996E-4</v>
      </c>
      <c r="CD70" s="399">
        <v>6.5118599999999997E-5</v>
      </c>
      <c r="CE70" s="399">
        <v>1.01124E-6</v>
      </c>
      <c r="CF70" s="393">
        <v>3.3180800000000001E-4</v>
      </c>
      <c r="CG70" s="393">
        <v>5.8722289999999996E-3</v>
      </c>
      <c r="CH70" s="394">
        <v>2.8078130000000001E-3</v>
      </c>
      <c r="CI70" s="394">
        <v>26.82644771</v>
      </c>
      <c r="CJ70" s="46">
        <v>2.050557639</v>
      </c>
      <c r="CK70" s="46">
        <v>5.7575810000000003E-3</v>
      </c>
      <c r="CL70" s="393">
        <v>0.800034574</v>
      </c>
      <c r="CM70" s="393">
        <v>459.99630239999999</v>
      </c>
      <c r="CN70" s="393">
        <v>1.873712E-3</v>
      </c>
      <c r="CO70" s="393">
        <v>100005.8722</v>
      </c>
      <c r="CP70" s="393">
        <v>0</v>
      </c>
      <c r="CQ70" s="393">
        <v>0</v>
      </c>
      <c r="CR70" s="393">
        <v>109.146</v>
      </c>
      <c r="CS70" s="393">
        <v>23.604802790000001</v>
      </c>
      <c r="CT70" s="393">
        <v>0.32292638299999998</v>
      </c>
      <c r="CU70" s="393"/>
      <c r="CV70" s="393"/>
      <c r="CW70" s="393"/>
      <c r="CX70" s="393"/>
      <c r="CY70" s="393"/>
      <c r="CZ70" s="393"/>
      <c r="DA70" s="393"/>
    </row>
    <row r="71" spans="1:105" x14ac:dyDescent="0.2">
      <c r="A71" s="366">
        <f>ROW()</f>
        <v>71</v>
      </c>
      <c r="B71" s="367" t="s">
        <v>50</v>
      </c>
      <c r="C71" s="368">
        <v>0.5</v>
      </c>
      <c r="D71" s="368">
        <v>230</v>
      </c>
      <c r="E71" s="367">
        <v>36.869999999999997</v>
      </c>
      <c r="F71" s="441">
        <v>230</v>
      </c>
      <c r="G71" s="369" t="s">
        <v>359</v>
      </c>
      <c r="H71" s="370">
        <v>1</v>
      </c>
      <c r="I71" s="367">
        <v>50</v>
      </c>
      <c r="J71" s="371">
        <v>10</v>
      </c>
      <c r="K71" s="372">
        <v>5</v>
      </c>
      <c r="L71" s="482">
        <v>100000</v>
      </c>
      <c r="M71" s="443" t="s">
        <v>535</v>
      </c>
      <c r="N71" s="726">
        <f>IF(M71="watts",SQRT((0.0005+0.001/COS(RADIANS(ABS(E71))))^2+0.000645^2)*IF(T68&gt;26,2,1),SQRT((0.001+0.001/SIN(RADIANS(ABS(E71))))^2+0.000645^2+0.0035^2))</f>
        <v>1.8650819986527408E-3</v>
      </c>
      <c r="O71" s="370">
        <v>6</v>
      </c>
      <c r="P71" s="66">
        <v>123</v>
      </c>
      <c r="Q71" s="220"/>
      <c r="R71" s="394"/>
      <c r="S71" s="402">
        <v>229.99701329999999</v>
      </c>
      <c r="T71" s="395">
        <v>0.49999467399999997</v>
      </c>
      <c r="U71" s="402">
        <v>36.866648249999997</v>
      </c>
      <c r="V71" s="395">
        <v>0.80003402599999995</v>
      </c>
      <c r="W71" s="400">
        <v>7.1055720000000001E-3</v>
      </c>
      <c r="X71" s="400">
        <v>5.8930579999999996E-3</v>
      </c>
      <c r="Y71" s="402">
        <v>2.0456185200000001</v>
      </c>
      <c r="Z71" s="409">
        <v>100007.1056</v>
      </c>
      <c r="AA71" s="396">
        <v>42034.443726851852</v>
      </c>
      <c r="AB71" s="397">
        <v>50.000292462203397</v>
      </c>
      <c r="AC71" s="393">
        <v>0.353515625</v>
      </c>
      <c r="AD71" s="393" t="s">
        <v>134</v>
      </c>
      <c r="AE71" s="393">
        <v>0.2607421875</v>
      </c>
      <c r="AF71" s="393" t="s">
        <v>135</v>
      </c>
      <c r="AG71" s="393">
        <v>0.405370467224758</v>
      </c>
      <c r="AH71" s="393">
        <v>-115.452795074158</v>
      </c>
      <c r="AI71" s="393">
        <v>1.13309700961189</v>
      </c>
      <c r="AJ71" s="393">
        <v>1.1329402803776201</v>
      </c>
      <c r="AK71" s="393">
        <v>107.91259087397199</v>
      </c>
      <c r="AL71" s="393">
        <v>2555.7765794954798</v>
      </c>
      <c r="AM71" s="393">
        <v>92.009696960449205</v>
      </c>
      <c r="AN71" s="393">
        <v>0.41223963757663801</v>
      </c>
      <c r="AO71" s="393">
        <v>-115.322295124467</v>
      </c>
      <c r="AP71" s="393">
        <v>1.1330981244926801</v>
      </c>
      <c r="AQ71" s="393">
        <v>1.1336301925040699</v>
      </c>
      <c r="AR71" s="393">
        <v>107.931207616975</v>
      </c>
      <c r="AS71" s="393">
        <v>2555.7988490620701</v>
      </c>
      <c r="AT71" s="393">
        <v>92.008972167968807</v>
      </c>
      <c r="AU71" s="393">
        <v>0.41317748681826899</v>
      </c>
      <c r="AV71" s="393">
        <v>-115.820575839895</v>
      </c>
      <c r="AW71" s="393">
        <v>1.13309825395736</v>
      </c>
      <c r="AX71" s="393">
        <v>1.1331887032149</v>
      </c>
      <c r="AY71" s="393">
        <v>107.97710550538601</v>
      </c>
      <c r="AZ71" s="393">
        <v>2555.8115720870501</v>
      </c>
      <c r="BA71" s="393">
        <v>92.008872985839801</v>
      </c>
      <c r="BB71" s="393">
        <v>0.40758838022520999</v>
      </c>
      <c r="BC71" s="393">
        <v>-115.955584250195</v>
      </c>
      <c r="BD71" s="393">
        <v>1.13309764106582</v>
      </c>
      <c r="BE71" s="393">
        <v>1.13306506678327</v>
      </c>
      <c r="BF71" s="393">
        <v>107.967008410727</v>
      </c>
      <c r="BG71" s="393">
        <v>2555.8068250084398</v>
      </c>
      <c r="BH71" s="393">
        <v>92.009773254394503</v>
      </c>
      <c r="BI71" s="393">
        <v>0.41131482448148698</v>
      </c>
      <c r="BJ71" s="393">
        <v>-115.39259605185499</v>
      </c>
      <c r="BK71" s="393">
        <v>1.1330974546850301</v>
      </c>
      <c r="BL71" s="393">
        <v>1.13277592065315</v>
      </c>
      <c r="BM71" s="393">
        <v>107.928825336649</v>
      </c>
      <c r="BN71" s="393">
        <v>2555.7334077840201</v>
      </c>
      <c r="BO71" s="393">
        <v>92.009063720703097</v>
      </c>
      <c r="BP71" s="393"/>
      <c r="BQ71" s="393"/>
      <c r="BR71" s="393"/>
      <c r="BS71" s="393"/>
      <c r="BT71" s="393"/>
      <c r="BU71" s="393"/>
      <c r="BV71" s="393"/>
      <c r="BW71" s="393">
        <v>92.001738849999995</v>
      </c>
      <c r="BX71" s="393">
        <v>68.993151870000005</v>
      </c>
      <c r="BY71" s="393">
        <v>229.99701329999999</v>
      </c>
      <c r="BZ71" s="393">
        <v>0.49999467399999997</v>
      </c>
      <c r="CA71" s="393">
        <v>36.866648249999997</v>
      </c>
      <c r="CB71" s="393">
        <v>6.4094200000000003E-4</v>
      </c>
      <c r="CC71" s="393">
        <v>4.68348E-4</v>
      </c>
      <c r="CD71" s="399">
        <v>4.5966700000000002E-5</v>
      </c>
      <c r="CE71" s="399">
        <v>2.40091E-6</v>
      </c>
      <c r="CF71" s="393">
        <v>2.8875800000000002E-4</v>
      </c>
      <c r="CG71" s="393">
        <v>7.1055720000000001E-3</v>
      </c>
      <c r="CH71" s="394">
        <v>2.8808190000000002E-3</v>
      </c>
      <c r="CI71" s="394">
        <v>28.33260026</v>
      </c>
      <c r="CJ71" s="46">
        <v>2.0456185200000001</v>
      </c>
      <c r="CK71" s="46">
        <v>5.8930579999999996E-3</v>
      </c>
      <c r="CL71" s="393">
        <v>0.80003402599999995</v>
      </c>
      <c r="CM71" s="393">
        <v>459.99892640000002</v>
      </c>
      <c r="CN71" s="393">
        <v>5.0331799999999999E-3</v>
      </c>
      <c r="CO71" s="393">
        <v>100007.1056</v>
      </c>
      <c r="CP71" s="393">
        <v>0</v>
      </c>
      <c r="CQ71" s="393">
        <v>0</v>
      </c>
      <c r="CR71" s="393">
        <v>109.148</v>
      </c>
      <c r="CS71" s="393">
        <v>23.60995617</v>
      </c>
      <c r="CT71" s="393">
        <v>0.32292617400000001</v>
      </c>
      <c r="CU71" s="393"/>
      <c r="CV71" s="393"/>
      <c r="CW71" s="393"/>
      <c r="CX71" s="393"/>
      <c r="CY71" s="393"/>
      <c r="CZ71" s="393"/>
      <c r="DA71" s="393"/>
    </row>
    <row r="72" spans="1:105" x14ac:dyDescent="0.2">
      <c r="A72" s="366">
        <f>ROW()</f>
        <v>72</v>
      </c>
      <c r="B72" s="367" t="s">
        <v>50</v>
      </c>
      <c r="C72" s="368">
        <v>0.5</v>
      </c>
      <c r="D72" s="368">
        <v>230</v>
      </c>
      <c r="E72" s="367">
        <v>0</v>
      </c>
      <c r="F72" s="441">
        <v>230</v>
      </c>
      <c r="G72" s="369" t="s">
        <v>359</v>
      </c>
      <c r="H72" s="370">
        <v>1</v>
      </c>
      <c r="I72" s="367">
        <v>50</v>
      </c>
      <c r="J72" s="371">
        <v>10</v>
      </c>
      <c r="K72" s="372">
        <v>5</v>
      </c>
      <c r="L72" s="482">
        <v>100000</v>
      </c>
      <c r="M72" s="443" t="s">
        <v>535</v>
      </c>
      <c r="N72" s="726">
        <f>IF(M72="watts",SQRT((0.0005+0.001/COS(RADIANS(ABS(E72))))^2+0.000645^2)*IF(T72&gt;26,2,1),SQRT((0.001+0.001/SIN(RADIANS(ABS(E72))))^2+0.000645^2+0.0035^2))</f>
        <v>1.6327966805453765E-3</v>
      </c>
      <c r="O72" s="370">
        <v>6</v>
      </c>
      <c r="P72" s="66">
        <v>123</v>
      </c>
      <c r="Q72" s="220"/>
      <c r="R72" s="393"/>
      <c r="S72" s="402">
        <v>229.99682989999999</v>
      </c>
      <c r="T72" s="395">
        <v>0.50001244600000005</v>
      </c>
      <c r="U72" s="402">
        <v>-2.0312659999999999E-3</v>
      </c>
      <c r="V72" s="395">
        <v>0.99999999900000003</v>
      </c>
      <c r="W72" s="400">
        <v>3.338157E-3</v>
      </c>
      <c r="X72" s="400">
        <v>4.9423929999999998E-3</v>
      </c>
      <c r="Y72" s="402">
        <v>2.0641775139999998</v>
      </c>
      <c r="Z72" s="409">
        <v>100003.3382</v>
      </c>
      <c r="AA72" s="396">
        <v>42034.446608796294</v>
      </c>
      <c r="AB72" s="393">
        <v>50.000863226503498</v>
      </c>
      <c r="AC72" s="393">
        <v>0.44140625</v>
      </c>
      <c r="AD72" s="393" t="s">
        <v>134</v>
      </c>
      <c r="AE72" s="393">
        <v>0</v>
      </c>
      <c r="AF72" s="393" t="s">
        <v>133</v>
      </c>
      <c r="AG72" s="393">
        <v>0.161185795879913</v>
      </c>
      <c r="AH72" s="393">
        <v>-111.222913743755</v>
      </c>
      <c r="AI72" s="393">
        <v>1.13309582570347</v>
      </c>
      <c r="AJ72" s="393">
        <v>1.1332329263321801</v>
      </c>
      <c r="AK72" s="393">
        <v>107.964676645285</v>
      </c>
      <c r="AL72" s="393">
        <v>3194.60888542255</v>
      </c>
      <c r="AM72" s="393">
        <v>115.005508422852</v>
      </c>
      <c r="AN72" s="393">
        <v>0.15994601892309299</v>
      </c>
      <c r="AO72" s="393">
        <v>-110.81393823513299</v>
      </c>
      <c r="AP72" s="393">
        <v>1.1330965711252701</v>
      </c>
      <c r="AQ72" s="393">
        <v>1.1332548105521301</v>
      </c>
      <c r="AR72" s="393">
        <v>107.948662937126</v>
      </c>
      <c r="AS72" s="393">
        <v>3194.5757888646099</v>
      </c>
      <c r="AT72" s="393">
        <v>115.00537109375</v>
      </c>
      <c r="AU72" s="393">
        <v>0.155307404906394</v>
      </c>
      <c r="AV72" s="393">
        <v>-112.206445618732</v>
      </c>
      <c r="AW72" s="393">
        <v>1.1330977650134499</v>
      </c>
      <c r="AX72" s="393">
        <v>1.1334188826857701</v>
      </c>
      <c r="AY72" s="393">
        <v>107.96593011090501</v>
      </c>
      <c r="AZ72" s="393">
        <v>3194.5521177035498</v>
      </c>
      <c r="BA72" s="393">
        <v>115.005699157715</v>
      </c>
      <c r="BB72" s="393">
        <v>0.157244772522843</v>
      </c>
      <c r="BC72" s="393">
        <v>-110.147242255051</v>
      </c>
      <c r="BD72" s="393">
        <v>1.13309648502117</v>
      </c>
      <c r="BE72" s="393">
        <v>1.1333768026167299</v>
      </c>
      <c r="BF72" s="393">
        <v>107.96191556667</v>
      </c>
      <c r="BG72" s="393">
        <v>3194.5963703459001</v>
      </c>
      <c r="BH72" s="393">
        <v>115.00559234619099</v>
      </c>
      <c r="BI72" s="393">
        <v>0.159403671172136</v>
      </c>
      <c r="BJ72" s="393">
        <v>-110.181372255516</v>
      </c>
      <c r="BK72" s="393">
        <v>1.13309731812381</v>
      </c>
      <c r="BL72" s="393">
        <v>1.13314651246223</v>
      </c>
      <c r="BM72" s="393">
        <v>107.958248965542</v>
      </c>
      <c r="BN72" s="393">
        <v>3194.5997544777902</v>
      </c>
      <c r="BO72" s="393">
        <v>115.00567626953099</v>
      </c>
      <c r="BP72" s="393"/>
      <c r="BQ72" s="393"/>
      <c r="BR72" s="393"/>
      <c r="BS72" s="393"/>
      <c r="BT72" s="393"/>
      <c r="BU72" s="393"/>
      <c r="BV72" s="393"/>
      <c r="BW72" s="393">
        <v>115.00127809999999</v>
      </c>
      <c r="BX72" s="393">
        <v>4.0770540000000001E-3</v>
      </c>
      <c r="BY72" s="393">
        <v>229.99682989999999</v>
      </c>
      <c r="BZ72" s="393">
        <v>0.50001244600000005</v>
      </c>
      <c r="CA72" s="393">
        <v>-2.0312659999999999E-3</v>
      </c>
      <c r="CB72" s="393">
        <v>5.5870500000000005E-4</v>
      </c>
      <c r="CC72" s="393">
        <v>4.4407000000000002E-4</v>
      </c>
      <c r="CD72" s="399">
        <v>6.8812699999999999E-5</v>
      </c>
      <c r="CE72" s="399">
        <v>2.3140499999999999E-6</v>
      </c>
      <c r="CF72" s="393">
        <v>2.21246E-4</v>
      </c>
      <c r="CG72" s="393">
        <v>3.338157E-3</v>
      </c>
      <c r="CH72" s="393">
        <v>2.394364E-3</v>
      </c>
      <c r="CI72" s="393">
        <v>23.41521693</v>
      </c>
      <c r="CJ72" s="393">
        <v>2.0641775139999998</v>
      </c>
      <c r="CK72" s="393">
        <v>4.9423929999999998E-3</v>
      </c>
      <c r="CL72" s="393">
        <v>0.99999999900000003</v>
      </c>
      <c r="CM72" s="393">
        <v>459.9822097</v>
      </c>
      <c r="CN72" s="393">
        <v>4.5317960000000003E-3</v>
      </c>
      <c r="CO72" s="393">
        <v>100003.3382</v>
      </c>
      <c r="CP72" s="393">
        <v>0</v>
      </c>
      <c r="CQ72" s="393">
        <v>0</v>
      </c>
      <c r="CR72" s="393">
        <v>109.149</v>
      </c>
      <c r="CS72" s="393">
        <v>23.612532869999999</v>
      </c>
      <c r="CT72" s="393">
        <v>0.32292606899999998</v>
      </c>
      <c r="CU72" s="393"/>
      <c r="CV72" s="393"/>
      <c r="CW72" s="393"/>
      <c r="CX72" s="393"/>
      <c r="CY72" s="393"/>
      <c r="CZ72" s="393"/>
      <c r="DA72" s="393"/>
    </row>
    <row r="73" spans="1:105" x14ac:dyDescent="0.2">
      <c r="A73" s="366">
        <f>ROW()</f>
        <v>73</v>
      </c>
      <c r="B73" s="367" t="s">
        <v>50</v>
      </c>
      <c r="C73" s="368">
        <v>0.5</v>
      </c>
      <c r="D73" s="368">
        <v>230</v>
      </c>
      <c r="E73" s="367">
        <v>0</v>
      </c>
      <c r="F73" s="441">
        <v>230</v>
      </c>
      <c r="G73" s="369" t="s">
        <v>359</v>
      </c>
      <c r="H73" s="370">
        <v>1</v>
      </c>
      <c r="I73" s="367">
        <v>50</v>
      </c>
      <c r="J73" s="371">
        <v>10</v>
      </c>
      <c r="K73" s="372">
        <v>5</v>
      </c>
      <c r="L73" s="482">
        <v>100000</v>
      </c>
      <c r="M73" s="443" t="s">
        <v>535</v>
      </c>
      <c r="N73" s="726">
        <f>IF(M73="watts",SQRT((0.0005+0.001/COS(RADIANS(ABS(E73))))^2+0.000645^2)*IF(T73&gt;26,2,1),SQRT((0.001+0.001/SIN(RADIANS(ABS(E73))))^2+0.000645^2+0.0035^2))</f>
        <v>1.6327966805453765E-3</v>
      </c>
      <c r="O73" s="370">
        <v>6</v>
      </c>
      <c r="P73" s="66">
        <v>123</v>
      </c>
      <c r="Q73" s="220"/>
      <c r="R73" s="393"/>
      <c r="S73" s="402">
        <v>229.9967968</v>
      </c>
      <c r="T73" s="395">
        <v>0.50001777999999997</v>
      </c>
      <c r="U73" s="402">
        <v>-2.0599329999999999E-3</v>
      </c>
      <c r="V73" s="395">
        <v>0.99999999900000003</v>
      </c>
      <c r="W73" s="400">
        <v>2.0476169999999998E-3</v>
      </c>
      <c r="X73" s="400">
        <v>4.8740670000000002E-3</v>
      </c>
      <c r="Y73" s="402">
        <v>2.0675436390000002</v>
      </c>
      <c r="Z73" s="409">
        <v>100002.04760000001</v>
      </c>
      <c r="AA73" s="396">
        <v>42034.449513888889</v>
      </c>
      <c r="AB73" s="393">
        <v>50.000391512949697</v>
      </c>
      <c r="AC73" s="393">
        <v>0.44140625</v>
      </c>
      <c r="AD73" s="393" t="s">
        <v>134</v>
      </c>
      <c r="AE73" s="393">
        <v>0</v>
      </c>
      <c r="AF73" s="393" t="s">
        <v>133</v>
      </c>
      <c r="AG73" s="393">
        <v>0.15498616967301901</v>
      </c>
      <c r="AH73" s="393">
        <v>-111.696560710859</v>
      </c>
      <c r="AI73" s="393">
        <v>1.1330971365003599</v>
      </c>
      <c r="AJ73" s="393">
        <v>1.1333309302560399</v>
      </c>
      <c r="AK73" s="393">
        <v>107.931202080014</v>
      </c>
      <c r="AL73" s="393">
        <v>3194.6546309948299</v>
      </c>
      <c r="AM73" s="393">
        <v>115.005722045898</v>
      </c>
      <c r="AN73" s="393">
        <v>0.15365746997886801</v>
      </c>
      <c r="AO73" s="393">
        <v>-110.888194570238</v>
      </c>
      <c r="AP73" s="393">
        <v>1.1330969389296299</v>
      </c>
      <c r="AQ73" s="393">
        <v>1.1332137868224501</v>
      </c>
      <c r="AR73" s="393">
        <v>107.95525801190399</v>
      </c>
      <c r="AS73" s="393">
        <v>3194.5896408130998</v>
      </c>
      <c r="AT73" s="393">
        <v>115.005867004395</v>
      </c>
      <c r="AU73" s="393">
        <v>0.157249943822618</v>
      </c>
      <c r="AV73" s="393">
        <v>-112.073756050859</v>
      </c>
      <c r="AW73" s="393">
        <v>1.1330964370261201</v>
      </c>
      <c r="AX73" s="393">
        <v>1.1330127056507</v>
      </c>
      <c r="AY73" s="393">
        <v>107.94192501297501</v>
      </c>
      <c r="AZ73" s="393">
        <v>3194.56302311218</v>
      </c>
      <c r="BA73" s="393">
        <v>115.006309509277</v>
      </c>
      <c r="BB73" s="393">
        <v>0.158792638701096</v>
      </c>
      <c r="BC73" s="393">
        <v>-109.82444962409301</v>
      </c>
      <c r="BD73" s="393">
        <v>1.1330958639034701</v>
      </c>
      <c r="BE73" s="393">
        <v>1.13298610063491</v>
      </c>
      <c r="BF73" s="393">
        <v>107.951770049572</v>
      </c>
      <c r="BG73" s="393">
        <v>3194.5586324916198</v>
      </c>
      <c r="BH73" s="393">
        <v>115.004501342773</v>
      </c>
      <c r="BI73" s="393">
        <v>0.15481108722926701</v>
      </c>
      <c r="BJ73" s="393">
        <v>-110.76123652853001</v>
      </c>
      <c r="BK73" s="393">
        <v>1.13309677354906</v>
      </c>
      <c r="BL73" s="393">
        <v>1.13347260708734</v>
      </c>
      <c r="BM73" s="393">
        <v>107.92562571497901</v>
      </c>
      <c r="BN73" s="393">
        <v>3194.5289605975699</v>
      </c>
      <c r="BO73" s="393">
        <v>115.00552368164099</v>
      </c>
      <c r="BP73" s="393"/>
      <c r="BQ73" s="393"/>
      <c r="BR73" s="393"/>
      <c r="BS73" s="393"/>
      <c r="BT73" s="393"/>
      <c r="BU73" s="393"/>
      <c r="BV73" s="393"/>
      <c r="BW73" s="393">
        <v>115.0024884</v>
      </c>
      <c r="BX73" s="393">
        <v>4.134637E-3</v>
      </c>
      <c r="BY73" s="393">
        <v>229.9967968</v>
      </c>
      <c r="BZ73" s="393">
        <v>0.50001777999999997</v>
      </c>
      <c r="CA73" s="393">
        <v>-2.0599329999999999E-3</v>
      </c>
      <c r="CB73" s="393">
        <v>4.8656200000000001E-4</v>
      </c>
      <c r="CC73" s="393">
        <v>4.6610599999999999E-4</v>
      </c>
      <c r="CD73" s="399">
        <v>4.5361200000000002E-5</v>
      </c>
      <c r="CE73" s="399">
        <v>2.0209500000000001E-6</v>
      </c>
      <c r="CF73" s="393">
        <v>2.3222499999999999E-4</v>
      </c>
      <c r="CG73" s="393">
        <v>2.0476169999999998E-3</v>
      </c>
      <c r="CH73" s="393">
        <v>2.3574189999999999E-3</v>
      </c>
      <c r="CI73" s="393">
        <v>22.705761169999999</v>
      </c>
      <c r="CJ73" s="393">
        <v>2.0675436390000002</v>
      </c>
      <c r="CK73" s="393">
        <v>4.8740670000000002E-3</v>
      </c>
      <c r="CL73" s="393">
        <v>0.99999999900000003</v>
      </c>
      <c r="CM73" s="393">
        <v>459.9772365</v>
      </c>
      <c r="CN73" s="393">
        <v>3.9634910000000004E-3</v>
      </c>
      <c r="CO73" s="393">
        <v>100002.04760000001</v>
      </c>
      <c r="CP73" s="393">
        <v>0</v>
      </c>
      <c r="CQ73" s="393">
        <v>0</v>
      </c>
      <c r="CR73" s="393">
        <v>109.146</v>
      </c>
      <c r="CS73" s="393">
        <v>23.604802790000001</v>
      </c>
      <c r="CT73" s="393">
        <v>0.32292638299999998</v>
      </c>
      <c r="CU73" s="393"/>
      <c r="CV73" s="393"/>
      <c r="CW73" s="393"/>
      <c r="CX73" s="393"/>
      <c r="CY73" s="393"/>
      <c r="CZ73" s="393"/>
      <c r="DA73" s="393"/>
    </row>
    <row r="74" spans="1:105" x14ac:dyDescent="0.2">
      <c r="A74" s="366">
        <f>ROW()</f>
        <v>74</v>
      </c>
      <c r="B74" s="367" t="s">
        <v>50</v>
      </c>
      <c r="C74" s="368">
        <v>1</v>
      </c>
      <c r="D74" s="368">
        <v>230</v>
      </c>
      <c r="E74" s="367">
        <v>90</v>
      </c>
      <c r="F74" s="441">
        <v>230</v>
      </c>
      <c r="G74" s="369" t="s">
        <v>359</v>
      </c>
      <c r="H74" s="370">
        <v>1</v>
      </c>
      <c r="I74" s="367">
        <v>50</v>
      </c>
      <c r="J74" s="371">
        <v>10</v>
      </c>
      <c r="K74" s="372">
        <v>5</v>
      </c>
      <c r="L74" s="482">
        <v>100000</v>
      </c>
      <c r="M74" s="443" t="s">
        <v>49</v>
      </c>
      <c r="N74" s="726">
        <f>IF(M74="watts",SQRT((0.0005+0.001/COS(RADIANS(ABS(E74))))^2+0.000645^2)*IF(#REF!&gt;26,2,1),SQRT((0.001+0.001/SIN(RADIANS(ABS(E74))))^2+0.000645^2+0.0035^2))</f>
        <v>4.0824043160862938E-3</v>
      </c>
      <c r="O74" s="370">
        <v>6</v>
      </c>
      <c r="P74" s="66">
        <v>123</v>
      </c>
      <c r="Q74" s="220"/>
      <c r="R74" s="393" t="s">
        <v>54</v>
      </c>
      <c r="S74" s="402">
        <v>229.99647709999999</v>
      </c>
      <c r="T74" s="395">
        <v>0.99997765199999999</v>
      </c>
      <c r="U74" s="402">
        <v>90.000226979999994</v>
      </c>
      <c r="V74" s="395">
        <v>-1</v>
      </c>
      <c r="W74" s="400">
        <v>1.5511900000000001E+36</v>
      </c>
      <c r="X74" s="400">
        <v>1.3798078E-2</v>
      </c>
      <c r="Y74" s="402">
        <v>2.0829463289999999</v>
      </c>
      <c r="Z74" s="409">
        <v>1.55119E+39</v>
      </c>
      <c r="AA74" s="396">
        <v>42034.461793981478</v>
      </c>
      <c r="AB74" s="393">
        <v>50.000334912523201</v>
      </c>
      <c r="AC74" s="393">
        <v>0</v>
      </c>
      <c r="AD74" s="393" t="s">
        <v>132</v>
      </c>
      <c r="AE74" s="393">
        <v>0.8701171875</v>
      </c>
      <c r="AF74" s="393" t="s">
        <v>135</v>
      </c>
      <c r="AG74" s="393">
        <v>0.34729685354546302</v>
      </c>
      <c r="AH74" s="393">
        <v>-38.642080823424102</v>
      </c>
      <c r="AI74" s="393">
        <v>1.13309533880306</v>
      </c>
      <c r="AJ74" s="393">
        <v>1.1325874060591901</v>
      </c>
      <c r="AK74" s="393">
        <v>107.924664814292</v>
      </c>
      <c r="AL74" s="399">
        <v>9.9100000000000005E+37</v>
      </c>
      <c r="AM74" s="393">
        <v>-230.01605224609401</v>
      </c>
      <c r="AN74" s="393">
        <v>0.34826921785167397</v>
      </c>
      <c r="AO74" s="393">
        <v>-38.233214643690602</v>
      </c>
      <c r="AP74" s="393">
        <v>1.13309511765822</v>
      </c>
      <c r="AQ74" s="393">
        <v>1.13319113143423</v>
      </c>
      <c r="AR74" s="393">
        <v>107.968030603657</v>
      </c>
      <c r="AS74" s="399">
        <v>9.9100000000000005E+37</v>
      </c>
      <c r="AT74" s="393">
        <v>-230.01565551757801</v>
      </c>
      <c r="AU74" s="393">
        <v>0.34372026752118401</v>
      </c>
      <c r="AV74" s="393">
        <v>-38.857901774626299</v>
      </c>
      <c r="AW74" s="393">
        <v>1.13309521128182</v>
      </c>
      <c r="AX74" s="393">
        <v>1.1332264404591299</v>
      </c>
      <c r="AY74" s="393">
        <v>107.938989684975</v>
      </c>
      <c r="AZ74" s="399">
        <v>9.9100000000000005E+37</v>
      </c>
      <c r="BA74" s="393">
        <v>-230.01583862304699</v>
      </c>
      <c r="BB74" s="393">
        <v>0.347261087857475</v>
      </c>
      <c r="BC74" s="393">
        <v>-38.7030518832591</v>
      </c>
      <c r="BD74" s="393">
        <v>1.1330941571873401</v>
      </c>
      <c r="BE74" s="393">
        <v>1.1330444910289199</v>
      </c>
      <c r="BF74" s="393">
        <v>107.93362910242</v>
      </c>
      <c r="BG74" s="399">
        <v>9.9100000000000005E+37</v>
      </c>
      <c r="BH74" s="393">
        <v>-230.01567077636699</v>
      </c>
      <c r="BI74" s="393">
        <v>0.34551613602021303</v>
      </c>
      <c r="BJ74" s="393">
        <v>-38.120486122936597</v>
      </c>
      <c r="BK74" s="393">
        <v>1.1330954503397299</v>
      </c>
      <c r="BL74" s="393">
        <v>1.1327828809678899</v>
      </c>
      <c r="BM74" s="393">
        <v>107.936902644635</v>
      </c>
      <c r="BN74" s="399">
        <v>9.9100000000000005E+37</v>
      </c>
      <c r="BO74" s="393">
        <v>-230.01525878906199</v>
      </c>
      <c r="BP74" s="393"/>
      <c r="BQ74" s="393"/>
      <c r="BR74" s="393"/>
      <c r="BS74" s="393"/>
      <c r="BT74" s="393"/>
      <c r="BU74" s="393"/>
      <c r="BV74" s="393"/>
      <c r="BW74" s="393">
        <v>-9.1112799999999998E-4</v>
      </c>
      <c r="BX74" s="393">
        <v>229.9913383</v>
      </c>
      <c r="BY74" s="393">
        <v>229.99647709999999</v>
      </c>
      <c r="BZ74" s="393">
        <v>0.99997765199999999</v>
      </c>
      <c r="CA74" s="393">
        <v>90.000226979999994</v>
      </c>
      <c r="CB74" s="393">
        <v>3.21682E-4</v>
      </c>
      <c r="CC74" s="393">
        <v>4.3739799999999998E-4</v>
      </c>
      <c r="CD74" s="399">
        <v>4.6937800000000003E-5</v>
      </c>
      <c r="CE74" s="399">
        <v>1.8518100000000001E-6</v>
      </c>
      <c r="CF74" s="399">
        <v>8.01359E-5</v>
      </c>
      <c r="CG74" s="399">
        <v>1.5511900000000001E+36</v>
      </c>
      <c r="CH74" s="393">
        <v>6.6243079999999998E-3</v>
      </c>
      <c r="CI74" s="393">
        <v>19.956994959999999</v>
      </c>
      <c r="CJ74" s="393">
        <v>2.0829463289999999</v>
      </c>
      <c r="CK74" s="393">
        <v>1.3798078E-2</v>
      </c>
      <c r="CL74" s="393">
        <v>-1</v>
      </c>
      <c r="CM74" s="393">
        <v>230.00161729999999</v>
      </c>
      <c r="CN74" s="393">
        <v>9.3785699999999995E-4</v>
      </c>
      <c r="CO74" s="399">
        <v>1.55119E+39</v>
      </c>
      <c r="CP74" s="393">
        <v>0</v>
      </c>
      <c r="CQ74" s="393">
        <v>0</v>
      </c>
      <c r="CR74" s="393">
        <v>109.124</v>
      </c>
      <c r="CS74" s="393">
        <v>23.54811617</v>
      </c>
      <c r="CT74" s="393">
        <v>0.32292869000000002</v>
      </c>
      <c r="CU74" s="393"/>
      <c r="CV74" s="393"/>
      <c r="CW74" s="393"/>
      <c r="CX74" s="393"/>
      <c r="CY74" s="393"/>
      <c r="CZ74" s="393"/>
      <c r="DA74" s="393"/>
    </row>
    <row r="75" spans="1:105" x14ac:dyDescent="0.2">
      <c r="A75" s="366">
        <f>ROW()</f>
        <v>75</v>
      </c>
      <c r="B75" s="367" t="s">
        <v>50</v>
      </c>
      <c r="C75" s="368">
        <v>1</v>
      </c>
      <c r="D75" s="368">
        <v>230</v>
      </c>
      <c r="E75" s="367">
        <v>-90</v>
      </c>
      <c r="F75" s="441">
        <v>230</v>
      </c>
      <c r="G75" s="369" t="s">
        <v>359</v>
      </c>
      <c r="H75" s="370">
        <v>1</v>
      </c>
      <c r="I75" s="367">
        <v>50</v>
      </c>
      <c r="J75" s="371">
        <v>10</v>
      </c>
      <c r="K75" s="372">
        <v>5</v>
      </c>
      <c r="L75" s="482">
        <v>100000</v>
      </c>
      <c r="M75" s="443" t="s">
        <v>49</v>
      </c>
      <c r="N75" s="726">
        <f>IF(M75="watts",SQRT((0.0005+0.001/COS(RADIANS(ABS(E75))))^2+0.000645^2)*IF(#REF!&gt;26,2,1),SQRT((0.001+0.001/SIN(RADIANS(ABS(E75))))^2+0.000645^2+0.0035^2))</f>
        <v>4.0824043160862938E-3</v>
      </c>
      <c r="O75" s="370">
        <v>6</v>
      </c>
      <c r="P75" s="66">
        <v>123</v>
      </c>
      <c r="Q75" s="220"/>
      <c r="R75" s="395"/>
      <c r="S75" s="402">
        <v>229.99659639999999</v>
      </c>
      <c r="T75" s="395">
        <v>0.99997098699999998</v>
      </c>
      <c r="U75" s="402">
        <v>-90.000009419999998</v>
      </c>
      <c r="V75" s="395">
        <v>1</v>
      </c>
      <c r="W75" s="400">
        <v>2.383001E-3</v>
      </c>
      <c r="X75" s="400">
        <v>1.3811032000000001E-2</v>
      </c>
      <c r="Y75" s="402">
        <v>2.0822331429999998</v>
      </c>
      <c r="Z75" s="409">
        <v>100002.383</v>
      </c>
      <c r="AA75" s="396">
        <v>42034.464756944442</v>
      </c>
      <c r="AB75" s="393">
        <v>50.000316042381101</v>
      </c>
      <c r="AC75" s="393">
        <v>0</v>
      </c>
      <c r="AD75" s="393" t="s">
        <v>134</v>
      </c>
      <c r="AE75" s="393">
        <v>0.8701171875</v>
      </c>
      <c r="AF75" s="393" t="s">
        <v>133</v>
      </c>
      <c r="AG75" s="393">
        <v>0.21226341960234699</v>
      </c>
      <c r="AH75" s="393">
        <v>120.81707630493599</v>
      </c>
      <c r="AI75" s="393">
        <v>1.1330955002060901</v>
      </c>
      <c r="AJ75" s="393">
        <v>1.13325134075329</v>
      </c>
      <c r="AK75" s="393">
        <v>107.94659707839</v>
      </c>
      <c r="AL75" s="393">
        <v>6388.7608153132396</v>
      </c>
      <c r="AM75" s="393">
        <v>230.01077270507801</v>
      </c>
      <c r="AN75" s="393">
        <v>0.21308028595713899</v>
      </c>
      <c r="AO75" s="393">
        <v>121.775766740411</v>
      </c>
      <c r="AP75" s="393">
        <v>1.13309458494283</v>
      </c>
      <c r="AQ75" s="393">
        <v>1.13277454272197</v>
      </c>
      <c r="AR75" s="393">
        <v>107.93945542713899</v>
      </c>
      <c r="AS75" s="393">
        <v>6388.8017622603102</v>
      </c>
      <c r="AT75" s="393">
        <v>230.00958251953099</v>
      </c>
      <c r="AU75" s="393">
        <v>0.20751008149210201</v>
      </c>
      <c r="AV75" s="393">
        <v>120.986787121264</v>
      </c>
      <c r="AW75" s="393">
        <v>1.1330967584352001</v>
      </c>
      <c r="AX75" s="393">
        <v>1.13302078030145</v>
      </c>
      <c r="AY75" s="393">
        <v>107.96469316138101</v>
      </c>
      <c r="AZ75" s="393">
        <v>6388.7425998253502</v>
      </c>
      <c r="BA75" s="393">
        <v>230.00996398925801</v>
      </c>
      <c r="BB75" s="393">
        <v>0.21508017597027301</v>
      </c>
      <c r="BC75" s="393">
        <v>121.47751362556301</v>
      </c>
      <c r="BD75" s="393">
        <v>1.1330953594264299</v>
      </c>
      <c r="BE75" s="393">
        <v>1.1331714834681501</v>
      </c>
      <c r="BF75" s="393">
        <v>107.966269092589</v>
      </c>
      <c r="BG75" s="393">
        <v>6388.7397067723796</v>
      </c>
      <c r="BH75" s="393">
        <v>230.01057434082</v>
      </c>
      <c r="BI75" s="393">
        <v>0.21080387886246599</v>
      </c>
      <c r="BJ75" s="393">
        <v>122.28407955445699</v>
      </c>
      <c r="BK75" s="393">
        <v>1.13309601038232</v>
      </c>
      <c r="BL75" s="393">
        <v>1.1331558470946601</v>
      </c>
      <c r="BM75" s="393">
        <v>107.950196904264</v>
      </c>
      <c r="BN75" s="393">
        <v>6388.7614400469402</v>
      </c>
      <c r="BO75" s="393">
        <v>230.010009765625</v>
      </c>
      <c r="BP75" s="393"/>
      <c r="BQ75" s="393"/>
      <c r="BR75" s="393"/>
      <c r="BS75" s="393"/>
      <c r="BT75" s="393"/>
      <c r="BU75" s="393"/>
      <c r="BV75" s="393"/>
      <c r="BW75" s="399">
        <v>-3.7823300000000001E-5</v>
      </c>
      <c r="BX75" s="393">
        <v>229.98992490000001</v>
      </c>
      <c r="BY75" s="393">
        <v>229.99659639999999</v>
      </c>
      <c r="BZ75" s="393">
        <v>0.99997098699999998</v>
      </c>
      <c r="CA75" s="393">
        <v>-90.000009419999998</v>
      </c>
      <c r="CB75" s="393">
        <v>4.67732E-4</v>
      </c>
      <c r="CC75" s="393">
        <v>6.73428E-4</v>
      </c>
      <c r="CD75" s="399">
        <v>7.3158700000000001E-5</v>
      </c>
      <c r="CE75" s="399">
        <v>2.6730300000000001E-6</v>
      </c>
      <c r="CF75" s="393">
        <v>1.16523E-4</v>
      </c>
      <c r="CG75" s="393">
        <v>2.383001E-3</v>
      </c>
      <c r="CH75" s="393">
        <v>6.6327979999999996E-3</v>
      </c>
      <c r="CI75" s="393">
        <v>20.068904230000001</v>
      </c>
      <c r="CJ75" s="393">
        <v>2.0822331429999998</v>
      </c>
      <c r="CK75" s="393">
        <v>1.3811032000000001E-2</v>
      </c>
      <c r="CL75" s="393">
        <v>1</v>
      </c>
      <c r="CM75" s="393">
        <v>230.00326939999999</v>
      </c>
      <c r="CN75" s="393">
        <v>1.25132E-3</v>
      </c>
      <c r="CO75" s="393">
        <v>100002.383</v>
      </c>
      <c r="CP75" s="393">
        <v>0</v>
      </c>
      <c r="CQ75" s="393">
        <v>0</v>
      </c>
      <c r="CR75" s="393">
        <v>109.121</v>
      </c>
      <c r="CS75" s="393">
        <v>23.540386250000001</v>
      </c>
      <c r="CT75" s="393">
        <v>0.32292900400000002</v>
      </c>
      <c r="CU75" s="393"/>
      <c r="CV75" s="393"/>
      <c r="CW75" s="393"/>
      <c r="CX75" s="393"/>
      <c r="CY75" s="393"/>
      <c r="CZ75" s="393"/>
      <c r="DA75" s="393"/>
    </row>
    <row r="76" spans="1:105" x14ac:dyDescent="0.2">
      <c r="A76" s="366">
        <f>ROW()</f>
        <v>76</v>
      </c>
      <c r="B76" s="367" t="s">
        <v>50</v>
      </c>
      <c r="C76" s="368">
        <v>1</v>
      </c>
      <c r="D76" s="368">
        <v>230</v>
      </c>
      <c r="E76" s="367">
        <v>-90</v>
      </c>
      <c r="F76" s="441">
        <v>230</v>
      </c>
      <c r="G76" s="369" t="s">
        <v>359</v>
      </c>
      <c r="H76" s="370">
        <v>1</v>
      </c>
      <c r="I76" s="367">
        <v>50</v>
      </c>
      <c r="J76" s="371">
        <v>10</v>
      </c>
      <c r="K76" s="372">
        <v>5</v>
      </c>
      <c r="L76" s="482">
        <v>100000</v>
      </c>
      <c r="M76" s="443" t="s">
        <v>49</v>
      </c>
      <c r="N76" s="726">
        <f>IF(M76="watts",SQRT((0.0005+0.001/COS(RADIANS(ABS(E76))))^2+0.000645^2)*IF(#REF!&gt;26,2,1),SQRT((0.001+0.001/SIN(RADIANS(ABS(E76))))^2+0.000645^2+0.0035^2))</f>
        <v>4.0824043160862938E-3</v>
      </c>
      <c r="O76" s="370">
        <v>6</v>
      </c>
      <c r="P76" s="66">
        <v>123</v>
      </c>
      <c r="Q76" s="220"/>
      <c r="R76" s="395"/>
      <c r="S76" s="402">
        <v>229.9968355</v>
      </c>
      <c r="T76" s="395">
        <v>0.99996155600000003</v>
      </c>
      <c r="U76" s="402">
        <v>-90.000033909999999</v>
      </c>
      <c r="V76" s="395">
        <v>1</v>
      </c>
      <c r="W76" s="400">
        <v>2.4670740000000001E-3</v>
      </c>
      <c r="X76" s="400">
        <v>1.3794666000000001E-2</v>
      </c>
      <c r="Y76" s="402">
        <v>2.0830283930000002</v>
      </c>
      <c r="Z76" s="409">
        <v>100002.46709999999</v>
      </c>
      <c r="AA76" s="396">
        <v>42034.467662037037</v>
      </c>
      <c r="AB76" s="393">
        <v>50.0003537826654</v>
      </c>
      <c r="AC76" s="393">
        <v>0</v>
      </c>
      <c r="AD76" s="393" t="s">
        <v>132</v>
      </c>
      <c r="AE76" s="393">
        <v>0.8701171875</v>
      </c>
      <c r="AF76" s="393" t="s">
        <v>133</v>
      </c>
      <c r="AG76" s="393">
        <v>0.210290896480297</v>
      </c>
      <c r="AH76" s="393">
        <v>120.928477829672</v>
      </c>
      <c r="AI76" s="393">
        <v>1.1330965470293</v>
      </c>
      <c r="AJ76" s="393">
        <v>1.1329117875416199</v>
      </c>
      <c r="AK76" s="393">
        <v>107.96536404382501</v>
      </c>
      <c r="AL76" s="393">
        <v>6388.72030445972</v>
      </c>
      <c r="AM76" s="393">
        <v>230.01036071777301</v>
      </c>
      <c r="AN76" s="393">
        <v>0.206384343663016</v>
      </c>
      <c r="AO76" s="393">
        <v>120.373745000445</v>
      </c>
      <c r="AP76" s="393">
        <v>1.13309555921948</v>
      </c>
      <c r="AQ76" s="393">
        <v>1.1325832569507399</v>
      </c>
      <c r="AR76" s="393">
        <v>107.971143332415</v>
      </c>
      <c r="AS76" s="393">
        <v>6388.7379025927003</v>
      </c>
      <c r="AT76" s="393">
        <v>230.01055908203099</v>
      </c>
      <c r="AU76" s="393">
        <v>0.211108688848829</v>
      </c>
      <c r="AV76" s="393">
        <v>121.722713060487</v>
      </c>
      <c r="AW76" s="393">
        <v>1.1330969021638899</v>
      </c>
      <c r="AX76" s="393">
        <v>1.13321379066489</v>
      </c>
      <c r="AY76" s="393">
        <v>107.944832153044</v>
      </c>
      <c r="AZ76" s="393">
        <v>6388.6931023965599</v>
      </c>
      <c r="BA76" s="393">
        <v>230.01043701171901</v>
      </c>
      <c r="BB76" s="393">
        <v>0.21245072213465099</v>
      </c>
      <c r="BC76" s="393">
        <v>120.499913800165</v>
      </c>
      <c r="BD76" s="393">
        <v>1.1330975461683399</v>
      </c>
      <c r="BE76" s="393">
        <v>1.13286653089316</v>
      </c>
      <c r="BF76" s="393">
        <v>107.948946387088</v>
      </c>
      <c r="BG76" s="393">
        <v>6388.71787650643</v>
      </c>
      <c r="BH76" s="393">
        <v>230.00936889648401</v>
      </c>
      <c r="BI76" s="393">
        <v>0.20768374651038901</v>
      </c>
      <c r="BJ76" s="393">
        <v>121.086948006797</v>
      </c>
      <c r="BK76" s="393">
        <v>1.1330975487799</v>
      </c>
      <c r="BL76" s="393">
        <v>1.1332269488018201</v>
      </c>
      <c r="BM76" s="393">
        <v>107.95366075853499</v>
      </c>
      <c r="BN76" s="393">
        <v>6388.6959354771698</v>
      </c>
      <c r="BO76" s="393">
        <v>230.009841918945</v>
      </c>
      <c r="BP76" s="393"/>
      <c r="BQ76" s="393"/>
      <c r="BR76" s="393"/>
      <c r="BS76" s="393"/>
      <c r="BT76" s="393"/>
      <c r="BU76" s="393"/>
      <c r="BV76" s="393"/>
      <c r="BW76" s="393">
        <v>-1.3611799999999999E-4</v>
      </c>
      <c r="BX76" s="393">
        <v>229.98799489999999</v>
      </c>
      <c r="BY76" s="393">
        <v>229.9968355</v>
      </c>
      <c r="BZ76" s="393">
        <v>0.99996155600000003</v>
      </c>
      <c r="CA76" s="393">
        <v>-90.000033909999999</v>
      </c>
      <c r="CB76" s="393">
        <v>3.9764999999999999E-4</v>
      </c>
      <c r="CC76" s="393">
        <v>4.4423500000000002E-4</v>
      </c>
      <c r="CD76" s="399">
        <v>7.4985699999999996E-5</v>
      </c>
      <c r="CE76" s="399">
        <v>2.0581799999999999E-6</v>
      </c>
      <c r="CF76" s="399">
        <v>9.9064699999999994E-5</v>
      </c>
      <c r="CG76" s="393">
        <v>2.4670740000000001E-3</v>
      </c>
      <c r="CH76" s="393">
        <v>6.6224090000000001E-3</v>
      </c>
      <c r="CI76" s="393">
        <v>19.944201639999999</v>
      </c>
      <c r="CJ76" s="393">
        <v>2.0830283930000002</v>
      </c>
      <c r="CK76" s="393">
        <v>1.3794666000000001E-2</v>
      </c>
      <c r="CL76" s="393">
        <v>1</v>
      </c>
      <c r="CM76" s="393">
        <v>230.00567770000001</v>
      </c>
      <c r="CN76" s="393">
        <v>1.1447720000000001E-3</v>
      </c>
      <c r="CO76" s="393">
        <v>100002.46709999999</v>
      </c>
      <c r="CP76" s="393">
        <v>0</v>
      </c>
      <c r="CQ76" s="393">
        <v>0</v>
      </c>
      <c r="CR76" s="393">
        <v>109.11499999999999</v>
      </c>
      <c r="CS76" s="393">
        <v>23.524926480000001</v>
      </c>
      <c r="CT76" s="393">
        <v>0.32292963299999999</v>
      </c>
      <c r="CU76" s="393"/>
      <c r="CV76" s="393"/>
      <c r="CW76" s="393"/>
      <c r="CX76" s="393"/>
      <c r="CY76" s="393"/>
      <c r="CZ76" s="393"/>
      <c r="DA76" s="393"/>
    </row>
    <row r="77" spans="1:105" x14ac:dyDescent="0.2">
      <c r="A77" s="366">
        <f>ROW()</f>
        <v>77</v>
      </c>
      <c r="B77" s="367" t="s">
        <v>50</v>
      </c>
      <c r="C77" s="368">
        <v>1</v>
      </c>
      <c r="D77" s="368">
        <v>230</v>
      </c>
      <c r="E77" s="367">
        <v>-90</v>
      </c>
      <c r="F77" s="441">
        <v>230</v>
      </c>
      <c r="G77" s="369" t="s">
        <v>359</v>
      </c>
      <c r="H77" s="370">
        <v>1</v>
      </c>
      <c r="I77" s="367">
        <v>50</v>
      </c>
      <c r="J77" s="371">
        <v>10</v>
      </c>
      <c r="K77" s="372">
        <v>5</v>
      </c>
      <c r="L77" s="482">
        <v>100000</v>
      </c>
      <c r="M77" s="443" t="s">
        <v>49</v>
      </c>
      <c r="N77" s="726">
        <f>IF(M77="watts",SQRT((0.0005+0.001/COS(RADIANS(ABS(E77))))^2+0.000645^2)*IF(#REF!&gt;26,2,1),SQRT((0.001+0.001/SIN(RADIANS(ABS(E77))))^2+0.000645^2+0.0035^2))</f>
        <v>4.0824043160862938E-3</v>
      </c>
      <c r="O77" s="370">
        <v>6</v>
      </c>
      <c r="P77" s="66">
        <v>123</v>
      </c>
      <c r="Q77" s="220"/>
      <c r="R77" s="395"/>
      <c r="S77" s="402">
        <v>229.99678979999999</v>
      </c>
      <c r="T77" s="395">
        <v>0.99995237699999995</v>
      </c>
      <c r="U77" s="402">
        <v>-89.999931290000006</v>
      </c>
      <c r="V77" s="395">
        <v>1</v>
      </c>
      <c r="W77" s="400">
        <v>2.9754389999999999E-3</v>
      </c>
      <c r="X77" s="400">
        <v>1.3798055E-2</v>
      </c>
      <c r="Y77" s="402">
        <v>2.0828646320000002</v>
      </c>
      <c r="Z77" s="409">
        <v>100002.9754</v>
      </c>
      <c r="AA77" s="396">
        <v>42034.470578703702</v>
      </c>
      <c r="AB77" s="393">
        <v>50.000023590177697</v>
      </c>
      <c r="AC77" s="393">
        <v>0</v>
      </c>
      <c r="AD77" s="393" t="s">
        <v>132</v>
      </c>
      <c r="AE77" s="393">
        <v>0.8701171875</v>
      </c>
      <c r="AF77" s="393" t="s">
        <v>133</v>
      </c>
      <c r="AG77" s="393">
        <v>0.21265923614931201</v>
      </c>
      <c r="AH77" s="393">
        <v>121.72541890833</v>
      </c>
      <c r="AI77" s="393">
        <v>1.1330975228135201</v>
      </c>
      <c r="AJ77" s="393">
        <v>1.1332568322451999</v>
      </c>
      <c r="AK77" s="393">
        <v>107.956508190001</v>
      </c>
      <c r="AL77" s="393">
        <v>6388.6802162806898</v>
      </c>
      <c r="AM77" s="393">
        <v>230.009521484375</v>
      </c>
      <c r="AN77" s="393">
        <v>0.21368467189101301</v>
      </c>
      <c r="AO77" s="393">
        <v>121.205780659995</v>
      </c>
      <c r="AP77" s="393">
        <v>1.13309672949478</v>
      </c>
      <c r="AQ77" s="393">
        <v>1.1330481885942401</v>
      </c>
      <c r="AR77" s="393">
        <v>107.948487598445</v>
      </c>
      <c r="AS77" s="393">
        <v>6388.7002324375799</v>
      </c>
      <c r="AT77" s="393">
        <v>230.00949096679699</v>
      </c>
      <c r="AU77" s="393">
        <v>0.210194776642983</v>
      </c>
      <c r="AV77" s="393">
        <v>121.233559198332</v>
      </c>
      <c r="AW77" s="393">
        <v>1.13309700863014</v>
      </c>
      <c r="AX77" s="393">
        <v>1.13247848961695</v>
      </c>
      <c r="AY77" s="393">
        <v>107.958390920868</v>
      </c>
      <c r="AZ77" s="393">
        <v>6388.6913630466997</v>
      </c>
      <c r="BA77" s="393">
        <v>230.00906372070301</v>
      </c>
      <c r="BB77" s="393">
        <v>0.20820535559176601</v>
      </c>
      <c r="BC77" s="393">
        <v>121.00669547211</v>
      </c>
      <c r="BD77" s="393">
        <v>1.13309613453098</v>
      </c>
      <c r="BE77" s="393">
        <v>1.13299887977762</v>
      </c>
      <c r="BF77" s="393">
        <v>107.96035436051299</v>
      </c>
      <c r="BG77" s="393">
        <v>6388.668318942</v>
      </c>
      <c r="BH77" s="393">
        <v>230.00994873046901</v>
      </c>
      <c r="BI77" s="393">
        <v>0.21444354564725299</v>
      </c>
      <c r="BJ77" s="393">
        <v>120.992858549183</v>
      </c>
      <c r="BK77" s="393">
        <v>1.1330955824672899</v>
      </c>
      <c r="BL77" s="393">
        <v>1.13321152876279</v>
      </c>
      <c r="BM77" s="393">
        <v>107.988909336666</v>
      </c>
      <c r="BN77" s="393">
        <v>6388.6878077820602</v>
      </c>
      <c r="BO77" s="393">
        <v>230.00898742675801</v>
      </c>
      <c r="BP77" s="393"/>
      <c r="BQ77" s="393"/>
      <c r="BR77" s="393"/>
      <c r="BS77" s="393"/>
      <c r="BT77" s="393"/>
      <c r="BU77" s="393"/>
      <c r="BV77" s="393"/>
      <c r="BW77" s="393">
        <v>2.7578999999999999E-4</v>
      </c>
      <c r="BX77" s="393">
        <v>229.9858381</v>
      </c>
      <c r="BY77" s="393">
        <v>229.99678979999999</v>
      </c>
      <c r="BZ77" s="393">
        <v>0.99995237699999995</v>
      </c>
      <c r="CA77" s="393">
        <v>-89.999931290000006</v>
      </c>
      <c r="CB77" s="393">
        <v>3.93874E-4</v>
      </c>
      <c r="CC77" s="393">
        <v>3.9840900000000001E-4</v>
      </c>
      <c r="CD77" s="399">
        <v>6.8622199999999995E-5</v>
      </c>
      <c r="CE77" s="399">
        <v>1.74779E-6</v>
      </c>
      <c r="CF77" s="399">
        <v>9.8123799999999997E-5</v>
      </c>
      <c r="CG77" s="393">
        <v>2.9754389999999999E-3</v>
      </c>
      <c r="CH77" s="393">
        <v>6.6245569999999997E-3</v>
      </c>
      <c r="CI77" s="393">
        <v>19.96974822</v>
      </c>
      <c r="CJ77" s="393">
        <v>2.0828646320000002</v>
      </c>
      <c r="CK77" s="393">
        <v>1.3798055E-2</v>
      </c>
      <c r="CL77" s="393">
        <v>1</v>
      </c>
      <c r="CM77" s="393">
        <v>230.00774340000001</v>
      </c>
      <c r="CN77" s="393">
        <v>9.3250400000000002E-4</v>
      </c>
      <c r="CO77" s="393">
        <v>100002.9754</v>
      </c>
      <c r="CP77" s="393">
        <v>0</v>
      </c>
      <c r="CQ77" s="393">
        <v>0</v>
      </c>
      <c r="CR77" s="393">
        <v>109.108</v>
      </c>
      <c r="CS77" s="393">
        <v>23.506890179999999</v>
      </c>
      <c r="CT77" s="393">
        <v>0.322930367</v>
      </c>
      <c r="CU77" s="393"/>
      <c r="CV77" s="393"/>
      <c r="CW77" s="393"/>
      <c r="CX77" s="393"/>
      <c r="CY77" s="393"/>
      <c r="CZ77" s="393"/>
      <c r="DA77" s="393"/>
    </row>
    <row r="78" spans="1:105" x14ac:dyDescent="0.2">
      <c r="A78" s="366">
        <f>ROW()</f>
        <v>78</v>
      </c>
      <c r="B78" s="367" t="s">
        <v>50</v>
      </c>
      <c r="C78" s="368">
        <v>1</v>
      </c>
      <c r="D78" s="368">
        <v>230</v>
      </c>
      <c r="E78" s="367">
        <v>-30</v>
      </c>
      <c r="F78" s="441">
        <v>230</v>
      </c>
      <c r="G78" s="369" t="s">
        <v>359</v>
      </c>
      <c r="H78" s="370">
        <v>1</v>
      </c>
      <c r="I78" s="367">
        <v>50</v>
      </c>
      <c r="J78" s="371">
        <v>10</v>
      </c>
      <c r="K78" s="372">
        <v>5</v>
      </c>
      <c r="L78" s="482">
        <v>100000</v>
      </c>
      <c r="M78" s="443" t="s">
        <v>49</v>
      </c>
      <c r="N78" s="726">
        <f>IF(M78="watts",SQRT((0.0005+0.001/COS(RADIANS(ABS(E78))))^2+0.000645^2)*IF(#REF!&gt;26,2,1),SQRT((0.001+0.001/SIN(RADIANS(ABS(E78))))^2+0.000645^2+0.0035^2))</f>
        <v>4.6546777546893625E-3</v>
      </c>
      <c r="O78" s="370">
        <v>6</v>
      </c>
      <c r="P78" s="66">
        <v>123</v>
      </c>
      <c r="Q78" s="220"/>
      <c r="R78" s="395"/>
      <c r="S78" s="402">
        <v>229.9967809</v>
      </c>
      <c r="T78" s="395">
        <v>1.0000250799999999</v>
      </c>
      <c r="U78" s="402">
        <v>-30.000030639999999</v>
      </c>
      <c r="V78" s="395">
        <v>0.50000046300000001</v>
      </c>
      <c r="W78" s="400">
        <v>2.3638940000000001E-3</v>
      </c>
      <c r="X78" s="400">
        <v>1.475077E-2</v>
      </c>
      <c r="Y78" s="402">
        <v>2.0861073559999999</v>
      </c>
      <c r="Z78" s="409">
        <v>100002.3639</v>
      </c>
      <c r="AA78" s="396">
        <v>42034.473495370374</v>
      </c>
      <c r="AB78" s="393">
        <v>50.000108490817397</v>
      </c>
      <c r="AC78" s="393">
        <v>0.7646484375</v>
      </c>
      <c r="AD78" s="393" t="s">
        <v>134</v>
      </c>
      <c r="AE78" s="393">
        <v>0.4345703125</v>
      </c>
      <c r="AF78" s="393" t="s">
        <v>133</v>
      </c>
      <c r="AG78" s="393">
        <v>0.30813982835564202</v>
      </c>
      <c r="AH78" s="393">
        <v>-68.362790008164893</v>
      </c>
      <c r="AI78" s="393">
        <v>1.13309738232076</v>
      </c>
      <c r="AJ78" s="393">
        <v>1.13311619394924</v>
      </c>
      <c r="AK78" s="393">
        <v>107.977087107879</v>
      </c>
      <c r="AL78" s="393">
        <v>3194.5421353353499</v>
      </c>
      <c r="AM78" s="393">
        <v>115.01782989502</v>
      </c>
      <c r="AN78" s="393">
        <v>0.311857351039245</v>
      </c>
      <c r="AO78" s="393">
        <v>-68.749224425987194</v>
      </c>
      <c r="AP78" s="393">
        <v>1.1330967586194201</v>
      </c>
      <c r="AQ78" s="393">
        <v>1.1340497456396399</v>
      </c>
      <c r="AR78" s="393">
        <v>107.93784217536</v>
      </c>
      <c r="AS78" s="393">
        <v>3194.5598917454599</v>
      </c>
      <c r="AT78" s="393">
        <v>115.017791748047</v>
      </c>
      <c r="AU78" s="393">
        <v>0.31323217886494698</v>
      </c>
      <c r="AV78" s="393">
        <v>-68.3081925840618</v>
      </c>
      <c r="AW78" s="393">
        <v>1.13309535230554</v>
      </c>
      <c r="AX78" s="393">
        <v>1.13298018228623</v>
      </c>
      <c r="AY78" s="393">
        <v>107.969232296576</v>
      </c>
      <c r="AZ78" s="393">
        <v>3194.56550566747</v>
      </c>
      <c r="BA78" s="393">
        <v>115.018272399902</v>
      </c>
      <c r="BB78" s="393">
        <v>0.31058008353590899</v>
      </c>
      <c r="BC78" s="393">
        <v>-67.9074423745638</v>
      </c>
      <c r="BD78" s="393">
        <v>1.1330971328637001</v>
      </c>
      <c r="BE78" s="393">
        <v>1.13331480378778</v>
      </c>
      <c r="BF78" s="393">
        <v>107.93813524778599</v>
      </c>
      <c r="BG78" s="393">
        <v>3194.54364082746</v>
      </c>
      <c r="BH78" s="393">
        <v>115.019073486328</v>
      </c>
      <c r="BI78" s="393">
        <v>0.30996191542718698</v>
      </c>
      <c r="BJ78" s="393">
        <v>-67.993051847443098</v>
      </c>
      <c r="BK78" s="393">
        <v>1.1330961318202799</v>
      </c>
      <c r="BL78" s="393">
        <v>1.13313815643477</v>
      </c>
      <c r="BM78" s="393">
        <v>107.96126537805</v>
      </c>
      <c r="BN78" s="393">
        <v>3194.5805301186601</v>
      </c>
      <c r="BO78" s="393">
        <v>115.017944335938</v>
      </c>
      <c r="BP78" s="393"/>
      <c r="BQ78" s="393"/>
      <c r="BR78" s="393"/>
      <c r="BS78" s="393"/>
      <c r="BT78" s="393"/>
      <c r="BU78" s="393"/>
      <c r="BV78" s="393"/>
      <c r="BW78" s="393">
        <v>199.1879902</v>
      </c>
      <c r="BX78" s="393">
        <v>115.0013818</v>
      </c>
      <c r="BY78" s="393">
        <v>229.9967809</v>
      </c>
      <c r="BZ78" s="393">
        <v>1.0000250799999999</v>
      </c>
      <c r="CA78" s="393">
        <v>-30.000030639999999</v>
      </c>
      <c r="CB78" s="393">
        <v>5.0840100000000001E-4</v>
      </c>
      <c r="CC78" s="393">
        <v>3.0018800000000001E-4</v>
      </c>
      <c r="CD78" s="399">
        <v>7.43817E-5</v>
      </c>
      <c r="CE78" s="399">
        <v>1.90335E-6</v>
      </c>
      <c r="CF78" s="399">
        <v>8.6939899999999997E-5</v>
      </c>
      <c r="CG78" s="393">
        <v>2.3638940000000001E-3</v>
      </c>
      <c r="CH78" s="393">
        <v>7.070954E-3</v>
      </c>
      <c r="CI78" s="393">
        <v>19.476300850000001</v>
      </c>
      <c r="CJ78" s="393">
        <v>2.0861073559999999</v>
      </c>
      <c r="CK78" s="393">
        <v>1.475077E-2</v>
      </c>
      <c r="CL78" s="393">
        <v>0.50000046300000001</v>
      </c>
      <c r="CM78" s="393">
        <v>229.9910127</v>
      </c>
      <c r="CN78" s="393">
        <v>9.1524900000000003E-4</v>
      </c>
      <c r="CO78" s="393">
        <v>100002.3639</v>
      </c>
      <c r="CP78" s="393">
        <v>0</v>
      </c>
      <c r="CQ78" s="393">
        <v>0</v>
      </c>
      <c r="CR78" s="393">
        <v>109.101</v>
      </c>
      <c r="CS78" s="393">
        <v>23.488853989999999</v>
      </c>
      <c r="CT78" s="393">
        <v>0.322931101</v>
      </c>
      <c r="CU78" s="393"/>
      <c r="CV78" s="393"/>
      <c r="CW78" s="393"/>
      <c r="CX78" s="393"/>
      <c r="CY78" s="393"/>
      <c r="CZ78" s="393"/>
      <c r="DA78" s="393"/>
    </row>
    <row r="79" spans="1:105" x14ac:dyDescent="0.2">
      <c r="A79" s="366">
        <f>ROW()</f>
        <v>79</v>
      </c>
      <c r="B79" s="367" t="s">
        <v>50</v>
      </c>
      <c r="C79" s="368">
        <v>1</v>
      </c>
      <c r="D79" s="368">
        <v>230</v>
      </c>
      <c r="E79" s="367">
        <v>-30</v>
      </c>
      <c r="F79" s="441">
        <v>230</v>
      </c>
      <c r="G79" s="369" t="s">
        <v>359</v>
      </c>
      <c r="H79" s="370">
        <v>1</v>
      </c>
      <c r="I79" s="367">
        <v>50</v>
      </c>
      <c r="J79" s="371">
        <v>10</v>
      </c>
      <c r="K79" s="372">
        <v>5</v>
      </c>
      <c r="L79" s="482">
        <v>100000</v>
      </c>
      <c r="M79" s="443" t="s">
        <v>49</v>
      </c>
      <c r="N79" s="726">
        <f>IF(M79="watts",SQRT((0.0005+0.001/COS(RADIANS(ABS(E79))))^2+0.000645^2)*IF(#REF!&gt;26,2,1),SQRT((0.001+0.001/SIN(RADIANS(ABS(E79))))^2+0.000645^2+0.0035^2))</f>
        <v>4.6546777546893625E-3</v>
      </c>
      <c r="O79" s="370">
        <v>6</v>
      </c>
      <c r="P79" s="66">
        <v>123</v>
      </c>
      <c r="Q79" s="220"/>
      <c r="R79" s="395"/>
      <c r="S79" s="402">
        <v>229.99681169999999</v>
      </c>
      <c r="T79" s="395">
        <v>1.00002693</v>
      </c>
      <c r="U79" s="402">
        <v>-30.000441859999999</v>
      </c>
      <c r="V79" s="395">
        <v>0.50000667899999995</v>
      </c>
      <c r="W79" s="400">
        <v>5.4934700000000005E-4</v>
      </c>
      <c r="X79" s="400">
        <v>1.4776321E-2</v>
      </c>
      <c r="Y79" s="402">
        <v>2.0849319400000002</v>
      </c>
      <c r="Z79" s="409">
        <v>100000.5493</v>
      </c>
      <c r="AA79" s="396">
        <v>42034.476400462961</v>
      </c>
      <c r="AB79" s="393">
        <v>50.000396232985203</v>
      </c>
      <c r="AC79" s="393">
        <v>0.7646484375</v>
      </c>
      <c r="AD79" s="393" t="s">
        <v>134</v>
      </c>
      <c r="AE79" s="393">
        <v>0.4345703125</v>
      </c>
      <c r="AF79" s="393" t="s">
        <v>133</v>
      </c>
      <c r="AG79" s="393">
        <v>0.31004593428870902</v>
      </c>
      <c r="AH79" s="393">
        <v>-67.43264825608</v>
      </c>
      <c r="AI79" s="393">
        <v>1.1330972145056299</v>
      </c>
      <c r="AJ79" s="393">
        <v>1.1329722897362999</v>
      </c>
      <c r="AK79" s="393">
        <v>107.95470443050201</v>
      </c>
      <c r="AL79" s="393">
        <v>3194.5526232060201</v>
      </c>
      <c r="AM79" s="393">
        <v>115.018562316895</v>
      </c>
      <c r="AN79" s="393">
        <v>0.31453487965648003</v>
      </c>
      <c r="AO79" s="393">
        <v>-68.076920075247003</v>
      </c>
      <c r="AP79" s="393">
        <v>1.1330966299735501</v>
      </c>
      <c r="AQ79" s="393">
        <v>1.13261604104905</v>
      </c>
      <c r="AR79" s="393">
        <v>107.933452593959</v>
      </c>
      <c r="AS79" s="393">
        <v>3194.51563343609</v>
      </c>
      <c r="AT79" s="393">
        <v>115.01873779296901</v>
      </c>
      <c r="AU79" s="393">
        <v>0.31354197264335598</v>
      </c>
      <c r="AV79" s="393">
        <v>-67.9470700497519</v>
      </c>
      <c r="AW79" s="393">
        <v>1.1330968425316299</v>
      </c>
      <c r="AX79" s="393">
        <v>1.1331092452488301</v>
      </c>
      <c r="AY79" s="393">
        <v>107.951017004777</v>
      </c>
      <c r="AZ79" s="393">
        <v>3194.5554855297501</v>
      </c>
      <c r="BA79" s="393">
        <v>115.01902770996099</v>
      </c>
      <c r="BB79" s="393">
        <v>0.314459069469744</v>
      </c>
      <c r="BC79" s="393">
        <v>-68.472945613098901</v>
      </c>
      <c r="BD79" s="393">
        <v>1.1330962072841499</v>
      </c>
      <c r="BE79" s="393">
        <v>1.1325232106702201</v>
      </c>
      <c r="BF79" s="393">
        <v>107.95564944869</v>
      </c>
      <c r="BG79" s="393">
        <v>3194.5445267369701</v>
      </c>
      <c r="BH79" s="393">
        <v>115.017906188965</v>
      </c>
      <c r="BI79" s="393">
        <v>0.31036193925933703</v>
      </c>
      <c r="BJ79" s="393">
        <v>-68.683540997480407</v>
      </c>
      <c r="BK79" s="393">
        <v>1.1330966223089101</v>
      </c>
      <c r="BL79" s="393">
        <v>1.1332036667718499</v>
      </c>
      <c r="BM79" s="393">
        <v>107.918132903527</v>
      </c>
      <c r="BN79" s="393">
        <v>3194.5638589790701</v>
      </c>
      <c r="BO79" s="393">
        <v>115.01781463623</v>
      </c>
      <c r="BP79" s="393"/>
      <c r="BQ79" s="393"/>
      <c r="BR79" s="393"/>
      <c r="BS79" s="393"/>
      <c r="BT79" s="393"/>
      <c r="BU79" s="393"/>
      <c r="BV79" s="393"/>
      <c r="BW79" s="393">
        <v>199.18755999999999</v>
      </c>
      <c r="BX79" s="393">
        <v>115.00303959999999</v>
      </c>
      <c r="BY79" s="393">
        <v>229.99681169999999</v>
      </c>
      <c r="BZ79" s="393">
        <v>1.00002693</v>
      </c>
      <c r="CA79" s="393">
        <v>-30.000441859999999</v>
      </c>
      <c r="CB79" s="393">
        <v>5.7833099999999996E-4</v>
      </c>
      <c r="CC79" s="393">
        <v>4.7023200000000001E-4</v>
      </c>
      <c r="CD79" s="399">
        <v>3.3299500000000002E-5</v>
      </c>
      <c r="CE79" s="399">
        <v>2.5394900000000001E-6</v>
      </c>
      <c r="CF79" s="393">
        <v>1.04549E-4</v>
      </c>
      <c r="CG79" s="393">
        <v>5.4934700000000005E-4</v>
      </c>
      <c r="CH79" s="393">
        <v>7.0871959999999996E-3</v>
      </c>
      <c r="CI79" s="393">
        <v>19.652189280000002</v>
      </c>
      <c r="CJ79" s="393">
        <v>2.0849319400000002</v>
      </c>
      <c r="CK79" s="393">
        <v>1.4776321E-2</v>
      </c>
      <c r="CL79" s="393">
        <v>0.50000667899999995</v>
      </c>
      <c r="CM79" s="393">
        <v>229.99061789999999</v>
      </c>
      <c r="CN79" s="393">
        <v>1.2349609999999999E-3</v>
      </c>
      <c r="CO79" s="393">
        <v>100000.5493</v>
      </c>
      <c r="CP79" s="393">
        <v>0</v>
      </c>
      <c r="CQ79" s="393">
        <v>0</v>
      </c>
      <c r="CR79" s="393">
        <v>109.096</v>
      </c>
      <c r="CS79" s="393">
        <v>23.475971059999999</v>
      </c>
      <c r="CT79" s="393">
        <v>0.322931625</v>
      </c>
      <c r="CU79" s="393"/>
      <c r="CV79" s="393"/>
      <c r="CW79" s="393"/>
      <c r="CX79" s="393"/>
      <c r="CY79" s="393"/>
      <c r="CZ79" s="393"/>
      <c r="DA79" s="393"/>
    </row>
    <row r="80" spans="1:105" x14ac:dyDescent="0.2">
      <c r="A80" s="366">
        <f>ROW()</f>
        <v>80</v>
      </c>
      <c r="B80" s="367" t="s">
        <v>50</v>
      </c>
      <c r="C80" s="368">
        <v>1</v>
      </c>
      <c r="D80" s="368">
        <v>230</v>
      </c>
      <c r="E80" s="367">
        <v>-30</v>
      </c>
      <c r="F80" s="441">
        <v>230</v>
      </c>
      <c r="G80" s="369" t="s">
        <v>359</v>
      </c>
      <c r="H80" s="370">
        <v>1</v>
      </c>
      <c r="I80" s="367">
        <v>50</v>
      </c>
      <c r="J80" s="371">
        <v>10</v>
      </c>
      <c r="K80" s="372">
        <v>5</v>
      </c>
      <c r="L80" s="482">
        <v>100000</v>
      </c>
      <c r="M80" s="443" t="s">
        <v>49</v>
      </c>
      <c r="N80" s="726">
        <f>IF(M80="watts",SQRT((0.0005+0.001/COS(RADIANS(ABS(E80))))^2+0.000645^2)*IF(T69&gt;26,2,1),SQRT((0.001+0.001/SIN(RADIANS(ABS(E80))))^2+0.000645^2+0.0035^2))</f>
        <v>4.6546777546893625E-3</v>
      </c>
      <c r="O80" s="370">
        <v>6</v>
      </c>
      <c r="P80" s="66">
        <v>123</v>
      </c>
      <c r="Q80" s="220"/>
      <c r="R80" s="395"/>
      <c r="S80" s="402">
        <v>229.9967795</v>
      </c>
      <c r="T80" s="395">
        <v>1.000029893</v>
      </c>
      <c r="U80" s="402">
        <v>-30.00017647</v>
      </c>
      <c r="V80" s="395">
        <v>0.50000266699999996</v>
      </c>
      <c r="W80" s="400">
        <v>3.5734599999999998E-4</v>
      </c>
      <c r="X80" s="400">
        <v>1.4761662E-2</v>
      </c>
      <c r="Y80" s="402">
        <v>2.0855985650000002</v>
      </c>
      <c r="Z80" s="409">
        <v>100000.3573</v>
      </c>
      <c r="AA80" s="396">
        <v>42034.479317129626</v>
      </c>
      <c r="AB80" s="393">
        <v>50.000264151990102</v>
      </c>
      <c r="AC80" s="393">
        <v>0.7646484375</v>
      </c>
      <c r="AD80" s="393" t="s">
        <v>134</v>
      </c>
      <c r="AE80" s="393">
        <v>0.4345703125</v>
      </c>
      <c r="AF80" s="393" t="s">
        <v>133</v>
      </c>
      <c r="AG80" s="393">
        <v>0.307686100522158</v>
      </c>
      <c r="AH80" s="393">
        <v>-67.592175776515901</v>
      </c>
      <c r="AI80" s="393">
        <v>1.1330966268840199</v>
      </c>
      <c r="AJ80" s="393">
        <v>1.13271109800245</v>
      </c>
      <c r="AK80" s="393">
        <v>107.939172057405</v>
      </c>
      <c r="AL80" s="393">
        <v>3194.5256346270098</v>
      </c>
      <c r="AM80" s="393">
        <v>115.01921844482401</v>
      </c>
      <c r="AN80" s="393">
        <v>0.312110830425472</v>
      </c>
      <c r="AO80" s="393">
        <v>-68.359849437080399</v>
      </c>
      <c r="AP80" s="393">
        <v>1.1330961286074901</v>
      </c>
      <c r="AQ80" s="393">
        <v>1.13278673259254</v>
      </c>
      <c r="AR80" s="393">
        <v>107.964440834473</v>
      </c>
      <c r="AS80" s="393">
        <v>3194.5372329096299</v>
      </c>
      <c r="AT80" s="393">
        <v>115.017524719238</v>
      </c>
      <c r="AU80" s="393">
        <v>0.31027174202455998</v>
      </c>
      <c r="AV80" s="393">
        <v>-68.304875753542206</v>
      </c>
      <c r="AW80" s="393">
        <v>1.1330965239245601</v>
      </c>
      <c r="AX80" s="393">
        <v>1.1329202377901899</v>
      </c>
      <c r="AY80" s="393">
        <v>107.92176530982</v>
      </c>
      <c r="AZ80" s="393">
        <v>3194.5198697607302</v>
      </c>
      <c r="BA80" s="393">
        <v>115.01872253418</v>
      </c>
      <c r="BB80" s="393">
        <v>0.31217065881781603</v>
      </c>
      <c r="BC80" s="393">
        <v>-67.661607960126204</v>
      </c>
      <c r="BD80" s="393">
        <v>1.13309814435071</v>
      </c>
      <c r="BE80" s="393">
        <v>1.1328240656262401</v>
      </c>
      <c r="BF80" s="393">
        <v>107.95407857439901</v>
      </c>
      <c r="BG80" s="393">
        <v>3194.51122564355</v>
      </c>
      <c r="BH80" s="393">
        <v>115.01885986328099</v>
      </c>
      <c r="BI80" s="393">
        <v>0.30808993437686399</v>
      </c>
      <c r="BJ80" s="393">
        <v>-67.931930902342899</v>
      </c>
      <c r="BK80" s="393">
        <v>1.1330953008714999</v>
      </c>
      <c r="BL80" s="393">
        <v>1.1331818450981299</v>
      </c>
      <c r="BM80" s="393">
        <v>107.977225919647</v>
      </c>
      <c r="BN80" s="393">
        <v>3194.5244483537999</v>
      </c>
      <c r="BO80" s="393">
        <v>115.01885986328099</v>
      </c>
      <c r="BP80" s="393"/>
      <c r="BQ80" s="393"/>
      <c r="BR80" s="393"/>
      <c r="BS80" s="393"/>
      <c r="BT80" s="393"/>
      <c r="BU80" s="393"/>
      <c r="BV80" s="393"/>
      <c r="BW80" s="393">
        <v>199.18865500000001</v>
      </c>
      <c r="BX80" s="393">
        <v>115.0024416</v>
      </c>
      <c r="BY80" s="393">
        <v>229.9967795</v>
      </c>
      <c r="BZ80" s="393">
        <v>1.000029893</v>
      </c>
      <c r="CA80" s="393">
        <v>-30.00017647</v>
      </c>
      <c r="CB80" s="393">
        <v>4.8385499999999999E-4</v>
      </c>
      <c r="CC80" s="393">
        <v>4.0424299999999999E-4</v>
      </c>
      <c r="CD80" s="399">
        <v>9.3984099999999993E-5</v>
      </c>
      <c r="CE80" s="399">
        <v>2.0943500000000001E-6</v>
      </c>
      <c r="CF80" s="399">
        <v>8.9115000000000003E-5</v>
      </c>
      <c r="CG80" s="393">
        <v>3.5734599999999998E-4</v>
      </c>
      <c r="CH80" s="393">
        <v>7.0779019999999996E-3</v>
      </c>
      <c r="CI80" s="393">
        <v>19.552029709999999</v>
      </c>
      <c r="CJ80" s="393">
        <v>2.0855985650000002</v>
      </c>
      <c r="CK80" s="393">
        <v>1.4761662E-2</v>
      </c>
      <c r="CL80" s="393">
        <v>0.50000266699999996</v>
      </c>
      <c r="CM80" s="393">
        <v>229.9899044</v>
      </c>
      <c r="CN80" s="393">
        <v>1.029898E-3</v>
      </c>
      <c r="CO80" s="393">
        <v>100000.3573</v>
      </c>
      <c r="CP80" s="393">
        <v>0</v>
      </c>
      <c r="CQ80" s="393">
        <v>0</v>
      </c>
      <c r="CR80" s="393">
        <v>109.09399999999999</v>
      </c>
      <c r="CS80" s="393">
        <v>23.4708179</v>
      </c>
      <c r="CT80" s="393">
        <v>0.322931835</v>
      </c>
      <c r="CU80" s="393"/>
      <c r="CV80" s="393"/>
      <c r="CW80" s="393"/>
      <c r="CX80" s="393"/>
      <c r="CY80" s="393"/>
      <c r="CZ80" s="393"/>
      <c r="DA80" s="393"/>
    </row>
    <row r="81" spans="1:105" x14ac:dyDescent="0.2">
      <c r="A81" s="366">
        <f>ROW()</f>
        <v>81</v>
      </c>
      <c r="B81" s="367" t="s">
        <v>50</v>
      </c>
      <c r="C81" s="368">
        <v>1</v>
      </c>
      <c r="D81" s="368">
        <v>230</v>
      </c>
      <c r="E81" s="367">
        <v>-126.87</v>
      </c>
      <c r="F81" s="441">
        <v>230</v>
      </c>
      <c r="G81" s="369" t="s">
        <v>359</v>
      </c>
      <c r="H81" s="370">
        <v>1</v>
      </c>
      <c r="I81" s="367">
        <v>50</v>
      </c>
      <c r="J81" s="371">
        <v>10</v>
      </c>
      <c r="K81" s="372">
        <v>5</v>
      </c>
      <c r="L81" s="482">
        <v>100000</v>
      </c>
      <c r="M81" s="443" t="s">
        <v>49</v>
      </c>
      <c r="N81" s="726">
        <f>IF(M81="watts",SQRT((0.0005+0.001/COS(RADIANS(ABS(E81))))^2+0.000645^2)*IF(T70&gt;26,2,1),SQRT((0.001+0.001/SIN(RADIANS(ABS(E81))))^2+0.000645^2+0.0035^2))</f>
        <v>4.210526396600394E-3</v>
      </c>
      <c r="O81" s="370">
        <v>6</v>
      </c>
      <c r="P81" s="66">
        <v>123</v>
      </c>
      <c r="Q81" s="220"/>
      <c r="R81" s="395"/>
      <c r="S81" s="402">
        <v>229.996859</v>
      </c>
      <c r="T81" s="395">
        <v>0.99997031000000003</v>
      </c>
      <c r="U81" s="402">
        <v>-126.8721185</v>
      </c>
      <c r="V81" s="395">
        <v>0.79997674299999999</v>
      </c>
      <c r="W81" s="400">
        <v>-4.7421099999999999E-4</v>
      </c>
      <c r="X81" s="400">
        <v>1.4002964999999999E-2</v>
      </c>
      <c r="Y81" s="402">
        <v>2.0833889889999999</v>
      </c>
      <c r="Z81" s="409">
        <v>99999.52579</v>
      </c>
      <c r="AA81" s="396">
        <v>42034.482233796298</v>
      </c>
      <c r="AB81" s="393">
        <v>50.000514163873703</v>
      </c>
      <c r="AC81" s="393">
        <v>0.529296875</v>
      </c>
      <c r="AD81" s="393" t="s">
        <v>132</v>
      </c>
      <c r="AE81" s="393">
        <v>0.6962890625</v>
      </c>
      <c r="AF81" s="393" t="s">
        <v>133</v>
      </c>
      <c r="AG81" s="393">
        <v>0.203746833183444</v>
      </c>
      <c r="AH81" s="393">
        <v>171.09655922413</v>
      </c>
      <c r="AI81" s="393">
        <v>1.1330984678348399</v>
      </c>
      <c r="AJ81" s="393">
        <v>1.13310077404573</v>
      </c>
      <c r="AK81" s="393">
        <v>107.959347195378</v>
      </c>
      <c r="AL81" s="393">
        <v>5110.7220356207799</v>
      </c>
      <c r="AM81" s="393">
        <v>183.99853515625</v>
      </c>
      <c r="AN81" s="393">
        <v>0.20256975605546099</v>
      </c>
      <c r="AO81" s="393">
        <v>170.93857573981199</v>
      </c>
      <c r="AP81" s="393">
        <v>1.1330976187902799</v>
      </c>
      <c r="AQ81" s="393">
        <v>1.1333491237536499</v>
      </c>
      <c r="AR81" s="393">
        <v>107.948601446208</v>
      </c>
      <c r="AS81" s="393">
        <v>5110.7143704887303</v>
      </c>
      <c r="AT81" s="393">
        <v>183.99789428710901</v>
      </c>
      <c r="AU81" s="393">
        <v>0.20056799372696499</v>
      </c>
      <c r="AV81" s="393">
        <v>170.86645996068299</v>
      </c>
      <c r="AW81" s="393">
        <v>1.1330957669925501</v>
      </c>
      <c r="AX81" s="393">
        <v>1.1327554601318599</v>
      </c>
      <c r="AY81" s="393">
        <v>107.92711526668801</v>
      </c>
      <c r="AZ81" s="393">
        <v>5110.7131331115297</v>
      </c>
      <c r="BA81" s="393">
        <v>183.99842834472699</v>
      </c>
      <c r="BB81" s="393">
        <v>0.20247983788777599</v>
      </c>
      <c r="BC81" s="393">
        <v>170.060843047904</v>
      </c>
      <c r="BD81" s="393">
        <v>1.1330962330515499</v>
      </c>
      <c r="BE81" s="393">
        <v>1.1333459335421101</v>
      </c>
      <c r="BF81" s="393">
        <v>107.975301043689</v>
      </c>
      <c r="BG81" s="393">
        <v>5110.7358036154501</v>
      </c>
      <c r="BH81" s="393">
        <v>183.99919128418</v>
      </c>
      <c r="BI81" s="393">
        <v>0.20195791393259199</v>
      </c>
      <c r="BJ81" s="393">
        <v>172.1341831782</v>
      </c>
      <c r="BK81" s="393">
        <v>1.1330965964508599</v>
      </c>
      <c r="BL81" s="393">
        <v>1.1326945673397399</v>
      </c>
      <c r="BM81" s="393">
        <v>107.929945480957</v>
      </c>
      <c r="BN81" s="393">
        <v>5110.6985420329001</v>
      </c>
      <c r="BO81" s="393">
        <v>183.99871826171901</v>
      </c>
      <c r="BP81" s="393"/>
      <c r="BQ81" s="393"/>
      <c r="BR81" s="393"/>
      <c r="BS81" s="393"/>
      <c r="BT81" s="393"/>
      <c r="BU81" s="393"/>
      <c r="BV81" s="393"/>
      <c r="BW81" s="393">
        <v>-138.00115070000001</v>
      </c>
      <c r="BX81" s="393">
        <v>183.98667649999999</v>
      </c>
      <c r="BY81" s="393">
        <v>229.996859</v>
      </c>
      <c r="BZ81" s="393">
        <v>0.99997031000000003</v>
      </c>
      <c r="CA81" s="393">
        <v>-126.8721185</v>
      </c>
      <c r="CB81" s="393">
        <v>5.7330200000000003E-4</v>
      </c>
      <c r="CC81" s="393">
        <v>1.3125600000000001E-4</v>
      </c>
      <c r="CD81" s="399">
        <v>9.9328700000000003E-5</v>
      </c>
      <c r="CE81" s="399">
        <v>1.68464E-6</v>
      </c>
      <c r="CF81" s="393">
        <v>1.0783199999999999E-4</v>
      </c>
      <c r="CG81" s="393">
        <v>-4.7421099999999999E-4</v>
      </c>
      <c r="CH81" s="393">
        <v>6.7212440000000004E-3</v>
      </c>
      <c r="CI81" s="393">
        <v>19.888189229999998</v>
      </c>
      <c r="CJ81" s="393">
        <v>2.0833889889999999</v>
      </c>
      <c r="CK81" s="393">
        <v>1.4002964999999999E-2</v>
      </c>
      <c r="CL81" s="393">
        <v>0.79997674299999999</v>
      </c>
      <c r="CM81" s="393">
        <v>230.00368779999999</v>
      </c>
      <c r="CN81" s="393">
        <v>8.98473E-4</v>
      </c>
      <c r="CO81" s="393">
        <v>99999.52579</v>
      </c>
      <c r="CP81" s="393">
        <v>0</v>
      </c>
      <c r="CQ81" s="393">
        <v>0</v>
      </c>
      <c r="CR81" s="393">
        <v>109.096</v>
      </c>
      <c r="CS81" s="393">
        <v>23.475971059999999</v>
      </c>
      <c r="CT81" s="393">
        <v>0.322931625</v>
      </c>
      <c r="CU81" s="393"/>
      <c r="CV81" s="393"/>
      <c r="CW81" s="393"/>
      <c r="CX81" s="393"/>
      <c r="CY81" s="393"/>
      <c r="CZ81" s="393"/>
      <c r="DA81" s="393"/>
    </row>
    <row r="82" spans="1:105" x14ac:dyDescent="0.2">
      <c r="A82" s="366">
        <f>ROW()</f>
        <v>82</v>
      </c>
      <c r="B82" s="367" t="s">
        <v>50</v>
      </c>
      <c r="C82" s="368">
        <v>1</v>
      </c>
      <c r="D82" s="368">
        <v>230</v>
      </c>
      <c r="E82" s="367">
        <v>-126.87</v>
      </c>
      <c r="F82" s="441">
        <v>230</v>
      </c>
      <c r="G82" s="369" t="s">
        <v>359</v>
      </c>
      <c r="H82" s="370">
        <v>1</v>
      </c>
      <c r="I82" s="367">
        <v>50</v>
      </c>
      <c r="J82" s="371">
        <v>10</v>
      </c>
      <c r="K82" s="372">
        <v>5</v>
      </c>
      <c r="L82" s="482">
        <v>100000</v>
      </c>
      <c r="M82" s="443" t="s">
        <v>49</v>
      </c>
      <c r="N82" s="726">
        <f>IF(M82="watts",SQRT((0.0005+0.001/COS(RADIANS(ABS(E82))))^2+0.000645^2)*IF(T71&gt;26,2,1),SQRT((0.001+0.001/SIN(RADIANS(ABS(E82))))^2+0.000645^2+0.0035^2))</f>
        <v>4.210526396600394E-3</v>
      </c>
      <c r="O82" s="370">
        <v>6</v>
      </c>
      <c r="P82" s="66">
        <v>123</v>
      </c>
      <c r="Q82" s="220"/>
      <c r="R82" s="395"/>
      <c r="S82" s="402">
        <v>229.9968921</v>
      </c>
      <c r="T82" s="395">
        <v>0.99996576299999995</v>
      </c>
      <c r="U82" s="402">
        <v>-126.8724589</v>
      </c>
      <c r="V82" s="395">
        <v>0.79997317800000001</v>
      </c>
      <c r="W82" s="400">
        <v>9.6523699999999997E-4</v>
      </c>
      <c r="X82" s="400">
        <v>1.4003616E-2</v>
      </c>
      <c r="Y82" s="402">
        <v>2.0833571809999998</v>
      </c>
      <c r="Z82" s="409">
        <v>100000.96520000001</v>
      </c>
      <c r="AA82" s="396">
        <v>42034.485138888886</v>
      </c>
      <c r="AB82" s="393">
        <v>50.0001509511373</v>
      </c>
      <c r="AC82" s="393">
        <v>0.529296875</v>
      </c>
      <c r="AD82" s="393" t="s">
        <v>132</v>
      </c>
      <c r="AE82" s="393">
        <v>0.6962890625</v>
      </c>
      <c r="AF82" s="393" t="s">
        <v>133</v>
      </c>
      <c r="AG82" s="393">
        <v>0.203030407205229</v>
      </c>
      <c r="AH82" s="393">
        <v>170.612019387103</v>
      </c>
      <c r="AI82" s="393">
        <v>1.1330976092777101</v>
      </c>
      <c r="AJ82" s="393">
        <v>1.13342278925609</v>
      </c>
      <c r="AK82" s="393">
        <v>107.94343714959101</v>
      </c>
      <c r="AL82" s="393">
        <v>5110.7430881147902</v>
      </c>
      <c r="AM82" s="393">
        <v>183.99826049804699</v>
      </c>
      <c r="AN82" s="393">
        <v>0.20211851474503001</v>
      </c>
      <c r="AO82" s="393">
        <v>171.38823025357999</v>
      </c>
      <c r="AP82" s="393">
        <v>1.1330961849751999</v>
      </c>
      <c r="AQ82" s="393">
        <v>1.1336110744352901</v>
      </c>
      <c r="AR82" s="393">
        <v>107.93690755169099</v>
      </c>
      <c r="AS82" s="393">
        <v>5110.73613044584</v>
      </c>
      <c r="AT82" s="393">
        <v>183.99957275390599</v>
      </c>
      <c r="AU82" s="393">
        <v>0.20330261493399299</v>
      </c>
      <c r="AV82" s="393">
        <v>171.71170746349401</v>
      </c>
      <c r="AW82" s="393">
        <v>1.13309626012321</v>
      </c>
      <c r="AX82" s="393">
        <v>1.13263218123446</v>
      </c>
      <c r="AY82" s="393">
        <v>107.963974261608</v>
      </c>
      <c r="AZ82" s="393">
        <v>5110.7516705569697</v>
      </c>
      <c r="BA82" s="393">
        <v>183.99934387207</v>
      </c>
      <c r="BB82" s="393">
        <v>0.20158030190089801</v>
      </c>
      <c r="BC82" s="393">
        <v>171.35544275041599</v>
      </c>
      <c r="BD82" s="393">
        <v>1.13309781576889</v>
      </c>
      <c r="BE82" s="393">
        <v>1.1331850552066001</v>
      </c>
      <c r="BF82" s="393">
        <v>107.96350661007899</v>
      </c>
      <c r="BG82" s="393">
        <v>5110.7483032119999</v>
      </c>
      <c r="BH82" s="393">
        <v>183.99917602539099</v>
      </c>
      <c r="BI82" s="393">
        <v>0.20593052080402299</v>
      </c>
      <c r="BJ82" s="393">
        <v>171.37498876646001</v>
      </c>
      <c r="BK82" s="393">
        <v>1.1330976276532001</v>
      </c>
      <c r="BL82" s="393">
        <v>1.1329650752853899</v>
      </c>
      <c r="BM82" s="393">
        <v>107.954632733862</v>
      </c>
      <c r="BN82" s="393">
        <v>5110.7461189637997</v>
      </c>
      <c r="BO82" s="393">
        <v>183.99880981445301</v>
      </c>
      <c r="BP82" s="393"/>
      <c r="BQ82" s="393"/>
      <c r="BR82" s="393"/>
      <c r="BS82" s="393"/>
      <c r="BT82" s="393"/>
      <c r="BU82" s="393"/>
      <c r="BV82" s="393"/>
      <c r="BW82" s="393">
        <v>-138.00163610000001</v>
      </c>
      <c r="BX82" s="393">
        <v>183.98504639999999</v>
      </c>
      <c r="BY82" s="393">
        <v>229.9968921</v>
      </c>
      <c r="BZ82" s="393">
        <v>0.99996576299999995</v>
      </c>
      <c r="CA82" s="393">
        <v>-126.8724589</v>
      </c>
      <c r="CB82" s="393">
        <v>2.5352000000000003E-4</v>
      </c>
      <c r="CC82" s="393">
        <v>3.3406799999999997E-4</v>
      </c>
      <c r="CD82" s="399">
        <v>7.3079100000000003E-5</v>
      </c>
      <c r="CE82" s="399">
        <v>1.2230599999999999E-6</v>
      </c>
      <c r="CF82" s="399">
        <v>8.0058700000000007E-5</v>
      </c>
      <c r="CG82" s="393">
        <v>9.6523699999999997E-4</v>
      </c>
      <c r="CH82" s="393">
        <v>6.7216589999999996E-3</v>
      </c>
      <c r="CI82" s="393">
        <v>19.89311691</v>
      </c>
      <c r="CJ82" s="393">
        <v>2.0833571809999998</v>
      </c>
      <c r="CK82" s="393">
        <v>1.4003616E-2</v>
      </c>
      <c r="CL82" s="393">
        <v>0.79997317800000001</v>
      </c>
      <c r="CM82" s="393">
        <v>230.0047668</v>
      </c>
      <c r="CN82" s="393">
        <v>6.94044E-4</v>
      </c>
      <c r="CO82" s="393">
        <v>100000.96520000001</v>
      </c>
      <c r="CP82" s="393">
        <v>0</v>
      </c>
      <c r="CQ82" s="393">
        <v>0</v>
      </c>
      <c r="CR82" s="393">
        <v>109.095</v>
      </c>
      <c r="CS82" s="393">
        <v>23.47339448</v>
      </c>
      <c r="CT82" s="393">
        <v>0.32293172999999997</v>
      </c>
      <c r="CU82" s="393"/>
      <c r="CV82" s="393"/>
      <c r="CW82" s="393"/>
      <c r="CX82" s="393"/>
      <c r="CY82" s="393"/>
      <c r="CZ82" s="393"/>
      <c r="DA82" s="393"/>
    </row>
    <row r="83" spans="1:105" x14ac:dyDescent="0.2">
      <c r="A83" s="366">
        <f>ROW()</f>
        <v>83</v>
      </c>
      <c r="B83" s="367" t="s">
        <v>50</v>
      </c>
      <c r="C83" s="368">
        <v>1</v>
      </c>
      <c r="D83" s="368">
        <v>230</v>
      </c>
      <c r="E83" s="367">
        <v>-126.87</v>
      </c>
      <c r="F83" s="441">
        <v>230</v>
      </c>
      <c r="G83" s="369" t="s">
        <v>359</v>
      </c>
      <c r="H83" s="370">
        <v>1</v>
      </c>
      <c r="I83" s="367">
        <v>50</v>
      </c>
      <c r="J83" s="371">
        <v>10</v>
      </c>
      <c r="K83" s="372">
        <v>5</v>
      </c>
      <c r="L83" s="482">
        <v>100000</v>
      </c>
      <c r="M83" s="443" t="s">
        <v>49</v>
      </c>
      <c r="N83" s="726">
        <f>IF(M83="watts",SQRT((0.0005+0.001/COS(RADIANS(ABS(E83))))^2+0.000645^2)*IF(#REF!&gt;26,2,1),SQRT((0.001+0.001/SIN(RADIANS(ABS(E83))))^2+0.000645^2+0.0035^2))</f>
        <v>4.210526396600394E-3</v>
      </c>
      <c r="O83" s="370">
        <v>6</v>
      </c>
      <c r="P83" s="66">
        <v>123</v>
      </c>
      <c r="Q83" s="220"/>
      <c r="R83" s="395"/>
      <c r="S83" s="402">
        <v>229.99665379999999</v>
      </c>
      <c r="T83" s="395">
        <v>0.99996392899999997</v>
      </c>
      <c r="U83" s="402">
        <v>-126.87250229999999</v>
      </c>
      <c r="V83" s="395">
        <v>0.79997272399999997</v>
      </c>
      <c r="W83" s="400">
        <v>3.4863599999999999E-4</v>
      </c>
      <c r="X83" s="400">
        <v>1.4006206E-2</v>
      </c>
      <c r="Y83" s="402">
        <v>2.0832318010000002</v>
      </c>
      <c r="Z83" s="409">
        <v>100000.3486</v>
      </c>
      <c r="AA83" s="396">
        <v>42034.488067129627</v>
      </c>
      <c r="AB83" s="393">
        <v>50.0000330202488</v>
      </c>
      <c r="AC83" s="393">
        <v>0.529296875</v>
      </c>
      <c r="AD83" s="393" t="s">
        <v>132</v>
      </c>
      <c r="AE83" s="393">
        <v>0.6962890625</v>
      </c>
      <c r="AF83" s="393" t="s">
        <v>133</v>
      </c>
      <c r="AG83" s="393">
        <v>0.20454080730303301</v>
      </c>
      <c r="AH83" s="393">
        <v>171.285821452172</v>
      </c>
      <c r="AI83" s="393">
        <v>1.1330956579899401</v>
      </c>
      <c r="AJ83" s="393">
        <v>1.13304669168353</v>
      </c>
      <c r="AK83" s="393">
        <v>107.952953743048</v>
      </c>
      <c r="AL83" s="393">
        <v>5110.6904237682702</v>
      </c>
      <c r="AM83" s="393">
        <v>183.998947143555</v>
      </c>
      <c r="AN83" s="393">
        <v>0.20339673658150501</v>
      </c>
      <c r="AO83" s="393">
        <v>171.258817463361</v>
      </c>
      <c r="AP83" s="393">
        <v>1.13309551077118</v>
      </c>
      <c r="AQ83" s="393">
        <v>1.1329303928157799</v>
      </c>
      <c r="AR83" s="393">
        <v>107.92147700986401</v>
      </c>
      <c r="AS83" s="393">
        <v>5110.6980580456802</v>
      </c>
      <c r="AT83" s="393">
        <v>183.99888610839801</v>
      </c>
      <c r="AU83" s="393">
        <v>0.199782800028002</v>
      </c>
      <c r="AV83" s="393">
        <v>171.485214967856</v>
      </c>
      <c r="AW83" s="393">
        <v>1.13309637372741</v>
      </c>
      <c r="AX83" s="393">
        <v>1.1327526382017501</v>
      </c>
      <c r="AY83" s="393">
        <v>107.95717257947901</v>
      </c>
      <c r="AZ83" s="393">
        <v>5110.6906141310201</v>
      </c>
      <c r="BA83" s="393">
        <v>183.99873352050801</v>
      </c>
      <c r="BB83" s="393">
        <v>0.20422369780640801</v>
      </c>
      <c r="BC83" s="393">
        <v>171.18586191190099</v>
      </c>
      <c r="BD83" s="393">
        <v>1.1330952535993</v>
      </c>
      <c r="BE83" s="393">
        <v>1.13291129206887</v>
      </c>
      <c r="BF83" s="393">
        <v>107.93351558048001</v>
      </c>
      <c r="BG83" s="393">
        <v>5110.6873665179501</v>
      </c>
      <c r="BH83" s="393">
        <v>183.99856567382801</v>
      </c>
      <c r="BI83" s="393">
        <v>0.20135028333660199</v>
      </c>
      <c r="BJ83" s="393">
        <v>171.32062257477401</v>
      </c>
      <c r="BK83" s="393">
        <v>1.1330968332451301</v>
      </c>
      <c r="BL83" s="393">
        <v>1.1333062789443999</v>
      </c>
      <c r="BM83" s="393">
        <v>107.958369090853</v>
      </c>
      <c r="BN83" s="393">
        <v>5110.7134435937696</v>
      </c>
      <c r="BO83" s="393">
        <v>183.998779296875</v>
      </c>
      <c r="BP83" s="393"/>
      <c r="BQ83" s="393"/>
      <c r="BR83" s="393"/>
      <c r="BS83" s="393"/>
      <c r="BT83" s="393"/>
      <c r="BU83" s="393"/>
      <c r="BV83" s="393"/>
      <c r="BW83" s="393">
        <v>-138.0013792</v>
      </c>
      <c r="BX83" s="393">
        <v>183.98441389999999</v>
      </c>
      <c r="BY83" s="393">
        <v>229.99665379999999</v>
      </c>
      <c r="BZ83" s="393">
        <v>0.99996392899999997</v>
      </c>
      <c r="CA83" s="393">
        <v>-126.87250229999999</v>
      </c>
      <c r="CB83" s="393">
        <v>1.10448E-4</v>
      </c>
      <c r="CC83" s="393">
        <v>4.9642399999999998E-4</v>
      </c>
      <c r="CD83" s="399">
        <v>5.9538599999999999E-5</v>
      </c>
      <c r="CE83" s="399">
        <v>1.7749299999999999E-6</v>
      </c>
      <c r="CF83" s="399">
        <v>5.4089399999999997E-5</v>
      </c>
      <c r="CG83" s="393">
        <v>3.4863599999999999E-4</v>
      </c>
      <c r="CH83" s="393">
        <v>6.7233060000000001E-3</v>
      </c>
      <c r="CI83" s="393">
        <v>19.9125652</v>
      </c>
      <c r="CJ83" s="393">
        <v>2.0832318010000002</v>
      </c>
      <c r="CK83" s="393">
        <v>1.4006206E-2</v>
      </c>
      <c r="CL83" s="393">
        <v>0.79997272399999997</v>
      </c>
      <c r="CM83" s="393">
        <v>230.00495040000001</v>
      </c>
      <c r="CN83" s="393">
        <v>8.0274700000000003E-4</v>
      </c>
      <c r="CO83" s="393">
        <v>100000.3486</v>
      </c>
      <c r="CP83" s="393">
        <v>0</v>
      </c>
      <c r="CQ83" s="393">
        <v>0</v>
      </c>
      <c r="CR83" s="393">
        <v>109.096</v>
      </c>
      <c r="CS83" s="393">
        <v>23.475971059999999</v>
      </c>
      <c r="CT83" s="393">
        <v>0.322931625</v>
      </c>
      <c r="CU83" s="393"/>
      <c r="CV83" s="393"/>
      <c r="CW83" s="393"/>
      <c r="CX83" s="393"/>
      <c r="CY83" s="393"/>
      <c r="CZ83" s="393"/>
      <c r="DA83" s="393"/>
    </row>
    <row r="84" spans="1:105" x14ac:dyDescent="0.2">
      <c r="A84" s="366">
        <f>ROW()</f>
        <v>84</v>
      </c>
      <c r="B84" s="367" t="s">
        <v>50</v>
      </c>
      <c r="C84" s="368">
        <v>6</v>
      </c>
      <c r="D84" s="368">
        <v>230</v>
      </c>
      <c r="E84" s="367">
        <v>0</v>
      </c>
      <c r="F84" s="441">
        <v>230</v>
      </c>
      <c r="G84" s="369" t="s">
        <v>131</v>
      </c>
      <c r="H84" s="370">
        <v>2</v>
      </c>
      <c r="I84" s="367">
        <v>50</v>
      </c>
      <c r="J84" s="371">
        <v>10</v>
      </c>
      <c r="K84" s="372">
        <v>5</v>
      </c>
      <c r="L84" s="482">
        <v>100000</v>
      </c>
      <c r="M84" s="443" t="s">
        <v>535</v>
      </c>
      <c r="N84" s="726">
        <f t="shared" ref="N84:N120" si="2">IF(M84="watts",SQRT((0.0005+0.001/COS(RADIANS(ABS(E84))))^2+0.000645^2)*IF(T84&gt;26,2,1),SQRT((0.001+0.001/SIN(RADIANS(ABS(E84))))^2+0.000645^2+0.0035^2))</f>
        <v>1.6327966805453765E-3</v>
      </c>
      <c r="O84" s="370">
        <v>6</v>
      </c>
      <c r="P84" s="66">
        <v>123</v>
      </c>
      <c r="Q84" s="220"/>
      <c r="R84" s="402"/>
      <c r="S84" s="402">
        <v>229.9965784</v>
      </c>
      <c r="T84" s="395">
        <v>6.0003305630000003</v>
      </c>
      <c r="U84" s="402">
        <v>-2.0997709999999998E-3</v>
      </c>
      <c r="V84" s="395">
        <v>0.99999999900000003</v>
      </c>
      <c r="W84" s="400">
        <v>3.23428E-3</v>
      </c>
      <c r="X84" s="400">
        <v>4.7157559999999998E-3</v>
      </c>
      <c r="Y84" s="402">
        <v>2.0830522440000001</v>
      </c>
      <c r="Z84" s="409">
        <v>100003.2343</v>
      </c>
      <c r="AA84" s="396">
        <v>42034.503599537034</v>
      </c>
      <c r="AB84" s="393">
        <v>50.000349062629802</v>
      </c>
      <c r="AC84" s="393">
        <v>0.529296875</v>
      </c>
      <c r="AD84" s="393" t="s">
        <v>134</v>
      </c>
      <c r="AE84" s="393">
        <v>0</v>
      </c>
      <c r="AF84" s="393" t="s">
        <v>133</v>
      </c>
      <c r="AG84" s="393">
        <v>4.8581242753932302E-2</v>
      </c>
      <c r="AH84" s="393">
        <v>112.076717868952</v>
      </c>
      <c r="AI84" s="393">
        <v>1.1330956553379901</v>
      </c>
      <c r="AJ84" s="393">
        <v>1.1324655002728801</v>
      </c>
      <c r="AK84" s="393">
        <v>107.9498715725</v>
      </c>
      <c r="AL84" s="393">
        <v>38336.233957244003</v>
      </c>
      <c r="AM84" s="393">
        <v>1380.08520507812</v>
      </c>
      <c r="AN84" s="393">
        <v>4.8114283343721698E-2</v>
      </c>
      <c r="AO84" s="393">
        <v>112.214658501356</v>
      </c>
      <c r="AP84" s="393">
        <v>1.1330951809805001</v>
      </c>
      <c r="AQ84" s="393">
        <v>1.1331103083406799</v>
      </c>
      <c r="AR84" s="393">
        <v>107.956742230633</v>
      </c>
      <c r="AS84" s="393">
        <v>38336.068152017098</v>
      </c>
      <c r="AT84" s="393">
        <v>1380.08654785156</v>
      </c>
      <c r="AU84" s="393">
        <v>4.6958447824877299E-2</v>
      </c>
      <c r="AV84" s="393">
        <v>111.90798358039</v>
      </c>
      <c r="AW84" s="393">
        <v>1.13309495295034</v>
      </c>
      <c r="AX84" s="393">
        <v>1.1327033642609099</v>
      </c>
      <c r="AY84" s="393">
        <v>107.942722217118</v>
      </c>
      <c r="AZ84" s="393">
        <v>38336.1802269564</v>
      </c>
      <c r="BA84" s="393">
        <v>1380.08618164062</v>
      </c>
      <c r="BB84" s="393">
        <v>4.7869400361690399E-2</v>
      </c>
      <c r="BC84" s="393">
        <v>112.14665690017701</v>
      </c>
      <c r="BD84" s="393">
        <v>1.1330958394289601</v>
      </c>
      <c r="BE84" s="393">
        <v>1.1332816106611201</v>
      </c>
      <c r="BF84" s="393">
        <v>107.952374701811</v>
      </c>
      <c r="BG84" s="393">
        <v>38336.203926854498</v>
      </c>
      <c r="BH84" s="393">
        <v>1380.08874511719</v>
      </c>
      <c r="BI84" s="393">
        <v>4.5394709031635297E-2</v>
      </c>
      <c r="BJ84" s="393">
        <v>113.398179351636</v>
      </c>
      <c r="BK84" s="393">
        <v>1.1330961415990899</v>
      </c>
      <c r="BL84" s="393">
        <v>1.1332480493049599</v>
      </c>
      <c r="BM84" s="393">
        <v>107.948851096144</v>
      </c>
      <c r="BN84" s="393">
        <v>38335.8888200562</v>
      </c>
      <c r="BO84" s="393">
        <v>1380.08862304688</v>
      </c>
      <c r="BP84" s="393"/>
      <c r="BQ84" s="393"/>
      <c r="BR84" s="393"/>
      <c r="BS84" s="393"/>
      <c r="BT84" s="393"/>
      <c r="BU84" s="393"/>
      <c r="BV84" s="393"/>
      <c r="BW84" s="393">
        <v>1380.0555059999999</v>
      </c>
      <c r="BX84" s="393">
        <v>5.0576149000000001E-2</v>
      </c>
      <c r="BY84" s="393">
        <v>229.9965784</v>
      </c>
      <c r="BZ84" s="393">
        <v>6.0003305630000003</v>
      </c>
      <c r="CA84" s="393">
        <v>-2.0997709999999998E-3</v>
      </c>
      <c r="CB84" s="393">
        <v>2.3888270000000001E-3</v>
      </c>
      <c r="CC84" s="393">
        <v>9.1061099999999997E-4</v>
      </c>
      <c r="CD84" s="399">
        <v>4.3960099999999999E-5</v>
      </c>
      <c r="CE84" s="399">
        <v>1.07677E-5</v>
      </c>
      <c r="CF84" s="399">
        <v>3.7808999999999997E-5</v>
      </c>
      <c r="CG84" s="393">
        <v>3.23428E-3</v>
      </c>
      <c r="CH84" s="393">
        <v>2.263868E-3</v>
      </c>
      <c r="CI84" s="393">
        <v>19.940486660000001</v>
      </c>
      <c r="CJ84" s="393">
        <v>2.0830522440000001</v>
      </c>
      <c r="CK84" s="393">
        <v>4.7157559999999998E-3</v>
      </c>
      <c r="CL84" s="393">
        <v>0.99999999900000003</v>
      </c>
      <c r="CM84" s="393">
        <v>38.330651279999998</v>
      </c>
      <c r="CN84" s="393">
        <v>1.6075E-4</v>
      </c>
      <c r="CO84" s="393">
        <v>100003.2343</v>
      </c>
      <c r="CP84" s="393">
        <v>0</v>
      </c>
      <c r="CQ84" s="393">
        <v>0</v>
      </c>
      <c r="CR84" s="393">
        <v>109.11</v>
      </c>
      <c r="CS84" s="393">
        <v>23.5120434</v>
      </c>
      <c r="CT84" s="393">
        <v>0.32293015800000002</v>
      </c>
      <c r="CU84" s="393"/>
      <c r="CV84" s="393"/>
      <c r="CW84" s="393"/>
      <c r="CX84" s="393"/>
      <c r="CY84" s="393"/>
      <c r="CZ84" s="393"/>
      <c r="DA84" s="393"/>
    </row>
    <row r="85" spans="1:105" x14ac:dyDescent="0.2">
      <c r="A85" s="366">
        <f>ROW()</f>
        <v>85</v>
      </c>
      <c r="B85" s="367" t="s">
        <v>50</v>
      </c>
      <c r="C85" s="368">
        <v>6</v>
      </c>
      <c r="D85" s="368">
        <v>230</v>
      </c>
      <c r="E85" s="367">
        <v>0</v>
      </c>
      <c r="F85" s="441">
        <v>230</v>
      </c>
      <c r="G85" s="369" t="s">
        <v>131</v>
      </c>
      <c r="H85" s="370">
        <v>2</v>
      </c>
      <c r="I85" s="367">
        <v>50</v>
      </c>
      <c r="J85" s="371">
        <v>10</v>
      </c>
      <c r="K85" s="372">
        <v>5</v>
      </c>
      <c r="L85" s="482">
        <v>100000</v>
      </c>
      <c r="M85" s="443" t="s">
        <v>535</v>
      </c>
      <c r="N85" s="726">
        <f t="shared" si="2"/>
        <v>1.6327966805453765E-3</v>
      </c>
      <c r="O85" s="370">
        <v>6</v>
      </c>
      <c r="P85" s="66">
        <v>123</v>
      </c>
      <c r="Q85" s="220"/>
      <c r="R85" s="402"/>
      <c r="S85" s="402">
        <v>229.9966483</v>
      </c>
      <c r="T85" s="395">
        <v>6.0002852960000004</v>
      </c>
      <c r="U85" s="402">
        <v>-2.0048760000000001E-3</v>
      </c>
      <c r="V85" s="395">
        <v>0.99999999900000003</v>
      </c>
      <c r="W85" s="400">
        <v>2.8067019999999999E-3</v>
      </c>
      <c r="X85" s="400">
        <v>4.7268850000000001E-3</v>
      </c>
      <c r="Y85" s="402">
        <v>2.0815167240000001</v>
      </c>
      <c r="Z85" s="409">
        <v>100002.8067</v>
      </c>
      <c r="AA85" s="396">
        <v>42034.506527777776</v>
      </c>
      <c r="AB85" s="393">
        <v>50.000226421705896</v>
      </c>
      <c r="AC85" s="393">
        <v>0.529296875</v>
      </c>
      <c r="AD85" s="393" t="s">
        <v>134</v>
      </c>
      <c r="AE85" s="393">
        <v>0</v>
      </c>
      <c r="AF85" s="393" t="s">
        <v>133</v>
      </c>
      <c r="AG85" s="393">
        <v>4.63416006392861E-2</v>
      </c>
      <c r="AH85" s="393">
        <v>114.048096510589</v>
      </c>
      <c r="AI85" s="393">
        <v>1.1330956417809901</v>
      </c>
      <c r="AJ85" s="393">
        <v>1.13302510598453</v>
      </c>
      <c r="AK85" s="393">
        <v>107.960213850786</v>
      </c>
      <c r="AL85" s="393">
        <v>38336.001545054904</v>
      </c>
      <c r="AM85" s="393">
        <v>1380.08630371094</v>
      </c>
      <c r="AN85" s="393">
        <v>4.5948725835701601E-2</v>
      </c>
      <c r="AO85" s="393">
        <v>114.34611325473</v>
      </c>
      <c r="AP85" s="393">
        <v>1.13309748204969</v>
      </c>
      <c r="AQ85" s="393">
        <v>1.13306305066232</v>
      </c>
      <c r="AR85" s="393">
        <v>107.944729206018</v>
      </c>
      <c r="AS85" s="393">
        <v>38335.804372647901</v>
      </c>
      <c r="AT85" s="393">
        <v>1380.08288574219</v>
      </c>
      <c r="AU85" s="393">
        <v>4.4730431900046101E-2</v>
      </c>
      <c r="AV85" s="393">
        <v>114.721880100967</v>
      </c>
      <c r="AW85" s="393">
        <v>1.13309409821941</v>
      </c>
      <c r="AX85" s="393">
        <v>1.1326852431026999</v>
      </c>
      <c r="AY85" s="393">
        <v>107.947846224966</v>
      </c>
      <c r="AZ85" s="393">
        <v>38335.387957178398</v>
      </c>
      <c r="BA85" s="393">
        <v>1380.0869140625</v>
      </c>
      <c r="BB85" s="393">
        <v>4.4816302252111501E-2</v>
      </c>
      <c r="BC85" s="393">
        <v>114.055452778141</v>
      </c>
      <c r="BD85" s="393">
        <v>1.13309693216084</v>
      </c>
      <c r="BE85" s="393">
        <v>1.1325609897408799</v>
      </c>
      <c r="BF85" s="393">
        <v>107.951381260117</v>
      </c>
      <c r="BG85" s="393">
        <v>38335.719412990002</v>
      </c>
      <c r="BH85" s="393">
        <v>1380.08447265625</v>
      </c>
      <c r="BI85" s="393">
        <v>4.6764143286342499E-2</v>
      </c>
      <c r="BJ85" s="393">
        <v>115.475675186628</v>
      </c>
      <c r="BK85" s="393">
        <v>1.1330953376522099</v>
      </c>
      <c r="BL85" s="393">
        <v>1.1333294972005401</v>
      </c>
      <c r="BM85" s="393">
        <v>107.973833093989</v>
      </c>
      <c r="BN85" s="393">
        <v>38335.454444757997</v>
      </c>
      <c r="BO85" s="393">
        <v>1380.08093261719</v>
      </c>
      <c r="BP85" s="393"/>
      <c r="BQ85" s="393"/>
      <c r="BR85" s="393"/>
      <c r="BS85" s="393"/>
      <c r="BT85" s="393"/>
      <c r="BU85" s="393"/>
      <c r="BV85" s="393"/>
      <c r="BW85" s="393">
        <v>1380.0455139999999</v>
      </c>
      <c r="BX85" s="393">
        <v>4.8290110999999997E-2</v>
      </c>
      <c r="BY85" s="393">
        <v>229.9966483</v>
      </c>
      <c r="BZ85" s="393">
        <v>6.0002852960000004</v>
      </c>
      <c r="CA85" s="393">
        <v>-2.0048760000000001E-3</v>
      </c>
      <c r="CB85" s="393">
        <v>2.2850309999999999E-3</v>
      </c>
      <c r="CC85" s="393">
        <v>1.574062E-3</v>
      </c>
      <c r="CD85" s="393">
        <v>1.21784E-4</v>
      </c>
      <c r="CE85" s="399">
        <v>7.55377E-6</v>
      </c>
      <c r="CF85" s="399">
        <v>6.5351800000000007E-5</v>
      </c>
      <c r="CG85" s="393">
        <v>2.8067019999999999E-3</v>
      </c>
      <c r="CH85" s="393">
        <v>2.2708849999999998E-3</v>
      </c>
      <c r="CI85" s="393">
        <v>20.182650049999999</v>
      </c>
      <c r="CJ85" s="393">
        <v>2.0815167240000001</v>
      </c>
      <c r="CK85" s="393">
        <v>4.7268850000000001E-3</v>
      </c>
      <c r="CL85" s="393">
        <v>0.99999999900000003</v>
      </c>
      <c r="CM85" s="393">
        <v>38.330952099999998</v>
      </c>
      <c r="CN85" s="399">
        <v>8.5223199999999994E-5</v>
      </c>
      <c r="CO85" s="393">
        <v>100002.8067</v>
      </c>
      <c r="CP85" s="393">
        <v>0</v>
      </c>
      <c r="CQ85" s="393">
        <v>0</v>
      </c>
      <c r="CR85" s="393">
        <v>109.121</v>
      </c>
      <c r="CS85" s="393">
        <v>23.540386250000001</v>
      </c>
      <c r="CT85" s="393">
        <v>0.32292900400000002</v>
      </c>
      <c r="CU85" s="393"/>
      <c r="CV85" s="393"/>
      <c r="CW85" s="393"/>
      <c r="CX85" s="393"/>
      <c r="CY85" s="393"/>
      <c r="CZ85" s="393"/>
      <c r="DA85" s="393"/>
    </row>
    <row r="86" spans="1:105" x14ac:dyDescent="0.2">
      <c r="A86" s="366">
        <f>ROW()</f>
        <v>86</v>
      </c>
      <c r="B86" s="367" t="s">
        <v>50</v>
      </c>
      <c r="C86" s="368">
        <v>6</v>
      </c>
      <c r="D86" s="368">
        <v>230</v>
      </c>
      <c r="E86" s="367">
        <v>0</v>
      </c>
      <c r="F86" s="441">
        <v>230</v>
      </c>
      <c r="G86" s="369" t="s">
        <v>131</v>
      </c>
      <c r="H86" s="370">
        <v>2</v>
      </c>
      <c r="I86" s="367">
        <v>50</v>
      </c>
      <c r="J86" s="371">
        <v>10</v>
      </c>
      <c r="K86" s="372">
        <v>5</v>
      </c>
      <c r="L86" s="482">
        <v>100000</v>
      </c>
      <c r="M86" s="443" t="s">
        <v>535</v>
      </c>
      <c r="N86" s="726">
        <f t="shared" si="2"/>
        <v>1.6327966805453765E-3</v>
      </c>
      <c r="O86" s="370">
        <v>6</v>
      </c>
      <c r="P86" s="66">
        <v>123</v>
      </c>
      <c r="Q86" s="220"/>
      <c r="R86" s="402"/>
      <c r="S86" s="402">
        <v>229.99666379999999</v>
      </c>
      <c r="T86" s="395">
        <v>6.0002814549999997</v>
      </c>
      <c r="U86" s="402">
        <v>-1.9516920000000001E-3</v>
      </c>
      <c r="V86" s="395">
        <v>0.99999999900000003</v>
      </c>
      <c r="W86" s="400">
        <v>3.0533029999999998E-3</v>
      </c>
      <c r="X86" s="400">
        <v>4.7258680000000003E-3</v>
      </c>
      <c r="Y86" s="402">
        <v>2.0816530040000001</v>
      </c>
      <c r="Z86" s="409">
        <v>100003.0533</v>
      </c>
      <c r="AA86" s="396">
        <v>42034.509432870371</v>
      </c>
      <c r="AB86" s="393">
        <v>50.000183971386001</v>
      </c>
      <c r="AC86" s="393">
        <v>0.529296875</v>
      </c>
      <c r="AD86" s="393" t="s">
        <v>134</v>
      </c>
      <c r="AE86" s="393">
        <v>0</v>
      </c>
      <c r="AF86" s="393" t="s">
        <v>133</v>
      </c>
      <c r="AG86" s="393">
        <v>4.5374603966635403E-2</v>
      </c>
      <c r="AH86" s="393">
        <v>115.698298389043</v>
      </c>
      <c r="AI86" s="393">
        <v>1.13309607896862</v>
      </c>
      <c r="AJ86" s="393">
        <v>1.13306156782558</v>
      </c>
      <c r="AK86" s="393">
        <v>107.975706183067</v>
      </c>
      <c r="AL86" s="393">
        <v>38335.691508712604</v>
      </c>
      <c r="AM86" s="393">
        <v>1380.07836914062</v>
      </c>
      <c r="AN86" s="393">
        <v>4.6636512283156302E-2</v>
      </c>
      <c r="AO86" s="393">
        <v>116.033715216394</v>
      </c>
      <c r="AP86" s="393">
        <v>1.1330969401225499</v>
      </c>
      <c r="AQ86" s="393">
        <v>1.1329725265577999</v>
      </c>
      <c r="AR86" s="393">
        <v>107.935556420051</v>
      </c>
      <c r="AS86" s="393">
        <v>38336.113153495702</v>
      </c>
      <c r="AT86" s="393">
        <v>1380.08740234375</v>
      </c>
      <c r="AU86" s="393">
        <v>4.5237128581027602E-2</v>
      </c>
      <c r="AV86" s="393">
        <v>114.278325660146</v>
      </c>
      <c r="AW86" s="393">
        <v>1.13309639182823</v>
      </c>
      <c r="AX86" s="393">
        <v>1.1331824734554801</v>
      </c>
      <c r="AY86" s="393">
        <v>107.957723843048</v>
      </c>
      <c r="AZ86" s="393">
        <v>38335.656770510599</v>
      </c>
      <c r="BA86" s="393">
        <v>1380.08703613281</v>
      </c>
      <c r="BB86" s="393">
        <v>4.58679882398038E-2</v>
      </c>
      <c r="BC86" s="393">
        <v>115.468174108501</v>
      </c>
      <c r="BD86" s="393">
        <v>1.13309524154222</v>
      </c>
      <c r="BE86" s="393">
        <v>1.1330336166310999</v>
      </c>
      <c r="BF86" s="393">
        <v>107.95222302272199</v>
      </c>
      <c r="BG86" s="393">
        <v>38335.5249956755</v>
      </c>
      <c r="BH86" s="393">
        <v>1380.08630371094</v>
      </c>
      <c r="BI86" s="393">
        <v>4.5478945011013502E-2</v>
      </c>
      <c r="BJ86" s="393">
        <v>113.37617206151999</v>
      </c>
      <c r="BK86" s="393">
        <v>1.1330952211196801</v>
      </c>
      <c r="BL86" s="393">
        <v>1.13315708670646</v>
      </c>
      <c r="BM86" s="393">
        <v>107.95944468686599</v>
      </c>
      <c r="BN86" s="393">
        <v>38335.744187622702</v>
      </c>
      <c r="BO86" s="393">
        <v>1380.08471679688</v>
      </c>
      <c r="BP86" s="393"/>
      <c r="BQ86" s="393"/>
      <c r="BR86" s="393"/>
      <c r="BS86" s="393"/>
      <c r="BT86" s="393"/>
      <c r="BU86" s="393"/>
      <c r="BV86" s="393"/>
      <c r="BW86" s="393">
        <v>1380.044723</v>
      </c>
      <c r="BX86" s="393">
        <v>4.7009081000000001E-2</v>
      </c>
      <c r="BY86" s="393">
        <v>229.99666379999999</v>
      </c>
      <c r="BZ86" s="393">
        <v>6.0002814549999997</v>
      </c>
      <c r="CA86" s="393">
        <v>-1.9516920000000001E-3</v>
      </c>
      <c r="CB86" s="393">
        <v>1.086657E-3</v>
      </c>
      <c r="CC86" s="393">
        <v>1.954215E-3</v>
      </c>
      <c r="CD86" s="399">
        <v>6.7639599999999995E-5</v>
      </c>
      <c r="CE86" s="399">
        <v>3.9041700000000003E-6</v>
      </c>
      <c r="CF86" s="399">
        <v>8.1133900000000006E-5</v>
      </c>
      <c r="CG86" s="393">
        <v>3.0533029999999998E-3</v>
      </c>
      <c r="CH86" s="393">
        <v>2.2702479999999999E-3</v>
      </c>
      <c r="CI86" s="393">
        <v>20.160909190000002</v>
      </c>
      <c r="CJ86" s="393">
        <v>2.0816530040000001</v>
      </c>
      <c r="CK86" s="393">
        <v>4.7258680000000003E-3</v>
      </c>
      <c r="CL86" s="393">
        <v>0.99999999900000003</v>
      </c>
      <c r="CM86" s="393">
        <v>38.330979220000003</v>
      </c>
      <c r="CN86" s="399">
        <v>5.4187700000000003E-5</v>
      </c>
      <c r="CO86" s="393">
        <v>100003.0533</v>
      </c>
      <c r="CP86" s="393">
        <v>0</v>
      </c>
      <c r="CQ86" s="393">
        <v>0</v>
      </c>
      <c r="CR86" s="393">
        <v>109.126</v>
      </c>
      <c r="CS86" s="393">
        <v>23.553269449999998</v>
      </c>
      <c r="CT86" s="393">
        <v>0.32292848000000002</v>
      </c>
      <c r="CU86" s="393"/>
      <c r="CV86" s="393"/>
      <c r="CW86" s="393"/>
      <c r="CX86" s="393"/>
      <c r="CY86" s="393"/>
      <c r="CZ86" s="393"/>
      <c r="DA86" s="393"/>
    </row>
    <row r="87" spans="1:105" x14ac:dyDescent="0.2">
      <c r="A87" s="366">
        <f>ROW()</f>
        <v>87</v>
      </c>
      <c r="B87" s="367" t="s">
        <v>50</v>
      </c>
      <c r="C87" s="368">
        <v>6</v>
      </c>
      <c r="D87" s="368">
        <v>230</v>
      </c>
      <c r="E87" s="367">
        <v>-60</v>
      </c>
      <c r="F87" s="441">
        <v>230</v>
      </c>
      <c r="G87" s="369" t="s">
        <v>131</v>
      </c>
      <c r="H87" s="370">
        <v>2</v>
      </c>
      <c r="I87" s="367">
        <v>50</v>
      </c>
      <c r="J87" s="371">
        <v>10</v>
      </c>
      <c r="K87" s="372">
        <v>5</v>
      </c>
      <c r="L87" s="482">
        <v>100000</v>
      </c>
      <c r="M87" s="443" t="s">
        <v>535</v>
      </c>
      <c r="N87" s="726">
        <f t="shared" si="2"/>
        <v>2.5818646362658127E-3</v>
      </c>
      <c r="O87" s="370">
        <v>6</v>
      </c>
      <c r="P87" s="66">
        <v>123</v>
      </c>
      <c r="Q87" s="220"/>
      <c r="R87" s="402"/>
      <c r="S87" s="402">
        <v>229.99673060000001</v>
      </c>
      <c r="T87" s="395">
        <v>6.0001372909999997</v>
      </c>
      <c r="U87" s="402">
        <v>-59.999689930000002</v>
      </c>
      <c r="V87" s="395">
        <v>0.500004687</v>
      </c>
      <c r="W87" s="400">
        <v>-1.5803550000000001E-3</v>
      </c>
      <c r="X87" s="400">
        <v>8.5116930000000007E-3</v>
      </c>
      <c r="Y87" s="402">
        <v>2.0526354360000001</v>
      </c>
      <c r="Z87" s="409">
        <v>99998.419649999996</v>
      </c>
      <c r="AA87" s="396">
        <v>42034.512349537035</v>
      </c>
      <c r="AB87" s="393">
        <v>50.0001509511373</v>
      </c>
      <c r="AC87" s="393">
        <v>0.2646484375</v>
      </c>
      <c r="AD87" s="393" t="s">
        <v>134</v>
      </c>
      <c r="AE87" s="393">
        <v>0.4521484375</v>
      </c>
      <c r="AF87" s="393" t="s">
        <v>133</v>
      </c>
      <c r="AG87" s="393">
        <v>0.13624704364536999</v>
      </c>
      <c r="AH87" s="393">
        <v>124.539809299463</v>
      </c>
      <c r="AI87" s="393">
        <v>1.13309702482784</v>
      </c>
      <c r="AJ87" s="393">
        <v>1.13251080011996</v>
      </c>
      <c r="AK87" s="393">
        <v>107.96531147333</v>
      </c>
      <c r="AL87" s="393">
        <v>19166.8160043715</v>
      </c>
      <c r="AM87" s="393">
        <v>689.980224609375</v>
      </c>
      <c r="AN87" s="393">
        <v>0.13537977359737799</v>
      </c>
      <c r="AO87" s="393">
        <v>124.34255079018401</v>
      </c>
      <c r="AP87" s="393">
        <v>1.1330950437300999</v>
      </c>
      <c r="AQ87" s="393">
        <v>1.1331031516293799</v>
      </c>
      <c r="AR87" s="393">
        <v>107.957543581468</v>
      </c>
      <c r="AS87" s="393">
        <v>19166.705821346499</v>
      </c>
      <c r="AT87" s="393">
        <v>689.98382568359398</v>
      </c>
      <c r="AU87" s="393">
        <v>0.135635061560196</v>
      </c>
      <c r="AV87" s="393">
        <v>124.68449089371801</v>
      </c>
      <c r="AW87" s="393">
        <v>1.1330964279634299</v>
      </c>
      <c r="AX87" s="393">
        <v>1.1333250643980799</v>
      </c>
      <c r="AY87" s="393">
        <v>107.927258545732</v>
      </c>
      <c r="AZ87" s="393">
        <v>19166.634775047802</v>
      </c>
      <c r="BA87" s="393">
        <v>689.98370361328102</v>
      </c>
      <c r="BB87" s="393">
        <v>0.13532939082227599</v>
      </c>
      <c r="BC87" s="393">
        <v>125.152275511574</v>
      </c>
      <c r="BD87" s="393">
        <v>1.13309690268967</v>
      </c>
      <c r="BE87" s="393">
        <v>1.1330731309667901</v>
      </c>
      <c r="BF87" s="393">
        <v>107.95461581025801</v>
      </c>
      <c r="BG87" s="393">
        <v>19166.637655224498</v>
      </c>
      <c r="BH87" s="393">
        <v>689.98345947265602</v>
      </c>
      <c r="BI87" s="393">
        <v>0.135645608345663</v>
      </c>
      <c r="BJ87" s="393">
        <v>124.74735106346</v>
      </c>
      <c r="BK87" s="393">
        <v>1.1330961210756501</v>
      </c>
      <c r="BL87" s="393">
        <v>1.13329505115047</v>
      </c>
      <c r="BM87" s="393">
        <v>107.979307318183</v>
      </c>
      <c r="BN87" s="393">
        <v>19166.753958341898</v>
      </c>
      <c r="BO87" s="393">
        <v>689.98132324218795</v>
      </c>
      <c r="BP87" s="393"/>
      <c r="BQ87" s="393"/>
      <c r="BR87" s="393"/>
      <c r="BS87" s="393"/>
      <c r="BT87" s="393"/>
      <c r="BU87" s="393"/>
      <c r="BV87" s="393"/>
      <c r="BW87" s="393">
        <v>690.01245180000001</v>
      </c>
      <c r="BX87" s="393">
        <v>1195.1216879999999</v>
      </c>
      <c r="BY87" s="393">
        <v>229.99673060000001</v>
      </c>
      <c r="BZ87" s="393">
        <v>6.0001372909999997</v>
      </c>
      <c r="CA87" s="393">
        <v>-59.999689930000002</v>
      </c>
      <c r="CB87" s="393">
        <v>1.254362E-3</v>
      </c>
      <c r="CC87" s="393">
        <v>3.8079800000000001E-4</v>
      </c>
      <c r="CD87" s="399">
        <v>7.1995800000000006E-5</v>
      </c>
      <c r="CE87" s="399">
        <v>4.6131099999999998E-6</v>
      </c>
      <c r="CF87" s="399">
        <v>3.88182E-5</v>
      </c>
      <c r="CG87" s="393">
        <v>-1.5803550000000001E-3</v>
      </c>
      <c r="CH87" s="393">
        <v>4.1467140000000001E-3</v>
      </c>
      <c r="CI87" s="393">
        <v>26.2409736</v>
      </c>
      <c r="CJ87" s="393">
        <v>2.0526354360000001</v>
      </c>
      <c r="CK87" s="393">
        <v>8.5116930000000007E-3</v>
      </c>
      <c r="CL87" s="393">
        <v>0.500004687</v>
      </c>
      <c r="CM87" s="393">
        <v>38.331911329999997</v>
      </c>
      <c r="CN87" s="399">
        <v>8.2869599999999997E-5</v>
      </c>
      <c r="CO87" s="393">
        <v>99998.419649999996</v>
      </c>
      <c r="CP87" s="393">
        <v>0</v>
      </c>
      <c r="CQ87" s="393">
        <v>0</v>
      </c>
      <c r="CR87" s="393">
        <v>109.125</v>
      </c>
      <c r="CS87" s="393">
        <v>23.550692810000001</v>
      </c>
      <c r="CT87" s="393">
        <v>0.32292858499999999</v>
      </c>
      <c r="CU87" s="393"/>
      <c r="CV87" s="393"/>
      <c r="CW87" s="393"/>
      <c r="CX87" s="393"/>
      <c r="CY87" s="393"/>
      <c r="CZ87" s="393"/>
      <c r="DA87" s="393"/>
    </row>
    <row r="88" spans="1:105" x14ac:dyDescent="0.2">
      <c r="A88" s="366">
        <f>ROW()</f>
        <v>88</v>
      </c>
      <c r="B88" s="367" t="s">
        <v>50</v>
      </c>
      <c r="C88" s="368">
        <v>6</v>
      </c>
      <c r="D88" s="368">
        <v>230</v>
      </c>
      <c r="E88" s="367">
        <v>-60</v>
      </c>
      <c r="F88" s="441">
        <v>230</v>
      </c>
      <c r="G88" s="369" t="s">
        <v>131</v>
      </c>
      <c r="H88" s="370">
        <v>2</v>
      </c>
      <c r="I88" s="367">
        <v>50</v>
      </c>
      <c r="J88" s="371">
        <v>10</v>
      </c>
      <c r="K88" s="372">
        <v>5</v>
      </c>
      <c r="L88" s="482">
        <v>100000</v>
      </c>
      <c r="M88" s="443" t="s">
        <v>535</v>
      </c>
      <c r="N88" s="726">
        <f t="shared" si="2"/>
        <v>2.5818646362658127E-3</v>
      </c>
      <c r="O88" s="370">
        <v>6</v>
      </c>
      <c r="P88" s="66">
        <v>123</v>
      </c>
      <c r="Q88" s="220"/>
      <c r="R88" s="402"/>
      <c r="S88" s="402">
        <v>229.99678560000001</v>
      </c>
      <c r="T88" s="395">
        <v>6.0001974479999998</v>
      </c>
      <c r="U88" s="402">
        <v>-59.999798679999998</v>
      </c>
      <c r="V88" s="395">
        <v>0.50000304299999998</v>
      </c>
      <c r="W88" s="400">
        <v>-1.6060619999999999E-3</v>
      </c>
      <c r="X88" s="400">
        <v>8.6500670000000009E-3</v>
      </c>
      <c r="Y88" s="402">
        <v>2.0465566430000002</v>
      </c>
      <c r="Z88" s="409">
        <v>99998.393939999994</v>
      </c>
      <c r="AA88" s="396">
        <v>42034.51525462963</v>
      </c>
      <c r="AB88" s="393">
        <v>50.000500003767002</v>
      </c>
      <c r="AC88" s="393">
        <v>0.2646484375</v>
      </c>
      <c r="AD88" s="393" t="s">
        <v>134</v>
      </c>
      <c r="AE88" s="393">
        <v>0.4521484375</v>
      </c>
      <c r="AF88" s="393" t="s">
        <v>133</v>
      </c>
      <c r="AG88" s="393">
        <v>0.135565650658239</v>
      </c>
      <c r="AH88" s="393">
        <v>123.90201295542801</v>
      </c>
      <c r="AI88" s="393">
        <v>1.13309557785701</v>
      </c>
      <c r="AJ88" s="393">
        <v>1.13278855888277</v>
      </c>
      <c r="AK88" s="393">
        <v>107.92752110189601</v>
      </c>
      <c r="AL88" s="393">
        <v>19166.714921581701</v>
      </c>
      <c r="AM88" s="393">
        <v>689.97668457031205</v>
      </c>
      <c r="AN88" s="393">
        <v>0.13486356731507201</v>
      </c>
      <c r="AO88" s="393">
        <v>124.156412269299</v>
      </c>
      <c r="AP88" s="393">
        <v>1.1330971206880001</v>
      </c>
      <c r="AQ88" s="393">
        <v>1.1328616470644299</v>
      </c>
      <c r="AR88" s="393">
        <v>107.956636196525</v>
      </c>
      <c r="AS88" s="393">
        <v>19166.530678310701</v>
      </c>
      <c r="AT88" s="393">
        <v>689.98156738281205</v>
      </c>
      <c r="AU88" s="393">
        <v>0.135827073133021</v>
      </c>
      <c r="AV88" s="393">
        <v>124.499550455855</v>
      </c>
      <c r="AW88" s="393">
        <v>1.13309539507201</v>
      </c>
      <c r="AX88" s="393">
        <v>1.1331266275326799</v>
      </c>
      <c r="AY88" s="393">
        <v>107.97143350340799</v>
      </c>
      <c r="AZ88" s="393">
        <v>19166.369380269</v>
      </c>
      <c r="BA88" s="393">
        <v>689.98419189453102</v>
      </c>
      <c r="BB88" s="393">
        <v>0.13575367920557699</v>
      </c>
      <c r="BC88" s="393">
        <v>124.149206258115</v>
      </c>
      <c r="BD88" s="393">
        <v>1.13309696976935</v>
      </c>
      <c r="BE88" s="393">
        <v>1.1329593705187899</v>
      </c>
      <c r="BF88" s="393">
        <v>107.968421908409</v>
      </c>
      <c r="BG88" s="393">
        <v>19167.3293341639</v>
      </c>
      <c r="BH88" s="393">
        <v>689.98529052734398</v>
      </c>
      <c r="BI88" s="393">
        <v>0.136580145275295</v>
      </c>
      <c r="BJ88" s="393">
        <v>123.99878915068599</v>
      </c>
      <c r="BK88" s="393">
        <v>1.1330978120214299</v>
      </c>
      <c r="BL88" s="393">
        <v>1.13313675537748</v>
      </c>
      <c r="BM88" s="393">
        <v>107.952901376101</v>
      </c>
      <c r="BN88" s="393">
        <v>19167.247961766701</v>
      </c>
      <c r="BO88" s="393">
        <v>689.983154296875</v>
      </c>
      <c r="BP88" s="393"/>
      <c r="BQ88" s="393"/>
      <c r="BR88" s="393"/>
      <c r="BS88" s="393"/>
      <c r="BT88" s="393"/>
      <c r="BU88" s="393"/>
      <c r="BV88" s="393"/>
      <c r="BW88" s="393">
        <v>690.01726650000001</v>
      </c>
      <c r="BX88" s="393">
        <v>1195.135266</v>
      </c>
      <c r="BY88" s="393">
        <v>229.99678560000001</v>
      </c>
      <c r="BZ88" s="393">
        <v>6.0001974479999998</v>
      </c>
      <c r="CA88" s="393">
        <v>-59.999798679999998</v>
      </c>
      <c r="CB88" s="393">
        <v>1.5396190000000001E-3</v>
      </c>
      <c r="CC88" s="393">
        <v>1.5043960000000001E-3</v>
      </c>
      <c r="CD88" s="399">
        <v>9.4877900000000002E-5</v>
      </c>
      <c r="CE88" s="399">
        <v>5.6613700000000001E-6</v>
      </c>
      <c r="CF88" s="399">
        <v>5.2588900000000001E-5</v>
      </c>
      <c r="CG88" s="393">
        <v>-1.6060619999999999E-3</v>
      </c>
      <c r="CH88" s="393">
        <v>4.2266439999999999E-3</v>
      </c>
      <c r="CI88" s="393">
        <v>28.033262910000001</v>
      </c>
      <c r="CJ88" s="393">
        <v>2.0465566430000002</v>
      </c>
      <c r="CK88" s="393">
        <v>8.6500670000000009E-3</v>
      </c>
      <c r="CL88" s="393">
        <v>0.50000304299999998</v>
      </c>
      <c r="CM88" s="393">
        <v>38.331536190000001</v>
      </c>
      <c r="CN88" s="399">
        <v>6.2409200000000005E-5</v>
      </c>
      <c r="CO88" s="393">
        <v>99998.393939999994</v>
      </c>
      <c r="CP88" s="393">
        <v>0</v>
      </c>
      <c r="CQ88" s="393">
        <v>0</v>
      </c>
      <c r="CR88" s="393">
        <v>109.123</v>
      </c>
      <c r="CS88" s="393">
        <v>23.545539529999999</v>
      </c>
      <c r="CT88" s="393">
        <v>0.32292879499999999</v>
      </c>
      <c r="CU88" s="393"/>
      <c r="CV88" s="393"/>
      <c r="CW88" s="393"/>
      <c r="CX88" s="393"/>
      <c r="CY88" s="393"/>
      <c r="CZ88" s="393"/>
      <c r="DA88" s="393"/>
    </row>
    <row r="89" spans="1:105" x14ac:dyDescent="0.2">
      <c r="A89" s="366">
        <f>ROW()</f>
        <v>89</v>
      </c>
      <c r="B89" s="367" t="s">
        <v>50</v>
      </c>
      <c r="C89" s="368">
        <v>6</v>
      </c>
      <c r="D89" s="368">
        <v>230</v>
      </c>
      <c r="E89" s="367">
        <v>-60</v>
      </c>
      <c r="F89" s="441">
        <v>230</v>
      </c>
      <c r="G89" s="369" t="s">
        <v>131</v>
      </c>
      <c r="H89" s="370">
        <v>2</v>
      </c>
      <c r="I89" s="367">
        <v>50</v>
      </c>
      <c r="J89" s="371">
        <v>10</v>
      </c>
      <c r="K89" s="372">
        <v>5</v>
      </c>
      <c r="L89" s="482">
        <v>100000</v>
      </c>
      <c r="M89" s="443" t="s">
        <v>535</v>
      </c>
      <c r="N89" s="726">
        <f t="shared" si="2"/>
        <v>2.5818646362658127E-3</v>
      </c>
      <c r="O89" s="370">
        <v>6</v>
      </c>
      <c r="P89" s="66">
        <v>123</v>
      </c>
      <c r="Q89" s="220"/>
      <c r="R89" s="402"/>
      <c r="S89" s="402">
        <v>229.99670069999999</v>
      </c>
      <c r="T89" s="395">
        <v>6.0001603169999997</v>
      </c>
      <c r="U89" s="402">
        <v>-59.999920690000003</v>
      </c>
      <c r="V89" s="395">
        <v>0.50000119899999995</v>
      </c>
      <c r="W89" s="400">
        <v>-3.387588E-3</v>
      </c>
      <c r="X89" s="400">
        <v>8.6733609999999992E-3</v>
      </c>
      <c r="Y89" s="402">
        <v>2.0457884580000001</v>
      </c>
      <c r="Z89" s="409">
        <v>99996.612410000002</v>
      </c>
      <c r="AA89" s="396">
        <v>42034.518182870372</v>
      </c>
      <c r="AB89" s="393">
        <v>50.000245291848003</v>
      </c>
      <c r="AC89" s="393">
        <v>0.2646484375</v>
      </c>
      <c r="AD89" s="393" t="s">
        <v>134</v>
      </c>
      <c r="AE89" s="393">
        <v>0.4521484375</v>
      </c>
      <c r="AF89" s="393" t="s">
        <v>133</v>
      </c>
      <c r="AG89" s="393">
        <v>0.132605822269702</v>
      </c>
      <c r="AH89" s="393">
        <v>124.56806592219699</v>
      </c>
      <c r="AI89" s="393">
        <v>1.13309523332024</v>
      </c>
      <c r="AJ89" s="393">
        <v>1.1333482003075599</v>
      </c>
      <c r="AK89" s="393">
        <v>107.938222995893</v>
      </c>
      <c r="AL89" s="393">
        <v>19166.748029901799</v>
      </c>
      <c r="AM89" s="393">
        <v>689.98291015625</v>
      </c>
      <c r="AN89" s="393">
        <v>0.135580712592798</v>
      </c>
      <c r="AO89" s="393">
        <v>124.780486536507</v>
      </c>
      <c r="AP89" s="393">
        <v>1.13309658070741</v>
      </c>
      <c r="AQ89" s="393">
        <v>1.1333828843698901</v>
      </c>
      <c r="AR89" s="393">
        <v>107.967781928386</v>
      </c>
      <c r="AS89" s="393">
        <v>19166.2593727694</v>
      </c>
      <c r="AT89" s="393">
        <v>689.98388671875</v>
      </c>
      <c r="AU89" s="393">
        <v>0.13561752347710401</v>
      </c>
      <c r="AV89" s="393">
        <v>124.78372681669499</v>
      </c>
      <c r="AW89" s="393">
        <v>1.1330956008834501</v>
      </c>
      <c r="AX89" s="393">
        <v>1.13329367882041</v>
      </c>
      <c r="AY89" s="393">
        <v>107.91530950235</v>
      </c>
      <c r="AZ89" s="393">
        <v>19165.9925356776</v>
      </c>
      <c r="BA89" s="393">
        <v>689.984619140625</v>
      </c>
      <c r="BB89" s="393">
        <v>0.13479780143889999</v>
      </c>
      <c r="BC89" s="393">
        <v>124.334372506123</v>
      </c>
      <c r="BD89" s="393">
        <v>1.1330959913877701</v>
      </c>
      <c r="BE89" s="393">
        <v>1.13343775261986</v>
      </c>
      <c r="BF89" s="393">
        <v>107.948342439453</v>
      </c>
      <c r="BG89" s="393">
        <v>19166.243796574301</v>
      </c>
      <c r="BH89" s="393">
        <v>689.98333740234398</v>
      </c>
      <c r="BI89" s="393">
        <v>0.134797079372415</v>
      </c>
      <c r="BJ89" s="393">
        <v>124.31398188895599</v>
      </c>
      <c r="BK89" s="393">
        <v>1.13309737738991</v>
      </c>
      <c r="BL89" s="393">
        <v>1.1336035365898001</v>
      </c>
      <c r="BM89" s="393">
        <v>107.957691236188</v>
      </c>
      <c r="BN89" s="393">
        <v>19166.259297664299</v>
      </c>
      <c r="BO89" s="393">
        <v>689.98181152343795</v>
      </c>
      <c r="BP89" s="393"/>
      <c r="BQ89" s="393"/>
      <c r="BR89" s="393"/>
      <c r="BS89" s="393"/>
      <c r="BT89" s="393"/>
      <c r="BU89" s="393"/>
      <c r="BV89" s="393"/>
      <c r="BW89" s="393">
        <v>690.01019659999997</v>
      </c>
      <c r="BX89" s="393">
        <v>1195.1288979999999</v>
      </c>
      <c r="BY89" s="393">
        <v>229.99670069999999</v>
      </c>
      <c r="BZ89" s="393">
        <v>6.0001603169999997</v>
      </c>
      <c r="CA89" s="393">
        <v>-59.999920690000003</v>
      </c>
      <c r="CB89" s="393">
        <v>2.028696E-3</v>
      </c>
      <c r="CC89" s="393">
        <v>2.1257530000000002E-3</v>
      </c>
      <c r="CD89" s="399">
        <v>7.6731399999999995E-5</v>
      </c>
      <c r="CE89" s="399">
        <v>6.8030799999999996E-6</v>
      </c>
      <c r="CF89" s="399">
        <v>9.6530499999999993E-5</v>
      </c>
      <c r="CG89" s="393">
        <v>-3.387588E-3</v>
      </c>
      <c r="CH89" s="393">
        <v>4.2396179999999997E-3</v>
      </c>
      <c r="CI89" s="393">
        <v>28.27788919</v>
      </c>
      <c r="CJ89" s="393">
        <v>2.0457884580000001</v>
      </c>
      <c r="CK89" s="393">
        <v>8.6733609999999992E-3</v>
      </c>
      <c r="CL89" s="393">
        <v>0.50000119899999995</v>
      </c>
      <c r="CM89" s="393">
        <v>38.331759249999998</v>
      </c>
      <c r="CN89" s="399">
        <v>8.9826600000000005E-5</v>
      </c>
      <c r="CO89" s="393">
        <v>99996.612410000002</v>
      </c>
      <c r="CP89" s="393">
        <v>0</v>
      </c>
      <c r="CQ89" s="393">
        <v>0</v>
      </c>
      <c r="CR89" s="393">
        <v>109.122</v>
      </c>
      <c r="CS89" s="393">
        <v>23.542962889999998</v>
      </c>
      <c r="CT89" s="393">
        <v>0.32292889899999999</v>
      </c>
      <c r="CU89" s="393"/>
      <c r="CV89" s="393"/>
      <c r="CW89" s="393"/>
      <c r="CX89" s="393"/>
      <c r="CY89" s="393"/>
      <c r="CZ89" s="393"/>
      <c r="DA89" s="393"/>
    </row>
    <row r="90" spans="1:105" x14ac:dyDescent="0.2">
      <c r="A90" s="366">
        <f>ROW()</f>
        <v>90</v>
      </c>
      <c r="B90" s="367" t="s">
        <v>50</v>
      </c>
      <c r="C90" s="368">
        <v>6</v>
      </c>
      <c r="D90" s="368">
        <v>230</v>
      </c>
      <c r="E90" s="367">
        <v>36.869999999999997</v>
      </c>
      <c r="F90" s="441">
        <v>230</v>
      </c>
      <c r="G90" s="369" t="s">
        <v>131</v>
      </c>
      <c r="H90" s="370">
        <v>2</v>
      </c>
      <c r="I90" s="367">
        <v>50</v>
      </c>
      <c r="J90" s="371">
        <v>10</v>
      </c>
      <c r="K90" s="372">
        <v>5</v>
      </c>
      <c r="L90" s="482">
        <v>100000</v>
      </c>
      <c r="M90" s="443" t="s">
        <v>535</v>
      </c>
      <c r="N90" s="726">
        <f t="shared" si="2"/>
        <v>1.8650819986527408E-3</v>
      </c>
      <c r="O90" s="370">
        <v>6</v>
      </c>
      <c r="P90" s="66">
        <v>123</v>
      </c>
      <c r="Q90" s="220"/>
      <c r="R90" s="402"/>
      <c r="S90" s="402">
        <v>229.99671029999999</v>
      </c>
      <c r="T90" s="395">
        <v>6.0000321840000002</v>
      </c>
      <c r="U90" s="402">
        <v>36.866839640000002</v>
      </c>
      <c r="V90" s="395">
        <v>0.80003202200000001</v>
      </c>
      <c r="W90" s="400">
        <v>6.9901030000000001E-3</v>
      </c>
      <c r="X90" s="400">
        <v>5.6406729999999997E-3</v>
      </c>
      <c r="Y90" s="402">
        <v>2.0587540610000001</v>
      </c>
      <c r="Z90" s="409">
        <v>100006.9901</v>
      </c>
      <c r="AA90" s="396">
        <v>42034.521087962959</v>
      </c>
      <c r="AB90" s="393">
        <v>49.999985849893399</v>
      </c>
      <c r="AC90" s="393">
        <v>0.423828125</v>
      </c>
      <c r="AD90" s="393" t="s">
        <v>134</v>
      </c>
      <c r="AE90" s="393">
        <v>0.3134765625</v>
      </c>
      <c r="AF90" s="393" t="s">
        <v>135</v>
      </c>
      <c r="AG90" s="393">
        <v>0.33753102324858397</v>
      </c>
      <c r="AH90" s="393">
        <v>-60.0040132381462</v>
      </c>
      <c r="AI90" s="393">
        <v>1.1330968417519101</v>
      </c>
      <c r="AJ90" s="393">
        <v>1.1324498355563899</v>
      </c>
      <c r="AK90" s="393">
        <v>107.942438281687</v>
      </c>
      <c r="AL90" s="393">
        <v>30669.7976260012</v>
      </c>
      <c r="AM90" s="393">
        <v>1104.10119628906</v>
      </c>
      <c r="AN90" s="393">
        <v>0.33807610582708902</v>
      </c>
      <c r="AO90" s="393">
        <v>-59.6747830297302</v>
      </c>
      <c r="AP90" s="393">
        <v>1.1330961653112399</v>
      </c>
      <c r="AQ90" s="393">
        <v>1.1330769640071501</v>
      </c>
      <c r="AR90" s="393">
        <v>107.959543041133</v>
      </c>
      <c r="AS90" s="393">
        <v>30669.760752820599</v>
      </c>
      <c r="AT90" s="393">
        <v>1104.10827636719</v>
      </c>
      <c r="AU90" s="393">
        <v>0.33827313936834502</v>
      </c>
      <c r="AV90" s="393">
        <v>-59.888190892629098</v>
      </c>
      <c r="AW90" s="393">
        <v>1.1330961127872501</v>
      </c>
      <c r="AX90" s="393">
        <v>1.1332408446217199</v>
      </c>
      <c r="AY90" s="393">
        <v>107.95574722134501</v>
      </c>
      <c r="AZ90" s="393">
        <v>30669.745515349201</v>
      </c>
      <c r="BA90" s="393">
        <v>1104.109375</v>
      </c>
      <c r="BB90" s="393">
        <v>0.33886097318408498</v>
      </c>
      <c r="BC90" s="393">
        <v>-59.687908275661997</v>
      </c>
      <c r="BD90" s="393">
        <v>1.1330959131291301</v>
      </c>
      <c r="BE90" s="393">
        <v>1.13317597392081</v>
      </c>
      <c r="BF90" s="393">
        <v>107.926619615036</v>
      </c>
      <c r="BG90" s="393">
        <v>30669.6152242512</v>
      </c>
      <c r="BH90" s="393">
        <v>1104.10473632812</v>
      </c>
      <c r="BI90" s="393">
        <v>0.338229540853828</v>
      </c>
      <c r="BJ90" s="393">
        <v>-59.693455256181799</v>
      </c>
      <c r="BK90" s="393">
        <v>1.1330959858207299</v>
      </c>
      <c r="BL90" s="393">
        <v>1.13295720875738</v>
      </c>
      <c r="BM90" s="393">
        <v>107.94597323062099</v>
      </c>
      <c r="BN90" s="393">
        <v>30669.900422045201</v>
      </c>
      <c r="BO90" s="393">
        <v>1104.11059570312</v>
      </c>
      <c r="BP90" s="393"/>
      <c r="BQ90" s="393"/>
      <c r="BR90" s="393"/>
      <c r="BS90" s="393"/>
      <c r="BT90" s="393"/>
      <c r="BU90" s="393"/>
      <c r="BV90" s="393"/>
      <c r="BW90" s="393">
        <v>1104.034328</v>
      </c>
      <c r="BX90" s="393">
        <v>827.93367950000004</v>
      </c>
      <c r="BY90" s="393">
        <v>229.99671029999999</v>
      </c>
      <c r="BZ90" s="393">
        <v>6.0000321840000002</v>
      </c>
      <c r="CA90" s="393">
        <v>36.866839640000002</v>
      </c>
      <c r="CB90" s="393">
        <v>7.78438E-4</v>
      </c>
      <c r="CC90" s="393">
        <v>2.0819609999999998E-3</v>
      </c>
      <c r="CD90" s="399">
        <v>3.3603999999999999E-5</v>
      </c>
      <c r="CE90" s="399">
        <v>4.5161300000000002E-6</v>
      </c>
      <c r="CF90" s="399">
        <v>7.7054300000000005E-5</v>
      </c>
      <c r="CG90" s="393">
        <v>6.9901030000000001E-3</v>
      </c>
      <c r="CH90" s="393">
        <v>2.739848E-3</v>
      </c>
      <c r="CI90" s="393">
        <v>24.660436879999999</v>
      </c>
      <c r="CJ90" s="393">
        <v>2.0587540610000001</v>
      </c>
      <c r="CK90" s="393">
        <v>5.6406729999999997E-3</v>
      </c>
      <c r="CL90" s="393">
        <v>0.80003202200000001</v>
      </c>
      <c r="CM90" s="393">
        <v>38.332579430000003</v>
      </c>
      <c r="CN90" s="399">
        <v>5.3548199999999997E-5</v>
      </c>
      <c r="CO90" s="393">
        <v>100006.9901</v>
      </c>
      <c r="CP90" s="393">
        <v>0</v>
      </c>
      <c r="CQ90" s="393">
        <v>0</v>
      </c>
      <c r="CR90" s="393">
        <v>109.121</v>
      </c>
      <c r="CS90" s="393">
        <v>23.540386250000001</v>
      </c>
      <c r="CT90" s="393">
        <v>0.32292900400000002</v>
      </c>
      <c r="CU90" s="393"/>
      <c r="CV90" s="393"/>
      <c r="CW90" s="393"/>
      <c r="CX90" s="393"/>
      <c r="CY90" s="393"/>
      <c r="CZ90" s="393"/>
      <c r="DA90" s="393"/>
    </row>
    <row r="91" spans="1:105" x14ac:dyDescent="0.2">
      <c r="A91" s="366">
        <f>ROW()</f>
        <v>91</v>
      </c>
      <c r="B91" s="367" t="s">
        <v>50</v>
      </c>
      <c r="C91" s="368">
        <v>6</v>
      </c>
      <c r="D91" s="368">
        <v>230</v>
      </c>
      <c r="E91" s="367">
        <v>36.869999999999997</v>
      </c>
      <c r="F91" s="441">
        <v>230</v>
      </c>
      <c r="G91" s="369" t="s">
        <v>131</v>
      </c>
      <c r="H91" s="370">
        <v>2</v>
      </c>
      <c r="I91" s="367">
        <v>50</v>
      </c>
      <c r="J91" s="371">
        <v>10</v>
      </c>
      <c r="K91" s="372">
        <v>5</v>
      </c>
      <c r="L91" s="482">
        <v>100000</v>
      </c>
      <c r="M91" s="443" t="s">
        <v>535</v>
      </c>
      <c r="N91" s="726">
        <f t="shared" si="2"/>
        <v>1.8650819986527408E-3</v>
      </c>
      <c r="O91" s="370">
        <v>6</v>
      </c>
      <c r="P91" s="66">
        <v>123</v>
      </c>
      <c r="Q91" s="220"/>
      <c r="R91" s="402"/>
      <c r="S91" s="402">
        <v>229.9966197</v>
      </c>
      <c r="T91" s="395">
        <v>6.0000353430000004</v>
      </c>
      <c r="U91" s="402">
        <v>36.866855360000002</v>
      </c>
      <c r="V91" s="395">
        <v>0.80003185799999998</v>
      </c>
      <c r="W91" s="400">
        <v>8.018397E-3</v>
      </c>
      <c r="X91" s="400">
        <v>5.7070480000000002E-3</v>
      </c>
      <c r="Y91" s="402">
        <v>2.0537386789999998</v>
      </c>
      <c r="Z91" s="409">
        <v>100008.0184</v>
      </c>
      <c r="AA91" s="396">
        <v>42034.524004629631</v>
      </c>
      <c r="AB91" s="393">
        <v>50.000283022132301</v>
      </c>
      <c r="AC91" s="393">
        <v>0.423828125</v>
      </c>
      <c r="AD91" s="393" t="s">
        <v>134</v>
      </c>
      <c r="AE91" s="393">
        <v>0.3134765625</v>
      </c>
      <c r="AF91" s="393" t="s">
        <v>135</v>
      </c>
      <c r="AG91" s="393">
        <v>0.33861914754261901</v>
      </c>
      <c r="AH91" s="393">
        <v>-59.517211854324799</v>
      </c>
      <c r="AI91" s="393">
        <v>1.13309576808498</v>
      </c>
      <c r="AJ91" s="393">
        <v>1.1334222242946901</v>
      </c>
      <c r="AK91" s="393">
        <v>107.965369685539</v>
      </c>
      <c r="AL91" s="393">
        <v>30669.799188216501</v>
      </c>
      <c r="AM91" s="393">
        <v>1104.1083984375</v>
      </c>
      <c r="AN91" s="393">
        <v>0.338869391509241</v>
      </c>
      <c r="AO91" s="393">
        <v>-59.906668529923998</v>
      </c>
      <c r="AP91" s="393">
        <v>1.1330971090926101</v>
      </c>
      <c r="AQ91" s="393">
        <v>1.1330404398796701</v>
      </c>
      <c r="AR91" s="393">
        <v>107.934936791097</v>
      </c>
      <c r="AS91" s="393">
        <v>30670.206345233099</v>
      </c>
      <c r="AT91" s="393">
        <v>1104.099609375</v>
      </c>
      <c r="AU91" s="393">
        <v>0.33815140296879598</v>
      </c>
      <c r="AV91" s="393">
        <v>-59.302442980593298</v>
      </c>
      <c r="AW91" s="393">
        <v>1.1330954671323501</v>
      </c>
      <c r="AX91" s="393">
        <v>1.13299379758684</v>
      </c>
      <c r="AY91" s="393">
        <v>107.954322132691</v>
      </c>
      <c r="AZ91" s="393">
        <v>30670.061051348701</v>
      </c>
      <c r="BA91" s="393">
        <v>1104.10888671875</v>
      </c>
      <c r="BB91" s="393">
        <v>0.33847243634294699</v>
      </c>
      <c r="BC91" s="393">
        <v>-59.8951847001562</v>
      </c>
      <c r="BD91" s="393">
        <v>1.13309513966185</v>
      </c>
      <c r="BE91" s="393">
        <v>1.13330327229064</v>
      </c>
      <c r="BF91" s="393">
        <v>107.933735309464</v>
      </c>
      <c r="BG91" s="393">
        <v>30670.423630119501</v>
      </c>
      <c r="BH91" s="393">
        <v>1104.10424804688</v>
      </c>
      <c r="BI91" s="393">
        <v>0.338657284220934</v>
      </c>
      <c r="BJ91" s="393">
        <v>-59.764674908269399</v>
      </c>
      <c r="BK91" s="393">
        <v>1.1330953050171799</v>
      </c>
      <c r="BL91" s="393">
        <v>1.1327764695645599</v>
      </c>
      <c r="BM91" s="393">
        <v>107.944514714896</v>
      </c>
      <c r="BN91" s="393">
        <v>30669.894949643902</v>
      </c>
      <c r="BO91" s="393">
        <v>1104.10510253906</v>
      </c>
      <c r="BP91" s="393"/>
      <c r="BQ91" s="393"/>
      <c r="BR91" s="393"/>
      <c r="BS91" s="393"/>
      <c r="BT91" s="393"/>
      <c r="BU91" s="393"/>
      <c r="BV91" s="393"/>
      <c r="BW91" s="393">
        <v>1104.0342470000001</v>
      </c>
      <c r="BX91" s="393">
        <v>827.93409229999997</v>
      </c>
      <c r="BY91" s="393">
        <v>229.9966197</v>
      </c>
      <c r="BZ91" s="393">
        <v>6.0000353430000004</v>
      </c>
      <c r="CA91" s="393">
        <v>36.866855360000002</v>
      </c>
      <c r="CB91" s="393">
        <v>2.172532E-3</v>
      </c>
      <c r="CC91" s="393">
        <v>2.154998E-3</v>
      </c>
      <c r="CD91" s="399">
        <v>7.1752800000000002E-5</v>
      </c>
      <c r="CE91" s="399">
        <v>2.7306499999999999E-6</v>
      </c>
      <c r="CF91" s="393">
        <v>1.23044E-4</v>
      </c>
      <c r="CG91" s="393">
        <v>8.018397E-3</v>
      </c>
      <c r="CH91" s="393">
        <v>2.7788579999999999E-3</v>
      </c>
      <c r="CI91" s="393">
        <v>25.940688439999999</v>
      </c>
      <c r="CJ91" s="393">
        <v>2.0537386789999998</v>
      </c>
      <c r="CK91" s="393">
        <v>5.7070480000000002E-3</v>
      </c>
      <c r="CL91" s="393">
        <v>0.80003185799999998</v>
      </c>
      <c r="CM91" s="393">
        <v>38.332544159999998</v>
      </c>
      <c r="CN91" s="399">
        <v>4.7221300000000001E-5</v>
      </c>
      <c r="CO91" s="393">
        <v>100008.0184</v>
      </c>
      <c r="CP91" s="393">
        <v>0</v>
      </c>
      <c r="CQ91" s="393">
        <v>0</v>
      </c>
      <c r="CR91" s="393">
        <v>109.123</v>
      </c>
      <c r="CS91" s="393">
        <v>23.545539529999999</v>
      </c>
      <c r="CT91" s="393">
        <v>0.32292879499999999</v>
      </c>
      <c r="CU91" s="393"/>
      <c r="CV91" s="393"/>
      <c r="CW91" s="393"/>
      <c r="CX91" s="393"/>
      <c r="CY91" s="393"/>
      <c r="CZ91" s="393"/>
      <c r="DA91" s="393"/>
    </row>
    <row r="92" spans="1:105" x14ac:dyDescent="0.2">
      <c r="A92" s="366">
        <f>ROW()</f>
        <v>92</v>
      </c>
      <c r="B92" s="367" t="s">
        <v>50</v>
      </c>
      <c r="C92" s="368">
        <v>6</v>
      </c>
      <c r="D92" s="368">
        <v>230</v>
      </c>
      <c r="E92" s="367">
        <v>36.869999999999997</v>
      </c>
      <c r="F92" s="441">
        <v>230</v>
      </c>
      <c r="G92" s="369" t="s">
        <v>131</v>
      </c>
      <c r="H92" s="370">
        <v>2</v>
      </c>
      <c r="I92" s="367">
        <v>50</v>
      </c>
      <c r="J92" s="371">
        <v>10</v>
      </c>
      <c r="K92" s="372">
        <v>5</v>
      </c>
      <c r="L92" s="482">
        <v>100000</v>
      </c>
      <c r="M92" s="443" t="s">
        <v>535</v>
      </c>
      <c r="N92" s="726">
        <f t="shared" si="2"/>
        <v>1.8650819986527408E-3</v>
      </c>
      <c r="O92" s="370">
        <v>6</v>
      </c>
      <c r="P92" s="66">
        <v>123</v>
      </c>
      <c r="Q92" s="220"/>
      <c r="R92" s="402"/>
      <c r="S92" s="402">
        <v>229.99678560000001</v>
      </c>
      <c r="T92" s="395">
        <v>6.0000298519999999</v>
      </c>
      <c r="U92" s="402">
        <v>36.86664408</v>
      </c>
      <c r="V92" s="395">
        <v>0.80003407000000004</v>
      </c>
      <c r="W92" s="400">
        <v>7.056405E-3</v>
      </c>
      <c r="X92" s="400">
        <v>5.7508669999999998E-3</v>
      </c>
      <c r="Y92" s="402">
        <v>2.0512275990000002</v>
      </c>
      <c r="Z92" s="409">
        <v>100007.0564</v>
      </c>
      <c r="AA92" s="396">
        <v>42034.526909722219</v>
      </c>
      <c r="AB92" s="393">
        <v>50.000103780781899</v>
      </c>
      <c r="AC92" s="393">
        <v>0.423828125</v>
      </c>
      <c r="AD92" s="393" t="s">
        <v>134</v>
      </c>
      <c r="AE92" s="393">
        <v>0.3134765625</v>
      </c>
      <c r="AF92" s="393" t="s">
        <v>135</v>
      </c>
      <c r="AG92" s="393">
        <v>0.3376009488085</v>
      </c>
      <c r="AH92" s="393">
        <v>-59.672692867907998</v>
      </c>
      <c r="AI92" s="393">
        <v>1.13309623027003</v>
      </c>
      <c r="AJ92" s="393">
        <v>1.13326115768227</v>
      </c>
      <c r="AK92" s="393">
        <v>107.949243537527</v>
      </c>
      <c r="AL92" s="393">
        <v>30669.371220582401</v>
      </c>
      <c r="AM92" s="393">
        <v>1104.10754394531</v>
      </c>
      <c r="AN92" s="393">
        <v>0.33861964037172199</v>
      </c>
      <c r="AO92" s="393">
        <v>-59.4178056250786</v>
      </c>
      <c r="AP92" s="393">
        <v>1.1330972769700001</v>
      </c>
      <c r="AQ92" s="393">
        <v>1.1328797332137299</v>
      </c>
      <c r="AR92" s="393">
        <v>107.933062809375</v>
      </c>
      <c r="AS92" s="393">
        <v>30669.925821187098</v>
      </c>
      <c r="AT92" s="393">
        <v>1104.10375976562</v>
      </c>
      <c r="AU92" s="393">
        <v>0.340111387529619</v>
      </c>
      <c r="AV92" s="393">
        <v>-59.513025877272597</v>
      </c>
      <c r="AW92" s="393">
        <v>1.13309600173808</v>
      </c>
      <c r="AX92" s="393">
        <v>1.1327244463384301</v>
      </c>
      <c r="AY92" s="393">
        <v>107.93133928297399</v>
      </c>
      <c r="AZ92" s="393">
        <v>30670.1407169454</v>
      </c>
      <c r="BA92" s="393">
        <v>1104.10485839844</v>
      </c>
      <c r="BB92" s="393">
        <v>0.33823484841499801</v>
      </c>
      <c r="BC92" s="393">
        <v>-59.584365637209999</v>
      </c>
      <c r="BD92" s="393">
        <v>1.1330969207764701</v>
      </c>
      <c r="BE92" s="393">
        <v>1.1332653417256</v>
      </c>
      <c r="BF92" s="393">
        <v>107.94680966076901</v>
      </c>
      <c r="BG92" s="393">
        <v>30669.672313933701</v>
      </c>
      <c r="BH92" s="393">
        <v>1104.10327148438</v>
      </c>
      <c r="BI92" s="393">
        <v>0.33917738124858998</v>
      </c>
      <c r="BJ92" s="393">
        <v>-59.7067233904435</v>
      </c>
      <c r="BK92" s="393">
        <v>1.1330964454944601</v>
      </c>
      <c r="BL92" s="393">
        <v>1.13309013188077</v>
      </c>
      <c r="BM92" s="393">
        <v>107.932632094562</v>
      </c>
      <c r="BN92" s="393">
        <v>30670.194309295101</v>
      </c>
      <c r="BO92" s="393">
        <v>1104.10241699219</v>
      </c>
      <c r="BP92" s="393"/>
      <c r="BQ92" s="393"/>
      <c r="BR92" s="393"/>
      <c r="BS92" s="393"/>
      <c r="BT92" s="393"/>
      <c r="BU92" s="393"/>
      <c r="BV92" s="393"/>
      <c r="BW92" s="393">
        <v>1104.037086</v>
      </c>
      <c r="BX92" s="393">
        <v>827.92986069999995</v>
      </c>
      <c r="BY92" s="393">
        <v>229.99678560000001</v>
      </c>
      <c r="BZ92" s="393">
        <v>6.0000298519999999</v>
      </c>
      <c r="CA92" s="393">
        <v>36.86664408</v>
      </c>
      <c r="CB92" s="393">
        <v>1.7898110000000001E-3</v>
      </c>
      <c r="CC92" s="393">
        <v>1.965732E-3</v>
      </c>
      <c r="CD92" s="399">
        <v>4.7061699999999997E-5</v>
      </c>
      <c r="CE92" s="399">
        <v>8.7917200000000006E-6</v>
      </c>
      <c r="CF92" s="399">
        <v>6.3130400000000001E-5</v>
      </c>
      <c r="CG92" s="393">
        <v>7.056405E-3</v>
      </c>
      <c r="CH92" s="393">
        <v>2.803622E-3</v>
      </c>
      <c r="CI92" s="393">
        <v>26.634746190000001</v>
      </c>
      <c r="CJ92" s="393">
        <v>2.0512275990000002</v>
      </c>
      <c r="CK92" s="393">
        <v>5.7508669999999998E-3</v>
      </c>
      <c r="CL92" s="393">
        <v>0.80003407000000004</v>
      </c>
      <c r="CM92" s="393">
        <v>38.33260688</v>
      </c>
      <c r="CN92" s="393">
        <v>1.17549E-4</v>
      </c>
      <c r="CO92" s="393">
        <v>100007.0564</v>
      </c>
      <c r="CP92" s="393">
        <v>0</v>
      </c>
      <c r="CQ92" s="393">
        <v>0</v>
      </c>
      <c r="CR92" s="393">
        <v>109.122</v>
      </c>
      <c r="CS92" s="393">
        <v>23.542962889999998</v>
      </c>
      <c r="CT92" s="393">
        <v>0.32292889899999999</v>
      </c>
      <c r="CU92" s="393"/>
      <c r="CV92" s="393"/>
      <c r="CW92" s="393"/>
      <c r="CX92" s="393"/>
      <c r="CY92" s="393"/>
      <c r="CZ92" s="393"/>
      <c r="DA92" s="393"/>
    </row>
    <row r="93" spans="1:105" x14ac:dyDescent="0.2">
      <c r="A93" s="366">
        <f>ROW()</f>
        <v>93</v>
      </c>
      <c r="B93" s="367" t="s">
        <v>50</v>
      </c>
      <c r="C93" s="368">
        <v>10</v>
      </c>
      <c r="D93" s="368">
        <v>230</v>
      </c>
      <c r="E93" s="367">
        <v>0</v>
      </c>
      <c r="F93" s="441">
        <v>230</v>
      </c>
      <c r="G93" s="369" t="s">
        <v>131</v>
      </c>
      <c r="H93" s="370">
        <v>2</v>
      </c>
      <c r="I93" s="367">
        <v>50</v>
      </c>
      <c r="J93" s="371">
        <v>10</v>
      </c>
      <c r="K93" s="372">
        <v>5</v>
      </c>
      <c r="L93" s="482">
        <v>100000</v>
      </c>
      <c r="M93" s="443" t="s">
        <v>535</v>
      </c>
      <c r="N93" s="726">
        <f t="shared" si="2"/>
        <v>1.6327966805453765E-3</v>
      </c>
      <c r="O93" s="370">
        <v>6</v>
      </c>
      <c r="P93" s="66">
        <v>123</v>
      </c>
      <c r="Q93" s="220"/>
      <c r="R93" s="402"/>
      <c r="S93" s="402">
        <v>229.99693730000001</v>
      </c>
      <c r="T93" s="395">
        <v>10.00040971</v>
      </c>
      <c r="U93" s="402">
        <v>-7.2925099999999999E-4</v>
      </c>
      <c r="V93" s="395">
        <v>1</v>
      </c>
      <c r="W93" s="400">
        <v>2.1847400000000001E-3</v>
      </c>
      <c r="X93" s="400">
        <v>4.9144610000000002E-3</v>
      </c>
      <c r="Y93" s="402">
        <v>2.0671233660000001</v>
      </c>
      <c r="Z93" s="409">
        <v>100002.1847</v>
      </c>
      <c r="AA93" s="396">
        <v>42034.529814814814</v>
      </c>
      <c r="AB93" s="393">
        <v>50.0006037845489</v>
      </c>
      <c r="AC93" s="393">
        <v>0.8828125</v>
      </c>
      <c r="AD93" s="393" t="s">
        <v>134</v>
      </c>
      <c r="AE93" s="393">
        <v>0</v>
      </c>
      <c r="AF93" s="393" t="s">
        <v>133</v>
      </c>
      <c r="AG93" s="393">
        <v>0.32200856201610201</v>
      </c>
      <c r="AH93" s="393">
        <v>-111.215038960679</v>
      </c>
      <c r="AI93" s="393">
        <v>1.1330970883022</v>
      </c>
      <c r="AJ93" s="393">
        <v>1.13313244239974</v>
      </c>
      <c r="AK93" s="393">
        <v>107.95846305563801</v>
      </c>
      <c r="AL93" s="393">
        <v>63893.003878483498</v>
      </c>
      <c r="AM93" s="393">
        <v>2300.11987304688</v>
      </c>
      <c r="AN93" s="393">
        <v>0.32068473519616703</v>
      </c>
      <c r="AO93" s="393">
        <v>-111.310728480527</v>
      </c>
      <c r="AP93" s="393">
        <v>1.13309592126026</v>
      </c>
      <c r="AQ93" s="393">
        <v>1.13244734359937</v>
      </c>
      <c r="AR93" s="393">
        <v>107.955319187946</v>
      </c>
      <c r="AS93" s="393">
        <v>63891.323832706097</v>
      </c>
      <c r="AT93" s="393">
        <v>2300.12158203125</v>
      </c>
      <c r="AU93" s="393">
        <v>0.32262929245843902</v>
      </c>
      <c r="AV93" s="393">
        <v>-111.077440137973</v>
      </c>
      <c r="AW93" s="393">
        <v>1.1330979834355199</v>
      </c>
      <c r="AX93" s="393">
        <v>1.13342958095213</v>
      </c>
      <c r="AY93" s="393">
        <v>107.96491926109699</v>
      </c>
      <c r="AZ93" s="393">
        <v>63892.968185892802</v>
      </c>
      <c r="BA93" s="393">
        <v>2300.11450195312</v>
      </c>
      <c r="BB93" s="393">
        <v>0.321032714629926</v>
      </c>
      <c r="BC93" s="393">
        <v>-110.651561788427</v>
      </c>
      <c r="BD93" s="393">
        <v>1.1330983829424599</v>
      </c>
      <c r="BE93" s="393">
        <v>1.1332255814130801</v>
      </c>
      <c r="BF93" s="393">
        <v>107.961065640732</v>
      </c>
      <c r="BG93" s="393">
        <v>63890.693794759703</v>
      </c>
      <c r="BH93" s="393">
        <v>2300.10864257812</v>
      </c>
      <c r="BI93" s="393">
        <v>0.32178559551462799</v>
      </c>
      <c r="BJ93" s="393">
        <v>-110.932020693392</v>
      </c>
      <c r="BK93" s="393">
        <v>1.1330972356803899</v>
      </c>
      <c r="BL93" s="393">
        <v>1.1331344567531501</v>
      </c>
      <c r="BM93" s="393">
        <v>107.98018632054701</v>
      </c>
      <c r="BN93" s="393">
        <v>63892.269936827797</v>
      </c>
      <c r="BO93" s="393">
        <v>2300.11987304688</v>
      </c>
      <c r="BP93" s="393"/>
      <c r="BQ93" s="393"/>
      <c r="BR93" s="393"/>
      <c r="BS93" s="393"/>
      <c r="BT93" s="393"/>
      <c r="BU93" s="393"/>
      <c r="BV93" s="393"/>
      <c r="BW93" s="393">
        <v>2300.063619</v>
      </c>
      <c r="BX93" s="393">
        <v>2.9274814999999999E-2</v>
      </c>
      <c r="BY93" s="393">
        <v>229.99693730000001</v>
      </c>
      <c r="BZ93" s="393">
        <v>10.00040971</v>
      </c>
      <c r="CA93" s="393">
        <v>-7.2925099999999999E-4</v>
      </c>
      <c r="CB93" s="393">
        <v>1.3685360000000001E-3</v>
      </c>
      <c r="CC93" s="393">
        <v>2.9043580000000001E-3</v>
      </c>
      <c r="CD93" s="399">
        <v>8.5962000000000001E-5</v>
      </c>
      <c r="CE93" s="399">
        <v>5.2554900000000001E-6</v>
      </c>
      <c r="CF93" s="399">
        <v>7.2348599999999994E-5</v>
      </c>
      <c r="CG93" s="393">
        <v>2.1847400000000001E-3</v>
      </c>
      <c r="CH93" s="393">
        <v>2.3774400000000002E-3</v>
      </c>
      <c r="CI93" s="393">
        <v>22.791893649999999</v>
      </c>
      <c r="CJ93" s="393">
        <v>2.0671233660000001</v>
      </c>
      <c r="CK93" s="393">
        <v>4.9144610000000002E-3</v>
      </c>
      <c r="CL93" s="393">
        <v>1</v>
      </c>
      <c r="CM93" s="393">
        <v>22.998751439999999</v>
      </c>
      <c r="CN93" s="399">
        <v>3.5542800000000001E-5</v>
      </c>
      <c r="CO93" s="393">
        <v>100002.1847</v>
      </c>
      <c r="CP93" s="393">
        <v>0</v>
      </c>
      <c r="CQ93" s="393">
        <v>0</v>
      </c>
      <c r="CR93" s="393">
        <v>109.123</v>
      </c>
      <c r="CS93" s="393">
        <v>23.545539529999999</v>
      </c>
      <c r="CT93" s="393">
        <v>0.32292879499999999</v>
      </c>
      <c r="CU93" s="393"/>
      <c r="CV93" s="393"/>
      <c r="CW93" s="393"/>
      <c r="CX93" s="393"/>
      <c r="CY93" s="393"/>
      <c r="CZ93" s="393"/>
      <c r="DA93" s="393"/>
    </row>
    <row r="94" spans="1:105" x14ac:dyDescent="0.2">
      <c r="A94" s="366">
        <f>ROW()</f>
        <v>94</v>
      </c>
      <c r="B94" s="367" t="s">
        <v>50</v>
      </c>
      <c r="C94" s="368">
        <v>10</v>
      </c>
      <c r="D94" s="368">
        <v>230</v>
      </c>
      <c r="E94" s="367">
        <v>0</v>
      </c>
      <c r="F94" s="441">
        <v>230</v>
      </c>
      <c r="G94" s="369" t="s">
        <v>131</v>
      </c>
      <c r="H94" s="370">
        <v>2</v>
      </c>
      <c r="I94" s="367">
        <v>50</v>
      </c>
      <c r="J94" s="371">
        <v>10</v>
      </c>
      <c r="K94" s="372">
        <v>5</v>
      </c>
      <c r="L94" s="482">
        <v>100000</v>
      </c>
      <c r="M94" s="443" t="s">
        <v>535</v>
      </c>
      <c r="N94" s="726">
        <f t="shared" si="2"/>
        <v>1.6327966805453765E-3</v>
      </c>
      <c r="O94" s="370">
        <v>6</v>
      </c>
      <c r="P94" s="66">
        <v>123</v>
      </c>
      <c r="Q94" s="220"/>
      <c r="R94" s="402"/>
      <c r="S94" s="402">
        <v>229.99687710000001</v>
      </c>
      <c r="T94" s="395">
        <v>10.000385769999999</v>
      </c>
      <c r="U94" s="402">
        <v>-9.5926500000000005E-4</v>
      </c>
      <c r="V94" s="395">
        <v>1</v>
      </c>
      <c r="W94" s="400">
        <v>1.643601E-3</v>
      </c>
      <c r="X94" s="400">
        <v>4.7109789999999997E-3</v>
      </c>
      <c r="Y94" s="402">
        <v>2.0836004039999998</v>
      </c>
      <c r="Z94" s="409">
        <v>100001.6436</v>
      </c>
      <c r="AA94" s="396">
        <v>42034.532731481479</v>
      </c>
      <c r="AB94" s="393">
        <v>50.0003868029142</v>
      </c>
      <c r="AC94" s="393">
        <v>0.8828125</v>
      </c>
      <c r="AD94" s="393" t="s">
        <v>134</v>
      </c>
      <c r="AE94" s="393">
        <v>0</v>
      </c>
      <c r="AF94" s="393" t="s">
        <v>133</v>
      </c>
      <c r="AG94" s="393">
        <v>0.322607349572201</v>
      </c>
      <c r="AH94" s="393">
        <v>-110.85954598613</v>
      </c>
      <c r="AI94" s="393">
        <v>1.1330962160212099</v>
      </c>
      <c r="AJ94" s="393">
        <v>1.13312460524466</v>
      </c>
      <c r="AK94" s="393">
        <v>107.965536946417</v>
      </c>
      <c r="AL94" s="393">
        <v>63890.957155174503</v>
      </c>
      <c r="AM94" s="393">
        <v>2300.12622070312</v>
      </c>
      <c r="AN94" s="393">
        <v>0.32079727851846401</v>
      </c>
      <c r="AO94" s="393">
        <v>-110.651856203709</v>
      </c>
      <c r="AP94" s="393">
        <v>1.1330969313146899</v>
      </c>
      <c r="AQ94" s="393">
        <v>1.13308023339675</v>
      </c>
      <c r="AR94" s="393">
        <v>107.94482599243</v>
      </c>
      <c r="AS94" s="393">
        <v>63891.911036941099</v>
      </c>
      <c r="AT94" s="393">
        <v>2300.1171875</v>
      </c>
      <c r="AU94" s="393">
        <v>0.321727490619099</v>
      </c>
      <c r="AV94" s="393">
        <v>-110.663446336316</v>
      </c>
      <c r="AW94" s="393">
        <v>1.1330982761859401</v>
      </c>
      <c r="AX94" s="393">
        <v>1.1328789146934399</v>
      </c>
      <c r="AY94" s="393">
        <v>107.95128672544099</v>
      </c>
      <c r="AZ94" s="393">
        <v>63891.655705462399</v>
      </c>
      <c r="BA94" s="393">
        <v>2300.11840820312</v>
      </c>
      <c r="BB94" s="393">
        <v>0.32327794639792301</v>
      </c>
      <c r="BC94" s="393">
        <v>-110.43349060892101</v>
      </c>
      <c r="BD94" s="393">
        <v>1.1330969270305</v>
      </c>
      <c r="BE94" s="393">
        <v>1.1336188296946099</v>
      </c>
      <c r="BF94" s="393">
        <v>107.95034672175299</v>
      </c>
      <c r="BG94" s="393">
        <v>63891.467845052102</v>
      </c>
      <c r="BH94" s="393">
        <v>2300.11840820312</v>
      </c>
      <c r="BI94" s="393">
        <v>0.323409280920673</v>
      </c>
      <c r="BJ94" s="393">
        <v>-110.708140025475</v>
      </c>
      <c r="BK94" s="393">
        <v>1.1330967792295901</v>
      </c>
      <c r="BL94" s="393">
        <v>1.13325034833145</v>
      </c>
      <c r="BM94" s="393">
        <v>107.939659013507</v>
      </c>
      <c r="BN94" s="393">
        <v>63891.690752192</v>
      </c>
      <c r="BO94" s="393">
        <v>2300.11181640625</v>
      </c>
      <c r="BP94" s="393"/>
      <c r="BQ94" s="393"/>
      <c r="BR94" s="393"/>
      <c r="BS94" s="393"/>
      <c r="BT94" s="393"/>
      <c r="BU94" s="393"/>
      <c r="BV94" s="393"/>
      <c r="BW94" s="393">
        <v>2300.0575100000001</v>
      </c>
      <c r="BX94" s="393">
        <v>3.8508314000000002E-2</v>
      </c>
      <c r="BY94" s="393">
        <v>229.99687710000001</v>
      </c>
      <c r="BZ94" s="393">
        <v>10.000385769999999</v>
      </c>
      <c r="CA94" s="393">
        <v>-9.5926500000000005E-4</v>
      </c>
      <c r="CB94" s="393">
        <v>2.9915319999999999E-3</v>
      </c>
      <c r="CC94" s="393">
        <v>1.7654680000000001E-3</v>
      </c>
      <c r="CD94" s="399">
        <v>6.8812699999999999E-5</v>
      </c>
      <c r="CE94" s="399">
        <v>1.1143499999999999E-5</v>
      </c>
      <c r="CF94" s="399">
        <v>4.39787E-5</v>
      </c>
      <c r="CG94" s="393">
        <v>1.643601E-3</v>
      </c>
      <c r="CH94" s="393">
        <v>2.2609800000000001E-3</v>
      </c>
      <c r="CI94" s="393">
        <v>19.855502349999998</v>
      </c>
      <c r="CJ94" s="393">
        <v>2.0836004039999998</v>
      </c>
      <c r="CK94" s="393">
        <v>4.7109789999999997E-3</v>
      </c>
      <c r="CL94" s="393">
        <v>1</v>
      </c>
      <c r="CM94" s="393">
        <v>22.998800490000001</v>
      </c>
      <c r="CN94" s="399">
        <v>5.06728E-5</v>
      </c>
      <c r="CO94" s="393">
        <v>100001.6436</v>
      </c>
      <c r="CP94" s="393">
        <v>0</v>
      </c>
      <c r="CQ94" s="393">
        <v>0</v>
      </c>
      <c r="CR94" s="393">
        <v>109.125</v>
      </c>
      <c r="CS94" s="393">
        <v>23.550692810000001</v>
      </c>
      <c r="CT94" s="393">
        <v>0.32292858499999999</v>
      </c>
      <c r="CU94" s="393"/>
      <c r="CV94" s="393"/>
      <c r="CW94" s="393"/>
      <c r="CX94" s="393"/>
      <c r="CY94" s="393"/>
      <c r="CZ94" s="393"/>
      <c r="DA94" s="393"/>
    </row>
    <row r="95" spans="1:105" x14ac:dyDescent="0.2">
      <c r="A95" s="366">
        <f>ROW()</f>
        <v>95</v>
      </c>
      <c r="B95" s="367" t="s">
        <v>50</v>
      </c>
      <c r="C95" s="368">
        <v>10</v>
      </c>
      <c r="D95" s="368">
        <v>230</v>
      </c>
      <c r="E95" s="367">
        <v>0</v>
      </c>
      <c r="F95" s="441">
        <v>230</v>
      </c>
      <c r="G95" s="369" t="s">
        <v>131</v>
      </c>
      <c r="H95" s="370">
        <v>2</v>
      </c>
      <c r="I95" s="367">
        <v>50</v>
      </c>
      <c r="J95" s="371">
        <v>10</v>
      </c>
      <c r="K95" s="372">
        <v>5</v>
      </c>
      <c r="L95" s="482">
        <v>100000</v>
      </c>
      <c r="M95" s="443" t="s">
        <v>535</v>
      </c>
      <c r="N95" s="726">
        <f t="shared" si="2"/>
        <v>1.6327966805453765E-3</v>
      </c>
      <c r="O95" s="370">
        <v>6</v>
      </c>
      <c r="P95" s="66">
        <v>123</v>
      </c>
      <c r="Q95" s="220"/>
      <c r="R95" s="402"/>
      <c r="S95" s="402">
        <v>229.99684500000001</v>
      </c>
      <c r="T95" s="395">
        <v>10.000404959999999</v>
      </c>
      <c r="U95" s="402">
        <v>-9.1681100000000001E-4</v>
      </c>
      <c r="V95" s="395">
        <v>1</v>
      </c>
      <c r="W95" s="400">
        <v>1.2752709999999999E-3</v>
      </c>
      <c r="X95" s="400">
        <v>4.7013949999999997E-3</v>
      </c>
      <c r="Y95" s="402">
        <v>2.0849435820000002</v>
      </c>
      <c r="Z95" s="409">
        <v>100001.27529999999</v>
      </c>
      <c r="AA95" s="396">
        <v>42034.535636574074</v>
      </c>
      <c r="AB95" s="393">
        <v>50</v>
      </c>
      <c r="AC95" s="393">
        <v>0.8828125</v>
      </c>
      <c r="AD95" s="393" t="s">
        <v>134</v>
      </c>
      <c r="AE95" s="393">
        <v>0</v>
      </c>
      <c r="AF95" s="393" t="s">
        <v>133</v>
      </c>
      <c r="AG95" s="393">
        <v>0.321739734637354</v>
      </c>
      <c r="AH95" s="393">
        <v>-110.74514060606</v>
      </c>
      <c r="AI95" s="393">
        <v>1.1330976747005399</v>
      </c>
      <c r="AJ95" s="393">
        <v>1.1333069351392</v>
      </c>
      <c r="AK95" s="393">
        <v>107.95254002844</v>
      </c>
      <c r="AL95" s="393">
        <v>63891.624246250598</v>
      </c>
      <c r="AM95" s="393">
        <v>2300.11254882812</v>
      </c>
      <c r="AN95" s="393">
        <v>0.32099728860888799</v>
      </c>
      <c r="AO95" s="393">
        <v>-110.84421676926701</v>
      </c>
      <c r="AP95" s="393">
        <v>1.13309644719979</v>
      </c>
      <c r="AQ95" s="393">
        <v>1.1329975302891799</v>
      </c>
      <c r="AR95" s="393">
        <v>107.998051985017</v>
      </c>
      <c r="AS95" s="393">
        <v>63891.492003719402</v>
      </c>
      <c r="AT95" s="393">
        <v>2300.10986328125</v>
      </c>
      <c r="AU95" s="393">
        <v>0.320989162727635</v>
      </c>
      <c r="AV95" s="393">
        <v>-110.74450648219</v>
      </c>
      <c r="AW95" s="393">
        <v>1.1330966409365499</v>
      </c>
      <c r="AX95" s="393">
        <v>1.13297926996457</v>
      </c>
      <c r="AY95" s="393">
        <v>107.924675901699</v>
      </c>
      <c r="AZ95" s="393">
        <v>63891.096337905699</v>
      </c>
      <c r="BA95" s="393">
        <v>2300.11547851562</v>
      </c>
      <c r="BB95" s="393">
        <v>0.321889254853089</v>
      </c>
      <c r="BC95" s="393">
        <v>-110.733252996163</v>
      </c>
      <c r="BD95" s="393">
        <v>1.13309675461022</v>
      </c>
      <c r="BE95" s="393">
        <v>1.1334225841441501</v>
      </c>
      <c r="BF95" s="393">
        <v>107.925509970354</v>
      </c>
      <c r="BG95" s="393">
        <v>63891.448171453398</v>
      </c>
      <c r="BH95" s="393">
        <v>2300.12255859375</v>
      </c>
      <c r="BI95" s="393">
        <v>0.321357373981907</v>
      </c>
      <c r="BJ95" s="393">
        <v>-110.735514003674</v>
      </c>
      <c r="BK95" s="393">
        <v>1.13309681929271</v>
      </c>
      <c r="BL95" s="393">
        <v>1.1331920987205</v>
      </c>
      <c r="BM95" s="393">
        <v>107.939988326464</v>
      </c>
      <c r="BN95" s="393">
        <v>63891.4134485943</v>
      </c>
      <c r="BO95" s="393">
        <v>2300.11450195312</v>
      </c>
      <c r="BP95" s="393"/>
      <c r="BQ95" s="393"/>
      <c r="BR95" s="393"/>
      <c r="BS95" s="393"/>
      <c r="BT95" s="393"/>
      <c r="BU95" s="393"/>
      <c r="BV95" s="393"/>
      <c r="BW95" s="393">
        <v>2300.0616020000002</v>
      </c>
      <c r="BX95" s="393">
        <v>3.6804143999999997E-2</v>
      </c>
      <c r="BY95" s="393">
        <v>229.99684500000001</v>
      </c>
      <c r="BZ95" s="393">
        <v>10.000404959999999</v>
      </c>
      <c r="CA95" s="393">
        <v>-9.1681100000000001E-4</v>
      </c>
      <c r="CB95" s="393">
        <v>7.7792900000000001E-4</v>
      </c>
      <c r="CC95" s="393">
        <v>7.9479599999999996E-4</v>
      </c>
      <c r="CD95" s="399">
        <v>4.2921699999999999E-5</v>
      </c>
      <c r="CE95" s="399">
        <v>3.1741900000000002E-6</v>
      </c>
      <c r="CF95" s="399">
        <v>1.9798900000000001E-5</v>
      </c>
      <c r="CG95" s="393">
        <v>1.2752709999999999E-3</v>
      </c>
      <c r="CH95" s="393">
        <v>2.2549269999999999E-3</v>
      </c>
      <c r="CI95" s="393">
        <v>19.650430870000001</v>
      </c>
      <c r="CJ95" s="393">
        <v>2.0849435820000002</v>
      </c>
      <c r="CK95" s="393">
        <v>4.7013949999999997E-3</v>
      </c>
      <c r="CL95" s="393">
        <v>1</v>
      </c>
      <c r="CM95" s="393">
        <v>22.998753140000002</v>
      </c>
      <c r="CN95" s="399">
        <v>2.03593E-5</v>
      </c>
      <c r="CO95" s="393">
        <v>100001.27529999999</v>
      </c>
      <c r="CP95" s="393">
        <v>0</v>
      </c>
      <c r="CQ95" s="393">
        <v>0</v>
      </c>
      <c r="CR95" s="393">
        <v>109.125</v>
      </c>
      <c r="CS95" s="393">
        <v>23.550692810000001</v>
      </c>
      <c r="CT95" s="393">
        <v>0.32292858499999999</v>
      </c>
      <c r="CU95" s="393"/>
      <c r="CV95" s="393"/>
      <c r="CW95" s="393"/>
      <c r="CX95" s="393"/>
      <c r="CY95" s="393"/>
      <c r="CZ95" s="393"/>
      <c r="DA95" s="393"/>
    </row>
    <row r="96" spans="1:105" x14ac:dyDescent="0.2">
      <c r="A96" s="366">
        <f>ROW()</f>
        <v>96</v>
      </c>
      <c r="B96" s="367" t="s">
        <v>50</v>
      </c>
      <c r="C96" s="368">
        <v>10</v>
      </c>
      <c r="D96" s="368">
        <v>230</v>
      </c>
      <c r="E96" s="367">
        <v>-60</v>
      </c>
      <c r="F96" s="441">
        <v>230</v>
      </c>
      <c r="G96" s="369" t="s">
        <v>131</v>
      </c>
      <c r="H96" s="370">
        <v>2</v>
      </c>
      <c r="I96" s="367">
        <v>50</v>
      </c>
      <c r="J96" s="371">
        <v>10</v>
      </c>
      <c r="K96" s="372">
        <v>5</v>
      </c>
      <c r="L96" s="482">
        <v>100000</v>
      </c>
      <c r="M96" s="443" t="s">
        <v>535</v>
      </c>
      <c r="N96" s="726">
        <f t="shared" si="2"/>
        <v>2.5818646362658127E-3</v>
      </c>
      <c r="O96" s="370">
        <v>6</v>
      </c>
      <c r="P96" s="66">
        <v>123</v>
      </c>
      <c r="Q96" s="220"/>
      <c r="R96" s="402"/>
      <c r="S96" s="402">
        <v>229.99681409999999</v>
      </c>
      <c r="T96" s="395">
        <v>10.00005275</v>
      </c>
      <c r="U96" s="402">
        <v>-59.99859412</v>
      </c>
      <c r="V96" s="395">
        <v>0.50002124999999997</v>
      </c>
      <c r="W96" s="400">
        <v>-6.8609939999999996E-3</v>
      </c>
      <c r="X96" s="400">
        <v>8.5271189999999997E-3</v>
      </c>
      <c r="Y96" s="402">
        <v>2.0517052730000001</v>
      </c>
      <c r="Z96" s="409">
        <v>99993.139009999999</v>
      </c>
      <c r="AA96" s="396">
        <v>42034.538553240738</v>
      </c>
      <c r="AB96" s="393">
        <v>49.999985849893399</v>
      </c>
      <c r="AC96" s="393">
        <v>0.44140625</v>
      </c>
      <c r="AD96" s="393" t="s">
        <v>134</v>
      </c>
      <c r="AE96" s="393">
        <v>0.7529296875</v>
      </c>
      <c r="AF96" s="393" t="s">
        <v>133</v>
      </c>
      <c r="AG96" s="393">
        <v>0.20866395572459401</v>
      </c>
      <c r="AH96" s="393">
        <v>-19.376385121397298</v>
      </c>
      <c r="AI96" s="393">
        <v>1.13309508255155</v>
      </c>
      <c r="AJ96" s="393">
        <v>1.1328653991490401</v>
      </c>
      <c r="AK96" s="393">
        <v>107.93281206688199</v>
      </c>
      <c r="AL96" s="393">
        <v>31942.684811419698</v>
      </c>
      <c r="AM96" s="393">
        <v>1149.97387695312</v>
      </c>
      <c r="AN96" s="393">
        <v>0.21090802210550999</v>
      </c>
      <c r="AO96" s="393">
        <v>-19.319913149071699</v>
      </c>
      <c r="AP96" s="393">
        <v>1.13309618754754</v>
      </c>
      <c r="AQ96" s="393">
        <v>1.13333845019232</v>
      </c>
      <c r="AR96" s="393">
        <v>107.966488584316</v>
      </c>
      <c r="AS96" s="393">
        <v>31943.720224819401</v>
      </c>
      <c r="AT96" s="393">
        <v>1149.96716308594</v>
      </c>
      <c r="AU96" s="393">
        <v>0.209105092695371</v>
      </c>
      <c r="AV96" s="393">
        <v>-19.063298572734901</v>
      </c>
      <c r="AW96" s="393">
        <v>1.13309804210314</v>
      </c>
      <c r="AX96" s="393">
        <v>1.1327522786667901</v>
      </c>
      <c r="AY96" s="393">
        <v>107.94580204307201</v>
      </c>
      <c r="AZ96" s="393">
        <v>31943.815189434601</v>
      </c>
      <c r="BA96" s="393">
        <v>1149.96887207031</v>
      </c>
      <c r="BB96" s="393">
        <v>0.207939556126706</v>
      </c>
      <c r="BC96" s="393">
        <v>-19.073180006503598</v>
      </c>
      <c r="BD96" s="393">
        <v>1.1330982825629801</v>
      </c>
      <c r="BE96" s="393">
        <v>1.1327113706920799</v>
      </c>
      <c r="BF96" s="393">
        <v>107.945035585987</v>
      </c>
      <c r="BG96" s="393">
        <v>31943.436316788</v>
      </c>
      <c r="BH96" s="393">
        <v>1149.97534179688</v>
      </c>
      <c r="BI96" s="393">
        <v>0.208354128552906</v>
      </c>
      <c r="BJ96" s="393">
        <v>-19.660962533507298</v>
      </c>
      <c r="BK96" s="393">
        <v>1.1330959825307101</v>
      </c>
      <c r="BL96" s="393">
        <v>1.1331436051058801</v>
      </c>
      <c r="BM96" s="393">
        <v>107.968616542265</v>
      </c>
      <c r="BN96" s="393">
        <v>31943.025859738998</v>
      </c>
      <c r="BO96" s="393">
        <v>1149.97290039062</v>
      </c>
      <c r="BP96" s="393"/>
      <c r="BQ96" s="393"/>
      <c r="BR96" s="393"/>
      <c r="BS96" s="393"/>
      <c r="BT96" s="393"/>
      <c r="BU96" s="393"/>
      <c r="BV96" s="393"/>
      <c r="BW96" s="393">
        <v>1150.0390170000001</v>
      </c>
      <c r="BX96" s="393">
        <v>1991.813138</v>
      </c>
      <c r="BY96" s="393">
        <v>229.99681409999999</v>
      </c>
      <c r="BZ96" s="393">
        <v>10.00005275</v>
      </c>
      <c r="CA96" s="393">
        <v>-59.99859412</v>
      </c>
      <c r="CB96" s="393">
        <v>2.9970140000000001E-3</v>
      </c>
      <c r="CC96" s="393">
        <v>2.9396209999999999E-3</v>
      </c>
      <c r="CD96" s="393">
        <v>1.25943E-4</v>
      </c>
      <c r="CE96" s="399">
        <v>1.18107E-5</v>
      </c>
      <c r="CF96" s="399">
        <v>5.2111100000000003E-5</v>
      </c>
      <c r="CG96" s="393">
        <v>-6.8609939999999996E-3</v>
      </c>
      <c r="CH96" s="393">
        <v>4.1561130000000003E-3</v>
      </c>
      <c r="CI96" s="393">
        <v>26.49978127</v>
      </c>
      <c r="CJ96" s="393">
        <v>2.0517052730000001</v>
      </c>
      <c r="CK96" s="393">
        <v>8.5271189999999997E-3</v>
      </c>
      <c r="CL96" s="393">
        <v>0.50002124999999997</v>
      </c>
      <c r="CM96" s="393">
        <v>22.999560089999999</v>
      </c>
      <c r="CN96" s="399">
        <v>4.8386600000000002E-5</v>
      </c>
      <c r="CO96" s="393">
        <v>99993.139009999999</v>
      </c>
      <c r="CP96" s="393">
        <v>0</v>
      </c>
      <c r="CQ96" s="393">
        <v>0</v>
      </c>
      <c r="CR96" s="393">
        <v>109.124</v>
      </c>
      <c r="CS96" s="393">
        <v>23.54811617</v>
      </c>
      <c r="CT96" s="393">
        <v>0.32292869000000002</v>
      </c>
      <c r="CU96" s="393"/>
      <c r="CV96" s="393"/>
      <c r="CW96" s="393"/>
      <c r="CX96" s="393"/>
      <c r="CY96" s="393"/>
      <c r="CZ96" s="393"/>
      <c r="DA96" s="393"/>
    </row>
    <row r="97" spans="1:105" x14ac:dyDescent="0.2">
      <c r="A97" s="366">
        <f>ROW()</f>
        <v>97</v>
      </c>
      <c r="B97" s="367" t="s">
        <v>50</v>
      </c>
      <c r="C97" s="368">
        <v>10</v>
      </c>
      <c r="D97" s="368">
        <v>230</v>
      </c>
      <c r="E97" s="367">
        <v>-60</v>
      </c>
      <c r="F97" s="441">
        <v>230</v>
      </c>
      <c r="G97" s="369" t="s">
        <v>131</v>
      </c>
      <c r="H97" s="370">
        <v>2</v>
      </c>
      <c r="I97" s="367">
        <v>50</v>
      </c>
      <c r="J97" s="371">
        <v>10</v>
      </c>
      <c r="K97" s="372">
        <v>5</v>
      </c>
      <c r="L97" s="482">
        <v>100000</v>
      </c>
      <c r="M97" s="443" t="s">
        <v>535</v>
      </c>
      <c r="N97" s="726">
        <f t="shared" si="2"/>
        <v>2.5818646362658127E-3</v>
      </c>
      <c r="O97" s="370">
        <v>6</v>
      </c>
      <c r="P97" s="66">
        <v>123</v>
      </c>
      <c r="Q97" s="220"/>
      <c r="R97" s="402"/>
      <c r="S97" s="402">
        <v>229.99689810000001</v>
      </c>
      <c r="T97" s="395">
        <v>10.00000058</v>
      </c>
      <c r="U97" s="402">
        <v>-59.99839549</v>
      </c>
      <c r="V97" s="395">
        <v>0.500024252</v>
      </c>
      <c r="W97" s="400">
        <v>-4.9451790000000001E-3</v>
      </c>
      <c r="X97" s="400">
        <v>8.6204509999999995E-3</v>
      </c>
      <c r="Y97" s="402">
        <v>2.047962595</v>
      </c>
      <c r="Z97" s="409">
        <v>99995.054820000005</v>
      </c>
      <c r="AA97" s="396">
        <v>42034.54146990741</v>
      </c>
      <c r="AB97" s="393">
        <v>49.9996981177256</v>
      </c>
      <c r="AC97" s="393">
        <v>0.44140625</v>
      </c>
      <c r="AD97" s="393" t="s">
        <v>134</v>
      </c>
      <c r="AE97" s="393">
        <v>0.7529296875</v>
      </c>
      <c r="AF97" s="393" t="s">
        <v>133</v>
      </c>
      <c r="AG97" s="393">
        <v>0.208656977118409</v>
      </c>
      <c r="AH97" s="393">
        <v>-18.990182056804901</v>
      </c>
      <c r="AI97" s="393">
        <v>1.13309656873209</v>
      </c>
      <c r="AJ97" s="393">
        <v>1.1332706399016299</v>
      </c>
      <c r="AK97" s="393">
        <v>107.946437208643</v>
      </c>
      <c r="AL97" s="393">
        <v>31943.899685437798</v>
      </c>
      <c r="AM97" s="393">
        <v>1149.97058105469</v>
      </c>
      <c r="AN97" s="393">
        <v>0.20939929942451799</v>
      </c>
      <c r="AO97" s="393">
        <v>-19.388597563569</v>
      </c>
      <c r="AP97" s="393">
        <v>1.1330965940181901</v>
      </c>
      <c r="AQ97" s="393">
        <v>1.13283471874147</v>
      </c>
      <c r="AR97" s="393">
        <v>107.954736923845</v>
      </c>
      <c r="AS97" s="393">
        <v>31944.8807206075</v>
      </c>
      <c r="AT97" s="393">
        <v>1149.97570800781</v>
      </c>
      <c r="AU97" s="393">
        <v>0.20863649294578501</v>
      </c>
      <c r="AV97" s="393">
        <v>-19.685127812901602</v>
      </c>
      <c r="AW97" s="393">
        <v>1.1330981807720499</v>
      </c>
      <c r="AX97" s="393">
        <v>1.1328174172724099</v>
      </c>
      <c r="AY97" s="393">
        <v>107.937760325909</v>
      </c>
      <c r="AZ97" s="393">
        <v>31943.356110395602</v>
      </c>
      <c r="BA97" s="393">
        <v>1149.97253417969</v>
      </c>
      <c r="BB97" s="393">
        <v>0.206853611328674</v>
      </c>
      <c r="BC97" s="393">
        <v>-19.235049325319299</v>
      </c>
      <c r="BD97" s="393">
        <v>1.1330981029071601</v>
      </c>
      <c r="BE97" s="393">
        <v>1.13278066962082</v>
      </c>
      <c r="BF97" s="393">
        <v>107.950663118861</v>
      </c>
      <c r="BG97" s="393">
        <v>31943.626492093201</v>
      </c>
      <c r="BH97" s="393">
        <v>1149.96923828125</v>
      </c>
      <c r="BI97" s="393">
        <v>0.209493204453263</v>
      </c>
      <c r="BJ97" s="393">
        <v>-19.158913054689499</v>
      </c>
      <c r="BK97" s="393">
        <v>1.1330961985134</v>
      </c>
      <c r="BL97" s="393">
        <v>1.1328445160882299</v>
      </c>
      <c r="BM97" s="393">
        <v>107.929052542127</v>
      </c>
      <c r="BN97" s="393">
        <v>31944.163565832499</v>
      </c>
      <c r="BO97" s="393">
        <v>1149.96850585938</v>
      </c>
      <c r="BP97" s="393"/>
      <c r="BQ97" s="393"/>
      <c r="BR97" s="393"/>
      <c r="BS97" s="393"/>
      <c r="BT97" s="393"/>
      <c r="BU97" s="393"/>
      <c r="BV97" s="393"/>
      <c r="BW97" s="393">
        <v>1150.0403429999999</v>
      </c>
      <c r="BX97" s="393">
        <v>1991.7994880000001</v>
      </c>
      <c r="BY97" s="393">
        <v>229.99689810000001</v>
      </c>
      <c r="BZ97" s="393">
        <v>10.00000058</v>
      </c>
      <c r="CA97" s="393">
        <v>-59.99839549</v>
      </c>
      <c r="CB97" s="393">
        <v>1.70246E-3</v>
      </c>
      <c r="CC97" s="393">
        <v>1.2675640000000001E-3</v>
      </c>
      <c r="CD97" s="399">
        <v>8.5145500000000007E-5</v>
      </c>
      <c r="CE97" s="399">
        <v>5.3306700000000001E-6</v>
      </c>
      <c r="CF97" s="399">
        <v>5.1245200000000002E-5</v>
      </c>
      <c r="CG97" s="393">
        <v>-4.9451790000000001E-3</v>
      </c>
      <c r="CH97" s="393">
        <v>4.209282E-3</v>
      </c>
      <c r="CI97" s="393">
        <v>27.596639060000001</v>
      </c>
      <c r="CJ97" s="393">
        <v>2.047962595</v>
      </c>
      <c r="CK97" s="393">
        <v>8.6204509999999995E-3</v>
      </c>
      <c r="CL97" s="393">
        <v>0.500024252</v>
      </c>
      <c r="CM97" s="393">
        <v>22.999688469999999</v>
      </c>
      <c r="CN97" s="399">
        <v>4.57341E-5</v>
      </c>
      <c r="CO97" s="393">
        <v>99995.054820000005</v>
      </c>
      <c r="CP97" s="393">
        <v>0</v>
      </c>
      <c r="CQ97" s="393">
        <v>0</v>
      </c>
      <c r="CR97" s="393">
        <v>109.127</v>
      </c>
      <c r="CS97" s="393">
        <v>23.5558461</v>
      </c>
      <c r="CT97" s="393">
        <v>0.32292837499999999</v>
      </c>
      <c r="CU97" s="393"/>
      <c r="CV97" s="393"/>
      <c r="CW97" s="393"/>
      <c r="CX97" s="393"/>
      <c r="CY97" s="393"/>
      <c r="CZ97" s="393"/>
      <c r="DA97" s="393"/>
    </row>
    <row r="98" spans="1:105" x14ac:dyDescent="0.2">
      <c r="A98" s="366">
        <f>ROW()</f>
        <v>98</v>
      </c>
      <c r="B98" s="367" t="s">
        <v>50</v>
      </c>
      <c r="C98" s="368">
        <v>10</v>
      </c>
      <c r="D98" s="368">
        <v>230</v>
      </c>
      <c r="E98" s="367">
        <v>-60</v>
      </c>
      <c r="F98" s="441">
        <v>230</v>
      </c>
      <c r="G98" s="369" t="s">
        <v>131</v>
      </c>
      <c r="H98" s="370">
        <v>2</v>
      </c>
      <c r="I98" s="367">
        <v>50</v>
      </c>
      <c r="J98" s="371">
        <v>10</v>
      </c>
      <c r="K98" s="372">
        <v>5</v>
      </c>
      <c r="L98" s="482">
        <v>100000</v>
      </c>
      <c r="M98" s="443" t="s">
        <v>535</v>
      </c>
      <c r="N98" s="726">
        <f t="shared" si="2"/>
        <v>2.5818646362658127E-3</v>
      </c>
      <c r="O98" s="370">
        <v>6</v>
      </c>
      <c r="P98" s="66">
        <v>123</v>
      </c>
      <c r="Q98" s="220"/>
      <c r="R98" s="402"/>
      <c r="S98" s="402">
        <v>229.99693769999999</v>
      </c>
      <c r="T98" s="395">
        <v>10.000093010000001</v>
      </c>
      <c r="U98" s="402">
        <v>-59.998738529999997</v>
      </c>
      <c r="V98" s="395">
        <v>0.50001906699999998</v>
      </c>
      <c r="W98" s="400">
        <v>-6.3493489999999998E-3</v>
      </c>
      <c r="X98" s="400">
        <v>8.5107380000000003E-3</v>
      </c>
      <c r="Y98" s="402">
        <v>2.052492923</v>
      </c>
      <c r="Z98" s="409">
        <v>99993.650649999996</v>
      </c>
      <c r="AA98" s="396">
        <v>42034.544386574074</v>
      </c>
      <c r="AB98" s="393">
        <v>50.000466993518302</v>
      </c>
      <c r="AC98" s="393">
        <v>0.44140625</v>
      </c>
      <c r="AD98" s="393" t="s">
        <v>134</v>
      </c>
      <c r="AE98" s="393">
        <v>0.7529296875</v>
      </c>
      <c r="AF98" s="393" t="s">
        <v>133</v>
      </c>
      <c r="AG98" s="393">
        <v>0.20897765685599001</v>
      </c>
      <c r="AH98" s="393">
        <v>-19.525251977845301</v>
      </c>
      <c r="AI98" s="393">
        <v>1.1330975660187399</v>
      </c>
      <c r="AJ98" s="393">
        <v>1.13320071628665</v>
      </c>
      <c r="AK98" s="393">
        <v>107.933461451856</v>
      </c>
      <c r="AL98" s="393">
        <v>31944.003081827501</v>
      </c>
      <c r="AM98" s="393">
        <v>1149.96850585938</v>
      </c>
      <c r="AN98" s="393">
        <v>0.20541045749071099</v>
      </c>
      <c r="AO98" s="393">
        <v>-19.387635589286599</v>
      </c>
      <c r="AP98" s="393">
        <v>1.13309827097541</v>
      </c>
      <c r="AQ98" s="393">
        <v>1.1328661226222301</v>
      </c>
      <c r="AR98" s="393">
        <v>107.942386288661</v>
      </c>
      <c r="AS98" s="393">
        <v>31943.686171880199</v>
      </c>
      <c r="AT98" s="393">
        <v>1149.96862792969</v>
      </c>
      <c r="AU98" s="393">
        <v>0.20787434932603099</v>
      </c>
      <c r="AV98" s="393">
        <v>-19.782834016144101</v>
      </c>
      <c r="AW98" s="393">
        <v>1.13309730029171</v>
      </c>
      <c r="AX98" s="393">
        <v>1.13256859635896</v>
      </c>
      <c r="AY98" s="393">
        <v>107.96919751440601</v>
      </c>
      <c r="AZ98" s="393">
        <v>31943.1557640678</v>
      </c>
      <c r="BA98" s="393">
        <v>1149.96655273438</v>
      </c>
      <c r="BB98" s="393">
        <v>0.20706406000643801</v>
      </c>
      <c r="BC98" s="393">
        <v>-19.171115440667901</v>
      </c>
      <c r="BD98" s="393">
        <v>1.13309642644903</v>
      </c>
      <c r="BE98" s="393">
        <v>1.1326731533568</v>
      </c>
      <c r="BF98" s="393">
        <v>107.942401868079</v>
      </c>
      <c r="BG98" s="393">
        <v>31943.431434182901</v>
      </c>
      <c r="BH98" s="393">
        <v>1149.97119140625</v>
      </c>
      <c r="BI98" s="393">
        <v>0.20776074238718401</v>
      </c>
      <c r="BJ98" s="393">
        <v>-19.254804740757901</v>
      </c>
      <c r="BK98" s="393">
        <v>1.13309705646701</v>
      </c>
      <c r="BL98" s="393">
        <v>1.13262220873492</v>
      </c>
      <c r="BM98" s="393">
        <v>107.945736742954</v>
      </c>
      <c r="BN98" s="393">
        <v>31943.254803282402</v>
      </c>
      <c r="BO98" s="393">
        <v>1149.96960449219</v>
      </c>
      <c r="BP98" s="393"/>
      <c r="BQ98" s="393"/>
      <c r="BR98" s="393"/>
      <c r="BS98" s="393"/>
      <c r="BT98" s="393"/>
      <c r="BU98" s="393"/>
      <c r="BV98" s="393"/>
      <c r="BW98" s="393">
        <v>1150.0392449999999</v>
      </c>
      <c r="BX98" s="393">
        <v>1991.825126</v>
      </c>
      <c r="BY98" s="393">
        <v>229.99693769999999</v>
      </c>
      <c r="BZ98" s="393">
        <v>10.000093010000001</v>
      </c>
      <c r="CA98" s="393">
        <v>-59.998738529999997</v>
      </c>
      <c r="CB98" s="393">
        <v>1.8991889999999999E-3</v>
      </c>
      <c r="CC98" s="393">
        <v>2.3466810000000002E-3</v>
      </c>
      <c r="CD98" s="399">
        <v>6.1462800000000004E-5</v>
      </c>
      <c r="CE98" s="399">
        <v>7.6572800000000007E-6</v>
      </c>
      <c r="CF98" s="399">
        <v>6.2747099999999994E-5</v>
      </c>
      <c r="CG98" s="393">
        <v>-6.3493489999999998E-3</v>
      </c>
      <c r="CH98" s="393">
        <v>4.1465369999999996E-3</v>
      </c>
      <c r="CI98" s="393">
        <v>26.28028729</v>
      </c>
      <c r="CJ98" s="393">
        <v>2.052492923</v>
      </c>
      <c r="CK98" s="393">
        <v>8.5107380000000003E-3</v>
      </c>
      <c r="CL98" s="393">
        <v>0.50001906699999998</v>
      </c>
      <c r="CM98" s="393">
        <v>22.999479839999999</v>
      </c>
      <c r="CN98" s="399">
        <v>4.5766400000000003E-5</v>
      </c>
      <c r="CO98" s="393">
        <v>99993.650649999996</v>
      </c>
      <c r="CP98" s="393">
        <v>0</v>
      </c>
      <c r="CQ98" s="393">
        <v>0</v>
      </c>
      <c r="CR98" s="393">
        <v>109.127</v>
      </c>
      <c r="CS98" s="393">
        <v>23.5558461</v>
      </c>
      <c r="CT98" s="393">
        <v>0.32292837499999999</v>
      </c>
      <c r="CU98" s="393"/>
      <c r="CV98" s="393"/>
      <c r="CW98" s="393"/>
      <c r="CX98" s="393"/>
      <c r="CY98" s="393"/>
      <c r="CZ98" s="393"/>
      <c r="DA98" s="393"/>
    </row>
    <row r="99" spans="1:105" x14ac:dyDescent="0.2">
      <c r="A99" s="366">
        <f>ROW()</f>
        <v>99</v>
      </c>
      <c r="B99" s="367" t="s">
        <v>50</v>
      </c>
      <c r="C99" s="368">
        <v>10</v>
      </c>
      <c r="D99" s="368">
        <v>230</v>
      </c>
      <c r="E99" s="367">
        <v>36.869999999999997</v>
      </c>
      <c r="F99" s="441">
        <v>230</v>
      </c>
      <c r="G99" s="369" t="s">
        <v>131</v>
      </c>
      <c r="H99" s="370">
        <v>2</v>
      </c>
      <c r="I99" s="367">
        <v>50</v>
      </c>
      <c r="J99" s="371">
        <v>10</v>
      </c>
      <c r="K99" s="372">
        <v>5</v>
      </c>
      <c r="L99" s="482">
        <v>100000</v>
      </c>
      <c r="M99" s="443" t="s">
        <v>535</v>
      </c>
      <c r="N99" s="726">
        <f t="shared" si="2"/>
        <v>1.8650819986527408E-3</v>
      </c>
      <c r="O99" s="370">
        <v>6</v>
      </c>
      <c r="P99" s="66">
        <v>123</v>
      </c>
      <c r="Q99" s="220"/>
      <c r="R99" s="402"/>
      <c r="S99" s="402">
        <v>229.99682530000001</v>
      </c>
      <c r="T99" s="395">
        <v>10.00008601</v>
      </c>
      <c r="U99" s="402">
        <v>36.867775600000002</v>
      </c>
      <c r="V99" s="395">
        <v>0.80002222099999998</v>
      </c>
      <c r="W99" s="400">
        <v>5.5057459999999997E-3</v>
      </c>
      <c r="X99" s="400">
        <v>5.6643739999999998E-3</v>
      </c>
      <c r="Y99" s="402">
        <v>2.056884154</v>
      </c>
      <c r="Z99" s="409">
        <v>100005.50569999999</v>
      </c>
      <c r="AA99" s="396">
        <v>42034.547303240739</v>
      </c>
      <c r="AB99" s="393">
        <v>50.000882096645697</v>
      </c>
      <c r="AC99" s="393">
        <v>0.7060546875</v>
      </c>
      <c r="AD99" s="393" t="s">
        <v>134</v>
      </c>
      <c r="AE99" s="393">
        <v>0.521484375</v>
      </c>
      <c r="AF99" s="393" t="s">
        <v>135</v>
      </c>
      <c r="AG99" s="393">
        <v>0.30351519848448399</v>
      </c>
      <c r="AH99" s="393">
        <v>-140.64131840042501</v>
      </c>
      <c r="AI99" s="393">
        <v>1.1330960824829399</v>
      </c>
      <c r="AJ99" s="393">
        <v>1.13303609067459</v>
      </c>
      <c r="AK99" s="393">
        <v>107.944411214903</v>
      </c>
      <c r="AL99" s="393">
        <v>51115.263762895302</v>
      </c>
      <c r="AM99" s="393">
        <v>1840.15173339844</v>
      </c>
      <c r="AN99" s="393">
        <v>0.30422491632783399</v>
      </c>
      <c r="AO99" s="393">
        <v>-140.69029685637</v>
      </c>
      <c r="AP99" s="393">
        <v>1.1330974936132301</v>
      </c>
      <c r="AQ99" s="393">
        <v>1.13292863582515</v>
      </c>
      <c r="AR99" s="393">
        <v>107.92726567605099</v>
      </c>
      <c r="AS99" s="393">
        <v>51115.314105729398</v>
      </c>
      <c r="AT99" s="393">
        <v>1840.14697265625</v>
      </c>
      <c r="AU99" s="393">
        <v>0.30477156377862302</v>
      </c>
      <c r="AV99" s="393">
        <v>-140.96857275181901</v>
      </c>
      <c r="AW99" s="393">
        <v>1.13309664268028</v>
      </c>
      <c r="AX99" s="393">
        <v>1.1327661911853999</v>
      </c>
      <c r="AY99" s="393">
        <v>107.958677315324</v>
      </c>
      <c r="AZ99" s="393">
        <v>51114.650176261297</v>
      </c>
      <c r="BA99" s="393">
        <v>1840.15502929688</v>
      </c>
      <c r="BB99" s="393">
        <v>0.30250185561279402</v>
      </c>
      <c r="BC99" s="393">
        <v>-140.57321857305899</v>
      </c>
      <c r="BD99" s="393">
        <v>1.13309620058838</v>
      </c>
      <c r="BE99" s="393">
        <v>1.1333126200372301</v>
      </c>
      <c r="BF99" s="393">
        <v>107.962514446282</v>
      </c>
      <c r="BG99" s="393">
        <v>51114.543635164497</v>
      </c>
      <c r="BH99" s="393">
        <v>1840.15185546875</v>
      </c>
      <c r="BI99" s="393">
        <v>0.30440409528925699</v>
      </c>
      <c r="BJ99" s="393">
        <v>-140.47681905539201</v>
      </c>
      <c r="BK99" s="393">
        <v>1.1330974345379099</v>
      </c>
      <c r="BL99" s="393">
        <v>1.1328161223767399</v>
      </c>
      <c r="BM99" s="393">
        <v>107.946221054695</v>
      </c>
      <c r="BN99" s="393">
        <v>51115.624935847998</v>
      </c>
      <c r="BO99" s="393">
        <v>1840.15148925781</v>
      </c>
      <c r="BP99" s="393"/>
      <c r="BQ99" s="393"/>
      <c r="BR99" s="393"/>
      <c r="BS99" s="393"/>
      <c r="BT99" s="393"/>
      <c r="BU99" s="393"/>
      <c r="BV99" s="393"/>
      <c r="BW99" s="393">
        <v>1840.0415479999999</v>
      </c>
      <c r="BX99" s="393">
        <v>1379.924681</v>
      </c>
      <c r="BY99" s="393">
        <v>229.99682530000001</v>
      </c>
      <c r="BZ99" s="393">
        <v>10.00008601</v>
      </c>
      <c r="CA99" s="393">
        <v>36.867775600000002</v>
      </c>
      <c r="CB99" s="393">
        <v>8.6230400000000004E-4</v>
      </c>
      <c r="CC99" s="393">
        <v>2.555982E-3</v>
      </c>
      <c r="CD99" s="399">
        <v>6.0532399999999997E-5</v>
      </c>
      <c r="CE99" s="399">
        <v>7.3564800000000001E-6</v>
      </c>
      <c r="CF99" s="399">
        <v>5.0649400000000003E-5</v>
      </c>
      <c r="CG99" s="393">
        <v>5.5057459999999997E-3</v>
      </c>
      <c r="CH99" s="393">
        <v>2.7538609999999998E-3</v>
      </c>
      <c r="CI99" s="393">
        <v>25.122208149999999</v>
      </c>
      <c r="CJ99" s="393">
        <v>2.056884154</v>
      </c>
      <c r="CK99" s="393">
        <v>5.6643739999999998E-3</v>
      </c>
      <c r="CL99" s="393">
        <v>0.80002222099999998</v>
      </c>
      <c r="CM99" s="393">
        <v>22.999484720000002</v>
      </c>
      <c r="CN99" s="399">
        <v>4.0708899999999999E-5</v>
      </c>
      <c r="CO99" s="393">
        <v>100005.50569999999</v>
      </c>
      <c r="CP99" s="393">
        <v>0</v>
      </c>
      <c r="CQ99" s="393">
        <v>0</v>
      </c>
      <c r="CR99" s="393">
        <v>109.124</v>
      </c>
      <c r="CS99" s="393">
        <v>23.54811617</v>
      </c>
      <c r="CT99" s="393">
        <v>0.32292869000000002</v>
      </c>
      <c r="CU99" s="393"/>
      <c r="CV99" s="393"/>
      <c r="CW99" s="393"/>
      <c r="CX99" s="393"/>
      <c r="CY99" s="393"/>
      <c r="CZ99" s="393"/>
      <c r="DA99" s="393"/>
    </row>
    <row r="100" spans="1:105" x14ac:dyDescent="0.2">
      <c r="A100" s="366">
        <f>ROW()</f>
        <v>100</v>
      </c>
      <c r="B100" s="367" t="s">
        <v>50</v>
      </c>
      <c r="C100" s="368">
        <v>10</v>
      </c>
      <c r="D100" s="368">
        <v>230</v>
      </c>
      <c r="E100" s="367">
        <v>36.869999999999997</v>
      </c>
      <c r="F100" s="441">
        <v>230</v>
      </c>
      <c r="G100" s="369" t="s">
        <v>131</v>
      </c>
      <c r="H100" s="370">
        <v>2</v>
      </c>
      <c r="I100" s="367">
        <v>50</v>
      </c>
      <c r="J100" s="371">
        <v>10</v>
      </c>
      <c r="K100" s="372">
        <v>5</v>
      </c>
      <c r="L100" s="482">
        <v>100000</v>
      </c>
      <c r="M100" s="443" t="s">
        <v>535</v>
      </c>
      <c r="N100" s="726">
        <f t="shared" si="2"/>
        <v>1.8650819986527408E-3</v>
      </c>
      <c r="O100" s="370">
        <v>6</v>
      </c>
      <c r="P100" s="66">
        <v>123</v>
      </c>
      <c r="Q100" s="220"/>
      <c r="R100" s="402"/>
      <c r="S100" s="402">
        <v>229.99673809999999</v>
      </c>
      <c r="T100" s="395">
        <v>10.000034530000001</v>
      </c>
      <c r="U100" s="402">
        <v>36.867418469999997</v>
      </c>
      <c r="V100" s="395">
        <v>0.80002596100000001</v>
      </c>
      <c r="W100" s="400">
        <v>4.9362269999999996E-3</v>
      </c>
      <c r="X100" s="400">
        <v>5.6069190000000001E-3</v>
      </c>
      <c r="Y100" s="402">
        <v>2.0615467430000001</v>
      </c>
      <c r="Z100" s="409">
        <v>100004.9362</v>
      </c>
      <c r="AA100" s="396">
        <v>42034.55023148148</v>
      </c>
      <c r="AB100" s="393">
        <v>50.000183971386001</v>
      </c>
      <c r="AC100" s="393">
        <v>0.7060546875</v>
      </c>
      <c r="AD100" s="393" t="s">
        <v>134</v>
      </c>
      <c r="AE100" s="393">
        <v>0.521484375</v>
      </c>
      <c r="AF100" s="393" t="s">
        <v>135</v>
      </c>
      <c r="AG100" s="393">
        <v>0.30238373629454901</v>
      </c>
      <c r="AH100" s="393">
        <v>-140.76068948330499</v>
      </c>
      <c r="AI100" s="393">
        <v>1.1330959030127301</v>
      </c>
      <c r="AJ100" s="393">
        <v>1.1333770845896101</v>
      </c>
      <c r="AK100" s="393">
        <v>107.961011927313</v>
      </c>
      <c r="AL100" s="393">
        <v>51114.865824493099</v>
      </c>
      <c r="AM100" s="393">
        <v>1840.15112304688</v>
      </c>
      <c r="AN100" s="393">
        <v>0.304132569542933</v>
      </c>
      <c r="AO100" s="393">
        <v>-140.58869366467101</v>
      </c>
      <c r="AP100" s="393">
        <v>1.13309650085057</v>
      </c>
      <c r="AQ100" s="393">
        <v>1.13310650444943</v>
      </c>
      <c r="AR100" s="393">
        <v>107.91710245396899</v>
      </c>
      <c r="AS100" s="393">
        <v>51114.666280345198</v>
      </c>
      <c r="AT100" s="393">
        <v>1840.15087890625</v>
      </c>
      <c r="AU100" s="393">
        <v>0.30413944403167698</v>
      </c>
      <c r="AV100" s="393">
        <v>-140.509133015776</v>
      </c>
      <c r="AW100" s="393">
        <v>1.13309678391576</v>
      </c>
      <c r="AX100" s="393">
        <v>1.1326827078525199</v>
      </c>
      <c r="AY100" s="393">
        <v>107.966279316753</v>
      </c>
      <c r="AZ100" s="393">
        <v>51114.9059130038</v>
      </c>
      <c r="BA100" s="393">
        <v>1840.1494140625</v>
      </c>
      <c r="BB100" s="393">
        <v>0.30388941530956798</v>
      </c>
      <c r="BC100" s="393">
        <v>-140.715633180629</v>
      </c>
      <c r="BD100" s="393">
        <v>1.13309660009589</v>
      </c>
      <c r="BE100" s="393">
        <v>1.13301339319823</v>
      </c>
      <c r="BF100" s="393">
        <v>107.953065504809</v>
      </c>
      <c r="BG100" s="393">
        <v>51114.760350999801</v>
      </c>
      <c r="BH100" s="393">
        <v>1840.15112304688</v>
      </c>
      <c r="BI100" s="393">
        <v>0.30554227699723802</v>
      </c>
      <c r="BJ100" s="393">
        <v>-140.876413297536</v>
      </c>
      <c r="BK100" s="393">
        <v>1.13309591589833</v>
      </c>
      <c r="BL100" s="393">
        <v>1.1331505166384599</v>
      </c>
      <c r="BM100" s="393">
        <v>107.940503098248</v>
      </c>
      <c r="BN100" s="393">
        <v>51114.524890029999</v>
      </c>
      <c r="BO100" s="393">
        <v>1840.15344238281</v>
      </c>
      <c r="BP100" s="393"/>
      <c r="BQ100" s="393"/>
      <c r="BR100" s="393"/>
      <c r="BS100" s="393"/>
      <c r="BT100" s="393"/>
      <c r="BU100" s="393"/>
      <c r="BV100" s="393"/>
      <c r="BW100" s="393">
        <v>1840.0399789999999</v>
      </c>
      <c r="BX100" s="393">
        <v>1379.905585</v>
      </c>
      <c r="BY100" s="393">
        <v>229.99673809999999</v>
      </c>
      <c r="BZ100" s="393">
        <v>10.000034530000001</v>
      </c>
      <c r="CA100" s="393">
        <v>36.867418469999997</v>
      </c>
      <c r="CB100" s="393">
        <v>1.679521E-3</v>
      </c>
      <c r="CC100" s="393">
        <v>1.856061E-3</v>
      </c>
      <c r="CD100" s="399">
        <v>3.6945500000000001E-5</v>
      </c>
      <c r="CE100" s="399">
        <v>5.3699799999999997E-6</v>
      </c>
      <c r="CF100" s="399">
        <v>5.7333200000000002E-5</v>
      </c>
      <c r="CG100" s="393">
        <v>4.9362269999999996E-3</v>
      </c>
      <c r="CH100" s="393">
        <v>2.719763E-3</v>
      </c>
      <c r="CI100" s="393">
        <v>24.00256529</v>
      </c>
      <c r="CJ100" s="393">
        <v>2.0615467430000001</v>
      </c>
      <c r="CK100" s="393">
        <v>5.6069190000000001E-3</v>
      </c>
      <c r="CL100" s="393">
        <v>0.80002596100000001</v>
      </c>
      <c r="CM100" s="393">
        <v>22.999594380000001</v>
      </c>
      <c r="CN100" s="399">
        <v>3.43091E-5</v>
      </c>
      <c r="CO100" s="393">
        <v>100004.9362</v>
      </c>
      <c r="CP100" s="393">
        <v>0</v>
      </c>
      <c r="CQ100" s="393">
        <v>0</v>
      </c>
      <c r="CR100" s="393">
        <v>109.123</v>
      </c>
      <c r="CS100" s="393">
        <v>23.545539529999999</v>
      </c>
      <c r="CT100" s="393">
        <v>0.32292879499999999</v>
      </c>
      <c r="CU100" s="393"/>
      <c r="CV100" s="393"/>
      <c r="CW100" s="393"/>
      <c r="CX100" s="393"/>
      <c r="CY100" s="393"/>
      <c r="CZ100" s="393"/>
      <c r="DA100" s="393"/>
    </row>
    <row r="101" spans="1:105" x14ac:dyDescent="0.2">
      <c r="A101" s="366">
        <f>ROW()</f>
        <v>101</v>
      </c>
      <c r="B101" s="367" t="s">
        <v>50</v>
      </c>
      <c r="C101" s="368">
        <v>10</v>
      </c>
      <c r="D101" s="368">
        <v>230</v>
      </c>
      <c r="E101" s="367">
        <v>36.869999999999997</v>
      </c>
      <c r="F101" s="441">
        <v>230</v>
      </c>
      <c r="G101" s="369" t="s">
        <v>131</v>
      </c>
      <c r="H101" s="370">
        <v>2</v>
      </c>
      <c r="I101" s="367">
        <v>50</v>
      </c>
      <c r="J101" s="371">
        <v>10</v>
      </c>
      <c r="K101" s="372">
        <v>5</v>
      </c>
      <c r="L101" s="482">
        <v>100000</v>
      </c>
      <c r="M101" s="443" t="s">
        <v>535</v>
      </c>
      <c r="N101" s="726">
        <f t="shared" si="2"/>
        <v>1.8650819986527408E-3</v>
      </c>
      <c r="O101" s="370">
        <v>6</v>
      </c>
      <c r="P101" s="66">
        <v>123</v>
      </c>
      <c r="Q101" s="220"/>
      <c r="R101" s="402"/>
      <c r="S101" s="402">
        <v>229.99669069999999</v>
      </c>
      <c r="T101" s="395">
        <v>10.00004236</v>
      </c>
      <c r="U101" s="402">
        <v>36.867437150000001</v>
      </c>
      <c r="V101" s="395">
        <v>0.80002576599999997</v>
      </c>
      <c r="W101" s="400">
        <v>5.8599630000000002E-3</v>
      </c>
      <c r="X101" s="400">
        <v>5.6255059999999997E-3</v>
      </c>
      <c r="Y101" s="402">
        <v>2.0598956039999998</v>
      </c>
      <c r="Z101" s="409">
        <v>100005.86</v>
      </c>
      <c r="AA101" s="396">
        <v>42034.553148148145</v>
      </c>
      <c r="AB101" s="393">
        <v>50.000438683304999</v>
      </c>
      <c r="AC101" s="393">
        <v>0.7060546875</v>
      </c>
      <c r="AD101" s="393" t="s">
        <v>134</v>
      </c>
      <c r="AE101" s="393">
        <v>0.521484375</v>
      </c>
      <c r="AF101" s="393" t="s">
        <v>135</v>
      </c>
      <c r="AG101" s="393">
        <v>0.30236749577795002</v>
      </c>
      <c r="AH101" s="393">
        <v>-140.39856087451301</v>
      </c>
      <c r="AI101" s="393">
        <v>1.1330965704696001</v>
      </c>
      <c r="AJ101" s="393">
        <v>1.1333888717520799</v>
      </c>
      <c r="AK101" s="393">
        <v>107.94073690432499</v>
      </c>
      <c r="AL101" s="393">
        <v>51115.301892467403</v>
      </c>
      <c r="AM101" s="393">
        <v>1840.15112304688</v>
      </c>
      <c r="AN101" s="393">
        <v>0.30411927711033199</v>
      </c>
      <c r="AO101" s="393">
        <v>-140.492869037443</v>
      </c>
      <c r="AP101" s="393">
        <v>1.13309610273581</v>
      </c>
      <c r="AQ101" s="393">
        <v>1.1330927773670101</v>
      </c>
      <c r="AR101" s="393">
        <v>107.949060261851</v>
      </c>
      <c r="AS101" s="393">
        <v>51115.600160413604</v>
      </c>
      <c r="AT101" s="393">
        <v>1840.15368652344</v>
      </c>
      <c r="AU101" s="393">
        <v>0.30424379467915103</v>
      </c>
      <c r="AV101" s="393">
        <v>-140.88318963250001</v>
      </c>
      <c r="AW101" s="393">
        <v>1.13309709037932</v>
      </c>
      <c r="AX101" s="393">
        <v>1.13304323653034</v>
      </c>
      <c r="AY101" s="393">
        <v>107.940369870946</v>
      </c>
      <c r="AZ101" s="393">
        <v>51115.024389502199</v>
      </c>
      <c r="BA101" s="393">
        <v>1840.15612792969</v>
      </c>
      <c r="BB101" s="393">
        <v>0.30302156447824902</v>
      </c>
      <c r="BC101" s="393">
        <v>-140.686606269408</v>
      </c>
      <c r="BD101" s="393">
        <v>1.1330956033326001</v>
      </c>
      <c r="BE101" s="393">
        <v>1.1334091305088401</v>
      </c>
      <c r="BF101" s="393">
        <v>107.95200499729199</v>
      </c>
      <c r="BG101" s="393">
        <v>51115.097484547099</v>
      </c>
      <c r="BH101" s="393">
        <v>1840.14733886719</v>
      </c>
      <c r="BI101" s="393">
        <v>0.303211931123125</v>
      </c>
      <c r="BJ101" s="393">
        <v>-140.71331821541</v>
      </c>
      <c r="BK101" s="393">
        <v>1.1330951704065</v>
      </c>
      <c r="BL101" s="393">
        <v>1.1329346220099401</v>
      </c>
      <c r="BM101" s="393">
        <v>107.956159844399</v>
      </c>
      <c r="BN101" s="393">
        <v>51115.145089408703</v>
      </c>
      <c r="BO101" s="393">
        <v>1840.14782714844</v>
      </c>
      <c r="BP101" s="393"/>
      <c r="BQ101" s="393"/>
      <c r="BR101" s="393"/>
      <c r="BS101" s="393"/>
      <c r="BT101" s="393"/>
      <c r="BU101" s="393"/>
      <c r="BV101" s="393"/>
      <c r="BW101" s="393">
        <v>1840.0405909999999</v>
      </c>
      <c r="BX101" s="393">
        <v>1379.9069810000001</v>
      </c>
      <c r="BY101" s="393">
        <v>229.99669069999999</v>
      </c>
      <c r="BZ101" s="393">
        <v>10.00004236</v>
      </c>
      <c r="CA101" s="393">
        <v>36.867437150000001</v>
      </c>
      <c r="CB101" s="393">
        <v>1.4272309999999999E-3</v>
      </c>
      <c r="CC101" s="393">
        <v>2.5575659999999998E-3</v>
      </c>
      <c r="CD101" s="399">
        <v>6.9023900000000002E-5</v>
      </c>
      <c r="CE101" s="399">
        <v>8.4303800000000001E-6</v>
      </c>
      <c r="CF101" s="399">
        <v>4.6415600000000003E-5</v>
      </c>
      <c r="CG101" s="393">
        <v>5.8599630000000002E-3</v>
      </c>
      <c r="CH101" s="393">
        <v>2.7309669999999999E-3</v>
      </c>
      <c r="CI101" s="393">
        <v>24.387062400000001</v>
      </c>
      <c r="CJ101" s="393">
        <v>2.0598956039999998</v>
      </c>
      <c r="CK101" s="393">
        <v>5.6255059999999997E-3</v>
      </c>
      <c r="CL101" s="393">
        <v>0.80002576599999997</v>
      </c>
      <c r="CM101" s="393">
        <v>22.999571639999999</v>
      </c>
      <c r="CN101" s="399">
        <v>4.1017699999999999E-5</v>
      </c>
      <c r="CO101" s="393">
        <v>100005.86</v>
      </c>
      <c r="CP101" s="393">
        <v>0</v>
      </c>
      <c r="CQ101" s="393">
        <v>0</v>
      </c>
      <c r="CR101" s="393">
        <v>109.128</v>
      </c>
      <c r="CS101" s="393">
        <v>23.558422749999998</v>
      </c>
      <c r="CT101" s="393">
        <v>0.32292827000000002</v>
      </c>
      <c r="CU101" s="393"/>
      <c r="CV101" s="393"/>
      <c r="CW101" s="393"/>
      <c r="CX101" s="393"/>
      <c r="CY101" s="393"/>
      <c r="CZ101" s="393"/>
      <c r="DA101" s="393"/>
    </row>
    <row r="102" spans="1:105" x14ac:dyDescent="0.2">
      <c r="A102" s="366">
        <f>ROW()</f>
        <v>102</v>
      </c>
      <c r="B102" s="367" t="s">
        <v>50</v>
      </c>
      <c r="C102" s="368">
        <v>6</v>
      </c>
      <c r="D102" s="368">
        <v>230</v>
      </c>
      <c r="E102" s="367">
        <v>-90</v>
      </c>
      <c r="F102" s="441">
        <v>230</v>
      </c>
      <c r="G102" s="369" t="s">
        <v>131</v>
      </c>
      <c r="H102" s="370">
        <v>2</v>
      </c>
      <c r="I102" s="367">
        <v>50</v>
      </c>
      <c r="J102" s="371">
        <v>10</v>
      </c>
      <c r="K102" s="372">
        <v>5</v>
      </c>
      <c r="L102" s="482">
        <v>100000</v>
      </c>
      <c r="M102" s="443" t="s">
        <v>49</v>
      </c>
      <c r="N102" s="726">
        <f t="shared" si="2"/>
        <v>4.0824043160862938E-3</v>
      </c>
      <c r="O102" s="370">
        <v>6</v>
      </c>
      <c r="P102" s="66">
        <v>123</v>
      </c>
      <c r="Q102" s="220"/>
      <c r="R102" s="402"/>
      <c r="S102" s="402">
        <v>229.9967092</v>
      </c>
      <c r="T102" s="395">
        <v>5.9998980780000002</v>
      </c>
      <c r="U102" s="402">
        <v>-90.000159409999995</v>
      </c>
      <c r="V102" s="395">
        <v>1</v>
      </c>
      <c r="W102" s="400">
        <v>2.9728070000000001E-3</v>
      </c>
      <c r="X102" s="400">
        <v>1.3796767999999999E-2</v>
      </c>
      <c r="Y102" s="402">
        <v>2.0826151500000001</v>
      </c>
      <c r="Z102" s="409">
        <v>100002.9728</v>
      </c>
      <c r="AA102" s="396">
        <v>42034.557164351849</v>
      </c>
      <c r="AB102" s="393">
        <v>50.000466993518302</v>
      </c>
      <c r="AC102" s="393">
        <v>0</v>
      </c>
      <c r="AD102" s="393" t="s">
        <v>132</v>
      </c>
      <c r="AE102" s="393">
        <v>0.521484375</v>
      </c>
      <c r="AF102" s="393" t="s">
        <v>133</v>
      </c>
      <c r="AG102" s="393">
        <v>0.27667689329388701</v>
      </c>
      <c r="AH102" s="393">
        <v>7.5563752353012701</v>
      </c>
      <c r="AI102" s="393">
        <v>1.1330966619496801</v>
      </c>
      <c r="AJ102" s="393">
        <v>1.1333546924762901</v>
      </c>
      <c r="AK102" s="393">
        <v>107.924844260401</v>
      </c>
      <c r="AL102" s="393">
        <v>38333.285902246003</v>
      </c>
      <c r="AM102" s="393">
        <v>1380.08068847656</v>
      </c>
      <c r="AN102" s="393">
        <v>0.27435200168594998</v>
      </c>
      <c r="AO102" s="393">
        <v>7.25359354751824</v>
      </c>
      <c r="AP102" s="393">
        <v>1.1330952768165199</v>
      </c>
      <c r="AQ102" s="393">
        <v>1.1329337197374001</v>
      </c>
      <c r="AR102" s="393">
        <v>107.915645184978</v>
      </c>
      <c r="AS102" s="393">
        <v>38333.378003511199</v>
      </c>
      <c r="AT102" s="393">
        <v>1380.0791015625</v>
      </c>
      <c r="AU102" s="393">
        <v>0.27521922315851399</v>
      </c>
      <c r="AV102" s="393">
        <v>7.5006852031237496</v>
      </c>
      <c r="AW102" s="393">
        <v>1.1330955189139</v>
      </c>
      <c r="AX102" s="393">
        <v>1.13263946277061</v>
      </c>
      <c r="AY102" s="393">
        <v>107.93289234157299</v>
      </c>
      <c r="AZ102" s="393">
        <v>38333.412855677998</v>
      </c>
      <c r="BA102" s="393">
        <v>1380.08508300781</v>
      </c>
      <c r="BB102" s="393">
        <v>0.274547969730361</v>
      </c>
      <c r="BC102" s="393">
        <v>7.4282289495002098</v>
      </c>
      <c r="BD102" s="393">
        <v>1.1330973641180699</v>
      </c>
      <c r="BE102" s="393">
        <v>1.1333681289014499</v>
      </c>
      <c r="BF102" s="393">
        <v>107.930134596762</v>
      </c>
      <c r="BG102" s="393">
        <v>38333.177903418298</v>
      </c>
      <c r="BH102" s="393">
        <v>1380.08642578125</v>
      </c>
      <c r="BI102" s="393">
        <v>0.27437820668970397</v>
      </c>
      <c r="BJ102" s="393">
        <v>7.48993232752815</v>
      </c>
      <c r="BK102" s="393">
        <v>1.1330961709190299</v>
      </c>
      <c r="BL102" s="393">
        <v>1.1330662509076299</v>
      </c>
      <c r="BM102" s="393">
        <v>107.925269740514</v>
      </c>
      <c r="BN102" s="393">
        <v>38333.112675579403</v>
      </c>
      <c r="BO102" s="393">
        <v>1380.08642578125</v>
      </c>
      <c r="BP102" s="393"/>
      <c r="BQ102" s="393"/>
      <c r="BR102" s="393"/>
      <c r="BS102" s="393"/>
      <c r="BT102" s="393"/>
      <c r="BU102" s="393"/>
      <c r="BV102" s="393"/>
      <c r="BW102" s="393">
        <v>-3.8394470000000002E-3</v>
      </c>
      <c r="BX102" s="393">
        <v>1379.956821</v>
      </c>
      <c r="BY102" s="393">
        <v>229.9967092</v>
      </c>
      <c r="BZ102" s="393">
        <v>5.9998980780000002</v>
      </c>
      <c r="CA102" s="393">
        <v>-90.000159409999995</v>
      </c>
      <c r="CB102" s="393">
        <v>1.552105E-3</v>
      </c>
      <c r="CC102" s="393">
        <v>2.027502E-3</v>
      </c>
      <c r="CD102" s="399">
        <v>7.7090900000000004E-5</v>
      </c>
      <c r="CE102" s="399">
        <v>7.8173500000000006E-6</v>
      </c>
      <c r="CF102" s="399">
        <v>6.4441899999999997E-5</v>
      </c>
      <c r="CG102" s="393">
        <v>2.9728070000000001E-3</v>
      </c>
      <c r="CH102" s="393">
        <v>6.6247320000000004E-3</v>
      </c>
      <c r="CI102" s="393">
        <v>20.00879904</v>
      </c>
      <c r="CJ102" s="393">
        <v>2.0826151500000001</v>
      </c>
      <c r="CK102" s="393">
        <v>1.3796767999999999E-2</v>
      </c>
      <c r="CL102" s="393">
        <v>1</v>
      </c>
      <c r="CM102" s="393">
        <v>38.333436040000002</v>
      </c>
      <c r="CN102" s="393">
        <v>1.0362299999999999E-4</v>
      </c>
      <c r="CO102" s="393">
        <v>100002.9728</v>
      </c>
      <c r="CP102" s="393">
        <v>0</v>
      </c>
      <c r="CQ102" s="393">
        <v>0</v>
      </c>
      <c r="CR102" s="393">
        <v>109.137</v>
      </c>
      <c r="CS102" s="393">
        <v>23.581612679999999</v>
      </c>
      <c r="CT102" s="393">
        <v>0.32292732699999999</v>
      </c>
      <c r="CU102" s="393"/>
      <c r="CV102" s="393"/>
      <c r="CW102" s="393"/>
      <c r="CX102" s="393"/>
      <c r="CY102" s="393"/>
      <c r="CZ102" s="393"/>
      <c r="DA102" s="393"/>
    </row>
    <row r="103" spans="1:105" x14ac:dyDescent="0.2">
      <c r="A103" s="366">
        <f>ROW()</f>
        <v>103</v>
      </c>
      <c r="B103" s="367" t="s">
        <v>50</v>
      </c>
      <c r="C103" s="368">
        <v>6</v>
      </c>
      <c r="D103" s="368">
        <v>230</v>
      </c>
      <c r="E103" s="367">
        <v>-90</v>
      </c>
      <c r="F103" s="441">
        <v>230</v>
      </c>
      <c r="G103" s="369" t="s">
        <v>131</v>
      </c>
      <c r="H103" s="370">
        <v>2</v>
      </c>
      <c r="I103" s="367">
        <v>50</v>
      </c>
      <c r="J103" s="371">
        <v>10</v>
      </c>
      <c r="K103" s="372">
        <v>5</v>
      </c>
      <c r="L103" s="482">
        <v>100000</v>
      </c>
      <c r="M103" s="443" t="s">
        <v>49</v>
      </c>
      <c r="N103" s="726">
        <f t="shared" si="2"/>
        <v>4.0824043160862938E-3</v>
      </c>
      <c r="O103" s="370">
        <v>6</v>
      </c>
      <c r="P103" s="66">
        <v>123</v>
      </c>
      <c r="Q103" s="220"/>
      <c r="R103" s="402"/>
      <c r="S103" s="402">
        <v>229.99676009999999</v>
      </c>
      <c r="T103" s="395">
        <v>5.9998917250000003</v>
      </c>
      <c r="U103" s="402">
        <v>-90.000350530000006</v>
      </c>
      <c r="V103" s="395">
        <v>1</v>
      </c>
      <c r="W103" s="400">
        <v>2.1203229999999999E-3</v>
      </c>
      <c r="X103" s="400">
        <v>1.379912E-2</v>
      </c>
      <c r="Y103" s="402">
        <v>2.0824967380000001</v>
      </c>
      <c r="Z103" s="409">
        <v>100002.1203</v>
      </c>
      <c r="AA103" s="396">
        <v>42034.560069444444</v>
      </c>
      <c r="AB103" s="393">
        <v>50.0002688720257</v>
      </c>
      <c r="AC103" s="393">
        <v>0</v>
      </c>
      <c r="AD103" s="393" t="s">
        <v>134</v>
      </c>
      <c r="AE103" s="393">
        <v>0.521484375</v>
      </c>
      <c r="AF103" s="393" t="s">
        <v>133</v>
      </c>
      <c r="AG103" s="393">
        <v>0.26795070779345698</v>
      </c>
      <c r="AH103" s="393">
        <v>8.0821634590522002</v>
      </c>
      <c r="AI103" s="393">
        <v>1.13309510582168</v>
      </c>
      <c r="AJ103" s="393">
        <v>1.13335024841723</v>
      </c>
      <c r="AK103" s="393">
        <v>107.96769823043</v>
      </c>
      <c r="AL103" s="393">
        <v>38333.122774169897</v>
      </c>
      <c r="AM103" s="393">
        <v>1380.08239746094</v>
      </c>
      <c r="AN103" s="393">
        <v>0.26407605129260098</v>
      </c>
      <c r="AO103" s="393">
        <v>7.6907428304619598</v>
      </c>
      <c r="AP103" s="393">
        <v>1.13309700282253</v>
      </c>
      <c r="AQ103" s="393">
        <v>1.13316592379757</v>
      </c>
      <c r="AR103" s="393">
        <v>107.942615684716</v>
      </c>
      <c r="AS103" s="393">
        <v>38332.868977995102</v>
      </c>
      <c r="AT103" s="393">
        <v>1380.08044433594</v>
      </c>
      <c r="AU103" s="393">
        <v>0.26798021463406502</v>
      </c>
      <c r="AV103" s="393">
        <v>7.6608571994810699</v>
      </c>
      <c r="AW103" s="393">
        <v>1.1330965254623599</v>
      </c>
      <c r="AX103" s="393">
        <v>1.13302502772725</v>
      </c>
      <c r="AY103" s="393">
        <v>107.93204432662399</v>
      </c>
      <c r="AZ103" s="393">
        <v>38332.846355066104</v>
      </c>
      <c r="BA103" s="393">
        <v>1380.07824707031</v>
      </c>
      <c r="BB103" s="393">
        <v>0.26688659346987897</v>
      </c>
      <c r="BC103" s="393">
        <v>7.6184269774429199</v>
      </c>
      <c r="BD103" s="393">
        <v>1.1330977693056199</v>
      </c>
      <c r="BE103" s="393">
        <v>1.1331047882148899</v>
      </c>
      <c r="BF103" s="393">
        <v>107.95240952392101</v>
      </c>
      <c r="BG103" s="393">
        <v>38332.855908911399</v>
      </c>
      <c r="BH103" s="393">
        <v>1380.07995605469</v>
      </c>
      <c r="BI103" s="393">
        <v>0.26693033687187701</v>
      </c>
      <c r="BJ103" s="393">
        <v>8.1980727536257305</v>
      </c>
      <c r="BK103" s="393">
        <v>1.13309584425288</v>
      </c>
      <c r="BL103" s="393">
        <v>1.13316279584039</v>
      </c>
      <c r="BM103" s="393">
        <v>107.937307913558</v>
      </c>
      <c r="BN103" s="393">
        <v>38332.8789471337</v>
      </c>
      <c r="BO103" s="393">
        <v>1380.08129882812</v>
      </c>
      <c r="BP103" s="393"/>
      <c r="BQ103" s="393"/>
      <c r="BR103" s="393"/>
      <c r="BS103" s="393"/>
      <c r="BT103" s="393"/>
      <c r="BU103" s="393"/>
      <c r="BV103" s="393"/>
      <c r="BW103" s="393">
        <v>-8.4425430000000003E-3</v>
      </c>
      <c r="BX103" s="393">
        <v>1379.9556660000001</v>
      </c>
      <c r="BY103" s="393">
        <v>229.99676009999999</v>
      </c>
      <c r="BZ103" s="393">
        <v>5.9998917250000003</v>
      </c>
      <c r="CA103" s="393">
        <v>-90.000350530000006</v>
      </c>
      <c r="CB103" s="393">
        <v>2.874204E-3</v>
      </c>
      <c r="CC103" s="393">
        <v>2.888743E-3</v>
      </c>
      <c r="CD103" s="399">
        <v>9.3315900000000006E-5</v>
      </c>
      <c r="CE103" s="399">
        <v>1.2412700000000001E-5</v>
      </c>
      <c r="CF103" s="393">
        <v>1.1933400000000001E-4</v>
      </c>
      <c r="CG103" s="393">
        <v>2.1203229999999999E-3</v>
      </c>
      <c r="CH103" s="393">
        <v>6.6262389999999999E-3</v>
      </c>
      <c r="CI103" s="393">
        <v>20.027389719999999</v>
      </c>
      <c r="CJ103" s="393">
        <v>2.0824967380000001</v>
      </c>
      <c r="CK103" s="393">
        <v>1.379912E-2</v>
      </c>
      <c r="CL103" s="393">
        <v>1</v>
      </c>
      <c r="CM103" s="393">
        <v>38.333485119999999</v>
      </c>
      <c r="CN103" s="393">
        <v>1.8197800000000001E-4</v>
      </c>
      <c r="CO103" s="393">
        <v>100002.1203</v>
      </c>
      <c r="CP103" s="393">
        <v>0</v>
      </c>
      <c r="CQ103" s="393">
        <v>0</v>
      </c>
      <c r="CR103" s="393">
        <v>109.14100000000001</v>
      </c>
      <c r="CS103" s="393">
        <v>23.59191938</v>
      </c>
      <c r="CT103" s="393">
        <v>0.32292690699999999</v>
      </c>
      <c r="CU103" s="393"/>
      <c r="CV103" s="393"/>
      <c r="CW103" s="393"/>
      <c r="CX103" s="393"/>
      <c r="CY103" s="393"/>
      <c r="CZ103" s="393"/>
      <c r="DA103" s="393"/>
    </row>
    <row r="104" spans="1:105" x14ac:dyDescent="0.2">
      <c r="A104" s="366">
        <f>ROW()</f>
        <v>104</v>
      </c>
      <c r="B104" s="367" t="s">
        <v>50</v>
      </c>
      <c r="C104" s="368">
        <v>6</v>
      </c>
      <c r="D104" s="368">
        <v>230</v>
      </c>
      <c r="E104" s="367">
        <v>-90</v>
      </c>
      <c r="F104" s="441">
        <v>230</v>
      </c>
      <c r="G104" s="369" t="s">
        <v>131</v>
      </c>
      <c r="H104" s="370">
        <v>2</v>
      </c>
      <c r="I104" s="367">
        <v>50</v>
      </c>
      <c r="J104" s="371">
        <v>10</v>
      </c>
      <c r="K104" s="372">
        <v>5</v>
      </c>
      <c r="L104" s="482">
        <v>100000</v>
      </c>
      <c r="M104" s="443" t="s">
        <v>49</v>
      </c>
      <c r="N104" s="726">
        <f t="shared" si="2"/>
        <v>4.0824043160862938E-3</v>
      </c>
      <c r="O104" s="370">
        <v>6</v>
      </c>
      <c r="P104" s="66">
        <v>123</v>
      </c>
      <c r="Q104" s="220"/>
      <c r="R104" s="402"/>
      <c r="S104" s="402">
        <v>229.9967336</v>
      </c>
      <c r="T104" s="395">
        <v>5.9998509689999997</v>
      </c>
      <c r="U104" s="402">
        <v>-89.999979440000004</v>
      </c>
      <c r="V104" s="395">
        <v>1</v>
      </c>
      <c r="W104" s="400">
        <v>1.583054E-3</v>
      </c>
      <c r="X104" s="400">
        <v>1.3795175999999999E-2</v>
      </c>
      <c r="Y104" s="402">
        <v>2.082693178</v>
      </c>
      <c r="Z104" s="409">
        <v>100001.5831</v>
      </c>
      <c r="AA104" s="396">
        <v>42034.562974537039</v>
      </c>
      <c r="AB104" s="393">
        <v>50.000372652807599</v>
      </c>
      <c r="AC104" s="393">
        <v>0</v>
      </c>
      <c r="AD104" s="393" t="s">
        <v>132</v>
      </c>
      <c r="AE104" s="393">
        <v>0.521484375</v>
      </c>
      <c r="AF104" s="393" t="s">
        <v>133</v>
      </c>
      <c r="AG104" s="393">
        <v>0.27317016189844501</v>
      </c>
      <c r="AH104" s="393">
        <v>7.9580423797465096</v>
      </c>
      <c r="AI104" s="393">
        <v>1.1330969157541499</v>
      </c>
      <c r="AJ104" s="393">
        <v>1.1327672437635601</v>
      </c>
      <c r="AK104" s="393">
        <v>107.94385252727901</v>
      </c>
      <c r="AL104" s="393">
        <v>38332.5305309959</v>
      </c>
      <c r="AM104" s="393">
        <v>1380.0791015625</v>
      </c>
      <c r="AN104" s="393">
        <v>0.27556355724479697</v>
      </c>
      <c r="AO104" s="393">
        <v>7.69663305572025</v>
      </c>
      <c r="AP104" s="393">
        <v>1.13309725219525</v>
      </c>
      <c r="AQ104" s="393">
        <v>1.13331481307851</v>
      </c>
      <c r="AR104" s="393">
        <v>107.93175547153</v>
      </c>
      <c r="AS104" s="393">
        <v>38332.526145394702</v>
      </c>
      <c r="AT104" s="393">
        <v>1380.083984375</v>
      </c>
      <c r="AU104" s="393">
        <v>0.273881226438773</v>
      </c>
      <c r="AV104" s="393">
        <v>7.4706087908866596</v>
      </c>
      <c r="AW104" s="393">
        <v>1.1330953903166701</v>
      </c>
      <c r="AX104" s="393">
        <v>1.13308862438775</v>
      </c>
      <c r="AY104" s="393">
        <v>107.92751971777101</v>
      </c>
      <c r="AZ104" s="393">
        <v>38332.3552962678</v>
      </c>
      <c r="BA104" s="393">
        <v>1380.08581542969</v>
      </c>
      <c r="BB104" s="393">
        <v>0.27385484622721001</v>
      </c>
      <c r="BC104" s="393">
        <v>8.0050496551052301</v>
      </c>
      <c r="BD104" s="393">
        <v>1.1330953361863501</v>
      </c>
      <c r="BE104" s="393">
        <v>1.1329180486563699</v>
      </c>
      <c r="BF104" s="393">
        <v>107.925354029475</v>
      </c>
      <c r="BG104" s="393">
        <v>38332.415147239197</v>
      </c>
      <c r="BH104" s="393">
        <v>1380.08813476562</v>
      </c>
      <c r="BI104" s="393">
        <v>0.27389923329571803</v>
      </c>
      <c r="BJ104" s="393">
        <v>7.5699548132508498</v>
      </c>
      <c r="BK104" s="393">
        <v>1.1330966990884099</v>
      </c>
      <c r="BL104" s="393">
        <v>1.1324887205841601</v>
      </c>
      <c r="BM104" s="393">
        <v>107.966919863648</v>
      </c>
      <c r="BN104" s="393">
        <v>38332.392066196502</v>
      </c>
      <c r="BO104" s="393">
        <v>1380.08203125</v>
      </c>
      <c r="BP104" s="393"/>
      <c r="BQ104" s="393"/>
      <c r="BR104" s="393"/>
      <c r="BS104" s="393"/>
      <c r="BT104" s="393"/>
      <c r="BU104" s="393"/>
      <c r="BV104" s="393"/>
      <c r="BW104" s="393">
        <v>4.9525299999999997E-4</v>
      </c>
      <c r="BX104" s="393">
        <v>1379.9461329999999</v>
      </c>
      <c r="BY104" s="393">
        <v>229.9967336</v>
      </c>
      <c r="BZ104" s="393">
        <v>5.9998509689999997</v>
      </c>
      <c r="CA104" s="393">
        <v>-89.999979440000004</v>
      </c>
      <c r="CB104" s="393">
        <v>2.1219429999999998E-3</v>
      </c>
      <c r="CC104" s="393">
        <v>2.5301630000000002E-3</v>
      </c>
      <c r="CD104" s="399">
        <v>8.1173299999999997E-5</v>
      </c>
      <c r="CE104" s="399">
        <v>9.7782900000000002E-6</v>
      </c>
      <c r="CF104" s="399">
        <v>8.8106299999999994E-5</v>
      </c>
      <c r="CG104" s="393">
        <v>1.583054E-3</v>
      </c>
      <c r="CH104" s="393">
        <v>6.6237199999999996E-3</v>
      </c>
      <c r="CI104" s="393">
        <v>19.996568379999999</v>
      </c>
      <c r="CJ104" s="393">
        <v>2.082693178</v>
      </c>
      <c r="CK104" s="393">
        <v>1.3795175999999999E-2</v>
      </c>
      <c r="CL104" s="393">
        <v>1</v>
      </c>
      <c r="CM104" s="393">
        <v>38.333741080000003</v>
      </c>
      <c r="CN104" s="393">
        <v>1.2712199999999999E-4</v>
      </c>
      <c r="CO104" s="393">
        <v>100001.5831</v>
      </c>
      <c r="CP104" s="393">
        <v>0</v>
      </c>
      <c r="CQ104" s="393">
        <v>0</v>
      </c>
      <c r="CR104" s="393">
        <v>109.142</v>
      </c>
      <c r="CS104" s="393">
        <v>23.59449605</v>
      </c>
      <c r="CT104" s="393">
        <v>0.32292680299999998</v>
      </c>
      <c r="CU104" s="393"/>
      <c r="CV104" s="393"/>
      <c r="CW104" s="393"/>
      <c r="CX104" s="393"/>
      <c r="CY104" s="393"/>
      <c r="CZ104" s="393"/>
      <c r="DA104" s="393"/>
    </row>
    <row r="105" spans="1:105" x14ac:dyDescent="0.2">
      <c r="A105" s="366">
        <f>ROW()</f>
        <v>105</v>
      </c>
      <c r="B105" s="367" t="s">
        <v>50</v>
      </c>
      <c r="C105" s="368">
        <v>6</v>
      </c>
      <c r="D105" s="368">
        <v>230</v>
      </c>
      <c r="E105" s="367">
        <v>-30</v>
      </c>
      <c r="F105" s="441">
        <v>230</v>
      </c>
      <c r="G105" s="369" t="s">
        <v>131</v>
      </c>
      <c r="H105" s="370">
        <v>2</v>
      </c>
      <c r="I105" s="367">
        <v>50</v>
      </c>
      <c r="J105" s="371">
        <v>10</v>
      </c>
      <c r="K105" s="372">
        <v>5</v>
      </c>
      <c r="L105" s="482">
        <v>100000</v>
      </c>
      <c r="M105" s="443" t="s">
        <v>49</v>
      </c>
      <c r="N105" s="726">
        <f t="shared" si="2"/>
        <v>4.6546777546893625E-3</v>
      </c>
      <c r="O105" s="370">
        <v>6</v>
      </c>
      <c r="P105" s="66">
        <v>123</v>
      </c>
      <c r="Q105" s="220"/>
      <c r="R105" s="402"/>
      <c r="S105" s="402">
        <v>229.99681649999999</v>
      </c>
      <c r="T105" s="395">
        <v>6.0002580730000004</v>
      </c>
      <c r="U105" s="402">
        <v>-30.000239220000001</v>
      </c>
      <c r="V105" s="395">
        <v>0.50000361599999998</v>
      </c>
      <c r="W105" s="400">
        <v>2.27772E-4</v>
      </c>
      <c r="X105" s="400">
        <v>1.4767852999999999E-2</v>
      </c>
      <c r="Y105" s="402">
        <v>2.0854082479999998</v>
      </c>
      <c r="Z105" s="409">
        <v>100000.22779999999</v>
      </c>
      <c r="AA105" s="396">
        <v>42034.565891203703</v>
      </c>
      <c r="AB105" s="393">
        <v>50.000448123376202</v>
      </c>
      <c r="AC105" s="393">
        <v>0.458984375</v>
      </c>
      <c r="AD105" s="393" t="s">
        <v>134</v>
      </c>
      <c r="AE105" s="393">
        <v>0.2607421875</v>
      </c>
      <c r="AF105" s="393" t="s">
        <v>133</v>
      </c>
      <c r="AG105" s="393">
        <v>0.28910455878823499</v>
      </c>
      <c r="AH105" s="393">
        <v>-80.260760167832103</v>
      </c>
      <c r="AI105" s="393">
        <v>1.1330965650840801</v>
      </c>
      <c r="AJ105" s="393">
        <v>1.1333032691313101</v>
      </c>
      <c r="AK105" s="393">
        <v>107.928833368703</v>
      </c>
      <c r="AL105" s="393">
        <v>19167.475512404999</v>
      </c>
      <c r="AM105" s="393">
        <v>690.0966796875</v>
      </c>
      <c r="AN105" s="393">
        <v>0.28939323238609999</v>
      </c>
      <c r="AO105" s="393">
        <v>-80.2694784561658</v>
      </c>
      <c r="AP105" s="393">
        <v>1.13309657228273</v>
      </c>
      <c r="AQ105" s="393">
        <v>1.1332919610090899</v>
      </c>
      <c r="AR105" s="393">
        <v>107.93468308683001</v>
      </c>
      <c r="AS105" s="393">
        <v>19167.490001423699</v>
      </c>
      <c r="AT105" s="393">
        <v>690.10754394531205</v>
      </c>
      <c r="AU105" s="393">
        <v>0.28802270789382001</v>
      </c>
      <c r="AV105" s="393">
        <v>-80.392774226485201</v>
      </c>
      <c r="AW105" s="393">
        <v>1.13309645863431</v>
      </c>
      <c r="AX105" s="393">
        <v>1.13275174847472</v>
      </c>
      <c r="AY105" s="393">
        <v>107.930079949251</v>
      </c>
      <c r="AZ105" s="393">
        <v>19167.3124755436</v>
      </c>
      <c r="BA105" s="393">
        <v>690.10369873046898</v>
      </c>
      <c r="BB105" s="393">
        <v>0.28980116436467401</v>
      </c>
      <c r="BC105" s="393">
        <v>-80.439642650551093</v>
      </c>
      <c r="BD105" s="393">
        <v>1.1330971869803701</v>
      </c>
      <c r="BE105" s="393">
        <v>1.13320561729087</v>
      </c>
      <c r="BF105" s="393">
        <v>107.948835877913</v>
      </c>
      <c r="BG105" s="393">
        <v>19167.330662483499</v>
      </c>
      <c r="BH105" s="393">
        <v>690.09906005859398</v>
      </c>
      <c r="BI105" s="393">
        <v>0.28963225876432502</v>
      </c>
      <c r="BJ105" s="393">
        <v>-80.341211329539703</v>
      </c>
      <c r="BK105" s="393">
        <v>1.1330968530021801</v>
      </c>
      <c r="BL105" s="393">
        <v>1.13322226497791</v>
      </c>
      <c r="BM105" s="393">
        <v>107.937482282473</v>
      </c>
      <c r="BN105" s="393">
        <v>19167.432073275799</v>
      </c>
      <c r="BO105" s="393">
        <v>690.10046386718795</v>
      </c>
      <c r="BP105" s="393"/>
      <c r="BQ105" s="393"/>
      <c r="BR105" s="393"/>
      <c r="BS105" s="393"/>
      <c r="BT105" s="393"/>
      <c r="BU105" s="393"/>
      <c r="BV105" s="393"/>
      <c r="BW105" s="393">
        <v>1195.1470449999999</v>
      </c>
      <c r="BX105" s="393">
        <v>690.02512149999995</v>
      </c>
      <c r="BY105" s="393">
        <v>229.99681649999999</v>
      </c>
      <c r="BZ105" s="393">
        <v>6.0002580730000004</v>
      </c>
      <c r="CA105" s="393">
        <v>-30.000239220000001</v>
      </c>
      <c r="CB105" s="393">
        <v>1.1404150000000001E-3</v>
      </c>
      <c r="CC105" s="393">
        <v>9.2332700000000005E-4</v>
      </c>
      <c r="CD105" s="399">
        <v>2.6811699999999999E-5</v>
      </c>
      <c r="CE105" s="399">
        <v>4.2385600000000001E-6</v>
      </c>
      <c r="CF105" s="399">
        <v>5.0598199999999999E-5</v>
      </c>
      <c r="CG105" s="393">
        <v>2.27772E-4</v>
      </c>
      <c r="CH105" s="393">
        <v>7.0815160000000004E-3</v>
      </c>
      <c r="CI105" s="393">
        <v>19.580515349999999</v>
      </c>
      <c r="CJ105" s="393">
        <v>2.0854082479999998</v>
      </c>
      <c r="CK105" s="393">
        <v>1.4767852999999999E-2</v>
      </c>
      <c r="CL105" s="393">
        <v>0.50000361599999998</v>
      </c>
      <c r="CM105" s="393">
        <v>38.331154040000001</v>
      </c>
      <c r="CN105" s="399">
        <v>7.0392899999999995E-5</v>
      </c>
      <c r="CO105" s="393">
        <v>100000.22779999999</v>
      </c>
      <c r="CP105" s="393">
        <v>0</v>
      </c>
      <c r="CQ105" s="393">
        <v>0</v>
      </c>
      <c r="CR105" s="393">
        <v>109.14100000000001</v>
      </c>
      <c r="CS105" s="393">
        <v>23.59191938</v>
      </c>
      <c r="CT105" s="393">
        <v>0.32292690699999999</v>
      </c>
      <c r="CU105" s="393"/>
      <c r="CV105" s="393"/>
      <c r="CW105" s="393"/>
      <c r="CX105" s="393"/>
      <c r="CY105" s="393"/>
      <c r="CZ105" s="393"/>
      <c r="DA105" s="393"/>
    </row>
    <row r="106" spans="1:105" x14ac:dyDescent="0.2">
      <c r="A106" s="366">
        <f>ROW()</f>
        <v>106</v>
      </c>
      <c r="B106" s="367" t="s">
        <v>50</v>
      </c>
      <c r="C106" s="368">
        <v>6</v>
      </c>
      <c r="D106" s="368">
        <v>230</v>
      </c>
      <c r="E106" s="367">
        <v>-30</v>
      </c>
      <c r="F106" s="441">
        <v>230</v>
      </c>
      <c r="G106" s="369" t="s">
        <v>131</v>
      </c>
      <c r="H106" s="370">
        <v>2</v>
      </c>
      <c r="I106" s="367">
        <v>50</v>
      </c>
      <c r="J106" s="371">
        <v>10</v>
      </c>
      <c r="K106" s="372">
        <v>5</v>
      </c>
      <c r="L106" s="482">
        <v>100000</v>
      </c>
      <c r="M106" s="443" t="s">
        <v>49</v>
      </c>
      <c r="N106" s="726">
        <f t="shared" si="2"/>
        <v>4.6546777546893625E-3</v>
      </c>
      <c r="O106" s="370">
        <v>6</v>
      </c>
      <c r="P106" s="66">
        <v>123</v>
      </c>
      <c r="Q106" s="220"/>
      <c r="R106" s="402"/>
      <c r="S106" s="402">
        <v>229.99701719999999</v>
      </c>
      <c r="T106" s="395">
        <v>6.0002636479999998</v>
      </c>
      <c r="U106" s="402">
        <v>-30.00031156</v>
      </c>
      <c r="V106" s="395">
        <v>0.50000470900000005</v>
      </c>
      <c r="W106" s="400">
        <v>-4.6037900000000002E-4</v>
      </c>
      <c r="X106" s="400">
        <v>1.4779395000000001E-2</v>
      </c>
      <c r="Y106" s="402">
        <v>2.0848679360000002</v>
      </c>
      <c r="Z106" s="409">
        <v>99999.539619999996</v>
      </c>
      <c r="AA106" s="396">
        <v>42034.568807870368</v>
      </c>
      <c r="AB106" s="393">
        <v>50.000367932772001</v>
      </c>
      <c r="AC106" s="393">
        <v>0.458984375</v>
      </c>
      <c r="AD106" s="393" t="s">
        <v>134</v>
      </c>
      <c r="AE106" s="393">
        <v>0.2607421875</v>
      </c>
      <c r="AF106" s="393" t="s">
        <v>133</v>
      </c>
      <c r="AG106" s="393">
        <v>0.28852758387357103</v>
      </c>
      <c r="AH106" s="393">
        <v>-80.256089703973004</v>
      </c>
      <c r="AI106" s="393">
        <v>1.1330971591133701</v>
      </c>
      <c r="AJ106" s="393">
        <v>1.13250754056749</v>
      </c>
      <c r="AK106" s="393">
        <v>107.953000520627</v>
      </c>
      <c r="AL106" s="393">
        <v>19167.4615422141</v>
      </c>
      <c r="AM106" s="393">
        <v>690.107421875</v>
      </c>
      <c r="AN106" s="393">
        <v>0.291023400527403</v>
      </c>
      <c r="AO106" s="393">
        <v>-79.987515748070706</v>
      </c>
      <c r="AP106" s="393">
        <v>1.13309809996082</v>
      </c>
      <c r="AQ106" s="393">
        <v>1.13301829127107</v>
      </c>
      <c r="AR106" s="393">
        <v>107.929567970929</v>
      </c>
      <c r="AS106" s="393">
        <v>19167.3926655297</v>
      </c>
      <c r="AT106" s="393">
        <v>690.10302734375</v>
      </c>
      <c r="AU106" s="393">
        <v>0.28959554666694798</v>
      </c>
      <c r="AV106" s="393">
        <v>-80.392062163605999</v>
      </c>
      <c r="AW106" s="393">
        <v>1.1330975942006001</v>
      </c>
      <c r="AX106" s="393">
        <v>1.13272047836561</v>
      </c>
      <c r="AY106" s="393">
        <v>107.94402754022001</v>
      </c>
      <c r="AZ106" s="393">
        <v>19167.238698965099</v>
      </c>
      <c r="BA106" s="393">
        <v>690.10906982421898</v>
      </c>
      <c r="BB106" s="393">
        <v>0.28901284345236999</v>
      </c>
      <c r="BC106" s="393">
        <v>-80.369392931855998</v>
      </c>
      <c r="BD106" s="393">
        <v>1.13309784790222</v>
      </c>
      <c r="BE106" s="393">
        <v>1.13282758697106</v>
      </c>
      <c r="BF106" s="393">
        <v>107.963397046324</v>
      </c>
      <c r="BG106" s="393">
        <v>19167.313628915301</v>
      </c>
      <c r="BH106" s="393">
        <v>690.10705566406205</v>
      </c>
      <c r="BI106" s="393">
        <v>0.28941482205659003</v>
      </c>
      <c r="BJ106" s="393">
        <v>-80.317191664766995</v>
      </c>
      <c r="BK106" s="393">
        <v>1.13309787818116</v>
      </c>
      <c r="BL106" s="393">
        <v>1.13338096149126</v>
      </c>
      <c r="BM106" s="393">
        <v>107.934419916314</v>
      </c>
      <c r="BN106" s="393">
        <v>19167.356914924902</v>
      </c>
      <c r="BO106" s="393">
        <v>690.09295654296898</v>
      </c>
      <c r="BP106" s="393"/>
      <c r="BQ106" s="393"/>
      <c r="BR106" s="393"/>
      <c r="BS106" s="393"/>
      <c r="BT106" s="393"/>
      <c r="BU106" s="393"/>
      <c r="BV106" s="393"/>
      <c r="BW106" s="393">
        <v>1195.1483270000001</v>
      </c>
      <c r="BX106" s="393">
        <v>690.02787360000002</v>
      </c>
      <c r="BY106" s="393">
        <v>229.99701719999999</v>
      </c>
      <c r="BZ106" s="393">
        <v>6.0002636479999998</v>
      </c>
      <c r="CA106" s="393">
        <v>-30.00031156</v>
      </c>
      <c r="CB106" s="393">
        <v>1.084706E-3</v>
      </c>
      <c r="CC106" s="393">
        <v>2.3435629999999999E-3</v>
      </c>
      <c r="CD106" s="399">
        <v>3.26374E-5</v>
      </c>
      <c r="CE106" s="399">
        <v>3.6570299999999999E-6</v>
      </c>
      <c r="CF106" s="393">
        <v>1.01489E-4</v>
      </c>
      <c r="CG106" s="393">
        <v>-4.6037900000000002E-4</v>
      </c>
      <c r="CH106" s="393">
        <v>7.0888879999999998E-3</v>
      </c>
      <c r="CI106" s="393">
        <v>19.661862370000001</v>
      </c>
      <c r="CJ106" s="393">
        <v>2.0848679360000002</v>
      </c>
      <c r="CK106" s="393">
        <v>1.4779395000000001E-2</v>
      </c>
      <c r="CL106" s="393">
        <v>0.50000470900000005</v>
      </c>
      <c r="CM106" s="393">
        <v>38.331151869999999</v>
      </c>
      <c r="CN106" s="399">
        <v>5.5495699999999998E-5</v>
      </c>
      <c r="CO106" s="393">
        <v>99999.539619999996</v>
      </c>
      <c r="CP106" s="393">
        <v>0</v>
      </c>
      <c r="CQ106" s="393">
        <v>0</v>
      </c>
      <c r="CR106" s="393">
        <v>109.13800000000001</v>
      </c>
      <c r="CS106" s="393">
        <v>23.584189349999999</v>
      </c>
      <c r="CT106" s="393">
        <v>0.32292722200000001</v>
      </c>
      <c r="CU106" s="393"/>
      <c r="CV106" s="393"/>
      <c r="CW106" s="393"/>
      <c r="CX106" s="393"/>
      <c r="CY106" s="393"/>
      <c r="CZ106" s="393"/>
      <c r="DA106" s="393"/>
    </row>
    <row r="107" spans="1:105" x14ac:dyDescent="0.2">
      <c r="A107" s="366">
        <f>ROW()</f>
        <v>107</v>
      </c>
      <c r="B107" s="367" t="s">
        <v>50</v>
      </c>
      <c r="C107" s="368">
        <v>6</v>
      </c>
      <c r="D107" s="368">
        <v>230</v>
      </c>
      <c r="E107" s="367">
        <v>-30</v>
      </c>
      <c r="F107" s="441">
        <v>230</v>
      </c>
      <c r="G107" s="369" t="s">
        <v>131</v>
      </c>
      <c r="H107" s="370">
        <v>2</v>
      </c>
      <c r="I107" s="367">
        <v>50</v>
      </c>
      <c r="J107" s="371">
        <v>10</v>
      </c>
      <c r="K107" s="372">
        <v>5</v>
      </c>
      <c r="L107" s="482">
        <v>100000</v>
      </c>
      <c r="M107" s="443" t="s">
        <v>49</v>
      </c>
      <c r="N107" s="726">
        <f t="shared" si="2"/>
        <v>4.6546777546893625E-3</v>
      </c>
      <c r="O107" s="370">
        <v>6</v>
      </c>
      <c r="P107" s="66">
        <v>123</v>
      </c>
      <c r="Q107" s="220"/>
      <c r="R107" s="402"/>
      <c r="S107" s="402">
        <v>229.9967858</v>
      </c>
      <c r="T107" s="395">
        <v>6.0002490140000004</v>
      </c>
      <c r="U107" s="402">
        <v>-30.000019139999999</v>
      </c>
      <c r="V107" s="395">
        <v>0.50000028900000004</v>
      </c>
      <c r="W107" s="400">
        <v>1.1628750000000001E-3</v>
      </c>
      <c r="X107" s="400">
        <v>1.4790683000000001E-2</v>
      </c>
      <c r="Y107" s="402">
        <v>2.0843538179999999</v>
      </c>
      <c r="Z107" s="409">
        <v>100001.1629</v>
      </c>
      <c r="AA107" s="396">
        <v>42034.571712962963</v>
      </c>
      <c r="AB107" s="393">
        <v>50.000165101243901</v>
      </c>
      <c r="AC107" s="393">
        <v>0.458984375</v>
      </c>
      <c r="AD107" s="393" t="s">
        <v>134</v>
      </c>
      <c r="AE107" s="393">
        <v>0.2607421875</v>
      </c>
      <c r="AF107" s="393" t="s">
        <v>133</v>
      </c>
      <c r="AG107" s="393">
        <v>0.28806446772657202</v>
      </c>
      <c r="AH107" s="393">
        <v>-80.659193092658896</v>
      </c>
      <c r="AI107" s="393">
        <v>1.1330982231787501</v>
      </c>
      <c r="AJ107" s="393">
        <v>1.13299091449175</v>
      </c>
      <c r="AK107" s="393">
        <v>107.97327302235399</v>
      </c>
      <c r="AL107" s="393">
        <v>19167.400478798601</v>
      </c>
      <c r="AM107" s="393">
        <v>690.1044921875</v>
      </c>
      <c r="AN107" s="393">
        <v>0.28885434512277303</v>
      </c>
      <c r="AO107" s="393">
        <v>-80.409652793693695</v>
      </c>
      <c r="AP107" s="393">
        <v>1.1330972052230599</v>
      </c>
      <c r="AQ107" s="393">
        <v>1.1330726965370801</v>
      </c>
      <c r="AR107" s="393">
        <v>107.958247402181</v>
      </c>
      <c r="AS107" s="393">
        <v>19167.380783852401</v>
      </c>
      <c r="AT107" s="393">
        <v>690.09802246093795</v>
      </c>
      <c r="AU107" s="393">
        <v>0.28832994381077698</v>
      </c>
      <c r="AV107" s="393">
        <v>-80.551084599212899</v>
      </c>
      <c r="AW107" s="393">
        <v>1.1330956104590399</v>
      </c>
      <c r="AX107" s="393">
        <v>1.13286467441051</v>
      </c>
      <c r="AY107" s="393">
        <v>107.939284913393</v>
      </c>
      <c r="AZ107" s="393">
        <v>19167.515727631799</v>
      </c>
      <c r="BA107" s="393">
        <v>690.09820556640602</v>
      </c>
      <c r="BB107" s="393">
        <v>0.28955148725056501</v>
      </c>
      <c r="BC107" s="393">
        <v>-80.0521038767953</v>
      </c>
      <c r="BD107" s="393">
        <v>1.1330956457560299</v>
      </c>
      <c r="BE107" s="393">
        <v>1.1330936211207701</v>
      </c>
      <c r="BF107" s="393">
        <v>107.953606851007</v>
      </c>
      <c r="BG107" s="393">
        <v>19167.354522925201</v>
      </c>
      <c r="BH107" s="393">
        <v>690.10217285156205</v>
      </c>
      <c r="BI107" s="393">
        <v>0.28894812853380197</v>
      </c>
      <c r="BJ107" s="393">
        <v>-80.475686862548002</v>
      </c>
      <c r="BK107" s="393">
        <v>1.13309619622899</v>
      </c>
      <c r="BL107" s="393">
        <v>1.1332272485127299</v>
      </c>
      <c r="BM107" s="393">
        <v>107.93983442568801</v>
      </c>
      <c r="BN107" s="393">
        <v>19167.4902977522</v>
      </c>
      <c r="BO107" s="393">
        <v>690.09808349609398</v>
      </c>
      <c r="BP107" s="393"/>
      <c r="BQ107" s="393"/>
      <c r="BR107" s="393"/>
      <c r="BS107" s="393"/>
      <c r="BT107" s="393"/>
      <c r="BU107" s="393"/>
      <c r="BV107" s="393"/>
      <c r="BW107" s="393">
        <v>1195.1477319999999</v>
      </c>
      <c r="BX107" s="393">
        <v>690.01939700000003</v>
      </c>
      <c r="BY107" s="393">
        <v>229.9967858</v>
      </c>
      <c r="BZ107" s="393">
        <v>6.0002490140000004</v>
      </c>
      <c r="CA107" s="393">
        <v>-30.000019139999999</v>
      </c>
      <c r="CB107" s="393">
        <v>1.218221E-3</v>
      </c>
      <c r="CC107" s="393">
        <v>2.3176989999999999E-3</v>
      </c>
      <c r="CD107" s="393">
        <v>1.0200300000000001E-4</v>
      </c>
      <c r="CE107" s="399">
        <v>4.13898E-6</v>
      </c>
      <c r="CF107" s="399">
        <v>9.9079400000000006E-5</v>
      </c>
      <c r="CG107" s="393">
        <v>1.1628750000000001E-3</v>
      </c>
      <c r="CH107" s="393">
        <v>7.0960520000000003E-3</v>
      </c>
      <c r="CI107" s="393">
        <v>19.739925450000001</v>
      </c>
      <c r="CJ107" s="393">
        <v>2.0843538179999999</v>
      </c>
      <c r="CK107" s="393">
        <v>1.4790683000000001E-2</v>
      </c>
      <c r="CL107" s="393">
        <v>0.50000028900000004</v>
      </c>
      <c r="CM107" s="393">
        <v>38.331206809999998</v>
      </c>
      <c r="CN107" s="399">
        <v>7.3511799999999996E-5</v>
      </c>
      <c r="CO107" s="393">
        <v>100001.1629</v>
      </c>
      <c r="CP107" s="393">
        <v>0</v>
      </c>
      <c r="CQ107" s="393">
        <v>0</v>
      </c>
      <c r="CR107" s="393">
        <v>109.13500000000001</v>
      </c>
      <c r="CS107" s="393">
        <v>23.57645935</v>
      </c>
      <c r="CT107" s="393">
        <v>0.32292753600000002</v>
      </c>
      <c r="CU107" s="393"/>
      <c r="CV107" s="393"/>
      <c r="CW107" s="393"/>
      <c r="CX107" s="393"/>
      <c r="CY107" s="393"/>
      <c r="CZ107" s="393"/>
      <c r="DA107" s="393"/>
    </row>
    <row r="108" spans="1:105" x14ac:dyDescent="0.2">
      <c r="A108" s="366">
        <f>ROW()</f>
        <v>108</v>
      </c>
      <c r="B108" s="367" t="s">
        <v>50</v>
      </c>
      <c r="C108" s="368">
        <v>6</v>
      </c>
      <c r="D108" s="368">
        <v>230</v>
      </c>
      <c r="E108" s="367">
        <v>-126.87</v>
      </c>
      <c r="F108" s="441">
        <v>230</v>
      </c>
      <c r="G108" s="369" t="s">
        <v>131</v>
      </c>
      <c r="H108" s="370">
        <v>2</v>
      </c>
      <c r="I108" s="367">
        <v>50</v>
      </c>
      <c r="J108" s="371">
        <v>10</v>
      </c>
      <c r="K108" s="372">
        <v>5</v>
      </c>
      <c r="L108" s="482">
        <v>100000</v>
      </c>
      <c r="M108" s="443" t="s">
        <v>49</v>
      </c>
      <c r="N108" s="726">
        <f t="shared" si="2"/>
        <v>4.210526396600394E-3</v>
      </c>
      <c r="O108" s="370">
        <v>6</v>
      </c>
      <c r="P108" s="66">
        <v>123</v>
      </c>
      <c r="Q108" s="220"/>
      <c r="R108" s="402" t="s">
        <v>55</v>
      </c>
      <c r="S108" s="402">
        <v>229.99671720000001</v>
      </c>
      <c r="T108" s="395">
        <v>5.9999577950000003</v>
      </c>
      <c r="U108" s="402">
        <v>-126.8721</v>
      </c>
      <c r="V108" s="395">
        <v>0.79997693599999997</v>
      </c>
      <c r="W108" s="400">
        <v>-6.4259899999999999E-4</v>
      </c>
      <c r="X108" s="400">
        <v>1.4015311000000001E-2</v>
      </c>
      <c r="Y108" s="402">
        <v>2.0829781650000001</v>
      </c>
      <c r="Z108" s="409">
        <v>99999.357399999994</v>
      </c>
      <c r="AA108" s="396">
        <v>42034.574629629627</v>
      </c>
      <c r="AB108" s="393">
        <v>50.000363212736403</v>
      </c>
      <c r="AC108" s="393">
        <v>0.3173828125</v>
      </c>
      <c r="AD108" s="393" t="s">
        <v>132</v>
      </c>
      <c r="AE108" s="393">
        <v>0.41796875</v>
      </c>
      <c r="AF108" s="393" t="s">
        <v>133</v>
      </c>
      <c r="AG108" s="393">
        <v>0.25916266803219501</v>
      </c>
      <c r="AH108" s="393">
        <v>-164.17435905734101</v>
      </c>
      <c r="AI108" s="393">
        <v>1.13309782017628</v>
      </c>
      <c r="AJ108" s="393">
        <v>1.13290583065777</v>
      </c>
      <c r="AK108" s="393">
        <v>107.944887530353</v>
      </c>
      <c r="AL108" s="393">
        <v>30664.998866598002</v>
      </c>
      <c r="AM108" s="393">
        <v>1104.02197265625</v>
      </c>
      <c r="AN108" s="393">
        <v>0.257798541523659</v>
      </c>
      <c r="AO108" s="393">
        <v>-164.165027998271</v>
      </c>
      <c r="AP108" s="393">
        <v>1.13309590319593</v>
      </c>
      <c r="AQ108" s="393">
        <v>1.1330844255205901</v>
      </c>
      <c r="AR108" s="393">
        <v>107.93596607311</v>
      </c>
      <c r="AS108" s="393">
        <v>30664.974952579301</v>
      </c>
      <c r="AT108" s="393">
        <v>1104.01928710938</v>
      </c>
      <c r="AU108" s="393">
        <v>0.25897141223012898</v>
      </c>
      <c r="AV108" s="393">
        <v>-164.123227645708</v>
      </c>
      <c r="AW108" s="393">
        <v>1.1330953309329601</v>
      </c>
      <c r="AX108" s="393">
        <v>1.1330430935582501</v>
      </c>
      <c r="AY108" s="393">
        <v>107.94634717108499</v>
      </c>
      <c r="AZ108" s="393">
        <v>30664.875624690601</v>
      </c>
      <c r="BA108" s="393">
        <v>1104.01904296875</v>
      </c>
      <c r="BB108" s="393">
        <v>0.260095411053748</v>
      </c>
      <c r="BC108" s="393">
        <v>-163.785635206287</v>
      </c>
      <c r="BD108" s="393">
        <v>1.13309543073876</v>
      </c>
      <c r="BE108" s="393">
        <v>1.13299008714732</v>
      </c>
      <c r="BF108" s="393">
        <v>107.947429900632</v>
      </c>
      <c r="BG108" s="393">
        <v>30664.951614759899</v>
      </c>
      <c r="BH108" s="393">
        <v>1104.02697753906</v>
      </c>
      <c r="BI108" s="393">
        <v>0.25965593529249897</v>
      </c>
      <c r="BJ108" s="393">
        <v>-164.137783454329</v>
      </c>
      <c r="BK108" s="393">
        <v>1.13309670543841</v>
      </c>
      <c r="BL108" s="393">
        <v>1.13287330021781</v>
      </c>
      <c r="BM108" s="393">
        <v>107.956889952548</v>
      </c>
      <c r="BN108" s="393">
        <v>30664.860293533799</v>
      </c>
      <c r="BO108" s="393">
        <v>1104.02600097656</v>
      </c>
      <c r="BP108" s="393"/>
      <c r="BQ108" s="393"/>
      <c r="BR108" s="393"/>
      <c r="BS108" s="393"/>
      <c r="BT108" s="393"/>
      <c r="BU108" s="393"/>
      <c r="BV108" s="393"/>
      <c r="BW108" s="393">
        <v>-828.02479779999999</v>
      </c>
      <c r="BX108" s="393">
        <v>1103.9446559999999</v>
      </c>
      <c r="BY108" s="393">
        <v>229.99671720000001</v>
      </c>
      <c r="BZ108" s="393">
        <v>5.9999577950000003</v>
      </c>
      <c r="CA108" s="393">
        <v>-126.8721</v>
      </c>
      <c r="CB108" s="393">
        <v>1.8272550000000001E-3</v>
      </c>
      <c r="CC108" s="393">
        <v>1.2901760000000001E-3</v>
      </c>
      <c r="CD108" s="399">
        <v>9.4231499999999994E-5</v>
      </c>
      <c r="CE108" s="399">
        <v>3.4938700000000001E-6</v>
      </c>
      <c r="CF108" s="399">
        <v>8.5303500000000001E-5</v>
      </c>
      <c r="CG108" s="393">
        <v>-6.4259899999999999E-4</v>
      </c>
      <c r="CH108" s="393">
        <v>6.7284959999999996E-3</v>
      </c>
      <c r="CI108" s="393">
        <v>19.95202982</v>
      </c>
      <c r="CJ108" s="393">
        <v>2.0829781650000001</v>
      </c>
      <c r="CK108" s="393">
        <v>1.4015311000000001E-2</v>
      </c>
      <c r="CL108" s="393">
        <v>0.79997693599999997</v>
      </c>
      <c r="CM108" s="393">
        <v>38.333055850000001</v>
      </c>
      <c r="CN108" s="399">
        <v>6.6559399999999998E-5</v>
      </c>
      <c r="CO108" s="393">
        <v>99999.357399999994</v>
      </c>
      <c r="CP108" s="393">
        <v>0</v>
      </c>
      <c r="CQ108" s="393">
        <v>0</v>
      </c>
      <c r="CR108" s="393">
        <v>109.137</v>
      </c>
      <c r="CS108" s="393">
        <v>23.581612679999999</v>
      </c>
      <c r="CT108" s="393">
        <v>0.32292732699999999</v>
      </c>
      <c r="CU108" s="393"/>
      <c r="CV108" s="393"/>
      <c r="CW108" s="393"/>
      <c r="CX108" s="393"/>
      <c r="CY108" s="393"/>
      <c r="CZ108" s="393"/>
      <c r="DA108" s="393"/>
    </row>
    <row r="109" spans="1:105" x14ac:dyDescent="0.2">
      <c r="A109" s="366">
        <f>ROW()</f>
        <v>109</v>
      </c>
      <c r="B109" s="367" t="s">
        <v>50</v>
      </c>
      <c r="C109" s="368">
        <v>6</v>
      </c>
      <c r="D109" s="368">
        <v>230</v>
      </c>
      <c r="E109" s="367">
        <v>-126.87</v>
      </c>
      <c r="F109" s="441">
        <v>230</v>
      </c>
      <c r="G109" s="369" t="s">
        <v>131</v>
      </c>
      <c r="H109" s="370">
        <v>2</v>
      </c>
      <c r="I109" s="367">
        <v>50</v>
      </c>
      <c r="J109" s="371">
        <v>10</v>
      </c>
      <c r="K109" s="372">
        <v>5</v>
      </c>
      <c r="L109" s="482">
        <v>100000</v>
      </c>
      <c r="M109" s="443" t="s">
        <v>49</v>
      </c>
      <c r="N109" s="726">
        <f t="shared" si="2"/>
        <v>4.210526396600394E-3</v>
      </c>
      <c r="O109" s="370">
        <v>6</v>
      </c>
      <c r="P109" s="66">
        <v>123</v>
      </c>
      <c r="Q109" s="220"/>
      <c r="R109" s="402"/>
      <c r="S109" s="402">
        <v>229.9967216</v>
      </c>
      <c r="T109" s="395">
        <v>5.9998951490000003</v>
      </c>
      <c r="U109" s="402">
        <v>-126.87255279999999</v>
      </c>
      <c r="V109" s="395">
        <v>0.79997219399999997</v>
      </c>
      <c r="W109" s="400">
        <v>1.0238039999999999E-3</v>
      </c>
      <c r="X109" s="400">
        <v>1.4018015E-2</v>
      </c>
      <c r="Y109" s="402">
        <v>2.0828511459999999</v>
      </c>
      <c r="Z109" s="409">
        <v>100001.0238</v>
      </c>
      <c r="AA109" s="396">
        <v>42034.577546296299</v>
      </c>
      <c r="AB109" s="393">
        <v>50.0001179308885</v>
      </c>
      <c r="AC109" s="393">
        <v>0.3173828125</v>
      </c>
      <c r="AD109" s="393" t="s">
        <v>132</v>
      </c>
      <c r="AE109" s="393">
        <v>0.41796875</v>
      </c>
      <c r="AF109" s="393" t="s">
        <v>133</v>
      </c>
      <c r="AG109" s="393">
        <v>0.260609405842956</v>
      </c>
      <c r="AH109" s="393">
        <v>-164.07989228980699</v>
      </c>
      <c r="AI109" s="393">
        <v>1.1330970628666199</v>
      </c>
      <c r="AJ109" s="393">
        <v>1.13295169135387</v>
      </c>
      <c r="AK109" s="393">
        <v>107.92701390534501</v>
      </c>
      <c r="AL109" s="393">
        <v>30664.989322788799</v>
      </c>
      <c r="AM109" s="393">
        <v>1104.02038574219</v>
      </c>
      <c r="AN109" s="393">
        <v>0.261883760977211</v>
      </c>
      <c r="AO109" s="393">
        <v>-164.42457703922801</v>
      </c>
      <c r="AP109" s="393">
        <v>1.13309735020955</v>
      </c>
      <c r="AQ109" s="393">
        <v>1.13362859297479</v>
      </c>
      <c r="AR109" s="393">
        <v>107.962832896205</v>
      </c>
      <c r="AS109" s="393">
        <v>30664.948531931601</v>
      </c>
      <c r="AT109" s="393">
        <v>1104.01806640625</v>
      </c>
      <c r="AU109" s="393">
        <v>0.26009159514422803</v>
      </c>
      <c r="AV109" s="393">
        <v>-164.35672564351799</v>
      </c>
      <c r="AW109" s="393">
        <v>1.1330954229422601</v>
      </c>
      <c r="AX109" s="393">
        <v>1.1329802650057399</v>
      </c>
      <c r="AY109" s="393">
        <v>107.932043374194</v>
      </c>
      <c r="AZ109" s="393">
        <v>30664.993599720201</v>
      </c>
      <c r="BA109" s="393">
        <v>1104.02185058594</v>
      </c>
      <c r="BB109" s="393">
        <v>0.26186267595313001</v>
      </c>
      <c r="BC109" s="393">
        <v>-164.56329350556501</v>
      </c>
      <c r="BD109" s="393">
        <v>1.1330960641658601</v>
      </c>
      <c r="BE109" s="393">
        <v>1.13352396042838</v>
      </c>
      <c r="BF109" s="393">
        <v>107.94668873117</v>
      </c>
      <c r="BG109" s="393">
        <v>30664.891857667299</v>
      </c>
      <c r="BH109" s="393">
        <v>1104.01892089844</v>
      </c>
      <c r="BI109" s="393">
        <v>0.262947039698533</v>
      </c>
      <c r="BJ109" s="393">
        <v>-164.30406328499501</v>
      </c>
      <c r="BK109" s="393">
        <v>1.1330953973440301</v>
      </c>
      <c r="BL109" s="393">
        <v>1.13299862827271</v>
      </c>
      <c r="BM109" s="393">
        <v>107.933389799861</v>
      </c>
      <c r="BN109" s="393">
        <v>30664.8862079836</v>
      </c>
      <c r="BO109" s="393">
        <v>1104.0263671875</v>
      </c>
      <c r="BP109" s="393"/>
      <c r="BQ109" s="393"/>
      <c r="BR109" s="393"/>
      <c r="BS109" s="393"/>
      <c r="BT109" s="393"/>
      <c r="BU109" s="393"/>
      <c r="BV109" s="393"/>
      <c r="BW109" s="393">
        <v>-828.02489209999999</v>
      </c>
      <c r="BX109" s="393">
        <v>1103.9266070000001</v>
      </c>
      <c r="BY109" s="393">
        <v>229.9967216</v>
      </c>
      <c r="BZ109" s="393">
        <v>5.9998951490000003</v>
      </c>
      <c r="CA109" s="393">
        <v>-126.87255279999999</v>
      </c>
      <c r="CB109" s="393">
        <v>1.7059569999999999E-3</v>
      </c>
      <c r="CC109" s="393">
        <v>2.6760450000000002E-3</v>
      </c>
      <c r="CD109" s="399">
        <v>8.2630299999999994E-5</v>
      </c>
      <c r="CE109" s="399">
        <v>9.8837399999999993E-6</v>
      </c>
      <c r="CF109" s="399">
        <v>8.0877000000000005E-5</v>
      </c>
      <c r="CG109" s="393">
        <v>1.0238039999999999E-3</v>
      </c>
      <c r="CH109" s="393">
        <v>6.7302050000000004E-3</v>
      </c>
      <c r="CI109" s="393">
        <v>19.97185507</v>
      </c>
      <c r="CJ109" s="393">
        <v>2.0828511459999999</v>
      </c>
      <c r="CK109" s="393">
        <v>1.4018015E-2</v>
      </c>
      <c r="CL109" s="393">
        <v>0.79997219399999997</v>
      </c>
      <c r="CM109" s="393">
        <v>38.333456820000002</v>
      </c>
      <c r="CN109" s="393">
        <v>1.3249400000000001E-4</v>
      </c>
      <c r="CO109" s="393">
        <v>100001.0238</v>
      </c>
      <c r="CP109" s="393">
        <v>0</v>
      </c>
      <c r="CQ109" s="393">
        <v>0</v>
      </c>
      <c r="CR109" s="393">
        <v>109.139</v>
      </c>
      <c r="CS109" s="393">
        <v>23.586766019999999</v>
      </c>
      <c r="CT109" s="393">
        <v>0.32292711699999999</v>
      </c>
      <c r="CU109" s="393"/>
      <c r="CV109" s="393"/>
      <c r="CW109" s="393"/>
      <c r="CX109" s="393"/>
      <c r="CY109" s="393"/>
      <c r="CZ109" s="393"/>
      <c r="DA109" s="393"/>
    </row>
    <row r="110" spans="1:105" x14ac:dyDescent="0.2">
      <c r="A110" s="366">
        <f>ROW()</f>
        <v>110</v>
      </c>
      <c r="B110" s="367" t="s">
        <v>50</v>
      </c>
      <c r="C110" s="368">
        <v>6</v>
      </c>
      <c r="D110" s="368">
        <v>230</v>
      </c>
      <c r="E110" s="367">
        <v>-126.87</v>
      </c>
      <c r="F110" s="441">
        <v>230</v>
      </c>
      <c r="G110" s="369" t="s">
        <v>131</v>
      </c>
      <c r="H110" s="370">
        <v>2</v>
      </c>
      <c r="I110" s="367">
        <v>50</v>
      </c>
      <c r="J110" s="371">
        <v>10</v>
      </c>
      <c r="K110" s="372">
        <v>5</v>
      </c>
      <c r="L110" s="482">
        <v>100000</v>
      </c>
      <c r="M110" s="443" t="s">
        <v>49</v>
      </c>
      <c r="N110" s="726">
        <f t="shared" si="2"/>
        <v>4.210526396600394E-3</v>
      </c>
      <c r="O110" s="370">
        <v>6</v>
      </c>
      <c r="P110" s="66">
        <v>123</v>
      </c>
      <c r="Q110" s="220"/>
      <c r="R110" s="402"/>
      <c r="S110" s="402">
        <v>229.99694690000001</v>
      </c>
      <c r="T110" s="395">
        <v>5.9998884930000003</v>
      </c>
      <c r="U110" s="402">
        <v>-126.87270839999999</v>
      </c>
      <c r="V110" s="395">
        <v>0.79997056499999997</v>
      </c>
      <c r="W110" s="400">
        <v>5.9537499999999998E-4</v>
      </c>
      <c r="X110" s="400">
        <v>1.4016858E-2</v>
      </c>
      <c r="Y110" s="402">
        <v>2.0829074420000002</v>
      </c>
      <c r="Z110" s="409">
        <v>100000.59540000001</v>
      </c>
      <c r="AA110" s="396">
        <v>42034.580451388887</v>
      </c>
      <c r="AB110" s="393">
        <v>50.0000660404976</v>
      </c>
      <c r="AC110" s="393">
        <v>0.3173828125</v>
      </c>
      <c r="AD110" s="393" t="s">
        <v>132</v>
      </c>
      <c r="AE110" s="393">
        <v>0.41796875</v>
      </c>
      <c r="AF110" s="393" t="s">
        <v>133</v>
      </c>
      <c r="AG110" s="393">
        <v>0.262639195843761</v>
      </c>
      <c r="AH110" s="393">
        <v>-164.232715887154</v>
      </c>
      <c r="AI110" s="393">
        <v>1.13309800209791</v>
      </c>
      <c r="AJ110" s="393">
        <v>1.1333603992794701</v>
      </c>
      <c r="AK110" s="393">
        <v>107.95139960373299</v>
      </c>
      <c r="AL110" s="393">
        <v>30664.802532468799</v>
      </c>
      <c r="AM110" s="393">
        <v>1104.02062988281</v>
      </c>
      <c r="AN110" s="393">
        <v>0.26234004029744301</v>
      </c>
      <c r="AO110" s="393">
        <v>-164.20096768559799</v>
      </c>
      <c r="AP110" s="393">
        <v>1.1330976718222401</v>
      </c>
      <c r="AQ110" s="393">
        <v>1.13306120129842</v>
      </c>
      <c r="AR110" s="393">
        <v>107.969014303392</v>
      </c>
      <c r="AS110" s="393">
        <v>30664.6469347657</v>
      </c>
      <c r="AT110" s="393">
        <v>1104.01745605469</v>
      </c>
      <c r="AU110" s="393">
        <v>0.261514297450267</v>
      </c>
      <c r="AV110" s="393">
        <v>-164.83270287742201</v>
      </c>
      <c r="AW110" s="393">
        <v>1.13309575720364</v>
      </c>
      <c r="AX110" s="393">
        <v>1.1329090160927</v>
      </c>
      <c r="AY110" s="393">
        <v>107.967577724771</v>
      </c>
      <c r="AZ110" s="393">
        <v>30664.686558028599</v>
      </c>
      <c r="BA110" s="393">
        <v>1104.02685546875</v>
      </c>
      <c r="BB110" s="393">
        <v>0.26250501539481702</v>
      </c>
      <c r="BC110" s="393">
        <v>-164.13630999656201</v>
      </c>
      <c r="BD110" s="393">
        <v>1.13309731017829</v>
      </c>
      <c r="BE110" s="393">
        <v>1.13254201988563</v>
      </c>
      <c r="BF110" s="393">
        <v>107.931089027724</v>
      </c>
      <c r="BG110" s="393">
        <v>30664.760977395399</v>
      </c>
      <c r="BH110" s="393">
        <v>1104.02587890625</v>
      </c>
      <c r="BI110" s="393">
        <v>0.26272736916985501</v>
      </c>
      <c r="BJ110" s="393">
        <v>-164.39852345990599</v>
      </c>
      <c r="BK110" s="393">
        <v>1.13309810774695</v>
      </c>
      <c r="BL110" s="393">
        <v>1.1332343026902101</v>
      </c>
      <c r="BM110" s="393">
        <v>107.956241677042</v>
      </c>
      <c r="BN110" s="393">
        <v>30664.8234857114</v>
      </c>
      <c r="BO110" s="393">
        <v>1104.02075195312</v>
      </c>
      <c r="BP110" s="393"/>
      <c r="BQ110" s="393"/>
      <c r="BR110" s="393"/>
      <c r="BS110" s="393"/>
      <c r="BT110" s="393"/>
      <c r="BU110" s="393"/>
      <c r="BV110" s="393"/>
      <c r="BW110" s="393">
        <v>-828.02778269999999</v>
      </c>
      <c r="BX110" s="393">
        <v>1103.924215</v>
      </c>
      <c r="BY110" s="393">
        <v>229.99694690000001</v>
      </c>
      <c r="BZ110" s="393">
        <v>5.9998884930000003</v>
      </c>
      <c r="CA110" s="393">
        <v>-126.87270839999999</v>
      </c>
      <c r="CB110" s="393">
        <v>3.3201559999999999E-3</v>
      </c>
      <c r="CC110" s="393">
        <v>1.1698629999999999E-3</v>
      </c>
      <c r="CD110" s="399">
        <v>8.6602900000000004E-5</v>
      </c>
      <c r="CE110" s="399">
        <v>1.0757800000000001E-5</v>
      </c>
      <c r="CF110" s="399">
        <v>8.2334699999999996E-5</v>
      </c>
      <c r="CG110" s="393">
        <v>5.9537499999999998E-4</v>
      </c>
      <c r="CH110" s="393">
        <v>6.7294679999999997E-3</v>
      </c>
      <c r="CI110" s="393">
        <v>19.963063290000001</v>
      </c>
      <c r="CJ110" s="393">
        <v>2.0829074420000002</v>
      </c>
      <c r="CK110" s="393">
        <v>1.4016858E-2</v>
      </c>
      <c r="CL110" s="393">
        <v>0.79997056499999997</v>
      </c>
      <c r="CM110" s="393">
        <v>38.333536899999999</v>
      </c>
      <c r="CN110" s="393">
        <v>1.2915999999999999E-4</v>
      </c>
      <c r="CO110" s="393">
        <v>100000.59540000001</v>
      </c>
      <c r="CP110" s="393">
        <v>0</v>
      </c>
      <c r="CQ110" s="393">
        <v>0</v>
      </c>
      <c r="CR110" s="393">
        <v>109.13800000000001</v>
      </c>
      <c r="CS110" s="393">
        <v>23.584189349999999</v>
      </c>
      <c r="CT110" s="393">
        <v>0.32292722200000001</v>
      </c>
      <c r="CU110" s="393"/>
      <c r="CV110" s="393"/>
      <c r="CW110" s="393"/>
      <c r="CX110" s="393"/>
      <c r="CY110" s="393"/>
      <c r="CZ110" s="393"/>
      <c r="DA110" s="393"/>
    </row>
    <row r="111" spans="1:105" x14ac:dyDescent="0.2">
      <c r="A111" s="366">
        <f>ROW()</f>
        <v>111</v>
      </c>
      <c r="B111" s="367" t="s">
        <v>50</v>
      </c>
      <c r="C111" s="368">
        <v>50</v>
      </c>
      <c r="D111" s="368">
        <v>230</v>
      </c>
      <c r="E111" s="731">
        <v>0</v>
      </c>
      <c r="F111" s="441">
        <v>230</v>
      </c>
      <c r="G111" s="369" t="s">
        <v>359</v>
      </c>
      <c r="H111" s="370">
        <v>100</v>
      </c>
      <c r="I111" s="367">
        <v>50</v>
      </c>
      <c r="J111" s="371">
        <v>10</v>
      </c>
      <c r="K111" s="372">
        <v>5</v>
      </c>
      <c r="L111" s="482">
        <v>100000</v>
      </c>
      <c r="M111" s="443" t="s">
        <v>535</v>
      </c>
      <c r="N111" s="726">
        <f t="shared" si="2"/>
        <v>3.265593361090753E-3</v>
      </c>
      <c r="O111" s="370">
        <v>6</v>
      </c>
      <c r="P111" s="66">
        <v>123</v>
      </c>
      <c r="Q111" s="220"/>
      <c r="R111" s="402"/>
      <c r="S111" s="402">
        <v>229.99628899999999</v>
      </c>
      <c r="T111" s="395">
        <v>50.001170190000003</v>
      </c>
      <c r="U111" s="402">
        <v>-4.2601999999999999E-4</v>
      </c>
      <c r="V111" s="395">
        <v>1</v>
      </c>
      <c r="W111" s="400">
        <v>3.493847E-3</v>
      </c>
      <c r="X111" s="400">
        <v>4.7402690000000001E-3</v>
      </c>
      <c r="Y111" s="402">
        <v>2.0798405560000002</v>
      </c>
      <c r="Z111" s="409">
        <v>100003.4938</v>
      </c>
      <c r="AA111" s="396">
        <v>42034.652430555558</v>
      </c>
      <c r="AB111" s="393">
        <v>49.999919819395899</v>
      </c>
      <c r="AC111" s="393">
        <v>0.44140625</v>
      </c>
      <c r="AD111" s="393" t="s">
        <v>134</v>
      </c>
      <c r="AE111" s="393">
        <v>0</v>
      </c>
      <c r="AF111" s="393" t="s">
        <v>135</v>
      </c>
      <c r="AG111" s="393">
        <v>0.16389225873836999</v>
      </c>
      <c r="AH111" s="393">
        <v>-113.657840452492</v>
      </c>
      <c r="AI111" s="393">
        <v>1.1330925042864599</v>
      </c>
      <c r="AJ111" s="393">
        <v>1.1331360181866901</v>
      </c>
      <c r="AK111" s="393">
        <v>107.949187542065</v>
      </c>
      <c r="AL111" s="393">
        <v>319458.57536188298</v>
      </c>
      <c r="AM111" s="393">
        <v>11500.3388671875</v>
      </c>
      <c r="AN111" s="393">
        <v>0.164436272583937</v>
      </c>
      <c r="AO111" s="393">
        <v>-113.163643847114</v>
      </c>
      <c r="AP111" s="393">
        <v>1.1330946816531</v>
      </c>
      <c r="AQ111" s="393">
        <v>1.13321793732443</v>
      </c>
      <c r="AR111" s="393">
        <v>107.95521450797</v>
      </c>
      <c r="AS111" s="393">
        <v>319459.08277146402</v>
      </c>
      <c r="AT111" s="393">
        <v>11500.3623046875</v>
      </c>
      <c r="AU111" s="393">
        <v>0.16539587965622601</v>
      </c>
      <c r="AV111" s="393">
        <v>-112.87864538404099</v>
      </c>
      <c r="AW111" s="393">
        <v>1.1330935952974901</v>
      </c>
      <c r="AX111" s="393">
        <v>1.1334081798187201</v>
      </c>
      <c r="AY111" s="393">
        <v>107.95843388897499</v>
      </c>
      <c r="AZ111" s="393">
        <v>319455.32183526398</v>
      </c>
      <c r="BA111" s="393">
        <v>11500.3037109375</v>
      </c>
      <c r="BB111" s="393">
        <v>0.163372768606563</v>
      </c>
      <c r="BC111" s="393">
        <v>-113.021182820403</v>
      </c>
      <c r="BD111" s="393">
        <v>1.1330960090681299</v>
      </c>
      <c r="BE111" s="393">
        <v>1.13304042276296</v>
      </c>
      <c r="BF111" s="393">
        <v>107.95017288391399</v>
      </c>
      <c r="BG111" s="393">
        <v>319457.38817199599</v>
      </c>
      <c r="BH111" s="393">
        <v>11500.328125</v>
      </c>
      <c r="BI111" s="393">
        <v>0.163331936888226</v>
      </c>
      <c r="BJ111" s="393">
        <v>-112.829815465202</v>
      </c>
      <c r="BK111" s="393">
        <v>1.1330938521094001</v>
      </c>
      <c r="BL111" s="393">
        <v>1.1333407208896999</v>
      </c>
      <c r="BM111" s="393">
        <v>107.988308269014</v>
      </c>
      <c r="BN111" s="393">
        <v>319459.27807006601</v>
      </c>
      <c r="BO111" s="393">
        <v>11500.3349609375</v>
      </c>
      <c r="BP111" s="393"/>
      <c r="BQ111" s="393"/>
      <c r="BR111" s="393"/>
      <c r="BS111" s="393"/>
      <c r="BT111" s="393"/>
      <c r="BU111" s="393"/>
      <c r="BV111" s="393"/>
      <c r="BW111" s="393">
        <v>11500.08366</v>
      </c>
      <c r="BX111" s="393">
        <v>8.5508393000000002E-2</v>
      </c>
      <c r="BY111" s="393">
        <v>229.99628899999999</v>
      </c>
      <c r="BZ111" s="393">
        <v>50.001170190000003</v>
      </c>
      <c r="CA111" s="393">
        <v>-4.2601999999999999E-4</v>
      </c>
      <c r="CB111" s="393">
        <v>2.3211470000000001E-2</v>
      </c>
      <c r="CC111" s="393">
        <v>1.8331143000000001E-2</v>
      </c>
      <c r="CD111" s="393">
        <v>1.1873499999999999E-4</v>
      </c>
      <c r="CE111" s="399">
        <v>8.6505699999999994E-5</v>
      </c>
      <c r="CF111" s="399">
        <v>9.1329399999999993E-5</v>
      </c>
      <c r="CG111" s="393">
        <v>3.493847E-3</v>
      </c>
      <c r="CH111" s="393">
        <v>2.2791500000000002E-3</v>
      </c>
      <c r="CI111" s="393">
        <v>20.454115649999999</v>
      </c>
      <c r="CJ111" s="393">
        <v>2.0798405560000002</v>
      </c>
      <c r="CK111" s="393">
        <v>4.7402690000000001E-3</v>
      </c>
      <c r="CL111" s="393">
        <v>1</v>
      </c>
      <c r="CM111" s="393">
        <v>4.5998181269999998</v>
      </c>
      <c r="CN111" s="399">
        <v>1.6084300000000001E-5</v>
      </c>
      <c r="CO111" s="393">
        <v>100003.4938</v>
      </c>
      <c r="CP111" s="393">
        <v>0</v>
      </c>
      <c r="CQ111" s="393">
        <v>0</v>
      </c>
      <c r="CR111" s="393">
        <v>109.182</v>
      </c>
      <c r="CS111" s="393">
        <v>23.697564960000001</v>
      </c>
      <c r="CT111" s="393">
        <v>0.32292260900000003</v>
      </c>
      <c r="CU111" s="393"/>
      <c r="CV111" s="393"/>
      <c r="CW111" s="393"/>
      <c r="CX111" s="393"/>
      <c r="CY111" s="393"/>
      <c r="CZ111" s="393"/>
      <c r="DA111" s="393"/>
    </row>
    <row r="112" spans="1:105" x14ac:dyDescent="0.2">
      <c r="A112" s="366">
        <f>ROW()</f>
        <v>112</v>
      </c>
      <c r="B112" s="367" t="s">
        <v>50</v>
      </c>
      <c r="C112" s="368">
        <v>50</v>
      </c>
      <c r="D112" s="368">
        <v>230</v>
      </c>
      <c r="E112" s="731">
        <v>-60</v>
      </c>
      <c r="F112" s="441">
        <v>230</v>
      </c>
      <c r="G112" s="369" t="s">
        <v>359</v>
      </c>
      <c r="H112" s="370">
        <v>100</v>
      </c>
      <c r="I112" s="367">
        <v>50</v>
      </c>
      <c r="J112" s="371">
        <v>10</v>
      </c>
      <c r="K112" s="372">
        <v>5</v>
      </c>
      <c r="L112" s="482">
        <v>100000</v>
      </c>
      <c r="M112" s="443" t="s">
        <v>535</v>
      </c>
      <c r="N112" s="726">
        <f t="shared" si="2"/>
        <v>5.1637292725316255E-3</v>
      </c>
      <c r="O112" s="370">
        <v>6</v>
      </c>
      <c r="P112" s="66">
        <v>123</v>
      </c>
      <c r="Q112" s="220"/>
      <c r="R112" s="402"/>
      <c r="S112" s="402">
        <v>229.99648859999999</v>
      </c>
      <c r="T112" s="395">
        <v>49.998935240000002</v>
      </c>
      <c r="U112" s="402">
        <v>-59.997739750000001</v>
      </c>
      <c r="V112" s="395">
        <v>0.50003416300000003</v>
      </c>
      <c r="W112" s="400">
        <v>-3.3493429999999999E-3</v>
      </c>
      <c r="X112" s="400">
        <v>8.6116930000000001E-3</v>
      </c>
      <c r="Y112" s="402">
        <v>2.0479195209999999</v>
      </c>
      <c r="Z112" s="409">
        <v>99996.650659999999</v>
      </c>
      <c r="AA112" s="396">
        <v>42034.655324074076</v>
      </c>
      <c r="AB112" s="393">
        <v>49.999929249467002</v>
      </c>
      <c r="AC112" s="393">
        <v>0.220703125</v>
      </c>
      <c r="AD112" s="393" t="s">
        <v>134</v>
      </c>
      <c r="AE112" s="393">
        <v>0.376953125</v>
      </c>
      <c r="AF112" s="393" t="s">
        <v>133</v>
      </c>
      <c r="AG112" s="393">
        <v>0.183380151710517</v>
      </c>
      <c r="AH112" s="393">
        <v>170.67386260679299</v>
      </c>
      <c r="AI112" s="393">
        <v>1.1330945005531099</v>
      </c>
      <c r="AJ112" s="393">
        <v>1.13295600499315</v>
      </c>
      <c r="AK112" s="393">
        <v>107.92471428664901</v>
      </c>
      <c r="AL112" s="393">
        <v>159721.47502113701</v>
      </c>
      <c r="AM112" s="393">
        <v>5749.9599609375</v>
      </c>
      <c r="AN112" s="393">
        <v>0.18228455874150401</v>
      </c>
      <c r="AO112" s="393">
        <v>171.173381771176</v>
      </c>
      <c r="AP112" s="393">
        <v>1.1330945440504401</v>
      </c>
      <c r="AQ112" s="393">
        <v>1.1334156578202099</v>
      </c>
      <c r="AR112" s="393">
        <v>107.95721397685401</v>
      </c>
      <c r="AS112" s="393">
        <v>159723.07408416399</v>
      </c>
      <c r="AT112" s="393">
        <v>5749.94775390625</v>
      </c>
      <c r="AU112" s="393">
        <v>0.182048196268527</v>
      </c>
      <c r="AV112" s="393">
        <v>171.617522799917</v>
      </c>
      <c r="AW112" s="393">
        <v>1.1330950009883001</v>
      </c>
      <c r="AX112" s="393">
        <v>1.13299616492471</v>
      </c>
      <c r="AY112" s="393">
        <v>107.962135258975</v>
      </c>
      <c r="AZ112" s="393">
        <v>159721.41638849999</v>
      </c>
      <c r="BA112" s="393">
        <v>5749.9443359375</v>
      </c>
      <c r="BB112" s="393">
        <v>0.18285865300486501</v>
      </c>
      <c r="BC112" s="393">
        <v>170.63069807171601</v>
      </c>
      <c r="BD112" s="393">
        <v>1.13309591210218</v>
      </c>
      <c r="BE112" s="393">
        <v>1.13314324532102</v>
      </c>
      <c r="BF112" s="393">
        <v>107.964581137107</v>
      </c>
      <c r="BG112" s="393">
        <v>159723.36447320599</v>
      </c>
      <c r="BH112" s="393">
        <v>5749.9501953125</v>
      </c>
      <c r="BI112" s="393">
        <v>0.182244245299303</v>
      </c>
      <c r="BJ112" s="393">
        <v>170.66748416994301</v>
      </c>
      <c r="BK112" s="393">
        <v>1.1330956001152701</v>
      </c>
      <c r="BL112" s="393">
        <v>1.1329332594569701</v>
      </c>
      <c r="BM112" s="393">
        <v>107.937501925147</v>
      </c>
      <c r="BN112" s="393">
        <v>159720.40214745601</v>
      </c>
      <c r="BO112" s="393">
        <v>5749.974609375</v>
      </c>
      <c r="BP112" s="393"/>
      <c r="BQ112" s="393"/>
      <c r="BR112" s="393"/>
      <c r="BS112" s="393"/>
      <c r="BT112" s="393"/>
      <c r="BU112" s="393"/>
      <c r="BV112" s="393"/>
      <c r="BW112" s="393">
        <v>5750.1826650000003</v>
      </c>
      <c r="BX112" s="393">
        <v>9958.701239</v>
      </c>
      <c r="BY112" s="393">
        <v>229.99648859999999</v>
      </c>
      <c r="BZ112" s="393">
        <v>49.998935240000002</v>
      </c>
      <c r="CA112" s="393">
        <v>-59.997739750000001</v>
      </c>
      <c r="CB112" s="393">
        <v>2.8480472E-2</v>
      </c>
      <c r="CC112" s="393">
        <v>1.3415633E-2</v>
      </c>
      <c r="CD112" s="399">
        <v>5.7144100000000001E-5</v>
      </c>
      <c r="CE112" s="399">
        <v>5.1159999999999998E-5</v>
      </c>
      <c r="CF112" s="393">
        <v>1.4003400000000001E-4</v>
      </c>
      <c r="CG112" s="393">
        <v>-3.3493429999999999E-3</v>
      </c>
      <c r="CH112" s="393">
        <v>4.205093E-3</v>
      </c>
      <c r="CI112" s="393">
        <v>27.609807629999999</v>
      </c>
      <c r="CJ112" s="393">
        <v>2.0479195209999999</v>
      </c>
      <c r="CK112" s="393">
        <v>8.6116930000000001E-3</v>
      </c>
      <c r="CL112" s="393">
        <v>0.50003416300000003</v>
      </c>
      <c r="CM112" s="393">
        <v>4.6000277299999999</v>
      </c>
      <c r="CN112" s="399">
        <v>8.58224E-6</v>
      </c>
      <c r="CO112" s="393">
        <v>99996.650659999999</v>
      </c>
      <c r="CP112" s="393">
        <v>0</v>
      </c>
      <c r="CQ112" s="393">
        <v>0</v>
      </c>
      <c r="CR112" s="393">
        <v>109.18899999999999</v>
      </c>
      <c r="CS112" s="393">
        <v>23.71560238</v>
      </c>
      <c r="CT112" s="393">
        <v>0.32292187500000002</v>
      </c>
      <c r="CU112" s="393"/>
      <c r="CV112" s="393"/>
      <c r="CW112" s="393"/>
      <c r="CX112" s="393"/>
      <c r="CY112" s="393"/>
      <c r="CZ112" s="393"/>
      <c r="DA112" s="393"/>
    </row>
    <row r="113" spans="1:105" x14ac:dyDescent="0.2">
      <c r="A113" s="366">
        <f>ROW()</f>
        <v>113</v>
      </c>
      <c r="B113" s="367" t="s">
        <v>50</v>
      </c>
      <c r="C113" s="368">
        <v>50</v>
      </c>
      <c r="D113" s="368">
        <v>230</v>
      </c>
      <c r="E113" s="731">
        <v>36.869999999999997</v>
      </c>
      <c r="F113" s="441">
        <v>230</v>
      </c>
      <c r="G113" s="369" t="s">
        <v>359</v>
      </c>
      <c r="H113" s="370">
        <v>100</v>
      </c>
      <c r="I113" s="367">
        <v>50</v>
      </c>
      <c r="J113" s="371">
        <v>10</v>
      </c>
      <c r="K113" s="372">
        <v>5</v>
      </c>
      <c r="L113" s="482">
        <v>100000</v>
      </c>
      <c r="M113" s="443" t="s">
        <v>535</v>
      </c>
      <c r="N113" s="726">
        <f t="shared" si="2"/>
        <v>3.7301639973054816E-3</v>
      </c>
      <c r="O113" s="370">
        <v>6</v>
      </c>
      <c r="P113" s="66">
        <v>123</v>
      </c>
      <c r="Q113" s="220"/>
      <c r="R113" s="402"/>
      <c r="S113" s="402">
        <v>229.99687639999999</v>
      </c>
      <c r="T113" s="395">
        <v>49.999032219999997</v>
      </c>
      <c r="U113" s="402">
        <v>36.898087199999999</v>
      </c>
      <c r="V113" s="395">
        <v>0.79970470299999996</v>
      </c>
      <c r="W113" s="400">
        <v>7.2694359999999998E-3</v>
      </c>
      <c r="X113" s="400">
        <v>5.7429780000000001E-3</v>
      </c>
      <c r="Y113" s="402">
        <v>2.0514484629999998</v>
      </c>
      <c r="Z113" s="409">
        <v>100007.2694</v>
      </c>
      <c r="AA113" s="396">
        <v>42034.658217592594</v>
      </c>
      <c r="AB113" s="393">
        <v>50.000160381208303</v>
      </c>
      <c r="AC113" s="393">
        <v>0.3525390625</v>
      </c>
      <c r="AD113" s="393" t="s">
        <v>134</v>
      </c>
      <c r="AE113" s="393">
        <v>0.2607421875</v>
      </c>
      <c r="AF113" s="393" t="s">
        <v>135</v>
      </c>
      <c r="AG113" s="393">
        <v>0.22595825725082999</v>
      </c>
      <c r="AH113" s="393">
        <v>148.254684432684</v>
      </c>
      <c r="AI113" s="393">
        <v>1.13309621971143</v>
      </c>
      <c r="AJ113" s="393">
        <v>1.1330647844381101</v>
      </c>
      <c r="AK113" s="393">
        <v>107.928356899493</v>
      </c>
      <c r="AL113" s="393">
        <v>255468.353547718</v>
      </c>
      <c r="AM113" s="393">
        <v>9196.8388671875</v>
      </c>
      <c r="AN113" s="393">
        <v>0.22561501422445801</v>
      </c>
      <c r="AO113" s="393">
        <v>148.74860516618301</v>
      </c>
      <c r="AP113" s="393">
        <v>1.13309700382099</v>
      </c>
      <c r="AQ113" s="393">
        <v>1.1335350631472401</v>
      </c>
      <c r="AR113" s="393">
        <v>107.931339947308</v>
      </c>
      <c r="AS113" s="393">
        <v>255472.92413033801</v>
      </c>
      <c r="AT113" s="393">
        <v>9196.8212890625</v>
      </c>
      <c r="AU113" s="393">
        <v>0.22555096835597099</v>
      </c>
      <c r="AV113" s="393">
        <v>148.01868867194699</v>
      </c>
      <c r="AW113" s="393">
        <v>1.1330974935336999</v>
      </c>
      <c r="AX113" s="393">
        <v>1.1331506222457399</v>
      </c>
      <c r="AY113" s="393">
        <v>107.92757644717</v>
      </c>
      <c r="AZ113" s="393">
        <v>255470.60082089499</v>
      </c>
      <c r="BA113" s="393">
        <v>9196.8466796875</v>
      </c>
      <c r="BB113" s="393">
        <v>0.22527701156424201</v>
      </c>
      <c r="BC113" s="393">
        <v>148.356064208324</v>
      </c>
      <c r="BD113" s="393">
        <v>1.13309750559177</v>
      </c>
      <c r="BE113" s="393">
        <v>1.1331997971668</v>
      </c>
      <c r="BF113" s="393">
        <v>107.952075926528</v>
      </c>
      <c r="BG113" s="393">
        <v>255470.97500478901</v>
      </c>
      <c r="BH113" s="393">
        <v>9196.787109375</v>
      </c>
      <c r="BI113" s="393">
        <v>0.225300545773057</v>
      </c>
      <c r="BJ113" s="393">
        <v>148.479127918719</v>
      </c>
      <c r="BK113" s="393">
        <v>1.1330968881594301</v>
      </c>
      <c r="BL113" s="393">
        <v>1.13309976916947</v>
      </c>
      <c r="BM113" s="393">
        <v>107.973796853612</v>
      </c>
      <c r="BN113" s="393">
        <v>255474.05673554001</v>
      </c>
      <c r="BO113" s="393">
        <v>9196.8740234375</v>
      </c>
      <c r="BP113" s="393"/>
      <c r="BQ113" s="393"/>
      <c r="BR113" s="393"/>
      <c r="BS113" s="393"/>
      <c r="BT113" s="393"/>
      <c r="BU113" s="393"/>
      <c r="BV113" s="393"/>
      <c r="BW113" s="393">
        <v>9196.3012350000008</v>
      </c>
      <c r="BX113" s="393">
        <v>6904.2982000000002</v>
      </c>
      <c r="BY113" s="393">
        <v>229.99687639999999</v>
      </c>
      <c r="BZ113" s="393">
        <v>49.999032219999997</v>
      </c>
      <c r="CA113" s="393">
        <v>36.898087199999999</v>
      </c>
      <c r="CB113" s="393">
        <v>2.1045502000000001E-2</v>
      </c>
      <c r="CC113" s="393">
        <v>7.1588800000000003E-3</v>
      </c>
      <c r="CD113" s="399">
        <v>4.8010699999999998E-5</v>
      </c>
      <c r="CE113" s="399">
        <v>5.6249799999999998E-5</v>
      </c>
      <c r="CF113" s="399">
        <v>8.8511599999999995E-5</v>
      </c>
      <c r="CG113" s="393">
        <v>7.2694359999999998E-3</v>
      </c>
      <c r="CH113" s="393">
        <v>2.7994750000000001E-3</v>
      </c>
      <c r="CI113" s="393">
        <v>26.572166249999999</v>
      </c>
      <c r="CJ113" s="393">
        <v>2.0514484629999998</v>
      </c>
      <c r="CK113" s="393">
        <v>5.7429780000000001E-3</v>
      </c>
      <c r="CL113" s="393">
        <v>0.79970470299999996</v>
      </c>
      <c r="CM113" s="393">
        <v>4.6000265640000002</v>
      </c>
      <c r="CN113" s="399">
        <v>1.15826E-5</v>
      </c>
      <c r="CO113" s="393">
        <v>100007.2694</v>
      </c>
      <c r="CP113" s="393">
        <v>0</v>
      </c>
      <c r="CQ113" s="393">
        <v>0</v>
      </c>
      <c r="CR113" s="393">
        <v>109.19799999999999</v>
      </c>
      <c r="CS113" s="393">
        <v>23.738793489999999</v>
      </c>
      <c r="CT113" s="393">
        <v>0.32292093100000002</v>
      </c>
      <c r="CU113" s="393"/>
      <c r="CV113" s="393"/>
      <c r="CW113" s="393"/>
      <c r="CX113" s="393"/>
      <c r="CY113" s="393"/>
      <c r="CZ113" s="393"/>
      <c r="DA113" s="393"/>
    </row>
    <row r="114" spans="1:105" x14ac:dyDescent="0.2">
      <c r="A114" s="366">
        <f>ROW()</f>
        <v>114</v>
      </c>
      <c r="B114" s="367" t="s">
        <v>50</v>
      </c>
      <c r="C114" s="368">
        <v>50</v>
      </c>
      <c r="D114" s="368">
        <v>230</v>
      </c>
      <c r="E114" s="731">
        <v>0</v>
      </c>
      <c r="F114" s="441">
        <v>230</v>
      </c>
      <c r="G114" s="369" t="s">
        <v>359</v>
      </c>
      <c r="H114" s="370">
        <v>100</v>
      </c>
      <c r="I114" s="367">
        <v>50</v>
      </c>
      <c r="J114" s="371">
        <v>10</v>
      </c>
      <c r="K114" s="372">
        <v>5</v>
      </c>
      <c r="L114" s="482">
        <v>100000</v>
      </c>
      <c r="M114" s="443" t="s">
        <v>535</v>
      </c>
      <c r="N114" s="726">
        <f>IF(M114="watts",SQRT((0.0005+0.001/COS(RADIANS(ABS(E114))))^2+0.000645^2)*IF(T114&gt;26,2,1),SQRT((0.001+0.001/SIN(RADIANS(ABS(E114))))^2+0.000645^2+0.0035^2))</f>
        <v>3.265593361090753E-3</v>
      </c>
      <c r="O114" s="370">
        <v>6</v>
      </c>
      <c r="P114" s="66">
        <v>123</v>
      </c>
      <c r="Q114" s="220"/>
      <c r="R114" s="402"/>
      <c r="S114" s="402">
        <v>229.9967978</v>
      </c>
      <c r="T114" s="395">
        <v>50.000721460000001</v>
      </c>
      <c r="U114" s="402">
        <v>-6.5945700000000001E-4</v>
      </c>
      <c r="V114" s="395">
        <v>1</v>
      </c>
      <c r="W114" s="400">
        <v>4.5805680000000001E-3</v>
      </c>
      <c r="X114" s="400">
        <v>4.7634540000000003E-3</v>
      </c>
      <c r="Y114" s="402">
        <v>2.0770027510000002</v>
      </c>
      <c r="Z114" s="409">
        <v>100004.5806</v>
      </c>
      <c r="AA114" s="396">
        <v>42034.661111111112</v>
      </c>
      <c r="AB114" s="393">
        <v>50.000344342594303</v>
      </c>
      <c r="AC114" s="393">
        <v>0.44140625</v>
      </c>
      <c r="AD114" s="393" t="s">
        <v>134</v>
      </c>
      <c r="AE114" s="393">
        <v>0</v>
      </c>
      <c r="AF114" s="393" t="s">
        <v>133</v>
      </c>
      <c r="AG114" s="393">
        <v>0.16206659449748301</v>
      </c>
      <c r="AH114" s="393">
        <v>-112.918098985271</v>
      </c>
      <c r="AI114" s="393">
        <v>1.1330951393800901</v>
      </c>
      <c r="AJ114" s="393">
        <v>1.1326764222064301</v>
      </c>
      <c r="AK114" s="393">
        <v>107.960328228715</v>
      </c>
      <c r="AL114" s="393">
        <v>319459.50118079502</v>
      </c>
      <c r="AM114" s="393">
        <v>11500.322265625</v>
      </c>
      <c r="AN114" s="393">
        <v>0.16299533189195201</v>
      </c>
      <c r="AO114" s="393">
        <v>-113.042560712221</v>
      </c>
      <c r="AP114" s="393">
        <v>1.13309677564347</v>
      </c>
      <c r="AQ114" s="393">
        <v>1.1330158014110501</v>
      </c>
      <c r="AR114" s="393">
        <v>107.95339683561799</v>
      </c>
      <c r="AS114" s="393">
        <v>319461.00990640803</v>
      </c>
      <c r="AT114" s="393">
        <v>11500.2998046875</v>
      </c>
      <c r="AU114" s="393">
        <v>0.16193224436477599</v>
      </c>
      <c r="AV114" s="393">
        <v>-113.075645639724</v>
      </c>
      <c r="AW114" s="393">
        <v>1.1330972977153599</v>
      </c>
      <c r="AX114" s="393">
        <v>1.13325480281222</v>
      </c>
      <c r="AY114" s="393">
        <v>107.967226411864</v>
      </c>
      <c r="AZ114" s="393">
        <v>319457.66221904702</v>
      </c>
      <c r="BA114" s="393">
        <v>11500.3193359375</v>
      </c>
      <c r="BB114" s="393">
        <v>0.16200302360524099</v>
      </c>
      <c r="BC114" s="393">
        <v>-112.65702396511401</v>
      </c>
      <c r="BD114" s="393">
        <v>1.1330975722518899</v>
      </c>
      <c r="BE114" s="393">
        <v>1.1329753230122399</v>
      </c>
      <c r="BF114" s="393">
        <v>107.93899660763</v>
      </c>
      <c r="BG114" s="393">
        <v>319457.41136283998</v>
      </c>
      <c r="BH114" s="393">
        <v>11500.3271484375</v>
      </c>
      <c r="BI114" s="393">
        <v>0.16230879015680699</v>
      </c>
      <c r="BJ114" s="393">
        <v>-112.70493136643699</v>
      </c>
      <c r="BK114" s="393">
        <v>1.1330963898090101</v>
      </c>
      <c r="BL114" s="393">
        <v>1.1330217501713</v>
      </c>
      <c r="BM114" s="393">
        <v>107.932677234647</v>
      </c>
      <c r="BN114" s="393">
        <v>319460.61729717301</v>
      </c>
      <c r="BO114" s="393">
        <v>11500.3125</v>
      </c>
      <c r="BP114" s="393"/>
      <c r="BQ114" s="393"/>
      <c r="BR114" s="393"/>
      <c r="BS114" s="393"/>
      <c r="BT114" s="393"/>
      <c r="BU114" s="393"/>
      <c r="BV114" s="393"/>
      <c r="BW114" s="393">
        <v>11500.00589</v>
      </c>
      <c r="BX114" s="393">
        <v>0.13236158000000001</v>
      </c>
      <c r="BY114" s="393">
        <v>229.9967978</v>
      </c>
      <c r="BZ114" s="393">
        <v>50.000721460000001</v>
      </c>
      <c r="CA114" s="393">
        <v>-6.5945700000000001E-4</v>
      </c>
      <c r="CB114" s="393">
        <v>1.2150259E-2</v>
      </c>
      <c r="CC114" s="393">
        <v>1.2107796000000001E-2</v>
      </c>
      <c r="CD114" s="399">
        <v>8.6535599999999999E-5</v>
      </c>
      <c r="CE114" s="399">
        <v>4.1226999999999997E-5</v>
      </c>
      <c r="CF114" s="399">
        <v>6.03238E-5</v>
      </c>
      <c r="CG114" s="393">
        <v>4.5805680000000001E-3</v>
      </c>
      <c r="CH114" s="393">
        <v>2.2934269999999998E-3</v>
      </c>
      <c r="CI114" s="393">
        <v>20.93153659</v>
      </c>
      <c r="CJ114" s="393">
        <v>2.0770027510000002</v>
      </c>
      <c r="CK114" s="393">
        <v>4.7634540000000003E-3</v>
      </c>
      <c r="CL114" s="393">
        <v>1</v>
      </c>
      <c r="CM114" s="393">
        <v>4.5998695830000003</v>
      </c>
      <c r="CN114" s="399">
        <v>7.4641600000000002E-6</v>
      </c>
      <c r="CO114" s="393">
        <v>100004.5806</v>
      </c>
      <c r="CP114" s="393">
        <v>0</v>
      </c>
      <c r="CQ114" s="393">
        <v>0</v>
      </c>
      <c r="CR114" s="393">
        <v>109.202</v>
      </c>
      <c r="CS114" s="393">
        <v>23.74910071</v>
      </c>
      <c r="CT114" s="393">
        <v>0.32292051199999999</v>
      </c>
      <c r="CU114" s="393"/>
      <c r="CV114" s="393"/>
      <c r="CW114" s="393"/>
      <c r="CX114" s="393"/>
      <c r="CY114" s="393"/>
      <c r="CZ114" s="393"/>
      <c r="DA114" s="393"/>
    </row>
    <row r="115" spans="1:105" x14ac:dyDescent="0.2">
      <c r="A115" s="366">
        <f>ROW()</f>
        <v>115</v>
      </c>
      <c r="B115" s="367" t="s">
        <v>50</v>
      </c>
      <c r="C115" s="368">
        <v>50</v>
      </c>
      <c r="D115" s="368">
        <v>230</v>
      </c>
      <c r="E115" s="731">
        <v>0</v>
      </c>
      <c r="F115" s="441">
        <v>230</v>
      </c>
      <c r="G115" s="369" t="s">
        <v>359</v>
      </c>
      <c r="H115" s="370">
        <v>100</v>
      </c>
      <c r="I115" s="367">
        <v>50</v>
      </c>
      <c r="J115" s="371">
        <v>10</v>
      </c>
      <c r="K115" s="372">
        <v>5</v>
      </c>
      <c r="L115" s="482">
        <v>100000</v>
      </c>
      <c r="M115" s="443" t="s">
        <v>535</v>
      </c>
      <c r="N115" s="726">
        <f>IF(M115="watts",SQRT((0.0005+0.001/COS(RADIANS(ABS(E115))))^2+0.000645^2)*IF(T115&gt;26,2,1),SQRT((0.001+0.001/SIN(RADIANS(ABS(E115))))^2+0.000645^2+0.0035^2))</f>
        <v>3.265593361090753E-3</v>
      </c>
      <c r="O115" s="370">
        <v>6</v>
      </c>
      <c r="P115" s="66">
        <v>123</v>
      </c>
      <c r="Q115" s="220"/>
      <c r="R115" s="402"/>
      <c r="S115" s="402">
        <v>229.99670929999999</v>
      </c>
      <c r="T115" s="395">
        <v>50.000778320000002</v>
      </c>
      <c r="U115" s="402">
        <v>-7.5479699999999998E-4</v>
      </c>
      <c r="V115" s="395">
        <v>1</v>
      </c>
      <c r="W115" s="400">
        <v>3.9287849999999997E-3</v>
      </c>
      <c r="X115" s="400">
        <v>4.7629769999999998E-3</v>
      </c>
      <c r="Y115" s="402">
        <v>2.0770576049999998</v>
      </c>
      <c r="Z115" s="409">
        <v>100003.92879999999</v>
      </c>
      <c r="AA115" s="396">
        <v>42034.664004629631</v>
      </c>
      <c r="AB115" s="393">
        <v>50.000391512949697</v>
      </c>
      <c r="AC115" s="393">
        <v>0.44140625</v>
      </c>
      <c r="AD115" s="393" t="s">
        <v>134</v>
      </c>
      <c r="AE115" s="393">
        <v>0</v>
      </c>
      <c r="AF115" s="393" t="s">
        <v>133</v>
      </c>
      <c r="AG115" s="393">
        <v>0.161828295963798</v>
      </c>
      <c r="AH115" s="393">
        <v>-112.946314211607</v>
      </c>
      <c r="AI115" s="393">
        <v>1.1330954061815099</v>
      </c>
      <c r="AJ115" s="393">
        <v>1.13317191888528</v>
      </c>
      <c r="AK115" s="393">
        <v>107.928297138953</v>
      </c>
      <c r="AL115" s="393">
        <v>319456.84874362202</v>
      </c>
      <c r="AM115" s="393">
        <v>11500.3544921875</v>
      </c>
      <c r="AN115" s="393">
        <v>0.16202571159429099</v>
      </c>
      <c r="AO115" s="393">
        <v>-112.73526359656201</v>
      </c>
      <c r="AP115" s="393">
        <v>1.13309493552248</v>
      </c>
      <c r="AQ115" s="393">
        <v>1.13271295260654</v>
      </c>
      <c r="AR115" s="393">
        <v>107.978979602653</v>
      </c>
      <c r="AS115" s="393">
        <v>319457.61442439799</v>
      </c>
      <c r="AT115" s="393">
        <v>11500.2861328125</v>
      </c>
      <c r="AU115" s="393">
        <v>0.16172502089206101</v>
      </c>
      <c r="AV115" s="393">
        <v>-113.16143546500901</v>
      </c>
      <c r="AW115" s="393">
        <v>1.13309734457486</v>
      </c>
      <c r="AX115" s="393">
        <v>1.13331413832313</v>
      </c>
      <c r="AY115" s="393">
        <v>107.947513206118</v>
      </c>
      <c r="AZ115" s="393">
        <v>319455.86468157702</v>
      </c>
      <c r="BA115" s="393">
        <v>11500.3662109375</v>
      </c>
      <c r="BB115" s="393">
        <v>0.16259649541253501</v>
      </c>
      <c r="BC115" s="393">
        <v>-112.326271372037</v>
      </c>
      <c r="BD115" s="393">
        <v>1.1330973911676201</v>
      </c>
      <c r="BE115" s="393">
        <v>1.1334893682132501</v>
      </c>
      <c r="BF115" s="393">
        <v>107.94773992763299</v>
      </c>
      <c r="BG115" s="393">
        <v>319460.09587083099</v>
      </c>
      <c r="BH115" s="393">
        <v>11500.34375</v>
      </c>
      <c r="BI115" s="393">
        <v>0.16083697885607401</v>
      </c>
      <c r="BJ115" s="393">
        <v>-112.615778152652</v>
      </c>
      <c r="BK115" s="393">
        <v>1.13309591818533</v>
      </c>
      <c r="BL115" s="393">
        <v>1.1330499643966401</v>
      </c>
      <c r="BM115" s="393">
        <v>107.968510512281</v>
      </c>
      <c r="BN115" s="393">
        <v>319456.56979020999</v>
      </c>
      <c r="BO115" s="393">
        <v>11500.2998046875</v>
      </c>
      <c r="BP115" s="393"/>
      <c r="BQ115" s="393"/>
      <c r="BR115" s="393"/>
      <c r="BS115" s="393"/>
      <c r="BT115" s="393"/>
      <c r="BU115" s="393"/>
      <c r="BV115" s="393"/>
      <c r="BW115" s="393">
        <v>11500.01454</v>
      </c>
      <c r="BX115" s="393">
        <v>0.15149773</v>
      </c>
      <c r="BY115" s="393">
        <v>229.99670929999999</v>
      </c>
      <c r="BZ115" s="393">
        <v>50.000778320000002</v>
      </c>
      <c r="CA115" s="393">
        <v>-7.5479699999999998E-4</v>
      </c>
      <c r="CB115" s="393">
        <v>1.4903380000000001E-2</v>
      </c>
      <c r="CC115" s="393">
        <v>1.7042043999999999E-2</v>
      </c>
      <c r="CD115" s="393">
        <v>1.0186E-4</v>
      </c>
      <c r="CE115" s="399">
        <v>5.9207699999999999E-5</v>
      </c>
      <c r="CF115" s="399">
        <v>8.49077E-5</v>
      </c>
      <c r="CG115" s="393">
        <v>3.9287849999999997E-3</v>
      </c>
      <c r="CH115" s="393">
        <v>2.2931370000000002E-3</v>
      </c>
      <c r="CI115" s="393">
        <v>20.922087650000002</v>
      </c>
      <c r="CJ115" s="393">
        <v>2.0770576049999998</v>
      </c>
      <c r="CK115" s="393">
        <v>4.7629769999999998E-3</v>
      </c>
      <c r="CL115" s="393">
        <v>1</v>
      </c>
      <c r="CM115" s="393">
        <v>4.5998625830000002</v>
      </c>
      <c r="CN115" s="399">
        <v>1.26695E-5</v>
      </c>
      <c r="CO115" s="393">
        <v>100003.92879999999</v>
      </c>
      <c r="CP115" s="393">
        <v>0</v>
      </c>
      <c r="CQ115" s="393">
        <v>0</v>
      </c>
      <c r="CR115" s="393">
        <v>109.20099999999999</v>
      </c>
      <c r="CS115" s="393">
        <v>23.7465239</v>
      </c>
      <c r="CT115" s="393">
        <v>0.32292061700000002</v>
      </c>
      <c r="CU115" s="393"/>
      <c r="CV115" s="393"/>
      <c r="CW115" s="393"/>
      <c r="CX115" s="393"/>
      <c r="CY115" s="393"/>
      <c r="CZ115" s="393"/>
      <c r="DA115" s="393"/>
    </row>
    <row r="116" spans="1:105" x14ac:dyDescent="0.2">
      <c r="A116" s="366">
        <f>ROW()</f>
        <v>116</v>
      </c>
      <c r="B116" s="367" t="s">
        <v>50</v>
      </c>
      <c r="C116" s="368">
        <v>50</v>
      </c>
      <c r="D116" s="368">
        <v>230</v>
      </c>
      <c r="E116" s="731">
        <v>0</v>
      </c>
      <c r="F116" s="441">
        <v>230</v>
      </c>
      <c r="G116" s="369" t="s">
        <v>359</v>
      </c>
      <c r="H116" s="370">
        <v>100</v>
      </c>
      <c r="I116" s="367">
        <v>50</v>
      </c>
      <c r="J116" s="371">
        <v>10</v>
      </c>
      <c r="K116" s="372">
        <v>5</v>
      </c>
      <c r="L116" s="482">
        <v>100000</v>
      </c>
      <c r="M116" s="443" t="s">
        <v>535</v>
      </c>
      <c r="N116" s="726">
        <f>IF(M116="watts",SQRT((0.0005+0.001/COS(RADIANS(ABS(E116))))^2+0.000645^2)*IF(T116&gt;26,2,1),SQRT((0.001+0.001/SIN(RADIANS(ABS(E116))))^2+0.000645^2+0.0035^2))</f>
        <v>3.265593361090753E-3</v>
      </c>
      <c r="O116" s="370">
        <v>6</v>
      </c>
      <c r="P116" s="66">
        <v>123</v>
      </c>
      <c r="Q116" s="220"/>
      <c r="R116" s="402"/>
      <c r="S116" s="402">
        <v>229.99670169999999</v>
      </c>
      <c r="T116" s="395">
        <v>50.000881819999996</v>
      </c>
      <c r="U116" s="402">
        <v>-8.0973899999999997E-4</v>
      </c>
      <c r="V116" s="395">
        <v>1</v>
      </c>
      <c r="W116" s="400">
        <v>3.3404609999999999E-3</v>
      </c>
      <c r="X116" s="400">
        <v>4.7423040000000001E-3</v>
      </c>
      <c r="Y116" s="402">
        <v>2.0795767390000002</v>
      </c>
      <c r="Z116" s="409">
        <v>100003.34050000001</v>
      </c>
      <c r="AA116" s="396">
        <v>42034.666898148149</v>
      </c>
      <c r="AB116" s="393">
        <v>50.000636804797701</v>
      </c>
      <c r="AC116" s="393">
        <v>0.44140625</v>
      </c>
      <c r="AD116" s="393" t="s">
        <v>134</v>
      </c>
      <c r="AE116" s="393">
        <v>0</v>
      </c>
      <c r="AF116" s="393" t="s">
        <v>133</v>
      </c>
      <c r="AG116" s="393">
        <v>0.162406091698135</v>
      </c>
      <c r="AH116" s="393">
        <v>-113.09768494380801</v>
      </c>
      <c r="AI116" s="393">
        <v>1.1330956440094999</v>
      </c>
      <c r="AJ116" s="393">
        <v>1.1326101707630101</v>
      </c>
      <c r="AK116" s="393">
        <v>107.942814944451</v>
      </c>
      <c r="AL116" s="393">
        <v>319452.965057094</v>
      </c>
      <c r="AM116" s="393">
        <v>11500.3447265625</v>
      </c>
      <c r="AN116" s="393">
        <v>0.16210549525773399</v>
      </c>
      <c r="AO116" s="393">
        <v>-112.222524445647</v>
      </c>
      <c r="AP116" s="393">
        <v>1.1330962959972199</v>
      </c>
      <c r="AQ116" s="393">
        <v>1.13283611715123</v>
      </c>
      <c r="AR116" s="393">
        <v>107.933121608929</v>
      </c>
      <c r="AS116" s="393">
        <v>319456.14146395901</v>
      </c>
      <c r="AT116" s="393">
        <v>11500.3525390625</v>
      </c>
      <c r="AU116" s="393">
        <v>0.16016246606829199</v>
      </c>
      <c r="AV116" s="393">
        <v>-113.04828307876301</v>
      </c>
      <c r="AW116" s="393">
        <v>1.1330956851601299</v>
      </c>
      <c r="AX116" s="393">
        <v>1.1330052539804001</v>
      </c>
      <c r="AY116" s="393">
        <v>107.93962198753999</v>
      </c>
      <c r="AZ116" s="393">
        <v>319457.14888584398</v>
      </c>
      <c r="BA116" s="393">
        <v>11500.3095703125</v>
      </c>
      <c r="BB116" s="393">
        <v>0.16033329393565299</v>
      </c>
      <c r="BC116" s="393">
        <v>-112.650393393733</v>
      </c>
      <c r="BD116" s="393">
        <v>1.1330965933725199</v>
      </c>
      <c r="BE116" s="393">
        <v>1.1335397799615301</v>
      </c>
      <c r="BF116" s="393">
        <v>107.966584867756</v>
      </c>
      <c r="BG116" s="393">
        <v>319456.23540997598</v>
      </c>
      <c r="BH116" s="393">
        <v>11500.3212890625</v>
      </c>
      <c r="BI116" s="393">
        <v>0.16116303749679201</v>
      </c>
      <c r="BJ116" s="393">
        <v>-112.59585701991899</v>
      </c>
      <c r="BK116" s="393">
        <v>1.1330965901486301</v>
      </c>
      <c r="BL116" s="393">
        <v>1.1334782479753001</v>
      </c>
      <c r="BM116" s="393">
        <v>107.92131881151499</v>
      </c>
      <c r="BN116" s="393">
        <v>319458.35929459898</v>
      </c>
      <c r="BO116" s="393">
        <v>11500.3095703125</v>
      </c>
      <c r="BP116" s="393"/>
      <c r="BQ116" s="393"/>
      <c r="BR116" s="393"/>
      <c r="BS116" s="393"/>
      <c r="BT116" s="393"/>
      <c r="BU116" s="393"/>
      <c r="BV116" s="393"/>
      <c r="BW116" s="393">
        <v>11500.037969999999</v>
      </c>
      <c r="BX116" s="393">
        <v>0.16252557200000001</v>
      </c>
      <c r="BY116" s="393">
        <v>229.99670169999999</v>
      </c>
      <c r="BZ116" s="393">
        <v>50.000881819999996</v>
      </c>
      <c r="CA116" s="393">
        <v>-8.0973899999999997E-4</v>
      </c>
      <c r="CB116" s="393">
        <v>2.1992584999999999E-2</v>
      </c>
      <c r="CC116" s="393">
        <v>2.0071380999999999E-2</v>
      </c>
      <c r="CD116" s="399">
        <v>4.2683699999999999E-5</v>
      </c>
      <c r="CE116" s="399">
        <v>9.3722900000000004E-5</v>
      </c>
      <c r="CF116" s="393">
        <v>1E-4</v>
      </c>
      <c r="CG116" s="393">
        <v>3.3404609999999999E-3</v>
      </c>
      <c r="CH116" s="393">
        <v>2.2804180000000002E-3</v>
      </c>
      <c r="CI116" s="393">
        <v>20.49753918</v>
      </c>
      <c r="CJ116" s="393">
        <v>2.0795767390000002</v>
      </c>
      <c r="CK116" s="393">
        <v>4.7423040000000001E-3</v>
      </c>
      <c r="CL116" s="393">
        <v>1</v>
      </c>
      <c r="CM116" s="393">
        <v>4.5998529100000001</v>
      </c>
      <c r="CN116" s="399">
        <v>1.9072600000000001E-5</v>
      </c>
      <c r="CO116" s="393">
        <v>100003.34050000001</v>
      </c>
      <c r="CP116" s="393">
        <v>0</v>
      </c>
      <c r="CQ116" s="393">
        <v>0</v>
      </c>
      <c r="CR116" s="393">
        <v>109.194</v>
      </c>
      <c r="CS116" s="393">
        <v>23.728486310000001</v>
      </c>
      <c r="CT116" s="393">
        <v>0.32292135100000002</v>
      </c>
      <c r="CU116" s="393"/>
      <c r="CV116" s="393"/>
      <c r="CW116" s="393"/>
      <c r="CX116" s="393"/>
      <c r="CY116" s="393"/>
      <c r="CZ116" s="393"/>
      <c r="DA116" s="393"/>
    </row>
    <row r="117" spans="1:105" x14ac:dyDescent="0.2">
      <c r="A117" s="366">
        <f>ROW()</f>
        <v>117</v>
      </c>
      <c r="B117" s="367" t="s">
        <v>50</v>
      </c>
      <c r="C117" s="368">
        <v>50</v>
      </c>
      <c r="D117" s="368">
        <v>230</v>
      </c>
      <c r="E117" s="731">
        <v>-60</v>
      </c>
      <c r="F117" s="441">
        <v>230</v>
      </c>
      <c r="G117" s="369" t="s">
        <v>359</v>
      </c>
      <c r="H117" s="370">
        <v>100</v>
      </c>
      <c r="I117" s="367">
        <v>50</v>
      </c>
      <c r="J117" s="371">
        <v>10</v>
      </c>
      <c r="K117" s="372">
        <v>5</v>
      </c>
      <c r="L117" s="482">
        <v>100000</v>
      </c>
      <c r="M117" s="443" t="s">
        <v>535</v>
      </c>
      <c r="N117" s="726">
        <f>IF(M117="watts",SQRT((0.0005+0.001/COS(RADIANS(ABS(E117))))^2+0.000645^2)*IF(T117&gt;26,2,1),SQRT((0.001+0.001/SIN(RADIANS(ABS(E117))))^2+0.000645^2+0.0035^2))</f>
        <v>5.1637292725316255E-3</v>
      </c>
      <c r="O117" s="370">
        <v>6</v>
      </c>
      <c r="P117" s="66">
        <v>123</v>
      </c>
      <c r="Q117" s="220"/>
      <c r="R117" s="402"/>
      <c r="S117" s="402">
        <v>229.996824</v>
      </c>
      <c r="T117" s="395">
        <v>49.999303259999998</v>
      </c>
      <c r="U117" s="402">
        <v>-59.998120839999999</v>
      </c>
      <c r="V117" s="395">
        <v>0.50002840299999995</v>
      </c>
      <c r="W117" s="400">
        <v>-1.706583E-3</v>
      </c>
      <c r="X117" s="400">
        <v>8.5902180000000002E-3</v>
      </c>
      <c r="Y117" s="402">
        <v>2.0488676670000001</v>
      </c>
      <c r="Z117" s="409">
        <v>99998.293420000002</v>
      </c>
      <c r="AA117" s="396">
        <v>42034.66983796296</v>
      </c>
      <c r="AB117" s="393">
        <v>50.000028310213303</v>
      </c>
      <c r="AC117" s="393">
        <v>0.220703125</v>
      </c>
      <c r="AD117" s="393" t="s">
        <v>134</v>
      </c>
      <c r="AE117" s="393">
        <v>0.376953125</v>
      </c>
      <c r="AF117" s="393" t="s">
        <v>133</v>
      </c>
      <c r="AG117" s="393">
        <v>0.18051683433556601</v>
      </c>
      <c r="AH117" s="393">
        <v>171.22730426694</v>
      </c>
      <c r="AI117" s="393">
        <v>1.1330970330852499</v>
      </c>
      <c r="AJ117" s="393">
        <v>1.1327078140201801</v>
      </c>
      <c r="AK117" s="393">
        <v>107.94824124012101</v>
      </c>
      <c r="AL117" s="393">
        <v>159724.91622524199</v>
      </c>
      <c r="AM117" s="393">
        <v>5749.9345703125</v>
      </c>
      <c r="AN117" s="393">
        <v>0.18040201949715201</v>
      </c>
      <c r="AO117" s="393">
        <v>171.07168021990401</v>
      </c>
      <c r="AP117" s="393">
        <v>1.13309669781842</v>
      </c>
      <c r="AQ117" s="393">
        <v>1.13377396797707</v>
      </c>
      <c r="AR117" s="393">
        <v>107.93869261918</v>
      </c>
      <c r="AS117" s="393">
        <v>159722.395935487</v>
      </c>
      <c r="AT117" s="393">
        <v>5749.95458984375</v>
      </c>
      <c r="AU117" s="393">
        <v>0.18180252680765499</v>
      </c>
      <c r="AV117" s="393">
        <v>171.174077850815</v>
      </c>
      <c r="AW117" s="393">
        <v>1.1330963976981501</v>
      </c>
      <c r="AX117" s="393">
        <v>1.13324108279851</v>
      </c>
      <c r="AY117" s="393">
        <v>107.96227715854199</v>
      </c>
      <c r="AZ117" s="393">
        <v>159722.74672066999</v>
      </c>
      <c r="BA117" s="393">
        <v>5749.93701171875</v>
      </c>
      <c r="BB117" s="393">
        <v>0.18285456836121899</v>
      </c>
      <c r="BC117" s="393">
        <v>171.13129420230501</v>
      </c>
      <c r="BD117" s="393">
        <v>1.13309595038198</v>
      </c>
      <c r="BE117" s="393">
        <v>1.13316954315245</v>
      </c>
      <c r="BF117" s="393">
        <v>107.938904931089</v>
      </c>
      <c r="BG117" s="393">
        <v>159724.55549235901</v>
      </c>
      <c r="BH117" s="393">
        <v>5749.93505859375</v>
      </c>
      <c r="BI117" s="393">
        <v>0.17996192423499299</v>
      </c>
      <c r="BJ117" s="393">
        <v>171.38612756303499</v>
      </c>
      <c r="BK117" s="393">
        <v>1.13309774121954</v>
      </c>
      <c r="BL117" s="393">
        <v>1.13324206471847</v>
      </c>
      <c r="BM117" s="393">
        <v>107.961920320285</v>
      </c>
      <c r="BN117" s="393">
        <v>159726.08083230801</v>
      </c>
      <c r="BO117" s="393">
        <v>5749.92724609375</v>
      </c>
      <c r="BP117" s="393"/>
      <c r="BQ117" s="393"/>
      <c r="BR117" s="393"/>
      <c r="BS117" s="393"/>
      <c r="BT117" s="393"/>
      <c r="BU117" s="393"/>
      <c r="BV117" s="393"/>
      <c r="BW117" s="393">
        <v>5750.1671370000004</v>
      </c>
      <c r="BX117" s="393">
        <v>9958.8273100000006</v>
      </c>
      <c r="BY117" s="393">
        <v>229.996824</v>
      </c>
      <c r="BZ117" s="393">
        <v>49.999303259999998</v>
      </c>
      <c r="CA117" s="393">
        <v>-59.998120839999999</v>
      </c>
      <c r="CB117" s="393">
        <v>4.8869309999999997E-3</v>
      </c>
      <c r="CC117" s="393">
        <v>2.9310808000000001E-2</v>
      </c>
      <c r="CD117" s="399">
        <v>6.1367999999999999E-5</v>
      </c>
      <c r="CE117" s="399">
        <v>9.90367E-5</v>
      </c>
      <c r="CF117" s="399">
        <v>7.6054000000000001E-5</v>
      </c>
      <c r="CG117" s="393">
        <v>-1.706583E-3</v>
      </c>
      <c r="CH117" s="393">
        <v>4.1926660000000003E-3</v>
      </c>
      <c r="CI117" s="393">
        <v>27.32289596</v>
      </c>
      <c r="CJ117" s="393">
        <v>2.0488676670000001</v>
      </c>
      <c r="CK117" s="393">
        <v>8.5902180000000002E-3</v>
      </c>
      <c r="CL117" s="393">
        <v>0.50002840299999995</v>
      </c>
      <c r="CM117" s="393">
        <v>4.6000005799999997</v>
      </c>
      <c r="CN117" s="399">
        <v>1.8034599999999998E-5</v>
      </c>
      <c r="CO117" s="393">
        <v>99998.293420000002</v>
      </c>
      <c r="CP117" s="393">
        <v>0</v>
      </c>
      <c r="CQ117" s="393">
        <v>0</v>
      </c>
      <c r="CR117" s="393">
        <v>109.18600000000001</v>
      </c>
      <c r="CS117" s="393">
        <v>23.707872040000002</v>
      </c>
      <c r="CT117" s="393">
        <v>0.32292218900000003</v>
      </c>
      <c r="CU117" s="393"/>
      <c r="CV117" s="393"/>
      <c r="CW117" s="393"/>
      <c r="CX117" s="393"/>
      <c r="CY117" s="393"/>
      <c r="CZ117" s="393"/>
      <c r="DA117" s="393"/>
    </row>
    <row r="118" spans="1:105" x14ac:dyDescent="0.2">
      <c r="A118" s="366">
        <f>ROW()</f>
        <v>118</v>
      </c>
      <c r="B118" s="367" t="s">
        <v>50</v>
      </c>
      <c r="C118" s="368">
        <v>50</v>
      </c>
      <c r="D118" s="368">
        <v>230</v>
      </c>
      <c r="E118" s="731">
        <v>-60</v>
      </c>
      <c r="F118" s="441">
        <v>230</v>
      </c>
      <c r="G118" s="369" t="s">
        <v>359</v>
      </c>
      <c r="H118" s="370">
        <v>100</v>
      </c>
      <c r="I118" s="367">
        <v>50</v>
      </c>
      <c r="J118" s="371">
        <v>10</v>
      </c>
      <c r="K118" s="372">
        <v>5</v>
      </c>
      <c r="L118" s="482">
        <v>100000</v>
      </c>
      <c r="M118" s="443" t="s">
        <v>535</v>
      </c>
      <c r="N118" s="726">
        <f t="shared" si="2"/>
        <v>5.1637292725316255E-3</v>
      </c>
      <c r="O118" s="370">
        <v>6</v>
      </c>
      <c r="P118" s="66">
        <v>123</v>
      </c>
      <c r="Q118" s="220"/>
      <c r="R118" s="402"/>
      <c r="S118" s="402">
        <v>229.996769</v>
      </c>
      <c r="T118" s="395">
        <v>49.999209139999998</v>
      </c>
      <c r="U118" s="402">
        <v>-59.99813091</v>
      </c>
      <c r="V118" s="395">
        <v>0.50002825100000003</v>
      </c>
      <c r="W118" s="400">
        <v>-2.1244100000000002E-3</v>
      </c>
      <c r="X118" s="400">
        <v>8.6206219999999997E-3</v>
      </c>
      <c r="Y118" s="402">
        <v>2.0475489410000001</v>
      </c>
      <c r="Z118" s="409">
        <v>99997.875589999996</v>
      </c>
      <c r="AA118" s="396">
        <v>42034.672754629632</v>
      </c>
      <c r="AB118" s="393">
        <v>49.999990569928897</v>
      </c>
      <c r="AC118" s="393">
        <v>0.220703125</v>
      </c>
      <c r="AD118" s="393" t="s">
        <v>134</v>
      </c>
      <c r="AE118" s="393">
        <v>0.376953125</v>
      </c>
      <c r="AF118" s="393" t="s">
        <v>133</v>
      </c>
      <c r="AG118" s="393">
        <v>0.18133752553688401</v>
      </c>
      <c r="AH118" s="393">
        <v>171.46287830188899</v>
      </c>
      <c r="AI118" s="393">
        <v>1.1330968895520299</v>
      </c>
      <c r="AJ118" s="393">
        <v>1.1331554402419799</v>
      </c>
      <c r="AK118" s="393">
        <v>107.96314836117</v>
      </c>
      <c r="AL118" s="393">
        <v>159724.27264171801</v>
      </c>
      <c r="AM118" s="393">
        <v>5749.931640625</v>
      </c>
      <c r="AN118" s="393">
        <v>0.180892365179468</v>
      </c>
      <c r="AO118" s="393">
        <v>171.167400701058</v>
      </c>
      <c r="AP118" s="393">
        <v>1.1330958386773999</v>
      </c>
      <c r="AQ118" s="393">
        <v>1.13302618542622</v>
      </c>
      <c r="AR118" s="393">
        <v>107.948741204082</v>
      </c>
      <c r="AS118" s="393">
        <v>159724.844033701</v>
      </c>
      <c r="AT118" s="393">
        <v>5749.96044921875</v>
      </c>
      <c r="AU118" s="393">
        <v>0.182785322643746</v>
      </c>
      <c r="AV118" s="393">
        <v>171.09510640822401</v>
      </c>
      <c r="AW118" s="393">
        <v>1.1330963775649301</v>
      </c>
      <c r="AX118" s="393">
        <v>1.1325798944416301</v>
      </c>
      <c r="AY118" s="393">
        <v>107.948006338943</v>
      </c>
      <c r="AZ118" s="393">
        <v>159721.30866181999</v>
      </c>
      <c r="BA118" s="393">
        <v>5749.9560546875</v>
      </c>
      <c r="BB118" s="393">
        <v>0.18109920037263599</v>
      </c>
      <c r="BC118" s="393">
        <v>171.34980352309501</v>
      </c>
      <c r="BD118" s="393">
        <v>1.1330966220101399</v>
      </c>
      <c r="BE118" s="393">
        <v>1.1330039842777</v>
      </c>
      <c r="BF118" s="393">
        <v>107.938263418408</v>
      </c>
      <c r="BG118" s="393">
        <v>159724.44823438799</v>
      </c>
      <c r="BH118" s="393">
        <v>5749.9072265625</v>
      </c>
      <c r="BI118" s="393">
        <v>0.183188087436995</v>
      </c>
      <c r="BJ118" s="393">
        <v>171.24636772334901</v>
      </c>
      <c r="BK118" s="393">
        <v>1.13309673847651</v>
      </c>
      <c r="BL118" s="393">
        <v>1.13300253346861</v>
      </c>
      <c r="BM118" s="393">
        <v>107.95191391469901</v>
      </c>
      <c r="BN118" s="393">
        <v>159720.547392615</v>
      </c>
      <c r="BO118" s="393">
        <v>5749.92724609375</v>
      </c>
      <c r="BP118" s="393"/>
      <c r="BQ118" s="393"/>
      <c r="BR118" s="393"/>
      <c r="BS118" s="393"/>
      <c r="BT118" s="393"/>
      <c r="BU118" s="393"/>
      <c r="BV118" s="393"/>
      <c r="BW118" s="393">
        <v>5750.1531880000002</v>
      </c>
      <c r="BX118" s="393">
        <v>9958.8071940000009</v>
      </c>
      <c r="BY118" s="393">
        <v>229.996769</v>
      </c>
      <c r="BZ118" s="393">
        <v>49.999209139999998</v>
      </c>
      <c r="CA118" s="393">
        <v>-59.99813091</v>
      </c>
      <c r="CB118" s="393">
        <v>7.4516900000000004E-3</v>
      </c>
      <c r="CC118" s="393">
        <v>2.0781874999999998E-2</v>
      </c>
      <c r="CD118" s="399">
        <v>3.7337299999999999E-5</v>
      </c>
      <c r="CE118" s="399">
        <v>7.2619699999999999E-5</v>
      </c>
      <c r="CF118" s="399">
        <v>7.5778400000000006E-5</v>
      </c>
      <c r="CG118" s="393">
        <v>-2.1244100000000002E-3</v>
      </c>
      <c r="CH118" s="393">
        <v>4.2102149999999998E-3</v>
      </c>
      <c r="CI118" s="393">
        <v>27.72364044</v>
      </c>
      <c r="CJ118" s="393">
        <v>2.0475489410000001</v>
      </c>
      <c r="CK118" s="393">
        <v>8.6206219999999997E-3</v>
      </c>
      <c r="CL118" s="393">
        <v>0.50002825100000003</v>
      </c>
      <c r="CM118" s="393">
        <v>4.6000081399999999</v>
      </c>
      <c r="CN118" s="399">
        <v>1.5718300000000002E-5</v>
      </c>
      <c r="CO118" s="393">
        <v>99997.875589999996</v>
      </c>
      <c r="CP118" s="393">
        <v>0</v>
      </c>
      <c r="CQ118" s="393">
        <v>0</v>
      </c>
      <c r="CR118" s="393">
        <v>109.178</v>
      </c>
      <c r="CS118" s="393">
        <v>23.68725792</v>
      </c>
      <c r="CT118" s="393">
        <v>0.322923028</v>
      </c>
      <c r="CU118" s="393"/>
      <c r="CV118" s="393"/>
      <c r="CW118" s="393"/>
      <c r="CX118" s="393"/>
      <c r="CY118" s="393"/>
      <c r="CZ118" s="393"/>
      <c r="DA118" s="393"/>
    </row>
    <row r="119" spans="1:105" x14ac:dyDescent="0.2">
      <c r="A119" s="366">
        <f>ROW()</f>
        <v>119</v>
      </c>
      <c r="B119" s="367" t="s">
        <v>50</v>
      </c>
      <c r="C119" s="368">
        <v>50</v>
      </c>
      <c r="D119" s="368">
        <v>230</v>
      </c>
      <c r="E119" s="731">
        <v>-60</v>
      </c>
      <c r="F119" s="441">
        <v>230</v>
      </c>
      <c r="G119" s="369" t="s">
        <v>359</v>
      </c>
      <c r="H119" s="370">
        <v>100</v>
      </c>
      <c r="I119" s="367">
        <v>50</v>
      </c>
      <c r="J119" s="371">
        <v>10</v>
      </c>
      <c r="K119" s="372">
        <v>5</v>
      </c>
      <c r="L119" s="482">
        <v>100000</v>
      </c>
      <c r="M119" s="443" t="s">
        <v>535</v>
      </c>
      <c r="N119" s="726">
        <f t="shared" si="2"/>
        <v>5.1637292725316255E-3</v>
      </c>
      <c r="O119" s="370">
        <v>6</v>
      </c>
      <c r="P119" s="66">
        <v>123</v>
      </c>
      <c r="Q119" s="220"/>
      <c r="R119" s="402"/>
      <c r="S119" s="402">
        <v>229.99669299999999</v>
      </c>
      <c r="T119" s="395">
        <v>49.99952193</v>
      </c>
      <c r="U119" s="402">
        <v>-59.99817084</v>
      </c>
      <c r="V119" s="395">
        <v>0.50002764700000002</v>
      </c>
      <c r="W119" s="400">
        <v>-2.4477359999999998E-3</v>
      </c>
      <c r="X119" s="400">
        <v>8.655589E-3</v>
      </c>
      <c r="Y119" s="402">
        <v>2.0461885899999999</v>
      </c>
      <c r="Z119" s="409">
        <v>99997.552259999997</v>
      </c>
      <c r="AA119" s="396">
        <v>42034.675659722219</v>
      </c>
      <c r="AB119" s="393">
        <v>50.0001179308885</v>
      </c>
      <c r="AC119" s="393">
        <v>0.220703125</v>
      </c>
      <c r="AD119" s="393" t="s">
        <v>134</v>
      </c>
      <c r="AE119" s="393">
        <v>0.376953125</v>
      </c>
      <c r="AF119" s="393" t="s">
        <v>133</v>
      </c>
      <c r="AG119" s="393">
        <v>0.18242652444813001</v>
      </c>
      <c r="AH119" s="393">
        <v>171.145938239342</v>
      </c>
      <c r="AI119" s="393">
        <v>1.13309673028992</v>
      </c>
      <c r="AJ119" s="393">
        <v>1.13314129577699</v>
      </c>
      <c r="AK119" s="393">
        <v>107.953725596702</v>
      </c>
      <c r="AL119" s="393">
        <v>159726.45052067901</v>
      </c>
      <c r="AM119" s="393">
        <v>5749.9453125</v>
      </c>
      <c r="AN119" s="393">
        <v>0.18010892155198499</v>
      </c>
      <c r="AO119" s="393">
        <v>170.79786477350001</v>
      </c>
      <c r="AP119" s="393">
        <v>1.1330966049167299</v>
      </c>
      <c r="AQ119" s="393">
        <v>1.1333485717778899</v>
      </c>
      <c r="AR119" s="393">
        <v>107.948003536512</v>
      </c>
      <c r="AS119" s="393">
        <v>159721.06334064199</v>
      </c>
      <c r="AT119" s="393">
        <v>5749.9248046875</v>
      </c>
      <c r="AU119" s="393">
        <v>0.18104038700167499</v>
      </c>
      <c r="AV119" s="393">
        <v>171.014747978663</v>
      </c>
      <c r="AW119" s="393">
        <v>1.13309512817327</v>
      </c>
      <c r="AX119" s="393">
        <v>1.13316376339364</v>
      </c>
      <c r="AY119" s="393">
        <v>107.966757275834</v>
      </c>
      <c r="AZ119" s="393">
        <v>159723.06403279601</v>
      </c>
      <c r="BA119" s="393">
        <v>5749.974609375</v>
      </c>
      <c r="BB119" s="393">
        <v>0.182725373925474</v>
      </c>
      <c r="BC119" s="393">
        <v>171.40481590908399</v>
      </c>
      <c r="BD119" s="393">
        <v>1.1330970321097</v>
      </c>
      <c r="BE119" s="393">
        <v>1.1332389489661601</v>
      </c>
      <c r="BF119" s="393">
        <v>107.93400421565499</v>
      </c>
      <c r="BG119" s="393">
        <v>159723.87519264</v>
      </c>
      <c r="BH119" s="393">
        <v>5749.9404296875</v>
      </c>
      <c r="BI119" s="393">
        <v>0.181540150226189</v>
      </c>
      <c r="BJ119" s="393">
        <v>170.892200470408</v>
      </c>
      <c r="BK119" s="393">
        <v>1.13309509945475</v>
      </c>
      <c r="BL119" s="393">
        <v>1.1332450033953401</v>
      </c>
      <c r="BM119" s="393">
        <v>107.94098364829</v>
      </c>
      <c r="BN119" s="393">
        <v>159722.15402002601</v>
      </c>
      <c r="BO119" s="393">
        <v>5749.94140625</v>
      </c>
      <c r="BP119" s="393"/>
      <c r="BQ119" s="393"/>
      <c r="BR119" s="393"/>
      <c r="BS119" s="393"/>
      <c r="BT119" s="393"/>
      <c r="BU119" s="393"/>
      <c r="BV119" s="393"/>
      <c r="BW119" s="393">
        <v>5750.1803209999998</v>
      </c>
      <c r="BX119" s="393">
        <v>9958.8702140000005</v>
      </c>
      <c r="BY119" s="393">
        <v>229.99669299999999</v>
      </c>
      <c r="BZ119" s="393">
        <v>49.99952193</v>
      </c>
      <c r="CA119" s="393">
        <v>-59.99817084</v>
      </c>
      <c r="CB119" s="393">
        <v>1.4670697999999999E-2</v>
      </c>
      <c r="CC119" s="393">
        <v>1.9525298E-2</v>
      </c>
      <c r="CD119" s="399">
        <v>8.4476399999999996E-5</v>
      </c>
      <c r="CE119" s="393">
        <v>1.0521799999999999E-4</v>
      </c>
      <c r="CF119" s="399">
        <v>3.4424900000000003E-5</v>
      </c>
      <c r="CG119" s="393">
        <v>-2.4477359999999998E-3</v>
      </c>
      <c r="CH119" s="393">
        <v>4.2301029999999998E-3</v>
      </c>
      <c r="CI119" s="393">
        <v>28.149922620000002</v>
      </c>
      <c r="CJ119" s="393">
        <v>2.0461885899999999</v>
      </c>
      <c r="CK119" s="393">
        <v>8.655589E-3</v>
      </c>
      <c r="CL119" s="393">
        <v>0.50002764700000002</v>
      </c>
      <c r="CM119" s="393">
        <v>4.5999778429999996</v>
      </c>
      <c r="CN119" s="399">
        <v>2.29475E-5</v>
      </c>
      <c r="CO119" s="393">
        <v>99997.552259999997</v>
      </c>
      <c r="CP119" s="393">
        <v>0</v>
      </c>
      <c r="CQ119" s="393">
        <v>0</v>
      </c>
      <c r="CR119" s="393">
        <v>109.16800000000001</v>
      </c>
      <c r="CS119" s="393">
        <v>23.661490449999999</v>
      </c>
      <c r="CT119" s="393">
        <v>0.32292407699999998</v>
      </c>
      <c r="CU119" s="393"/>
      <c r="CV119" s="393"/>
      <c r="CW119" s="393"/>
      <c r="CX119" s="393"/>
      <c r="CY119" s="393"/>
      <c r="CZ119" s="393"/>
      <c r="DA119" s="393"/>
    </row>
    <row r="120" spans="1:105" x14ac:dyDescent="0.2">
      <c r="A120" s="366">
        <f>ROW()</f>
        <v>120</v>
      </c>
      <c r="B120" s="367" t="s">
        <v>50</v>
      </c>
      <c r="C120" s="368">
        <v>50</v>
      </c>
      <c r="D120" s="368">
        <v>230</v>
      </c>
      <c r="E120" s="731">
        <v>36.869999999999997</v>
      </c>
      <c r="F120" s="441">
        <v>230</v>
      </c>
      <c r="G120" s="369" t="s">
        <v>359</v>
      </c>
      <c r="H120" s="370">
        <v>100</v>
      </c>
      <c r="I120" s="367">
        <v>50</v>
      </c>
      <c r="J120" s="371">
        <v>10</v>
      </c>
      <c r="K120" s="372">
        <v>5</v>
      </c>
      <c r="L120" s="482">
        <v>100000</v>
      </c>
      <c r="M120" s="443" t="s">
        <v>535</v>
      </c>
      <c r="N120" s="726">
        <f t="shared" si="2"/>
        <v>3.7301639973054816E-3</v>
      </c>
      <c r="O120" s="370">
        <v>6</v>
      </c>
      <c r="P120" s="66">
        <v>123</v>
      </c>
      <c r="Q120" s="220"/>
      <c r="R120" s="402"/>
      <c r="S120" s="402">
        <v>229.996656</v>
      </c>
      <c r="T120" s="395">
        <v>49.999150069999999</v>
      </c>
      <c r="U120" s="402">
        <v>36.898336630000003</v>
      </c>
      <c r="V120" s="395">
        <v>0.79970208899999995</v>
      </c>
      <c r="W120" s="400">
        <v>6.9042900000000004E-3</v>
      </c>
      <c r="X120" s="400">
        <v>5.8019100000000004E-3</v>
      </c>
      <c r="Y120" s="402">
        <v>2.0485966370000002</v>
      </c>
      <c r="Z120" s="409">
        <v>100006.90429999999</v>
      </c>
      <c r="AA120" s="396">
        <v>42034.678576388891</v>
      </c>
      <c r="AB120" s="393">
        <v>50.000146231101702</v>
      </c>
      <c r="AC120" s="393">
        <v>0.3525390625</v>
      </c>
      <c r="AD120" s="393" t="s">
        <v>134</v>
      </c>
      <c r="AE120" s="393">
        <v>0.2607421875</v>
      </c>
      <c r="AF120" s="393" t="s">
        <v>135</v>
      </c>
      <c r="AG120" s="393">
        <v>0.22480631349973201</v>
      </c>
      <c r="AH120" s="393">
        <v>148.447159210537</v>
      </c>
      <c r="AI120" s="393">
        <v>1.13309635473041</v>
      </c>
      <c r="AJ120" s="393">
        <v>1.13343836831862</v>
      </c>
      <c r="AK120" s="393">
        <v>107.94383960252</v>
      </c>
      <c r="AL120" s="393">
        <v>255469.454953654</v>
      </c>
      <c r="AM120" s="393">
        <v>9196.8134765625</v>
      </c>
      <c r="AN120" s="393">
        <v>0.22495914515974499</v>
      </c>
      <c r="AO120" s="393">
        <v>148.297146385459</v>
      </c>
      <c r="AP120" s="393">
        <v>1.1330967423787801</v>
      </c>
      <c r="AQ120" s="393">
        <v>1.1332079608632599</v>
      </c>
      <c r="AR120" s="393">
        <v>107.964567261119</v>
      </c>
      <c r="AS120" s="393">
        <v>255472.14728372099</v>
      </c>
      <c r="AT120" s="393">
        <v>9196.85546875</v>
      </c>
      <c r="AU120" s="393">
        <v>0.22626492658203101</v>
      </c>
      <c r="AV120" s="393">
        <v>148.20274702298801</v>
      </c>
      <c r="AW120" s="393">
        <v>1.13309673489348</v>
      </c>
      <c r="AX120" s="393">
        <v>1.1334523988768099</v>
      </c>
      <c r="AY120" s="393">
        <v>107.945562314779</v>
      </c>
      <c r="AZ120" s="393">
        <v>255464.986421254</v>
      </c>
      <c r="BA120" s="393">
        <v>9196.849609375</v>
      </c>
      <c r="BB120" s="393">
        <v>0.22516825444159799</v>
      </c>
      <c r="BC120" s="393">
        <v>148.279309616104</v>
      </c>
      <c r="BD120" s="393">
        <v>1.1330945762289399</v>
      </c>
      <c r="BE120" s="393">
        <v>1.1329915308905101</v>
      </c>
      <c r="BF120" s="393">
        <v>107.938850340606</v>
      </c>
      <c r="BG120" s="393">
        <v>255470.097646863</v>
      </c>
      <c r="BH120" s="393">
        <v>9196.859375</v>
      </c>
      <c r="BI120" s="393">
        <v>0.22488287498940401</v>
      </c>
      <c r="BJ120" s="393">
        <v>148.49590250173</v>
      </c>
      <c r="BK120" s="393">
        <v>1.1330952747312</v>
      </c>
      <c r="BL120" s="393">
        <v>1.1331600334330401</v>
      </c>
      <c r="BM120" s="393">
        <v>107.94779191956199</v>
      </c>
      <c r="BN120" s="393">
        <v>255473.17206499301</v>
      </c>
      <c r="BO120" s="393">
        <v>9196.828125</v>
      </c>
      <c r="BP120" s="393"/>
      <c r="BQ120" s="393"/>
      <c r="BR120" s="393"/>
      <c r="BS120" s="393"/>
      <c r="BT120" s="393"/>
      <c r="BU120" s="393"/>
      <c r="BV120" s="393"/>
      <c r="BW120" s="393">
        <v>9196.2840429999997</v>
      </c>
      <c r="BX120" s="393">
        <v>6904.3478949999999</v>
      </c>
      <c r="BY120" s="393">
        <v>229.996656</v>
      </c>
      <c r="BZ120" s="393">
        <v>49.999150069999999</v>
      </c>
      <c r="CA120" s="393">
        <v>36.898336630000003</v>
      </c>
      <c r="CB120" s="393">
        <v>1.6397910000000002E-2</v>
      </c>
      <c r="CC120" s="393">
        <v>1.18782E-2</v>
      </c>
      <c r="CD120" s="399">
        <v>8.7903699999999997E-5</v>
      </c>
      <c r="CE120" s="399">
        <v>7.2568899999999996E-5</v>
      </c>
      <c r="CF120" s="399">
        <v>2.75643E-5</v>
      </c>
      <c r="CG120" s="393">
        <v>6.9042900000000004E-3</v>
      </c>
      <c r="CH120" s="393">
        <v>2.832139E-3</v>
      </c>
      <c r="CI120" s="393">
        <v>27.40428172</v>
      </c>
      <c r="CJ120" s="393">
        <v>2.0485966370000002</v>
      </c>
      <c r="CK120" s="393">
        <v>5.8019100000000004E-3</v>
      </c>
      <c r="CL120" s="393">
        <v>0.79970208899999995</v>
      </c>
      <c r="CM120" s="393">
        <v>4.6000113139999996</v>
      </c>
      <c r="CN120" s="399">
        <v>1.31581E-5</v>
      </c>
      <c r="CO120" s="393">
        <v>100006.90429999999</v>
      </c>
      <c r="CP120" s="393">
        <v>0</v>
      </c>
      <c r="CQ120" s="393">
        <v>0</v>
      </c>
      <c r="CR120" s="393">
        <v>109.16200000000001</v>
      </c>
      <c r="CS120" s="393">
        <v>23.646030079999999</v>
      </c>
      <c r="CT120" s="393">
        <v>0.32292470600000001</v>
      </c>
      <c r="CU120" s="393"/>
      <c r="CV120" s="393"/>
      <c r="CW120" s="393"/>
      <c r="CX120" s="393"/>
      <c r="CY120" s="393"/>
      <c r="CZ120" s="393"/>
      <c r="DA120" s="393"/>
    </row>
    <row r="121" spans="1:105" x14ac:dyDescent="0.2">
      <c r="A121" s="366">
        <f>ROW()</f>
        <v>121</v>
      </c>
      <c r="B121" s="367" t="s">
        <v>50</v>
      </c>
      <c r="C121" s="368">
        <v>50</v>
      </c>
      <c r="D121" s="368">
        <v>230</v>
      </c>
      <c r="E121" s="731">
        <v>36.869999999999997</v>
      </c>
      <c r="F121" s="441">
        <v>230</v>
      </c>
      <c r="G121" s="369" t="s">
        <v>359</v>
      </c>
      <c r="H121" s="370">
        <v>100</v>
      </c>
      <c r="I121" s="367">
        <v>50</v>
      </c>
      <c r="J121" s="371">
        <v>10</v>
      </c>
      <c r="K121" s="372">
        <v>5</v>
      </c>
      <c r="L121" s="482">
        <v>100000</v>
      </c>
      <c r="M121" s="443" t="s">
        <v>535</v>
      </c>
      <c r="N121" s="726">
        <f>IF(M121="watts",SQRT((0.0005+0.001/COS(RADIANS(ABS(E121))))^2+0.000645^2)*IF(T121&gt;26,2,1),SQRT((0.001+0.001/SIN(RADIANS(ABS(E121))))^2+0.000645^2+0.0035^2))</f>
        <v>3.7301639973054816E-3</v>
      </c>
      <c r="O121" s="370">
        <v>6</v>
      </c>
      <c r="P121" s="66">
        <v>123</v>
      </c>
      <c r="Q121" s="220"/>
      <c r="R121" s="402"/>
      <c r="S121" s="402">
        <v>229.99689079999999</v>
      </c>
      <c r="T121" s="395">
        <v>49.999291270000001</v>
      </c>
      <c r="U121" s="402">
        <v>36.898460309999997</v>
      </c>
      <c r="V121" s="395">
        <v>0.79970079299999997</v>
      </c>
      <c r="W121" s="400">
        <v>6.9410540000000003E-3</v>
      </c>
      <c r="X121" s="400">
        <v>5.7865440000000002E-3</v>
      </c>
      <c r="Y121" s="402">
        <v>2.049253024</v>
      </c>
      <c r="Z121" s="409">
        <v>100006.9411</v>
      </c>
      <c r="AA121" s="396">
        <v>42034.681493055556</v>
      </c>
      <c r="AB121" s="393">
        <v>50.000250001883501</v>
      </c>
      <c r="AC121" s="393">
        <v>0.3525390625</v>
      </c>
      <c r="AD121" s="393" t="s">
        <v>134</v>
      </c>
      <c r="AE121" s="393">
        <v>0.2607421875</v>
      </c>
      <c r="AF121" s="393" t="s">
        <v>135</v>
      </c>
      <c r="AG121" s="393">
        <v>0.22588249453995399</v>
      </c>
      <c r="AH121" s="393">
        <v>148.56942738560201</v>
      </c>
      <c r="AI121" s="393">
        <v>1.1330958930014901</v>
      </c>
      <c r="AJ121" s="393">
        <v>1.1329346695931199</v>
      </c>
      <c r="AK121" s="393">
        <v>107.941046912003</v>
      </c>
      <c r="AL121" s="393">
        <v>255472.886453293</v>
      </c>
      <c r="AM121" s="393">
        <v>9196.833984375</v>
      </c>
      <c r="AN121" s="393">
        <v>0.22499671530733101</v>
      </c>
      <c r="AO121" s="393">
        <v>148.32172046683101</v>
      </c>
      <c r="AP121" s="393">
        <v>1.13309691097305</v>
      </c>
      <c r="AQ121" s="393">
        <v>1.1334663089697301</v>
      </c>
      <c r="AR121" s="393">
        <v>107.95031481357699</v>
      </c>
      <c r="AS121" s="393">
        <v>255464.80245159499</v>
      </c>
      <c r="AT121" s="393">
        <v>9196.8671875</v>
      </c>
      <c r="AU121" s="393">
        <v>0.225995192386518</v>
      </c>
      <c r="AV121" s="393">
        <v>148.14121602345</v>
      </c>
      <c r="AW121" s="393">
        <v>1.1330970791105199</v>
      </c>
      <c r="AX121" s="393">
        <v>1.13262814587203</v>
      </c>
      <c r="AY121" s="393">
        <v>107.949920926952</v>
      </c>
      <c r="AZ121" s="393">
        <v>255470.29053391301</v>
      </c>
      <c r="BA121" s="393">
        <v>9196.857421875</v>
      </c>
      <c r="BB121" s="393">
        <v>0.224695369850267</v>
      </c>
      <c r="BC121" s="393">
        <v>148.26026821079901</v>
      </c>
      <c r="BD121" s="393">
        <v>1.1330981074351201</v>
      </c>
      <c r="BE121" s="393">
        <v>1.1334545474137201</v>
      </c>
      <c r="BF121" s="393">
        <v>107.96641225594701</v>
      </c>
      <c r="BG121" s="393">
        <v>255472.13076290701</v>
      </c>
      <c r="BH121" s="393">
        <v>9196.826171875</v>
      </c>
      <c r="BI121" s="393">
        <v>0.22574254422662399</v>
      </c>
      <c r="BJ121" s="393">
        <v>148.51199497799001</v>
      </c>
      <c r="BK121" s="393">
        <v>1.13309747547476</v>
      </c>
      <c r="BL121" s="393">
        <v>1.13319917489786</v>
      </c>
      <c r="BM121" s="393">
        <v>107.952899704782</v>
      </c>
      <c r="BN121" s="393">
        <v>255473.05880092501</v>
      </c>
      <c r="BO121" s="393">
        <v>9196.8486328125</v>
      </c>
      <c r="BP121" s="393"/>
      <c r="BQ121" s="393"/>
      <c r="BR121" s="393"/>
      <c r="BS121" s="393"/>
      <c r="BT121" s="393"/>
      <c r="BU121" s="393"/>
      <c r="BV121" s="393"/>
      <c r="BW121" s="393">
        <v>9196.3044969999992</v>
      </c>
      <c r="BX121" s="393">
        <v>6904.3942909999996</v>
      </c>
      <c r="BY121" s="393">
        <v>229.99689079999999</v>
      </c>
      <c r="BZ121" s="393">
        <v>49.999291270000001</v>
      </c>
      <c r="CA121" s="393">
        <v>36.898460309999997</v>
      </c>
      <c r="CB121" s="393">
        <v>1.6254614000000001E-2</v>
      </c>
      <c r="CC121" s="393">
        <v>1.0908128E-2</v>
      </c>
      <c r="CD121" s="399">
        <v>7.3851599999999996E-5</v>
      </c>
      <c r="CE121" s="399">
        <v>4.7013299999999999E-5</v>
      </c>
      <c r="CF121" s="399">
        <v>7.6674499999999999E-5</v>
      </c>
      <c r="CG121" s="393">
        <v>6.9410540000000003E-3</v>
      </c>
      <c r="CH121" s="393">
        <v>2.8237330000000001E-3</v>
      </c>
      <c r="CI121" s="393">
        <v>27.208033189999998</v>
      </c>
      <c r="CJ121" s="393">
        <v>2.049253024</v>
      </c>
      <c r="CK121" s="393">
        <v>5.7865440000000002E-3</v>
      </c>
      <c r="CL121" s="393">
        <v>0.79970079299999997</v>
      </c>
      <c r="CM121" s="393">
        <v>4.6000030189999999</v>
      </c>
      <c r="CN121" s="399">
        <v>9.5820799999999996E-6</v>
      </c>
      <c r="CO121" s="393">
        <v>100006.9411</v>
      </c>
      <c r="CP121" s="393">
        <v>0</v>
      </c>
      <c r="CQ121" s="393">
        <v>0</v>
      </c>
      <c r="CR121" s="393">
        <v>109.15900000000001</v>
      </c>
      <c r="CS121" s="393">
        <v>23.638299920000001</v>
      </c>
      <c r="CT121" s="393">
        <v>0.32292502000000001</v>
      </c>
      <c r="CU121" s="393"/>
      <c r="CV121" s="393"/>
      <c r="CW121" s="393"/>
      <c r="CX121" s="393"/>
      <c r="CY121" s="393"/>
      <c r="CZ121" s="393"/>
      <c r="DA121" s="393"/>
    </row>
    <row r="122" spans="1:105" x14ac:dyDescent="0.2">
      <c r="A122" s="366">
        <f>ROW()</f>
        <v>122</v>
      </c>
      <c r="B122" s="367" t="s">
        <v>50</v>
      </c>
      <c r="C122" s="368">
        <v>50</v>
      </c>
      <c r="D122" s="368">
        <v>230</v>
      </c>
      <c r="E122" s="731">
        <v>36.869999999999997</v>
      </c>
      <c r="F122" s="441">
        <v>230</v>
      </c>
      <c r="G122" s="369" t="s">
        <v>359</v>
      </c>
      <c r="H122" s="370">
        <v>100</v>
      </c>
      <c r="I122" s="367">
        <v>50</v>
      </c>
      <c r="J122" s="371">
        <v>10</v>
      </c>
      <c r="K122" s="372">
        <v>5</v>
      </c>
      <c r="L122" s="482">
        <v>100000</v>
      </c>
      <c r="M122" s="443" t="s">
        <v>535</v>
      </c>
      <c r="N122" s="726">
        <f>IF(M122="watts",SQRT((0.0005+0.001/COS(RADIANS(ABS(E122))))^2+0.000645^2)*IF(T122&gt;26,2,1),SQRT((0.001+0.001/SIN(RADIANS(ABS(E122))))^2+0.000645^2+0.0035^2))</f>
        <v>3.7301639973054816E-3</v>
      </c>
      <c r="O122" s="370">
        <v>6</v>
      </c>
      <c r="P122" s="66">
        <v>123</v>
      </c>
      <c r="Q122" s="220"/>
      <c r="R122" s="402"/>
      <c r="S122" s="402">
        <v>229.99686270000001</v>
      </c>
      <c r="T122" s="395">
        <v>49.999213159999996</v>
      </c>
      <c r="U122" s="402">
        <v>36.898352860000003</v>
      </c>
      <c r="V122" s="395">
        <v>0.79970191899999998</v>
      </c>
      <c r="W122" s="400">
        <v>6.3666290000000004E-3</v>
      </c>
      <c r="X122" s="400">
        <v>5.6798880000000001E-3</v>
      </c>
      <c r="Y122" s="402">
        <v>2.05563524</v>
      </c>
      <c r="Z122" s="409">
        <v>100006.36659999999</v>
      </c>
      <c r="AA122" s="396">
        <v>42034.684398148151</v>
      </c>
      <c r="AB122" s="393">
        <v>50.000061320462002</v>
      </c>
      <c r="AC122" s="393">
        <v>0.3525390625</v>
      </c>
      <c r="AD122" s="393" t="s">
        <v>134</v>
      </c>
      <c r="AE122" s="393">
        <v>0.2607421875</v>
      </c>
      <c r="AF122" s="393" t="s">
        <v>135</v>
      </c>
      <c r="AG122" s="393">
        <v>0.22515334813104401</v>
      </c>
      <c r="AH122" s="393">
        <v>148.29925118786801</v>
      </c>
      <c r="AI122" s="393">
        <v>1.13309860729329</v>
      </c>
      <c r="AJ122" s="393">
        <v>1.13294256764588</v>
      </c>
      <c r="AK122" s="393">
        <v>107.932636510408</v>
      </c>
      <c r="AL122" s="393">
        <v>255470.024442211</v>
      </c>
      <c r="AM122" s="393">
        <v>9196.884765625</v>
      </c>
      <c r="AN122" s="393">
        <v>0.22488311647390199</v>
      </c>
      <c r="AO122" s="393">
        <v>148.60268413716699</v>
      </c>
      <c r="AP122" s="393">
        <v>1.1330967129296301</v>
      </c>
      <c r="AQ122" s="393">
        <v>1.1325817282330899</v>
      </c>
      <c r="AR122" s="393">
        <v>107.943461196022</v>
      </c>
      <c r="AS122" s="393">
        <v>255470.41173266899</v>
      </c>
      <c r="AT122" s="393">
        <v>9196.8212890625</v>
      </c>
      <c r="AU122" s="393">
        <v>0.22577775499279901</v>
      </c>
      <c r="AV122" s="393">
        <v>148.06292697078899</v>
      </c>
      <c r="AW122" s="393">
        <v>1.13309597717921</v>
      </c>
      <c r="AX122" s="393">
        <v>1.1329238505452801</v>
      </c>
      <c r="AY122" s="393">
        <v>107.949275605726</v>
      </c>
      <c r="AZ122" s="393">
        <v>255469.65758036199</v>
      </c>
      <c r="BA122" s="393">
        <v>9196.849609375</v>
      </c>
      <c r="BB122" s="393">
        <v>0.22518405543428699</v>
      </c>
      <c r="BC122" s="393">
        <v>148.393616784789</v>
      </c>
      <c r="BD122" s="393">
        <v>1.1330960937499901</v>
      </c>
      <c r="BE122" s="393">
        <v>1.13318944680402</v>
      </c>
      <c r="BF122" s="393">
        <v>107.95635421847101</v>
      </c>
      <c r="BG122" s="393">
        <v>255468.18691332301</v>
      </c>
      <c r="BH122" s="393">
        <v>9196.7763671875</v>
      </c>
      <c r="BI122" s="393">
        <v>0.225952383112207</v>
      </c>
      <c r="BJ122" s="393">
        <v>148.41617662882399</v>
      </c>
      <c r="BK122" s="393">
        <v>1.1330973818441701</v>
      </c>
      <c r="BL122" s="393">
        <v>1.1329143706634099</v>
      </c>
      <c r="BM122" s="393">
        <v>107.972152866187</v>
      </c>
      <c r="BN122" s="393">
        <v>255467.198032071</v>
      </c>
      <c r="BO122" s="393">
        <v>9196.8681640625</v>
      </c>
      <c r="BP122" s="393"/>
      <c r="BQ122" s="393"/>
      <c r="BR122" s="393"/>
      <c r="BS122" s="393"/>
      <c r="BT122" s="393"/>
      <c r="BU122" s="393"/>
      <c r="BV122" s="393"/>
      <c r="BW122" s="393">
        <v>9196.3019519999998</v>
      </c>
      <c r="BX122" s="393">
        <v>6904.3654139999999</v>
      </c>
      <c r="BY122" s="393">
        <v>229.99686270000001</v>
      </c>
      <c r="BZ122" s="393">
        <v>49.999213159999996</v>
      </c>
      <c r="CA122" s="393">
        <v>36.898352860000003</v>
      </c>
      <c r="CB122" s="393">
        <v>1.7276377999999998E-2</v>
      </c>
      <c r="CC122" s="393">
        <v>8.999323E-3</v>
      </c>
      <c r="CD122" s="399">
        <v>9.80756E-5</v>
      </c>
      <c r="CE122" s="399">
        <v>6.3560799999999996E-5</v>
      </c>
      <c r="CF122" s="399">
        <v>5.3940000000000002E-5</v>
      </c>
      <c r="CG122" s="393">
        <v>6.3666290000000004E-3</v>
      </c>
      <c r="CH122" s="393">
        <v>2.763082E-3</v>
      </c>
      <c r="CI122" s="393">
        <v>25.440719909999999</v>
      </c>
      <c r="CJ122" s="393">
        <v>2.05563524</v>
      </c>
      <c r="CK122" s="393">
        <v>5.6798880000000001E-3</v>
      </c>
      <c r="CL122" s="393">
        <v>0.79970191899999998</v>
      </c>
      <c r="CM122" s="393">
        <v>4.6000096429999999</v>
      </c>
      <c r="CN122" s="399">
        <v>1.30624E-5</v>
      </c>
      <c r="CO122" s="393">
        <v>100006.36659999999</v>
      </c>
      <c r="CP122" s="393">
        <v>0</v>
      </c>
      <c r="CQ122" s="393">
        <v>0</v>
      </c>
      <c r="CR122" s="393">
        <v>109.158</v>
      </c>
      <c r="CS122" s="393">
        <v>23.635723209999998</v>
      </c>
      <c r="CT122" s="393">
        <v>0.32292512499999998</v>
      </c>
      <c r="CU122" s="393"/>
      <c r="CV122" s="393"/>
      <c r="CW122" s="393"/>
      <c r="CX122" s="393"/>
      <c r="CY122" s="393"/>
      <c r="CZ122" s="393"/>
      <c r="DA122" s="393"/>
    </row>
    <row r="123" spans="1:105" x14ac:dyDescent="0.2">
      <c r="A123" s="366">
        <f>ROW()</f>
        <v>123</v>
      </c>
      <c r="B123" s="367" t="s">
        <v>50</v>
      </c>
      <c r="C123" s="368">
        <v>100</v>
      </c>
      <c r="D123" s="368">
        <v>230</v>
      </c>
      <c r="E123" s="731">
        <v>0</v>
      </c>
      <c r="F123" s="441">
        <v>230</v>
      </c>
      <c r="G123" s="369" t="s">
        <v>359</v>
      </c>
      <c r="H123" s="370">
        <v>100</v>
      </c>
      <c r="I123" s="367">
        <v>50</v>
      </c>
      <c r="J123" s="371">
        <v>10</v>
      </c>
      <c r="K123" s="372">
        <v>5</v>
      </c>
      <c r="L123" s="482">
        <v>100000</v>
      </c>
      <c r="M123" s="443" t="s">
        <v>535</v>
      </c>
      <c r="N123" s="726">
        <f t="shared" ref="N123:N138" si="3">IF(M123="watts",SQRT((0.0005+0.001/COS(RADIANS(ABS(E123))))^2+0.000645^2)*IF(T123&gt;26,2,1),SQRT((0.001+0.001/SIN(RADIANS(ABS(E123))))^2+0.000645^2+0.0035^2))</f>
        <v>3.265593361090753E-3</v>
      </c>
      <c r="O123" s="370">
        <v>6</v>
      </c>
      <c r="P123" s="66">
        <v>123</v>
      </c>
      <c r="Q123" s="220"/>
      <c r="R123" s="402"/>
      <c r="S123" s="402">
        <v>229.99645290000001</v>
      </c>
      <c r="T123" s="395">
        <v>100.00166419999999</v>
      </c>
      <c r="U123" s="402">
        <v>-4.3659599999999998E-4</v>
      </c>
      <c r="V123" s="395">
        <v>1</v>
      </c>
      <c r="W123" s="400">
        <v>5.0557700000000002E-3</v>
      </c>
      <c r="X123" s="400">
        <v>4.7357789999999999E-3</v>
      </c>
      <c r="Y123" s="402">
        <v>2.0804510829999998</v>
      </c>
      <c r="Z123" s="409">
        <v>100005.0558</v>
      </c>
      <c r="AA123" s="396">
        <v>42034.708437499998</v>
      </c>
      <c r="AB123" s="393">
        <v>50.000207551563697</v>
      </c>
      <c r="AC123" s="393">
        <v>0.8828125</v>
      </c>
      <c r="AD123" s="393" t="s">
        <v>134</v>
      </c>
      <c r="AE123" s="393">
        <v>0</v>
      </c>
      <c r="AF123" s="393" t="s">
        <v>133</v>
      </c>
      <c r="AG123" s="393">
        <v>0.32271715794184702</v>
      </c>
      <c r="AH123" s="393">
        <v>-112.32442720162599</v>
      </c>
      <c r="AI123" s="393">
        <v>1.13309368115148</v>
      </c>
      <c r="AJ123" s="393">
        <v>1.13346910140247</v>
      </c>
      <c r="AK123" s="393">
        <v>107.955553617147</v>
      </c>
      <c r="AL123" s="393">
        <v>638915.18815139402</v>
      </c>
      <c r="AM123" s="393">
        <v>23000.640625</v>
      </c>
      <c r="AN123" s="393">
        <v>0.32410313028884702</v>
      </c>
      <c r="AO123" s="393">
        <v>-112.4720793442</v>
      </c>
      <c r="AP123" s="393">
        <v>1.1330951694340099</v>
      </c>
      <c r="AQ123" s="393">
        <v>1.13298856877737</v>
      </c>
      <c r="AR123" s="393">
        <v>107.95820370244201</v>
      </c>
      <c r="AS123" s="393">
        <v>638922.76852071995</v>
      </c>
      <c r="AT123" s="393">
        <v>23000.62109375</v>
      </c>
      <c r="AU123" s="393">
        <v>0.326167712386979</v>
      </c>
      <c r="AV123" s="393">
        <v>-112.097763552534</v>
      </c>
      <c r="AW123" s="393">
        <v>1.13309563853631</v>
      </c>
      <c r="AX123" s="393">
        <v>1.13333012496039</v>
      </c>
      <c r="AY123" s="393">
        <v>107.94787059994199</v>
      </c>
      <c r="AZ123" s="393">
        <v>638920.62276325806</v>
      </c>
      <c r="BA123" s="393">
        <v>23000.638671875</v>
      </c>
      <c r="BB123" s="393">
        <v>0.32449192087325601</v>
      </c>
      <c r="BC123" s="393">
        <v>-112.71124260740901</v>
      </c>
      <c r="BD123" s="393">
        <v>1.13309437215908</v>
      </c>
      <c r="BE123" s="393">
        <v>1.1327827158616299</v>
      </c>
      <c r="BF123" s="393">
        <v>107.952150480534</v>
      </c>
      <c r="BG123" s="393">
        <v>638927.95629406697</v>
      </c>
      <c r="BH123" s="393">
        <v>23000.626953125</v>
      </c>
      <c r="BI123" s="393">
        <v>0.32418744061473997</v>
      </c>
      <c r="BJ123" s="393">
        <v>-112.252327125191</v>
      </c>
      <c r="BK123" s="393">
        <v>1.1330958172668699</v>
      </c>
      <c r="BL123" s="393">
        <v>1.13285918936723</v>
      </c>
      <c r="BM123" s="393">
        <v>107.958700960911</v>
      </c>
      <c r="BN123" s="393">
        <v>638923.32628338505</v>
      </c>
      <c r="BO123" s="393">
        <v>23000.64453125</v>
      </c>
      <c r="BP123" s="393"/>
      <c r="BQ123" s="393"/>
      <c r="BR123" s="393"/>
      <c r="BS123" s="393"/>
      <c r="BT123" s="393"/>
      <c r="BU123" s="393"/>
      <c r="BV123" s="393"/>
      <c r="BW123" s="393">
        <v>23000.028180000001</v>
      </c>
      <c r="BX123" s="393">
        <v>0.175261048</v>
      </c>
      <c r="BY123" s="393">
        <v>229.99645290000001</v>
      </c>
      <c r="BZ123" s="393">
        <v>100.00166419999999</v>
      </c>
      <c r="CA123" s="393">
        <v>-4.3659599999999998E-4</v>
      </c>
      <c r="CB123" s="393">
        <v>1.8673806000000001E-2</v>
      </c>
      <c r="CC123" s="393">
        <v>2.5256977999999999E-2</v>
      </c>
      <c r="CD123" s="399">
        <v>8.1423900000000005E-5</v>
      </c>
      <c r="CE123" s="399">
        <v>9.3834999999999999E-5</v>
      </c>
      <c r="CF123" s="399">
        <v>6.2918199999999997E-5</v>
      </c>
      <c r="CG123" s="393">
        <v>5.0557700000000002E-3</v>
      </c>
      <c r="CH123" s="393">
        <v>2.2763229999999998E-3</v>
      </c>
      <c r="CI123" s="393">
        <v>20.354357969999999</v>
      </c>
      <c r="CJ123" s="393">
        <v>2.0804510829999998</v>
      </c>
      <c r="CK123" s="393">
        <v>4.7357789999999999E-3</v>
      </c>
      <c r="CL123" s="393">
        <v>1</v>
      </c>
      <c r="CM123" s="393">
        <v>2.2999262530000002</v>
      </c>
      <c r="CN123" s="399">
        <v>5.98025E-6</v>
      </c>
      <c r="CO123" s="393">
        <v>100005.0558</v>
      </c>
      <c r="CP123" s="393">
        <v>0</v>
      </c>
      <c r="CQ123" s="393">
        <v>0</v>
      </c>
      <c r="CR123" s="393">
        <v>109.184</v>
      </c>
      <c r="CS123" s="393">
        <v>23.7027185</v>
      </c>
      <c r="CT123" s="393">
        <v>0.32292239900000003</v>
      </c>
      <c r="CU123" s="393"/>
      <c r="CV123" s="393"/>
      <c r="CW123" s="393"/>
      <c r="CX123" s="393"/>
      <c r="CY123" s="393"/>
      <c r="CZ123" s="393"/>
      <c r="DA123" s="393"/>
    </row>
    <row r="124" spans="1:105" x14ac:dyDescent="0.2">
      <c r="A124" s="366">
        <f>ROW()</f>
        <v>124</v>
      </c>
      <c r="B124" s="367" t="s">
        <v>50</v>
      </c>
      <c r="C124" s="368">
        <v>100</v>
      </c>
      <c r="D124" s="368">
        <v>230</v>
      </c>
      <c r="E124" s="731">
        <v>-60</v>
      </c>
      <c r="F124" s="441">
        <v>230</v>
      </c>
      <c r="G124" s="369" t="s">
        <v>359</v>
      </c>
      <c r="H124" s="370">
        <v>100</v>
      </c>
      <c r="I124" s="367">
        <v>50</v>
      </c>
      <c r="J124" s="371">
        <v>10</v>
      </c>
      <c r="K124" s="372">
        <v>5</v>
      </c>
      <c r="L124" s="482">
        <v>100000</v>
      </c>
      <c r="M124" s="443" t="s">
        <v>535</v>
      </c>
      <c r="N124" s="726">
        <f t="shared" si="3"/>
        <v>5.1637292725316255E-3</v>
      </c>
      <c r="O124" s="370">
        <v>6</v>
      </c>
      <c r="P124" s="66">
        <v>123</v>
      </c>
      <c r="Q124" s="220"/>
      <c r="R124" s="402"/>
      <c r="S124" s="402">
        <v>229.99659700000001</v>
      </c>
      <c r="T124" s="395">
        <v>99.997794339999999</v>
      </c>
      <c r="U124" s="402">
        <v>-59.997784719999999</v>
      </c>
      <c r="V124" s="395">
        <v>0.50003348400000003</v>
      </c>
      <c r="W124" s="400">
        <v>-1.7473650000000001E-3</v>
      </c>
      <c r="X124" s="400">
        <v>8.6924169999999992E-3</v>
      </c>
      <c r="Y124" s="402">
        <v>2.0458098790000001</v>
      </c>
      <c r="Z124" s="409">
        <v>99998.252630000003</v>
      </c>
      <c r="AA124" s="396">
        <v>42034.711342592593</v>
      </c>
      <c r="AB124" s="393">
        <v>49.999948119609101</v>
      </c>
      <c r="AC124" s="393">
        <v>0.44140625</v>
      </c>
      <c r="AD124" s="393" t="s">
        <v>134</v>
      </c>
      <c r="AE124" s="393">
        <v>0.7529296875</v>
      </c>
      <c r="AF124" s="393" t="s">
        <v>133</v>
      </c>
      <c r="AG124" s="393">
        <v>0.20990541672177199</v>
      </c>
      <c r="AH124" s="393">
        <v>-16.623961806447301</v>
      </c>
      <c r="AI124" s="393">
        <v>1.1330948171003501</v>
      </c>
      <c r="AJ124" s="393">
        <v>1.1327808420401599</v>
      </c>
      <c r="AK124" s="393">
        <v>107.928069914926</v>
      </c>
      <c r="AL124" s="393">
        <v>319444.15455717698</v>
      </c>
      <c r="AM124" s="393">
        <v>11499.8349609375</v>
      </c>
      <c r="AN124" s="393">
        <v>0.20776239466531801</v>
      </c>
      <c r="AO124" s="393">
        <v>-16.857613459006799</v>
      </c>
      <c r="AP124" s="393">
        <v>1.1330953236389001</v>
      </c>
      <c r="AQ124" s="393">
        <v>1.1336772254252101</v>
      </c>
      <c r="AR124" s="393">
        <v>107.975638056737</v>
      </c>
      <c r="AS124" s="393">
        <v>319437.56906316598</v>
      </c>
      <c r="AT124" s="393">
        <v>11499.83984375</v>
      </c>
      <c r="AU124" s="393">
        <v>0.20824984502431901</v>
      </c>
      <c r="AV124" s="393">
        <v>-16.762833644427499</v>
      </c>
      <c r="AW124" s="393">
        <v>1.1330952822281199</v>
      </c>
      <c r="AX124" s="393">
        <v>1.1333459106706401</v>
      </c>
      <c r="AY124" s="393">
        <v>107.988968812148</v>
      </c>
      <c r="AZ124" s="393">
        <v>319455.82541187102</v>
      </c>
      <c r="BA124" s="393">
        <v>11499.8427734375</v>
      </c>
      <c r="BB124" s="393">
        <v>0.20750890980363099</v>
      </c>
      <c r="BC124" s="393">
        <v>-16.480080551318402</v>
      </c>
      <c r="BD124" s="393">
        <v>1.13309592785597</v>
      </c>
      <c r="BE124" s="393">
        <v>1.1337034747103201</v>
      </c>
      <c r="BF124" s="393">
        <v>107.94292762831</v>
      </c>
      <c r="BG124" s="393">
        <v>319454.84222881898</v>
      </c>
      <c r="BH124" s="393">
        <v>11499.826171875</v>
      </c>
      <c r="BI124" s="393">
        <v>0.208369302697478</v>
      </c>
      <c r="BJ124" s="393">
        <v>-17.4197523883511</v>
      </c>
      <c r="BK124" s="393">
        <v>1.1330968780775701</v>
      </c>
      <c r="BL124" s="393">
        <v>1.1326938645328</v>
      </c>
      <c r="BM124" s="393">
        <v>107.92898229493601</v>
      </c>
      <c r="BN124" s="393">
        <v>319450.02685630001</v>
      </c>
      <c r="BO124" s="393">
        <v>11499.8212890625</v>
      </c>
      <c r="BP124" s="393"/>
      <c r="BQ124" s="393"/>
      <c r="BR124" s="393"/>
      <c r="BS124" s="393"/>
      <c r="BT124" s="393"/>
      <c r="BU124" s="393"/>
      <c r="BV124" s="393"/>
      <c r="BW124" s="393">
        <v>11500.34636</v>
      </c>
      <c r="BX124" s="393">
        <v>19917.405729999999</v>
      </c>
      <c r="BY124" s="393">
        <v>229.99659700000001</v>
      </c>
      <c r="BZ124" s="393">
        <v>99.997794339999999</v>
      </c>
      <c r="CA124" s="393">
        <v>-59.997784719999999</v>
      </c>
      <c r="CB124" s="393">
        <v>2.2008027999999999E-2</v>
      </c>
      <c r="CC124" s="393">
        <v>1.6644231999999998E-2</v>
      </c>
      <c r="CD124" s="399">
        <v>7.2056400000000004E-5</v>
      </c>
      <c r="CE124" s="399">
        <v>7.5531999999999994E-5</v>
      </c>
      <c r="CF124" s="399">
        <v>5.85777E-5</v>
      </c>
      <c r="CG124" s="393">
        <v>-1.7473650000000001E-3</v>
      </c>
      <c r="CH124" s="393">
        <v>4.2488880000000001E-3</v>
      </c>
      <c r="CI124" s="393">
        <v>28.27100836</v>
      </c>
      <c r="CJ124" s="393">
        <v>2.0458098790000001</v>
      </c>
      <c r="CK124" s="393">
        <v>8.6924169999999992E-3</v>
      </c>
      <c r="CL124" s="393">
        <v>0.50003348400000003</v>
      </c>
      <c r="CM124" s="393">
        <v>2.3000167010000001</v>
      </c>
      <c r="CN124" s="399">
        <v>4.9948E-6</v>
      </c>
      <c r="CO124" s="393">
        <v>99998.252630000003</v>
      </c>
      <c r="CP124" s="393">
        <v>0</v>
      </c>
      <c r="CQ124" s="393">
        <v>0</v>
      </c>
      <c r="CR124" s="393">
        <v>109.18899999999999</v>
      </c>
      <c r="CS124" s="393">
        <v>23.71560238</v>
      </c>
      <c r="CT124" s="393">
        <v>0.32292187500000002</v>
      </c>
      <c r="CU124" s="393"/>
      <c r="CV124" s="393"/>
      <c r="CW124" s="393"/>
      <c r="CX124" s="393"/>
      <c r="CY124" s="393"/>
      <c r="CZ124" s="393"/>
      <c r="DA124" s="393"/>
    </row>
    <row r="125" spans="1:105" x14ac:dyDescent="0.2">
      <c r="A125" s="366">
        <f>ROW()</f>
        <v>125</v>
      </c>
      <c r="B125" s="367" t="s">
        <v>50</v>
      </c>
      <c r="C125" s="368">
        <v>100</v>
      </c>
      <c r="D125" s="368">
        <v>230</v>
      </c>
      <c r="E125" s="731">
        <v>36.869999999999997</v>
      </c>
      <c r="F125" s="441">
        <v>230</v>
      </c>
      <c r="G125" s="369" t="s">
        <v>359</v>
      </c>
      <c r="H125" s="370">
        <v>100</v>
      </c>
      <c r="I125" s="367">
        <v>50</v>
      </c>
      <c r="J125" s="371">
        <v>10</v>
      </c>
      <c r="K125" s="372">
        <v>5</v>
      </c>
      <c r="L125" s="482">
        <v>100000</v>
      </c>
      <c r="M125" s="443" t="s">
        <v>535</v>
      </c>
      <c r="N125" s="726">
        <f t="shared" si="3"/>
        <v>3.7301639973054816E-3</v>
      </c>
      <c r="O125" s="370">
        <v>6</v>
      </c>
      <c r="P125" s="66">
        <v>123</v>
      </c>
      <c r="Q125" s="220"/>
      <c r="R125" s="402"/>
      <c r="S125" s="402">
        <v>229.99661269999999</v>
      </c>
      <c r="T125" s="395">
        <v>99.998468320000001</v>
      </c>
      <c r="U125" s="402">
        <v>36.897880530000002</v>
      </c>
      <c r="V125" s="395">
        <v>0.79970686800000002</v>
      </c>
      <c r="W125" s="400">
        <v>7.454301E-3</v>
      </c>
      <c r="X125" s="400">
        <v>5.6325569999999998E-3</v>
      </c>
      <c r="Y125" s="402">
        <v>2.059346245</v>
      </c>
      <c r="Z125" s="409">
        <v>100007.4543</v>
      </c>
      <c r="AA125" s="396">
        <v>42034.714270833334</v>
      </c>
      <c r="AB125" s="393">
        <v>50.000466993518302</v>
      </c>
      <c r="AC125" s="393">
        <v>0.7060546875</v>
      </c>
      <c r="AD125" s="393" t="s">
        <v>134</v>
      </c>
      <c r="AE125" s="393">
        <v>0.5224609375</v>
      </c>
      <c r="AF125" s="393" t="s">
        <v>135</v>
      </c>
      <c r="AG125" s="393">
        <v>0.42818084824025798</v>
      </c>
      <c r="AH125" s="393">
        <v>-80.795507375799801</v>
      </c>
      <c r="AI125" s="393">
        <v>1.13309632013211</v>
      </c>
      <c r="AJ125" s="393">
        <v>1.1328488152042899</v>
      </c>
      <c r="AK125" s="393">
        <v>107.955514205402</v>
      </c>
      <c r="AL125" s="393">
        <v>510948.49281288701</v>
      </c>
      <c r="AM125" s="393">
        <v>18393.751953125</v>
      </c>
      <c r="AN125" s="393">
        <v>0.42918913355497401</v>
      </c>
      <c r="AO125" s="393">
        <v>-80.438068290816801</v>
      </c>
      <c r="AP125" s="393">
        <v>1.1330954565606799</v>
      </c>
      <c r="AQ125" s="393">
        <v>1.1335277696061301</v>
      </c>
      <c r="AR125" s="393">
        <v>107.956036111644</v>
      </c>
      <c r="AS125" s="393">
        <v>510947.25952346</v>
      </c>
      <c r="AT125" s="393">
        <v>18393.705078125</v>
      </c>
      <c r="AU125" s="393">
        <v>0.42782508126195301</v>
      </c>
      <c r="AV125" s="393">
        <v>-80.949389832389798</v>
      </c>
      <c r="AW125" s="393">
        <v>1.13309570751205</v>
      </c>
      <c r="AX125" s="393">
        <v>1.1327619864629299</v>
      </c>
      <c r="AY125" s="393">
        <v>107.950067106766</v>
      </c>
      <c r="AZ125" s="393">
        <v>510944.74689886201</v>
      </c>
      <c r="BA125" s="393">
        <v>18393.740234375</v>
      </c>
      <c r="BB125" s="393">
        <v>0.42717009897687602</v>
      </c>
      <c r="BC125" s="393">
        <v>-80.6461448816478</v>
      </c>
      <c r="BD125" s="393">
        <v>1.13309564573791</v>
      </c>
      <c r="BE125" s="393">
        <v>1.13294465473802</v>
      </c>
      <c r="BF125" s="393">
        <v>107.936838516363</v>
      </c>
      <c r="BG125" s="393">
        <v>510942.77671376301</v>
      </c>
      <c r="BH125" s="393">
        <v>18393.76171875</v>
      </c>
      <c r="BI125" s="393">
        <v>0.42837044425888998</v>
      </c>
      <c r="BJ125" s="393">
        <v>-80.697363900562493</v>
      </c>
      <c r="BK125" s="393">
        <v>1.1330954862626501</v>
      </c>
      <c r="BL125" s="393">
        <v>1.13259063058272</v>
      </c>
      <c r="BM125" s="393">
        <v>107.948815152384</v>
      </c>
      <c r="BN125" s="393">
        <v>510949.57473772601</v>
      </c>
      <c r="BO125" s="393">
        <v>18393.74609375</v>
      </c>
      <c r="BP125" s="393"/>
      <c r="BQ125" s="393"/>
      <c r="BR125" s="393"/>
      <c r="BS125" s="393"/>
      <c r="BT125" s="393"/>
      <c r="BU125" s="393"/>
      <c r="BV125" s="393"/>
      <c r="BW125" s="393">
        <v>18392.705480000001</v>
      </c>
      <c r="BX125" s="393">
        <v>13808.57</v>
      </c>
      <c r="BY125" s="393">
        <v>229.99661269999999</v>
      </c>
      <c r="BZ125" s="393">
        <v>99.998468320000001</v>
      </c>
      <c r="CA125" s="393">
        <v>36.897880530000002</v>
      </c>
      <c r="CB125" s="393">
        <v>1.2812614999999999E-2</v>
      </c>
      <c r="CC125" s="393">
        <v>3.1864046E-2</v>
      </c>
      <c r="CD125" s="399">
        <v>3.18247E-5</v>
      </c>
      <c r="CE125" s="399">
        <v>9.1377699999999998E-5</v>
      </c>
      <c r="CF125" s="399">
        <v>6.4110799999999996E-5</v>
      </c>
      <c r="CG125" s="393">
        <v>7.454301E-3</v>
      </c>
      <c r="CH125" s="393">
        <v>2.7351189999999998E-3</v>
      </c>
      <c r="CI125" s="393">
        <v>24.517834730000001</v>
      </c>
      <c r="CJ125" s="393">
        <v>2.059346245</v>
      </c>
      <c r="CK125" s="393">
        <v>5.6325569999999998E-3</v>
      </c>
      <c r="CL125" s="393">
        <v>0.79970686800000002</v>
      </c>
      <c r="CM125" s="393">
        <v>2.3000013560000001</v>
      </c>
      <c r="CN125" s="399">
        <v>4.3953099999999999E-6</v>
      </c>
      <c r="CO125" s="393">
        <v>100007.4543</v>
      </c>
      <c r="CP125" s="393">
        <v>0</v>
      </c>
      <c r="CQ125" s="393">
        <v>0</v>
      </c>
      <c r="CR125" s="393">
        <v>109.182</v>
      </c>
      <c r="CS125" s="393">
        <v>23.697564960000001</v>
      </c>
      <c r="CT125" s="393">
        <v>0.32292260900000003</v>
      </c>
      <c r="CU125" s="393"/>
      <c r="CV125" s="393"/>
      <c r="CW125" s="393"/>
      <c r="CX125" s="393"/>
      <c r="CY125" s="393"/>
      <c r="CZ125" s="393"/>
      <c r="DA125" s="393"/>
    </row>
    <row r="126" spans="1:105" x14ac:dyDescent="0.2">
      <c r="A126" s="366">
        <f>ROW()</f>
        <v>126</v>
      </c>
      <c r="B126" s="367" t="s">
        <v>50</v>
      </c>
      <c r="C126" s="368">
        <v>100</v>
      </c>
      <c r="D126" s="368">
        <v>230</v>
      </c>
      <c r="E126" s="731">
        <v>0</v>
      </c>
      <c r="F126" s="441">
        <v>230</v>
      </c>
      <c r="G126" s="369" t="s">
        <v>359</v>
      </c>
      <c r="H126" s="370">
        <v>100</v>
      </c>
      <c r="I126" s="367">
        <v>50</v>
      </c>
      <c r="J126" s="371">
        <v>10</v>
      </c>
      <c r="K126" s="372">
        <v>5</v>
      </c>
      <c r="L126" s="482">
        <v>100000</v>
      </c>
      <c r="M126" s="443" t="s">
        <v>535</v>
      </c>
      <c r="N126" s="726">
        <f t="shared" si="3"/>
        <v>3.265593361090753E-3</v>
      </c>
      <c r="O126" s="370">
        <v>6</v>
      </c>
      <c r="P126" s="66">
        <v>123</v>
      </c>
      <c r="Q126" s="220"/>
      <c r="R126" s="402"/>
      <c r="S126" s="402">
        <v>229.99657640000001</v>
      </c>
      <c r="T126" s="395">
        <v>100.0016234</v>
      </c>
      <c r="U126" s="402">
        <v>-4.1060800000000002E-4</v>
      </c>
      <c r="V126" s="395">
        <v>1</v>
      </c>
      <c r="W126" s="400">
        <v>4.87369E-3</v>
      </c>
      <c r="X126" s="400">
        <v>4.7042730000000001E-3</v>
      </c>
      <c r="Y126" s="402">
        <v>2.0845521460000001</v>
      </c>
      <c r="Z126" s="409">
        <v>100004.8737</v>
      </c>
      <c r="AA126" s="396">
        <v>42034.717199074075</v>
      </c>
      <c r="AB126" s="393">
        <v>50.000726425472898</v>
      </c>
      <c r="AC126" s="393">
        <v>0.8828125</v>
      </c>
      <c r="AD126" s="393" t="s">
        <v>134</v>
      </c>
      <c r="AE126" s="393">
        <v>0</v>
      </c>
      <c r="AF126" s="393" t="s">
        <v>133</v>
      </c>
      <c r="AG126" s="393">
        <v>0.323957709120611</v>
      </c>
      <c r="AH126" s="393">
        <v>-112.367700411352</v>
      </c>
      <c r="AI126" s="393">
        <v>1.1330950947684</v>
      </c>
      <c r="AJ126" s="393">
        <v>1.1329050834966099</v>
      </c>
      <c r="AK126" s="393">
        <v>107.958947894844</v>
      </c>
      <c r="AL126" s="393">
        <v>638924.34432004299</v>
      </c>
      <c r="AM126" s="393">
        <v>23000.67578125</v>
      </c>
      <c r="AN126" s="393">
        <v>0.32451760036490701</v>
      </c>
      <c r="AO126" s="393">
        <v>-112.26840714895999</v>
      </c>
      <c r="AP126" s="393">
        <v>1.13309574195098</v>
      </c>
      <c r="AQ126" s="393">
        <v>1.1324986340997301</v>
      </c>
      <c r="AR126" s="393">
        <v>107.94778574345899</v>
      </c>
      <c r="AS126" s="393">
        <v>638918.08393208904</v>
      </c>
      <c r="AT126" s="393">
        <v>23000.599609375</v>
      </c>
      <c r="AU126" s="393">
        <v>0.324684287402843</v>
      </c>
      <c r="AV126" s="393">
        <v>-112.48883028333501</v>
      </c>
      <c r="AW126" s="393">
        <v>1.13309577080644</v>
      </c>
      <c r="AX126" s="393">
        <v>1.1334481500960301</v>
      </c>
      <c r="AY126" s="393">
        <v>107.947973123319</v>
      </c>
      <c r="AZ126" s="393">
        <v>638920.31418904895</v>
      </c>
      <c r="BA126" s="393">
        <v>23000.61328125</v>
      </c>
      <c r="BB126" s="393">
        <v>0.32572785525682202</v>
      </c>
      <c r="BC126" s="393">
        <v>-112.143042556822</v>
      </c>
      <c r="BD126" s="393">
        <v>1.13309418121471</v>
      </c>
      <c r="BE126" s="393">
        <v>1.1330335576955499</v>
      </c>
      <c r="BF126" s="393">
        <v>107.93239135137</v>
      </c>
      <c r="BG126" s="393">
        <v>638918.25444594398</v>
      </c>
      <c r="BH126" s="393">
        <v>23000.638671875</v>
      </c>
      <c r="BI126" s="393">
        <v>0.32534145517735902</v>
      </c>
      <c r="BJ126" s="393">
        <v>-112.752216874775</v>
      </c>
      <c r="BK126" s="393">
        <v>1.13309693295727</v>
      </c>
      <c r="BL126" s="393">
        <v>1.1333609783487</v>
      </c>
      <c r="BM126" s="393">
        <v>107.943758523958</v>
      </c>
      <c r="BN126" s="393">
        <v>638923.46045720496</v>
      </c>
      <c r="BO126" s="393">
        <v>23000.609375</v>
      </c>
      <c r="BP126" s="393"/>
      <c r="BQ126" s="393"/>
      <c r="BR126" s="393"/>
      <c r="BS126" s="393"/>
      <c r="BT126" s="393"/>
      <c r="BU126" s="393"/>
      <c r="BV126" s="393"/>
      <c r="BW126" s="393">
        <v>23000.031139999999</v>
      </c>
      <c r="BX126" s="393">
        <v>0.16482877400000001</v>
      </c>
      <c r="BY126" s="393">
        <v>229.99657640000001</v>
      </c>
      <c r="BZ126" s="393">
        <v>100.0016234</v>
      </c>
      <c r="CA126" s="393">
        <v>-4.1060800000000002E-4</v>
      </c>
      <c r="CB126" s="393">
        <v>2.7727755E-2</v>
      </c>
      <c r="CC126" s="393">
        <v>2.6703066000000001E-2</v>
      </c>
      <c r="CD126" s="399">
        <v>9.1663900000000002E-5</v>
      </c>
      <c r="CE126" s="399">
        <v>8.8273400000000001E-5</v>
      </c>
      <c r="CF126" s="399">
        <v>6.6520799999999995E-5</v>
      </c>
      <c r="CG126" s="393">
        <v>4.87369E-3</v>
      </c>
      <c r="CH126" s="393">
        <v>2.2567310000000001E-3</v>
      </c>
      <c r="CI126" s="393">
        <v>19.7097348</v>
      </c>
      <c r="CJ126" s="393">
        <v>2.0845521460000001</v>
      </c>
      <c r="CK126" s="393">
        <v>4.7042730000000001E-3</v>
      </c>
      <c r="CL126" s="393">
        <v>1</v>
      </c>
      <c r="CM126" s="393">
        <v>2.2999284279999999</v>
      </c>
      <c r="CN126" s="399">
        <v>3.3429100000000001E-6</v>
      </c>
      <c r="CO126" s="393">
        <v>100004.8737</v>
      </c>
      <c r="CP126" s="393">
        <v>0</v>
      </c>
      <c r="CQ126" s="393">
        <v>0</v>
      </c>
      <c r="CR126" s="393">
        <v>109.175</v>
      </c>
      <c r="CS126" s="393">
        <v>23.679527660000002</v>
      </c>
      <c r="CT126" s="393">
        <v>0.32292334299999997</v>
      </c>
      <c r="CU126" s="393"/>
      <c r="CV126" s="393"/>
      <c r="CW126" s="393"/>
      <c r="CX126" s="393"/>
      <c r="CY126" s="393"/>
      <c r="CZ126" s="393"/>
      <c r="DA126" s="393"/>
    </row>
    <row r="127" spans="1:105" x14ac:dyDescent="0.2">
      <c r="A127" s="366">
        <f>ROW()</f>
        <v>127</v>
      </c>
      <c r="B127" s="367" t="s">
        <v>50</v>
      </c>
      <c r="C127" s="368">
        <v>100</v>
      </c>
      <c r="D127" s="368">
        <v>230</v>
      </c>
      <c r="E127" s="731">
        <v>0</v>
      </c>
      <c r="F127" s="441">
        <v>230</v>
      </c>
      <c r="G127" s="369" t="s">
        <v>359</v>
      </c>
      <c r="H127" s="370">
        <v>100</v>
      </c>
      <c r="I127" s="367">
        <v>50</v>
      </c>
      <c r="J127" s="371">
        <v>10</v>
      </c>
      <c r="K127" s="372">
        <v>5</v>
      </c>
      <c r="L127" s="482">
        <v>100000</v>
      </c>
      <c r="M127" s="443" t="s">
        <v>535</v>
      </c>
      <c r="N127" s="726">
        <f t="shared" si="3"/>
        <v>3.265593361090753E-3</v>
      </c>
      <c r="O127" s="370">
        <v>6</v>
      </c>
      <c r="P127" s="66">
        <v>123</v>
      </c>
      <c r="Q127" s="220"/>
      <c r="R127" s="402"/>
      <c r="S127" s="402">
        <v>229.9967106</v>
      </c>
      <c r="T127" s="395">
        <v>100.0014868</v>
      </c>
      <c r="U127" s="402">
        <v>-3.4605699999999998E-4</v>
      </c>
      <c r="V127" s="395">
        <v>1</v>
      </c>
      <c r="W127" s="400">
        <v>4.315798E-3</v>
      </c>
      <c r="X127" s="400">
        <v>4.7138939999999997E-3</v>
      </c>
      <c r="Y127" s="402">
        <v>2.083223346</v>
      </c>
      <c r="Z127" s="409">
        <v>100004.3158</v>
      </c>
      <c r="AA127" s="396">
        <v>42034.72011574074</v>
      </c>
      <c r="AB127" s="393">
        <v>50.000089630675298</v>
      </c>
      <c r="AC127" s="393">
        <v>0.8828125</v>
      </c>
      <c r="AD127" s="393" t="s">
        <v>134</v>
      </c>
      <c r="AE127" s="393">
        <v>0</v>
      </c>
      <c r="AF127" s="393" t="s">
        <v>133</v>
      </c>
      <c r="AG127" s="393">
        <v>0.32550825090541402</v>
      </c>
      <c r="AH127" s="393">
        <v>-112.23201943637901</v>
      </c>
      <c r="AI127" s="393">
        <v>1.13309676491649</v>
      </c>
      <c r="AJ127" s="393">
        <v>1.1332013342859399</v>
      </c>
      <c r="AK127" s="393">
        <v>107.953667762549</v>
      </c>
      <c r="AL127" s="393">
        <v>638918.90364929906</v>
      </c>
      <c r="AM127" s="393">
        <v>23000.607421875</v>
      </c>
      <c r="AN127" s="393">
        <v>0.32633865473206097</v>
      </c>
      <c r="AO127" s="393">
        <v>-112.564864120832</v>
      </c>
      <c r="AP127" s="393">
        <v>1.13309627542332</v>
      </c>
      <c r="AQ127" s="393">
        <v>1.1330322892288001</v>
      </c>
      <c r="AR127" s="393">
        <v>107.95333596588399</v>
      </c>
      <c r="AS127" s="393">
        <v>638913.41354807897</v>
      </c>
      <c r="AT127" s="393">
        <v>23000.5703125</v>
      </c>
      <c r="AU127" s="393">
        <v>0.32616099282896099</v>
      </c>
      <c r="AV127" s="393">
        <v>-112.38299956127599</v>
      </c>
      <c r="AW127" s="393">
        <v>1.1330957685502201</v>
      </c>
      <c r="AX127" s="393">
        <v>1.1329396654111601</v>
      </c>
      <c r="AY127" s="393">
        <v>107.95593037638901</v>
      </c>
      <c r="AZ127" s="393">
        <v>638918.19769290602</v>
      </c>
      <c r="BA127" s="393">
        <v>23000.6484375</v>
      </c>
      <c r="BB127" s="393">
        <v>0.325891487160127</v>
      </c>
      <c r="BC127" s="393">
        <v>-112.520095463893</v>
      </c>
      <c r="BD127" s="393">
        <v>1.1330950748530999</v>
      </c>
      <c r="BE127" s="393">
        <v>1.1328885610259301</v>
      </c>
      <c r="BF127" s="393">
        <v>107.948131103552</v>
      </c>
      <c r="BG127" s="393">
        <v>638919.17791321804</v>
      </c>
      <c r="BH127" s="393">
        <v>23000.603515625</v>
      </c>
      <c r="BI127" s="393">
        <v>0.32570726371932701</v>
      </c>
      <c r="BJ127" s="393">
        <v>-112.616033510637</v>
      </c>
      <c r="BK127" s="393">
        <v>1.1330971437317801</v>
      </c>
      <c r="BL127" s="393">
        <v>1.13271166951989</v>
      </c>
      <c r="BM127" s="393">
        <v>107.950664721583</v>
      </c>
      <c r="BN127" s="393">
        <v>638914.443841247</v>
      </c>
      <c r="BO127" s="393">
        <v>23000.625</v>
      </c>
      <c r="BP127" s="393"/>
      <c r="BQ127" s="393"/>
      <c r="BR127" s="393"/>
      <c r="BS127" s="393"/>
      <c r="BT127" s="393"/>
      <c r="BU127" s="393"/>
      <c r="BV127" s="393"/>
      <c r="BW127" s="393">
        <v>23000.013149999999</v>
      </c>
      <c r="BX127" s="393">
        <v>0.138916075</v>
      </c>
      <c r="BY127" s="393">
        <v>229.9967106</v>
      </c>
      <c r="BZ127" s="393">
        <v>100.0014868</v>
      </c>
      <c r="CA127" s="393">
        <v>-3.4605699999999998E-4</v>
      </c>
      <c r="CB127" s="393">
        <v>1.8510947999999999E-2</v>
      </c>
      <c r="CC127" s="393">
        <v>1.8051122999999999E-2</v>
      </c>
      <c r="CD127" s="399">
        <v>7.4146600000000006E-5</v>
      </c>
      <c r="CE127" s="399">
        <v>5.0546500000000001E-5</v>
      </c>
      <c r="CF127" s="399">
        <v>4.4967399999999999E-5</v>
      </c>
      <c r="CG127" s="393">
        <v>4.315798E-3</v>
      </c>
      <c r="CH127" s="393">
        <v>2.2627889999999999E-3</v>
      </c>
      <c r="CI127" s="393">
        <v>19.91387812</v>
      </c>
      <c r="CJ127" s="393">
        <v>2.083223346</v>
      </c>
      <c r="CK127" s="393">
        <v>4.7138939999999997E-3</v>
      </c>
      <c r="CL127" s="393">
        <v>1</v>
      </c>
      <c r="CM127" s="393">
        <v>2.299932911</v>
      </c>
      <c r="CN127" s="399">
        <v>1.37026E-6</v>
      </c>
      <c r="CO127" s="393">
        <v>100004.3158</v>
      </c>
      <c r="CP127" s="393">
        <v>0</v>
      </c>
      <c r="CQ127" s="393">
        <v>0</v>
      </c>
      <c r="CR127" s="393">
        <v>109.172</v>
      </c>
      <c r="CS127" s="393">
        <v>23.67179741</v>
      </c>
      <c r="CT127" s="393">
        <v>0.32292365699999998</v>
      </c>
      <c r="CU127" s="393"/>
      <c r="CV127" s="393"/>
      <c r="CW127" s="393"/>
      <c r="CX127" s="393"/>
      <c r="CY127" s="393"/>
      <c r="CZ127" s="393"/>
      <c r="DA127" s="393"/>
    </row>
    <row r="128" spans="1:105" x14ac:dyDescent="0.2">
      <c r="A128" s="366">
        <f>ROW()</f>
        <v>128</v>
      </c>
      <c r="B128" s="367" t="s">
        <v>50</v>
      </c>
      <c r="C128" s="368">
        <v>100</v>
      </c>
      <c r="D128" s="368">
        <v>230</v>
      </c>
      <c r="E128" s="731">
        <v>0</v>
      </c>
      <c r="F128" s="441">
        <v>230</v>
      </c>
      <c r="G128" s="369" t="s">
        <v>359</v>
      </c>
      <c r="H128" s="370">
        <v>100</v>
      </c>
      <c r="I128" s="367">
        <v>50</v>
      </c>
      <c r="J128" s="371">
        <v>10</v>
      </c>
      <c r="K128" s="372">
        <v>5</v>
      </c>
      <c r="L128" s="482">
        <v>100000</v>
      </c>
      <c r="M128" s="443" t="s">
        <v>535</v>
      </c>
      <c r="N128" s="726">
        <f t="shared" si="3"/>
        <v>3.265593361090753E-3</v>
      </c>
      <c r="O128" s="370">
        <v>6</v>
      </c>
      <c r="P128" s="66">
        <v>123</v>
      </c>
      <c r="Q128" s="220"/>
      <c r="R128" s="402"/>
      <c r="S128" s="402">
        <v>229.996681</v>
      </c>
      <c r="T128" s="395">
        <v>100.0014735</v>
      </c>
      <c r="U128" s="402">
        <v>-4.9329300000000001E-4</v>
      </c>
      <c r="V128" s="395">
        <v>1</v>
      </c>
      <c r="W128" s="400">
        <v>3.7674549999999998E-3</v>
      </c>
      <c r="X128" s="400">
        <v>4.7714869999999996E-3</v>
      </c>
      <c r="Y128" s="402">
        <v>2.0765867999999998</v>
      </c>
      <c r="Z128" s="409">
        <v>100003.7675</v>
      </c>
      <c r="AA128" s="396">
        <v>42034.723032407404</v>
      </c>
      <c r="AB128" s="393">
        <v>50.000160381208303</v>
      </c>
      <c r="AC128" s="393">
        <v>0.8828125</v>
      </c>
      <c r="AD128" s="393" t="s">
        <v>134</v>
      </c>
      <c r="AE128" s="393">
        <v>0</v>
      </c>
      <c r="AF128" s="393" t="s">
        <v>133</v>
      </c>
      <c r="AG128" s="393">
        <v>0.32440536781831703</v>
      </c>
      <c r="AH128" s="393">
        <v>-112.04887368368399</v>
      </c>
      <c r="AI128" s="393">
        <v>1.1330980264939601</v>
      </c>
      <c r="AJ128" s="393">
        <v>1.1329662228170001</v>
      </c>
      <c r="AK128" s="393">
        <v>107.972760811768</v>
      </c>
      <c r="AL128" s="393">
        <v>638910.05609034596</v>
      </c>
      <c r="AM128" s="393">
        <v>23000.630859375</v>
      </c>
      <c r="AN128" s="393">
        <v>0.32724605502102799</v>
      </c>
      <c r="AO128" s="393">
        <v>-112.54575503516099</v>
      </c>
      <c r="AP128" s="393">
        <v>1.1330972008757001</v>
      </c>
      <c r="AQ128" s="393">
        <v>1.1331561596636299</v>
      </c>
      <c r="AR128" s="393">
        <v>107.959736740586</v>
      </c>
      <c r="AS128" s="393">
        <v>638916.18670589302</v>
      </c>
      <c r="AT128" s="393">
        <v>23000.630859375</v>
      </c>
      <c r="AU128" s="393">
        <v>0.32493080787213202</v>
      </c>
      <c r="AV128" s="393">
        <v>-112.149620340308</v>
      </c>
      <c r="AW128" s="393">
        <v>1.13309484176213</v>
      </c>
      <c r="AX128" s="393">
        <v>1.1330157849928799</v>
      </c>
      <c r="AY128" s="393">
        <v>107.991669273597</v>
      </c>
      <c r="AZ128" s="393">
        <v>638920.41624692397</v>
      </c>
      <c r="BA128" s="393">
        <v>23000.611328125</v>
      </c>
      <c r="BB128" s="393">
        <v>0.32601797109455699</v>
      </c>
      <c r="BC128" s="393">
        <v>-112.20323303312701</v>
      </c>
      <c r="BD128" s="393">
        <v>1.1330955007479599</v>
      </c>
      <c r="BE128" s="393">
        <v>1.13327833861731</v>
      </c>
      <c r="BF128" s="393">
        <v>107.938391712157</v>
      </c>
      <c r="BG128" s="393">
        <v>638904.90491060202</v>
      </c>
      <c r="BH128" s="393">
        <v>23000.61328125</v>
      </c>
      <c r="BI128" s="393">
        <v>0.325800436210058</v>
      </c>
      <c r="BJ128" s="393">
        <v>-112.189471055762</v>
      </c>
      <c r="BK128" s="393">
        <v>1.1330947288251301</v>
      </c>
      <c r="BL128" s="393">
        <v>1.1330105778772801</v>
      </c>
      <c r="BM128" s="393">
        <v>107.953267722389</v>
      </c>
      <c r="BN128" s="393">
        <v>638914.22224344302</v>
      </c>
      <c r="BO128" s="393">
        <v>23000.591796875</v>
      </c>
      <c r="BP128" s="393"/>
      <c r="BQ128" s="393"/>
      <c r="BR128" s="393"/>
      <c r="BS128" s="393"/>
      <c r="BT128" s="393"/>
      <c r="BU128" s="393"/>
      <c r="BV128" s="393"/>
      <c r="BW128" s="393">
        <v>23000.007150000001</v>
      </c>
      <c r="BX128" s="393">
        <v>0.198020736</v>
      </c>
      <c r="BY128" s="393">
        <v>229.996681</v>
      </c>
      <c r="BZ128" s="393">
        <v>100.0014735</v>
      </c>
      <c r="CA128" s="393">
        <v>-4.9329300000000001E-4</v>
      </c>
      <c r="CB128" s="393">
        <v>3.3479861E-2</v>
      </c>
      <c r="CC128" s="393">
        <v>2.4668414E-2</v>
      </c>
      <c r="CD128" s="393">
        <v>1.3417799999999999E-4</v>
      </c>
      <c r="CE128" s="393">
        <v>1.01801E-4</v>
      </c>
      <c r="CF128" s="399">
        <v>6.1451600000000006E-5</v>
      </c>
      <c r="CG128" s="393">
        <v>3.7674549999999998E-3</v>
      </c>
      <c r="CH128" s="393">
        <v>2.2977549999999998E-3</v>
      </c>
      <c r="CI128" s="393">
        <v>21.003477050000001</v>
      </c>
      <c r="CJ128" s="393">
        <v>2.0765867999999998</v>
      </c>
      <c r="CK128" s="393">
        <v>4.7714869999999996E-3</v>
      </c>
      <c r="CL128" s="393">
        <v>1</v>
      </c>
      <c r="CM128" s="393">
        <v>2.2999329199999998</v>
      </c>
      <c r="CN128" s="399">
        <v>4.0955199999999997E-6</v>
      </c>
      <c r="CO128" s="393">
        <v>100003.7675</v>
      </c>
      <c r="CP128" s="393">
        <v>0</v>
      </c>
      <c r="CQ128" s="393">
        <v>0</v>
      </c>
      <c r="CR128" s="393">
        <v>109.17</v>
      </c>
      <c r="CS128" s="393">
        <v>23.666643929999999</v>
      </c>
      <c r="CT128" s="393">
        <v>0.32292386699999998</v>
      </c>
      <c r="CU128" s="393"/>
      <c r="CV128" s="393"/>
      <c r="CW128" s="393"/>
      <c r="CX128" s="393"/>
      <c r="CY128" s="393"/>
      <c r="CZ128" s="393"/>
      <c r="DA128" s="393"/>
    </row>
    <row r="129" spans="1:105" x14ac:dyDescent="0.2">
      <c r="A129" s="366">
        <f>ROW()</f>
        <v>129</v>
      </c>
      <c r="B129" s="367" t="s">
        <v>50</v>
      </c>
      <c r="C129" s="368">
        <v>100</v>
      </c>
      <c r="D129" s="368">
        <v>230</v>
      </c>
      <c r="E129" s="731">
        <v>-60</v>
      </c>
      <c r="F129" s="441">
        <v>230</v>
      </c>
      <c r="G129" s="369" t="s">
        <v>359</v>
      </c>
      <c r="H129" s="370">
        <v>100</v>
      </c>
      <c r="I129" s="367">
        <v>50</v>
      </c>
      <c r="J129" s="371">
        <v>10</v>
      </c>
      <c r="K129" s="372">
        <v>5</v>
      </c>
      <c r="L129" s="482">
        <v>100000</v>
      </c>
      <c r="M129" s="443" t="s">
        <v>535</v>
      </c>
      <c r="N129" s="726">
        <f t="shared" si="3"/>
        <v>5.1637292725316255E-3</v>
      </c>
      <c r="O129" s="370">
        <v>6</v>
      </c>
      <c r="P129" s="66">
        <v>123</v>
      </c>
      <c r="Q129" s="220"/>
      <c r="R129" s="402"/>
      <c r="S129" s="402">
        <v>229.996647</v>
      </c>
      <c r="T129" s="395">
        <v>99.998459490000002</v>
      </c>
      <c r="U129" s="402">
        <v>-59.998092980000003</v>
      </c>
      <c r="V129" s="395">
        <v>0.50002882400000004</v>
      </c>
      <c r="W129" s="400">
        <v>-1.315026E-3</v>
      </c>
      <c r="X129" s="400">
        <v>8.5951729999999994E-3</v>
      </c>
      <c r="Y129" s="402">
        <v>2.0488591559999998</v>
      </c>
      <c r="Z129" s="409">
        <v>99998.684970000002</v>
      </c>
      <c r="AA129" s="396">
        <v>42034.725937499999</v>
      </c>
      <c r="AB129" s="393">
        <v>50.000372652807599</v>
      </c>
      <c r="AC129" s="393">
        <v>0.44140625</v>
      </c>
      <c r="AD129" s="393" t="s">
        <v>134</v>
      </c>
      <c r="AE129" s="393">
        <v>0.7529296875</v>
      </c>
      <c r="AF129" s="393" t="s">
        <v>133</v>
      </c>
      <c r="AG129" s="393">
        <v>0.204791962800463</v>
      </c>
      <c r="AH129" s="393">
        <v>-17.2416850850353</v>
      </c>
      <c r="AI129" s="393">
        <v>1.1330964388811799</v>
      </c>
      <c r="AJ129" s="393">
        <v>1.13340642464191</v>
      </c>
      <c r="AK129" s="393">
        <v>107.93412996735699</v>
      </c>
      <c r="AL129" s="393">
        <v>319443.06975431199</v>
      </c>
      <c r="AM129" s="393">
        <v>11499.80859375</v>
      </c>
      <c r="AN129" s="393">
        <v>0.207171399066199</v>
      </c>
      <c r="AO129" s="393">
        <v>-16.706609727243801</v>
      </c>
      <c r="AP129" s="393">
        <v>1.1330955553733399</v>
      </c>
      <c r="AQ129" s="393">
        <v>1.1327052110173299</v>
      </c>
      <c r="AR129" s="393">
        <v>107.94201778349699</v>
      </c>
      <c r="AS129" s="393">
        <v>319444.12765207101</v>
      </c>
      <c r="AT129" s="393">
        <v>11499.7861328125</v>
      </c>
      <c r="AU129" s="393">
        <v>0.20788403237554801</v>
      </c>
      <c r="AV129" s="393">
        <v>-17.318035715928499</v>
      </c>
      <c r="AW129" s="393">
        <v>1.1330958728336</v>
      </c>
      <c r="AX129" s="393">
        <v>1.1325439763462599</v>
      </c>
      <c r="AY129" s="393">
        <v>107.949586700919</v>
      </c>
      <c r="AZ129" s="393">
        <v>319452.62041614001</v>
      </c>
      <c r="BA129" s="393">
        <v>11499.7470703125</v>
      </c>
      <c r="BB129" s="393">
        <v>0.203123615816176</v>
      </c>
      <c r="BC129" s="393">
        <v>-17.000729232126801</v>
      </c>
      <c r="BD129" s="393">
        <v>1.13309484511009</v>
      </c>
      <c r="BE129" s="393">
        <v>1.13345907770443</v>
      </c>
      <c r="BF129" s="393">
        <v>107.945265610734</v>
      </c>
      <c r="BG129" s="393">
        <v>319453.679024129</v>
      </c>
      <c r="BH129" s="393">
        <v>11499.84375</v>
      </c>
      <c r="BI129" s="393">
        <v>0.206592844856372</v>
      </c>
      <c r="BJ129" s="393">
        <v>-17.279746508590001</v>
      </c>
      <c r="BK129" s="393">
        <v>1.1330967493759301</v>
      </c>
      <c r="BL129" s="393">
        <v>1.13345514824573</v>
      </c>
      <c r="BM129" s="393">
        <v>107.92254504362499</v>
      </c>
      <c r="BN129" s="393">
        <v>319451.91576390999</v>
      </c>
      <c r="BO129" s="393">
        <v>11499.765625</v>
      </c>
      <c r="BP129" s="393"/>
      <c r="BQ129" s="393"/>
      <c r="BR129" s="393"/>
      <c r="BS129" s="393"/>
      <c r="BT129" s="393"/>
      <c r="BU129" s="393"/>
      <c r="BV129" s="393"/>
      <c r="BW129" s="393">
        <v>11500.3182</v>
      </c>
      <c r="BX129" s="393">
        <v>19917.60442</v>
      </c>
      <c r="BY129" s="393">
        <v>229.996647</v>
      </c>
      <c r="BZ129" s="393">
        <v>99.998459490000002</v>
      </c>
      <c r="CA129" s="393">
        <v>-59.998092980000003</v>
      </c>
      <c r="CB129" s="393">
        <v>1.5864069000000001E-2</v>
      </c>
      <c r="CC129" s="393">
        <v>4.4967363000000003E-2</v>
      </c>
      <c r="CD129" s="399">
        <v>6.8004399999999996E-5</v>
      </c>
      <c r="CE129" s="393">
        <v>1.5204300000000001E-4</v>
      </c>
      <c r="CF129" s="399">
        <v>7.1089399999999997E-5</v>
      </c>
      <c r="CG129" s="393">
        <v>-1.315026E-3</v>
      </c>
      <c r="CH129" s="393">
        <v>4.195102E-3</v>
      </c>
      <c r="CI129" s="393">
        <v>27.325444239999999</v>
      </c>
      <c r="CJ129" s="393">
        <v>2.0488591559999998</v>
      </c>
      <c r="CK129" s="393">
        <v>8.5951729999999994E-3</v>
      </c>
      <c r="CL129" s="393">
        <v>0.50002882400000004</v>
      </c>
      <c r="CM129" s="393">
        <v>2.300001902</v>
      </c>
      <c r="CN129" s="399">
        <v>7.3444399999999998E-6</v>
      </c>
      <c r="CO129" s="393">
        <v>99998.684970000002</v>
      </c>
      <c r="CP129" s="393">
        <v>0</v>
      </c>
      <c r="CQ129" s="393">
        <v>0</v>
      </c>
      <c r="CR129" s="393">
        <v>109.16800000000001</v>
      </c>
      <c r="CS129" s="393">
        <v>23.661490449999999</v>
      </c>
      <c r="CT129" s="393">
        <v>0.32292407699999998</v>
      </c>
      <c r="CU129" s="393"/>
      <c r="CV129" s="393"/>
      <c r="CW129" s="393"/>
      <c r="CX129" s="393"/>
      <c r="CY129" s="393"/>
      <c r="CZ129" s="393"/>
      <c r="DA129" s="393"/>
    </row>
    <row r="130" spans="1:105" x14ac:dyDescent="0.2">
      <c r="A130" s="366">
        <f>ROW()</f>
        <v>130</v>
      </c>
      <c r="B130" s="367" t="s">
        <v>50</v>
      </c>
      <c r="C130" s="368">
        <v>100</v>
      </c>
      <c r="D130" s="368">
        <v>230</v>
      </c>
      <c r="E130" s="731">
        <v>-60</v>
      </c>
      <c r="F130" s="441">
        <v>230</v>
      </c>
      <c r="G130" s="369" t="s">
        <v>359</v>
      </c>
      <c r="H130" s="370">
        <v>100</v>
      </c>
      <c r="I130" s="367">
        <v>50</v>
      </c>
      <c r="J130" s="371">
        <v>10</v>
      </c>
      <c r="K130" s="372">
        <v>5</v>
      </c>
      <c r="L130" s="482">
        <v>100000</v>
      </c>
      <c r="M130" s="443" t="s">
        <v>535</v>
      </c>
      <c r="N130" s="726">
        <f t="shared" si="3"/>
        <v>5.1637292725316255E-3</v>
      </c>
      <c r="O130" s="370">
        <v>6</v>
      </c>
      <c r="P130" s="66">
        <v>123</v>
      </c>
      <c r="Q130" s="220"/>
      <c r="R130" s="402"/>
      <c r="S130" s="402">
        <v>229.9966732</v>
      </c>
      <c r="T130" s="395">
        <v>99.997962110000003</v>
      </c>
      <c r="U130" s="402">
        <v>-59.997798260000003</v>
      </c>
      <c r="V130" s="395">
        <v>0.50003327900000005</v>
      </c>
      <c r="W130" s="400">
        <v>-1.8054080000000001E-3</v>
      </c>
      <c r="X130" s="400">
        <v>8.5497239999999999E-3</v>
      </c>
      <c r="Y130" s="402">
        <v>2.0506837400000002</v>
      </c>
      <c r="Z130" s="409">
        <v>99998.194589999999</v>
      </c>
      <c r="AA130" s="396">
        <v>42034.728854166664</v>
      </c>
      <c r="AB130" s="393">
        <v>50.000023590177697</v>
      </c>
      <c r="AC130" s="393">
        <v>0.44140625</v>
      </c>
      <c r="AD130" s="393" t="s">
        <v>134</v>
      </c>
      <c r="AE130" s="393">
        <v>0.7529296875</v>
      </c>
      <c r="AF130" s="393" t="s">
        <v>133</v>
      </c>
      <c r="AG130" s="393">
        <v>0.20484507300387</v>
      </c>
      <c r="AH130" s="393">
        <v>-16.645737034728899</v>
      </c>
      <c r="AI130" s="393">
        <v>1.133095128763</v>
      </c>
      <c r="AJ130" s="393">
        <v>1.1328981433959999</v>
      </c>
      <c r="AK130" s="393">
        <v>107.962655886593</v>
      </c>
      <c r="AL130" s="393">
        <v>319445.43698478001</v>
      </c>
      <c r="AM130" s="393">
        <v>11499.7451171875</v>
      </c>
      <c r="AN130" s="393">
        <v>0.20601512051923301</v>
      </c>
      <c r="AO130" s="393">
        <v>-17.149375835884801</v>
      </c>
      <c r="AP130" s="393">
        <v>1.1330961071474801</v>
      </c>
      <c r="AQ130" s="393">
        <v>1.13320107221096</v>
      </c>
      <c r="AR130" s="393">
        <v>107.95732399198999</v>
      </c>
      <c r="AS130" s="393">
        <v>319443.830076768</v>
      </c>
      <c r="AT130" s="393">
        <v>11499.8359375</v>
      </c>
      <c r="AU130" s="393">
        <v>0.20471384709092899</v>
      </c>
      <c r="AV130" s="393">
        <v>-16.9141182795635</v>
      </c>
      <c r="AW130" s="393">
        <v>1.1330957497404099</v>
      </c>
      <c r="AX130" s="393">
        <v>1.13311446742221</v>
      </c>
      <c r="AY130" s="393">
        <v>107.934133316692</v>
      </c>
      <c r="AZ130" s="393">
        <v>319448.82845262397</v>
      </c>
      <c r="BA130" s="393">
        <v>11499.8046875</v>
      </c>
      <c r="BB130" s="393">
        <v>0.20486317524605899</v>
      </c>
      <c r="BC130" s="393">
        <v>-16.986225304426799</v>
      </c>
      <c r="BD130" s="393">
        <v>1.1330959365801401</v>
      </c>
      <c r="BE130" s="393">
        <v>1.13324986860128</v>
      </c>
      <c r="BF130" s="393">
        <v>107.94562151498199</v>
      </c>
      <c r="BG130" s="393">
        <v>319455.72616730101</v>
      </c>
      <c r="BH130" s="393">
        <v>11499.798828125</v>
      </c>
      <c r="BI130" s="393">
        <v>0.20490282904728599</v>
      </c>
      <c r="BJ130" s="393">
        <v>-16.566679213547399</v>
      </c>
      <c r="BK130" s="393">
        <v>1.1330971826935301</v>
      </c>
      <c r="BL130" s="393">
        <v>1.1327025882733499</v>
      </c>
      <c r="BM130" s="393">
        <v>107.935907830616</v>
      </c>
      <c r="BN130" s="393">
        <v>319450.224297059</v>
      </c>
      <c r="BO130" s="393">
        <v>11499.7744140625</v>
      </c>
      <c r="BP130" s="393"/>
      <c r="BQ130" s="393"/>
      <c r="BR130" s="393"/>
      <c r="BS130" s="393"/>
      <c r="BT130" s="393"/>
      <c r="BU130" s="393"/>
      <c r="BV130" s="393"/>
      <c r="BW130" s="393">
        <v>11500.36476</v>
      </c>
      <c r="BX130" s="393">
        <v>19917.44846</v>
      </c>
      <c r="BY130" s="393">
        <v>229.9966732</v>
      </c>
      <c r="BZ130" s="393">
        <v>99.997962110000003</v>
      </c>
      <c r="CA130" s="393">
        <v>-59.997798260000003</v>
      </c>
      <c r="CB130" s="393">
        <v>2.0960719999999999E-2</v>
      </c>
      <c r="CC130" s="393">
        <v>1.6582882E-2</v>
      </c>
      <c r="CD130" s="399">
        <v>6.7854400000000005E-5</v>
      </c>
      <c r="CE130" s="399">
        <v>5.4917100000000003E-5</v>
      </c>
      <c r="CF130" s="399">
        <v>4.78513E-5</v>
      </c>
      <c r="CG130" s="393">
        <v>-1.8054080000000001E-3</v>
      </c>
      <c r="CH130" s="393">
        <v>4.1692070000000003E-3</v>
      </c>
      <c r="CI130" s="393">
        <v>26.79014832</v>
      </c>
      <c r="CJ130" s="393">
        <v>2.0506837400000002</v>
      </c>
      <c r="CK130" s="393">
        <v>8.5497239999999999E-3</v>
      </c>
      <c r="CL130" s="393">
        <v>0.50003327900000005</v>
      </c>
      <c r="CM130" s="393">
        <v>2.300013603</v>
      </c>
      <c r="CN130" s="399">
        <v>1.81207E-6</v>
      </c>
      <c r="CO130" s="393">
        <v>99998.194589999999</v>
      </c>
      <c r="CP130" s="393">
        <v>0</v>
      </c>
      <c r="CQ130" s="393">
        <v>0</v>
      </c>
      <c r="CR130" s="393">
        <v>109.166</v>
      </c>
      <c r="CS130" s="393">
        <v>23.65633699</v>
      </c>
      <c r="CT130" s="393">
        <v>0.322924286</v>
      </c>
      <c r="CU130" s="393"/>
      <c r="CV130" s="393"/>
      <c r="CW130" s="393"/>
      <c r="CX130" s="393"/>
      <c r="CY130" s="393"/>
      <c r="CZ130" s="393"/>
      <c r="DA130" s="393"/>
    </row>
    <row r="131" spans="1:105" x14ac:dyDescent="0.2">
      <c r="A131" s="366">
        <f>ROW()</f>
        <v>131</v>
      </c>
      <c r="B131" s="367" t="s">
        <v>50</v>
      </c>
      <c r="C131" s="368">
        <v>100</v>
      </c>
      <c r="D131" s="368">
        <v>230</v>
      </c>
      <c r="E131" s="731">
        <v>-60</v>
      </c>
      <c r="F131" s="441">
        <v>230</v>
      </c>
      <c r="G131" s="369" t="s">
        <v>359</v>
      </c>
      <c r="H131" s="370">
        <v>100</v>
      </c>
      <c r="I131" s="367">
        <v>50</v>
      </c>
      <c r="J131" s="371">
        <v>10</v>
      </c>
      <c r="K131" s="372">
        <v>5</v>
      </c>
      <c r="L131" s="482">
        <v>100000</v>
      </c>
      <c r="M131" s="443" t="s">
        <v>535</v>
      </c>
      <c r="N131" s="726">
        <f t="shared" si="3"/>
        <v>5.1637292725316255E-3</v>
      </c>
      <c r="O131" s="370">
        <v>6</v>
      </c>
      <c r="P131" s="66">
        <v>123</v>
      </c>
      <c r="Q131" s="220"/>
      <c r="R131" s="402"/>
      <c r="S131" s="402">
        <v>229.9966153</v>
      </c>
      <c r="T131" s="395">
        <v>99.998175000000003</v>
      </c>
      <c r="U131" s="402">
        <v>-59.997908750000001</v>
      </c>
      <c r="V131" s="395">
        <v>0.50003160899999999</v>
      </c>
      <c r="W131" s="400">
        <v>-1.6415900000000001E-3</v>
      </c>
      <c r="X131" s="400">
        <v>8.6252700000000009E-3</v>
      </c>
      <c r="Y131" s="402">
        <v>2.0477976779999998</v>
      </c>
      <c r="Z131" s="409">
        <v>99998.358410000001</v>
      </c>
      <c r="AA131" s="396">
        <v>42034.731770833336</v>
      </c>
      <c r="AB131" s="393">
        <v>50.0001179308885</v>
      </c>
      <c r="AC131" s="393">
        <v>0.44140625</v>
      </c>
      <c r="AD131" s="393" t="s">
        <v>134</v>
      </c>
      <c r="AE131" s="393">
        <v>0.7529296875</v>
      </c>
      <c r="AF131" s="393" t="s">
        <v>133</v>
      </c>
      <c r="AG131" s="393">
        <v>0.205568939317782</v>
      </c>
      <c r="AH131" s="393">
        <v>-16.944098849909299</v>
      </c>
      <c r="AI131" s="393">
        <v>1.1330966127384301</v>
      </c>
      <c r="AJ131" s="393">
        <v>1.1334866273366899</v>
      </c>
      <c r="AK131" s="393">
        <v>107.95403947402799</v>
      </c>
      <c r="AL131" s="393">
        <v>319443.30149916699</v>
      </c>
      <c r="AM131" s="393">
        <v>11499.7734375</v>
      </c>
      <c r="AN131" s="393">
        <v>0.20473818810318001</v>
      </c>
      <c r="AO131" s="393">
        <v>-17.3338492879314</v>
      </c>
      <c r="AP131" s="393">
        <v>1.13309487533589</v>
      </c>
      <c r="AQ131" s="393">
        <v>1.13259104753509</v>
      </c>
      <c r="AR131" s="393">
        <v>107.947422918318</v>
      </c>
      <c r="AS131" s="393">
        <v>319456.66897440102</v>
      </c>
      <c r="AT131" s="393">
        <v>11499.7822265625</v>
      </c>
      <c r="AU131" s="393">
        <v>0.20593610078306801</v>
      </c>
      <c r="AV131" s="393">
        <v>-17.004426516682098</v>
      </c>
      <c r="AW131" s="393">
        <v>1.1330961885120101</v>
      </c>
      <c r="AX131" s="393">
        <v>1.13255143418587</v>
      </c>
      <c r="AY131" s="393">
        <v>107.935878273303</v>
      </c>
      <c r="AZ131" s="393">
        <v>319448.21955508</v>
      </c>
      <c r="BA131" s="393">
        <v>11499.8134765625</v>
      </c>
      <c r="BB131" s="393">
        <v>0.20529078912193099</v>
      </c>
      <c r="BC131" s="393">
        <v>-16.377070381973201</v>
      </c>
      <c r="BD131" s="393">
        <v>1.1330948543091699</v>
      </c>
      <c r="BE131" s="393">
        <v>1.1330095692137201</v>
      </c>
      <c r="BF131" s="393">
        <v>107.936703306073</v>
      </c>
      <c r="BG131" s="393">
        <v>319446.39625197998</v>
      </c>
      <c r="BH131" s="393">
        <v>11499.76171875</v>
      </c>
      <c r="BI131" s="393">
        <v>0.20460109969808801</v>
      </c>
      <c r="BJ131" s="393">
        <v>-16.963509026267801</v>
      </c>
      <c r="BK131" s="393">
        <v>1.1330961489406799</v>
      </c>
      <c r="BL131" s="393">
        <v>1.1329997846375901</v>
      </c>
      <c r="BM131" s="393">
        <v>107.92318488319</v>
      </c>
      <c r="BN131" s="393">
        <v>319449.74034668203</v>
      </c>
      <c r="BO131" s="393">
        <v>11499.8017578125</v>
      </c>
      <c r="BP131" s="393"/>
      <c r="BQ131" s="393"/>
      <c r="BR131" s="393"/>
      <c r="BS131" s="393"/>
      <c r="BT131" s="393"/>
      <c r="BU131" s="393"/>
      <c r="BV131" s="393"/>
      <c r="BW131" s="393">
        <v>11500.34794</v>
      </c>
      <c r="BX131" s="393">
        <v>19917.508030000001</v>
      </c>
      <c r="BY131" s="393">
        <v>229.9966153</v>
      </c>
      <c r="BZ131" s="393">
        <v>99.998175000000003</v>
      </c>
      <c r="CA131" s="393">
        <v>-59.997908750000001</v>
      </c>
      <c r="CB131" s="393">
        <v>2.4629905000000001E-2</v>
      </c>
      <c r="CC131" s="393">
        <v>2.0456887E-2</v>
      </c>
      <c r="CD131" s="399">
        <v>7.4067999999999996E-5</v>
      </c>
      <c r="CE131" s="399">
        <v>9.0932699999999998E-5</v>
      </c>
      <c r="CF131" s="399">
        <v>5.0192599999999998E-5</v>
      </c>
      <c r="CG131" s="393">
        <v>-1.6415900000000001E-3</v>
      </c>
      <c r="CH131" s="393">
        <v>4.2119740000000003E-3</v>
      </c>
      <c r="CI131" s="393">
        <v>27.647128599999998</v>
      </c>
      <c r="CJ131" s="393">
        <v>2.0477976779999998</v>
      </c>
      <c r="CK131" s="393">
        <v>8.6252700000000009E-3</v>
      </c>
      <c r="CL131" s="393">
        <v>0.50003160899999999</v>
      </c>
      <c r="CM131" s="393">
        <v>2.300008128</v>
      </c>
      <c r="CN131" s="399">
        <v>4.2745299999999999E-6</v>
      </c>
      <c r="CO131" s="393">
        <v>99998.358410000001</v>
      </c>
      <c r="CP131" s="393">
        <v>0</v>
      </c>
      <c r="CQ131" s="393">
        <v>0</v>
      </c>
      <c r="CR131" s="393">
        <v>109.16200000000001</v>
      </c>
      <c r="CS131" s="393">
        <v>23.646030079999999</v>
      </c>
      <c r="CT131" s="393">
        <v>0.32292470600000001</v>
      </c>
      <c r="CU131" s="393"/>
      <c r="CV131" s="393"/>
      <c r="CW131" s="393"/>
      <c r="CX131" s="393"/>
      <c r="CY131" s="393"/>
      <c r="CZ131" s="393"/>
      <c r="DA131" s="393"/>
    </row>
    <row r="132" spans="1:105" x14ac:dyDescent="0.2">
      <c r="A132" s="366">
        <f>ROW()</f>
        <v>132</v>
      </c>
      <c r="B132" s="367" t="s">
        <v>50</v>
      </c>
      <c r="C132" s="368">
        <v>100</v>
      </c>
      <c r="D132" s="368">
        <v>230</v>
      </c>
      <c r="E132" s="731">
        <v>36.869999999999997</v>
      </c>
      <c r="F132" s="441">
        <v>230</v>
      </c>
      <c r="G132" s="369" t="s">
        <v>359</v>
      </c>
      <c r="H132" s="370">
        <v>100</v>
      </c>
      <c r="I132" s="367">
        <v>50</v>
      </c>
      <c r="J132" s="371">
        <v>10</v>
      </c>
      <c r="K132" s="372">
        <v>5</v>
      </c>
      <c r="L132" s="482">
        <v>100000</v>
      </c>
      <c r="M132" s="443" t="s">
        <v>535</v>
      </c>
      <c r="N132" s="726">
        <f t="shared" si="3"/>
        <v>3.7301639973054816E-3</v>
      </c>
      <c r="O132" s="370">
        <v>6</v>
      </c>
      <c r="P132" s="66">
        <v>123</v>
      </c>
      <c r="Q132" s="220"/>
      <c r="R132" s="402"/>
      <c r="S132" s="402">
        <v>229.99681609999999</v>
      </c>
      <c r="T132" s="395">
        <v>99.998790380000003</v>
      </c>
      <c r="U132" s="402">
        <v>36.898167389999998</v>
      </c>
      <c r="V132" s="395">
        <v>0.79970386299999996</v>
      </c>
      <c r="W132" s="400">
        <v>6.0953099999999996E-3</v>
      </c>
      <c r="X132" s="400">
        <v>5.6726520000000002E-3</v>
      </c>
      <c r="Y132" s="402">
        <v>2.0563207810000002</v>
      </c>
      <c r="Z132" s="409">
        <v>100006.0953</v>
      </c>
      <c r="AA132" s="396">
        <v>42034.734675925924</v>
      </c>
      <c r="AB132" s="393">
        <v>50.000801906041602</v>
      </c>
      <c r="AC132" s="393">
        <v>0.7060546875</v>
      </c>
      <c r="AD132" s="393" t="s">
        <v>134</v>
      </c>
      <c r="AE132" s="393">
        <v>0.5224609375</v>
      </c>
      <c r="AF132" s="393" t="s">
        <v>135</v>
      </c>
      <c r="AG132" s="393">
        <v>0.42967365529746698</v>
      </c>
      <c r="AH132" s="393">
        <v>-80.473545094121604</v>
      </c>
      <c r="AI132" s="393">
        <v>1.1330962138551</v>
      </c>
      <c r="AJ132" s="393">
        <v>1.1332741201758501</v>
      </c>
      <c r="AK132" s="393">
        <v>107.953482202365</v>
      </c>
      <c r="AL132" s="393">
        <v>510938.111777318</v>
      </c>
      <c r="AM132" s="393">
        <v>18393.6171875</v>
      </c>
      <c r="AN132" s="393">
        <v>0.42783122788841299</v>
      </c>
      <c r="AO132" s="393">
        <v>-80.606137509039797</v>
      </c>
      <c r="AP132" s="393">
        <v>1.1330963149598301</v>
      </c>
      <c r="AQ132" s="393">
        <v>1.1331366127145299</v>
      </c>
      <c r="AR132" s="393">
        <v>107.963860775963</v>
      </c>
      <c r="AS132" s="393">
        <v>510938.72480476601</v>
      </c>
      <c r="AT132" s="393">
        <v>18393.546875</v>
      </c>
      <c r="AU132" s="393">
        <v>0.43003045588316502</v>
      </c>
      <c r="AV132" s="393">
        <v>-80.627980883515207</v>
      </c>
      <c r="AW132" s="393">
        <v>1.1330975172052999</v>
      </c>
      <c r="AX132" s="393">
        <v>1.13301076774373</v>
      </c>
      <c r="AY132" s="393">
        <v>107.968090670929</v>
      </c>
      <c r="AZ132" s="393">
        <v>510942.91558972199</v>
      </c>
      <c r="BA132" s="393">
        <v>18393.615234375</v>
      </c>
      <c r="BB132" s="393">
        <v>0.42823387892421599</v>
      </c>
      <c r="BC132" s="393">
        <v>-80.646596063425207</v>
      </c>
      <c r="BD132" s="393">
        <v>1.1330964749158401</v>
      </c>
      <c r="BE132" s="393">
        <v>1.13291894298665</v>
      </c>
      <c r="BF132" s="393">
        <v>107.946310367802</v>
      </c>
      <c r="BG132" s="393">
        <v>510933.25212992699</v>
      </c>
      <c r="BH132" s="393">
        <v>18393.69140625</v>
      </c>
      <c r="BI132" s="393">
        <v>0.43027812578103303</v>
      </c>
      <c r="BJ132" s="393">
        <v>-80.332552920342906</v>
      </c>
      <c r="BK132" s="393">
        <v>1.13309710535173</v>
      </c>
      <c r="BL132" s="393">
        <v>1.1330015373561</v>
      </c>
      <c r="BM132" s="393">
        <v>107.976222133628</v>
      </c>
      <c r="BN132" s="393">
        <v>510946.01458823902</v>
      </c>
      <c r="BO132" s="393">
        <v>18393.693359375</v>
      </c>
      <c r="BP132" s="393"/>
      <c r="BQ132" s="393"/>
      <c r="BR132" s="393"/>
      <c r="BS132" s="393"/>
      <c r="BT132" s="393"/>
      <c r="BU132" s="393"/>
      <c r="BV132" s="393"/>
      <c r="BW132" s="393">
        <v>18392.71184</v>
      </c>
      <c r="BX132" s="393">
        <v>13808.718769999999</v>
      </c>
      <c r="BY132" s="393">
        <v>229.99681609999999</v>
      </c>
      <c r="BZ132" s="393">
        <v>99.998790380000003</v>
      </c>
      <c r="CA132" s="393">
        <v>36.898167389999998</v>
      </c>
      <c r="CB132" s="393">
        <v>1.2449257E-2</v>
      </c>
      <c r="CC132" s="393">
        <v>2.3149372000000001E-2</v>
      </c>
      <c r="CD132" s="399">
        <v>5.10372E-5</v>
      </c>
      <c r="CE132" s="399">
        <v>9.8656199999999999E-5</v>
      </c>
      <c r="CF132" s="399">
        <v>3.8945700000000002E-5</v>
      </c>
      <c r="CG132" s="393">
        <v>6.0953099999999996E-3</v>
      </c>
      <c r="CH132" s="393">
        <v>2.758642E-3</v>
      </c>
      <c r="CI132" s="393">
        <v>25.2648595</v>
      </c>
      <c r="CJ132" s="393">
        <v>2.0563207810000002</v>
      </c>
      <c r="CK132" s="393">
        <v>5.6726520000000002E-3</v>
      </c>
      <c r="CL132" s="393">
        <v>0.79970386299999996</v>
      </c>
      <c r="CM132" s="393">
        <v>2.299995982</v>
      </c>
      <c r="CN132" s="399">
        <v>5.6365000000000002E-6</v>
      </c>
      <c r="CO132" s="393">
        <v>100006.0953</v>
      </c>
      <c r="CP132" s="393">
        <v>0</v>
      </c>
      <c r="CQ132" s="393">
        <v>0</v>
      </c>
      <c r="CR132" s="393">
        <v>109.16</v>
      </c>
      <c r="CS132" s="393">
        <v>23.640876639999998</v>
      </c>
      <c r="CT132" s="393">
        <v>0.32292491499999998</v>
      </c>
      <c r="CU132" s="393"/>
      <c r="CV132" s="393"/>
      <c r="CW132" s="393"/>
      <c r="CX132" s="393"/>
      <c r="CY132" s="393"/>
      <c r="CZ132" s="393"/>
      <c r="DA132" s="393"/>
    </row>
    <row r="133" spans="1:105" x14ac:dyDescent="0.2">
      <c r="A133" s="366">
        <f>ROW()</f>
        <v>133</v>
      </c>
      <c r="B133" s="367" t="s">
        <v>50</v>
      </c>
      <c r="C133" s="368">
        <v>100</v>
      </c>
      <c r="D133" s="368">
        <v>230</v>
      </c>
      <c r="E133" s="731">
        <v>36.869999999999997</v>
      </c>
      <c r="F133" s="441">
        <v>230</v>
      </c>
      <c r="G133" s="369" t="s">
        <v>359</v>
      </c>
      <c r="H133" s="370">
        <v>100</v>
      </c>
      <c r="I133" s="367">
        <v>50</v>
      </c>
      <c r="J133" s="371">
        <v>10</v>
      </c>
      <c r="K133" s="372">
        <v>5</v>
      </c>
      <c r="L133" s="482">
        <v>100000</v>
      </c>
      <c r="M133" s="443" t="s">
        <v>535</v>
      </c>
      <c r="N133" s="726">
        <f t="shared" si="3"/>
        <v>3.7301639973054816E-3</v>
      </c>
      <c r="O133" s="370">
        <v>6</v>
      </c>
      <c r="P133" s="66">
        <v>123</v>
      </c>
      <c r="Q133" s="220"/>
      <c r="R133" s="402"/>
      <c r="S133" s="402">
        <v>229.99679610000001</v>
      </c>
      <c r="T133" s="395">
        <v>99.998496290000006</v>
      </c>
      <c r="U133" s="402">
        <v>36.897947029999997</v>
      </c>
      <c r="V133" s="395">
        <v>0.79970617200000005</v>
      </c>
      <c r="W133" s="400">
        <v>6.004016E-3</v>
      </c>
      <c r="X133" s="400">
        <v>5.6212079999999999E-3</v>
      </c>
      <c r="Y133" s="402">
        <v>2.0603144019999999</v>
      </c>
      <c r="Z133" s="409">
        <v>100006.004</v>
      </c>
      <c r="AA133" s="396">
        <v>42034.737604166665</v>
      </c>
      <c r="AB133" s="393">
        <v>50.000561334229097</v>
      </c>
      <c r="AC133" s="393">
        <v>0.7060546875</v>
      </c>
      <c r="AD133" s="393" t="s">
        <v>134</v>
      </c>
      <c r="AE133" s="393">
        <v>0.5224609375</v>
      </c>
      <c r="AF133" s="393" t="s">
        <v>135</v>
      </c>
      <c r="AG133" s="393">
        <v>0.42870311615532197</v>
      </c>
      <c r="AH133" s="393">
        <v>-80.296438374386099</v>
      </c>
      <c r="AI133" s="393">
        <v>1.13309668087122</v>
      </c>
      <c r="AJ133" s="393">
        <v>1.13294158401935</v>
      </c>
      <c r="AK133" s="393">
        <v>107.945260356771</v>
      </c>
      <c r="AL133" s="393">
        <v>510942.12010307598</v>
      </c>
      <c r="AM133" s="393">
        <v>18393.60546875</v>
      </c>
      <c r="AN133" s="393">
        <v>0.42962681850559298</v>
      </c>
      <c r="AO133" s="393">
        <v>-80.248153607997097</v>
      </c>
      <c r="AP133" s="393">
        <v>1.1330965285936101</v>
      </c>
      <c r="AQ133" s="393">
        <v>1.1328526252638</v>
      </c>
      <c r="AR133" s="393">
        <v>107.974102468887</v>
      </c>
      <c r="AS133" s="393">
        <v>510941.07660935301</v>
      </c>
      <c r="AT133" s="393">
        <v>18393.634765625</v>
      </c>
      <c r="AU133" s="393">
        <v>0.43012469696901501</v>
      </c>
      <c r="AV133" s="393">
        <v>-80.524797400036107</v>
      </c>
      <c r="AW133" s="393">
        <v>1.13309635651758</v>
      </c>
      <c r="AX133" s="393">
        <v>1.13245582183555</v>
      </c>
      <c r="AY133" s="393">
        <v>107.946400630841</v>
      </c>
      <c r="AZ133" s="393">
        <v>510936.44464953698</v>
      </c>
      <c r="BA133" s="393">
        <v>18393.587890625</v>
      </c>
      <c r="BB133" s="393">
        <v>0.429253106192647</v>
      </c>
      <c r="BC133" s="393">
        <v>-80.482097510990201</v>
      </c>
      <c r="BD133" s="393">
        <v>1.1330965522637499</v>
      </c>
      <c r="BE133" s="393">
        <v>1.13302869346784</v>
      </c>
      <c r="BF133" s="393">
        <v>107.944315739045</v>
      </c>
      <c r="BG133" s="393">
        <v>510935.75056163297</v>
      </c>
      <c r="BH133" s="393">
        <v>18393.634765625</v>
      </c>
      <c r="BI133" s="393">
        <v>0.430359114245217</v>
      </c>
      <c r="BJ133" s="393">
        <v>-80.465205945724605</v>
      </c>
      <c r="BK133" s="393">
        <v>1.1330970153573401</v>
      </c>
      <c r="BL133" s="393">
        <v>1.1331746366093101</v>
      </c>
      <c r="BM133" s="393">
        <v>107.942089918649</v>
      </c>
      <c r="BN133" s="393">
        <v>510940.93618458998</v>
      </c>
      <c r="BO133" s="393">
        <v>18393.630859375</v>
      </c>
      <c r="BP133" s="393"/>
      <c r="BQ133" s="393"/>
      <c r="BR133" s="393"/>
      <c r="BS133" s="393"/>
      <c r="BT133" s="393"/>
      <c r="BU133" s="393"/>
      <c r="BV133" s="393"/>
      <c r="BW133" s="393">
        <v>18392.70926</v>
      </c>
      <c r="BX133" s="393">
        <v>13808.60622</v>
      </c>
      <c r="BY133" s="393">
        <v>229.99679610000001</v>
      </c>
      <c r="BZ133" s="393">
        <v>99.998496290000006</v>
      </c>
      <c r="CA133" s="393">
        <v>36.897947029999997</v>
      </c>
      <c r="CB133" s="393">
        <v>1.6988399000000001E-2</v>
      </c>
      <c r="CC133" s="393">
        <v>1.3762040999999999E-2</v>
      </c>
      <c r="CD133" s="399">
        <v>2.2308599999999998E-5</v>
      </c>
      <c r="CE133" s="399">
        <v>4.6344999999999998E-5</v>
      </c>
      <c r="CF133" s="399">
        <v>4.7435100000000003E-5</v>
      </c>
      <c r="CG133" s="393">
        <v>6.004016E-3</v>
      </c>
      <c r="CH133" s="393">
        <v>2.7283250000000002E-3</v>
      </c>
      <c r="CI133" s="393">
        <v>24.288335409999998</v>
      </c>
      <c r="CJ133" s="393">
        <v>2.0603144019999999</v>
      </c>
      <c r="CK133" s="393">
        <v>5.6212079999999999E-3</v>
      </c>
      <c r="CL133" s="393">
        <v>0.79970617200000005</v>
      </c>
      <c r="CM133" s="393">
        <v>2.300002546</v>
      </c>
      <c r="CN133" s="399">
        <v>2.46802E-6</v>
      </c>
      <c r="CO133" s="393">
        <v>100006.004</v>
      </c>
      <c r="CP133" s="393">
        <v>0</v>
      </c>
      <c r="CQ133" s="393">
        <v>0</v>
      </c>
      <c r="CR133" s="393">
        <v>109.158</v>
      </c>
      <c r="CS133" s="393">
        <v>23.635723209999998</v>
      </c>
      <c r="CT133" s="393">
        <v>0.32292512499999998</v>
      </c>
      <c r="CU133" s="393"/>
      <c r="CV133" s="393"/>
      <c r="CW133" s="393"/>
      <c r="CX133" s="393"/>
      <c r="CY133" s="393"/>
      <c r="CZ133" s="393"/>
      <c r="DA133" s="393"/>
    </row>
    <row r="134" spans="1:105" x14ac:dyDescent="0.2">
      <c r="A134" s="366">
        <f>ROW()</f>
        <v>134</v>
      </c>
      <c r="B134" s="367" t="s">
        <v>50</v>
      </c>
      <c r="C134" s="368">
        <v>100</v>
      </c>
      <c r="D134" s="368">
        <v>230</v>
      </c>
      <c r="E134" s="731">
        <v>36.869999999999997</v>
      </c>
      <c r="F134" s="441">
        <v>230</v>
      </c>
      <c r="G134" s="369" t="s">
        <v>359</v>
      </c>
      <c r="H134" s="370">
        <v>100</v>
      </c>
      <c r="I134" s="367">
        <v>50</v>
      </c>
      <c r="J134" s="371">
        <v>10</v>
      </c>
      <c r="K134" s="372">
        <v>5</v>
      </c>
      <c r="L134" s="482">
        <v>100000</v>
      </c>
      <c r="M134" s="443" t="s">
        <v>535</v>
      </c>
      <c r="N134" s="726">
        <f t="shared" si="3"/>
        <v>3.7301639973054816E-3</v>
      </c>
      <c r="O134" s="370">
        <v>6</v>
      </c>
      <c r="P134" s="66">
        <v>123</v>
      </c>
      <c r="Q134" s="220" t="s">
        <v>1130</v>
      </c>
      <c r="R134" s="402"/>
      <c r="S134" s="402">
        <v>229.9966976</v>
      </c>
      <c r="T134" s="395">
        <v>99.998263030000004</v>
      </c>
      <c r="U134" s="402">
        <v>36.89778338</v>
      </c>
      <c r="V134" s="395">
        <v>0.79970788699999995</v>
      </c>
      <c r="W134" s="400">
        <v>6.1797930000000003E-3</v>
      </c>
      <c r="X134" s="400">
        <v>5.6391599999999998E-3</v>
      </c>
      <c r="Y134" s="402">
        <v>2.058806632</v>
      </c>
      <c r="Z134" s="409">
        <v>100006.1798</v>
      </c>
      <c r="AA134" s="396">
        <v>42034.740532407406</v>
      </c>
      <c r="AB134" s="393">
        <v>50.000363212736403</v>
      </c>
      <c r="AC134" s="393">
        <v>0.7060546875</v>
      </c>
      <c r="AD134" s="393" t="s">
        <v>134</v>
      </c>
      <c r="AE134" s="393">
        <v>0.5224609375</v>
      </c>
      <c r="AF134" s="393" t="s">
        <v>135</v>
      </c>
      <c r="AG134" s="393">
        <v>0.43033704018698599</v>
      </c>
      <c r="AH134" s="393">
        <v>-80.524575338210894</v>
      </c>
      <c r="AI134" s="393">
        <v>1.13309690494377</v>
      </c>
      <c r="AJ134" s="393">
        <v>1.13216510042913</v>
      </c>
      <c r="AK134" s="393">
        <v>107.948977128755</v>
      </c>
      <c r="AL134" s="393">
        <v>510938.58096544899</v>
      </c>
      <c r="AM134" s="393">
        <v>18393.65234375</v>
      </c>
      <c r="AN134" s="393">
        <v>0.42786720260959799</v>
      </c>
      <c r="AO134" s="393">
        <v>-80.371077604481997</v>
      </c>
      <c r="AP134" s="393">
        <v>1.1330958909984401</v>
      </c>
      <c r="AQ134" s="393">
        <v>1.1329223409806299</v>
      </c>
      <c r="AR134" s="393">
        <v>107.932675196243</v>
      </c>
      <c r="AS134" s="393">
        <v>510946.85912220698</v>
      </c>
      <c r="AT134" s="393">
        <v>18393.6328125</v>
      </c>
      <c r="AU134" s="393">
        <v>0.43004245247684397</v>
      </c>
      <c r="AV134" s="393">
        <v>-80.394775009034205</v>
      </c>
      <c r="AW134" s="393">
        <v>1.1330956578069</v>
      </c>
      <c r="AX134" s="393">
        <v>1.13269455620046</v>
      </c>
      <c r="AY134" s="393">
        <v>107.955614121029</v>
      </c>
      <c r="AZ134" s="393">
        <v>510940.9051717</v>
      </c>
      <c r="BA134" s="393">
        <v>18393.630859375</v>
      </c>
      <c r="BB134" s="393">
        <v>0.43024609333508501</v>
      </c>
      <c r="BC134" s="393">
        <v>-80.388498853572699</v>
      </c>
      <c r="BD134" s="393">
        <v>1.1330971832579499</v>
      </c>
      <c r="BE134" s="393">
        <v>1.13318513645145</v>
      </c>
      <c r="BF134" s="393">
        <v>107.95293062654601</v>
      </c>
      <c r="BG134" s="393">
        <v>510937.734748555</v>
      </c>
      <c r="BH134" s="393">
        <v>18393.66796875</v>
      </c>
      <c r="BI134" s="393">
        <v>0.42954382867672503</v>
      </c>
      <c r="BJ134" s="393">
        <v>-80.167377147771802</v>
      </c>
      <c r="BK134" s="393">
        <v>1.1330950699207101</v>
      </c>
      <c r="BL134" s="393">
        <v>1.1327901420709801</v>
      </c>
      <c r="BM134" s="393">
        <v>107.962921599165</v>
      </c>
      <c r="BN134" s="393">
        <v>510935.163080631</v>
      </c>
      <c r="BO134" s="393">
        <v>18393.568359375</v>
      </c>
      <c r="BP134" s="393"/>
      <c r="BQ134" s="393"/>
      <c r="BR134" s="393"/>
      <c r="BS134" s="393"/>
      <c r="BT134" s="393"/>
      <c r="BU134" s="393"/>
      <c r="BV134" s="393"/>
      <c r="BW134" s="393">
        <v>18392.697919999999</v>
      </c>
      <c r="BX134" s="393">
        <v>13808.51556</v>
      </c>
      <c r="BY134" s="393">
        <v>229.9966976</v>
      </c>
      <c r="BZ134" s="393">
        <v>99.998263030000004</v>
      </c>
      <c r="CA134" s="393">
        <v>36.89778338</v>
      </c>
      <c r="CB134" s="393">
        <v>1.8338195000000002E-2</v>
      </c>
      <c r="CC134" s="393">
        <v>2.3687303E-2</v>
      </c>
      <c r="CD134" s="399">
        <v>8.0090499999999995E-5</v>
      </c>
      <c r="CE134" s="399">
        <v>8.0593099999999999E-5</v>
      </c>
      <c r="CF134" s="399">
        <v>5.1889399999999998E-5</v>
      </c>
      <c r="CG134" s="393">
        <v>6.1797930000000003E-3</v>
      </c>
      <c r="CH134" s="393">
        <v>2.739043E-3</v>
      </c>
      <c r="CI134" s="393">
        <v>24.647707839999999</v>
      </c>
      <c r="CJ134" s="393">
        <v>2.058806632</v>
      </c>
      <c r="CK134" s="393">
        <v>5.6391599999999998E-3</v>
      </c>
      <c r="CL134" s="393">
        <v>0.79970788699999995</v>
      </c>
      <c r="CM134" s="393">
        <v>2.300006926</v>
      </c>
      <c r="CN134" s="399">
        <v>4.1947200000000004E-6</v>
      </c>
      <c r="CO134" s="393">
        <v>100006.1798</v>
      </c>
      <c r="CP134" s="393">
        <v>0</v>
      </c>
      <c r="CQ134" s="393">
        <v>0</v>
      </c>
      <c r="CR134" s="393">
        <v>109.161</v>
      </c>
      <c r="CS134" s="393">
        <v>23.643453359999999</v>
      </c>
      <c r="CT134" s="393">
        <v>0.32292481099999998</v>
      </c>
      <c r="CU134" s="393"/>
      <c r="CV134" s="393"/>
      <c r="CW134" s="393"/>
      <c r="CX134" s="393"/>
      <c r="CY134" s="393"/>
      <c r="CZ134" s="393"/>
      <c r="DA134" s="393"/>
    </row>
    <row r="135" spans="1:105" x14ac:dyDescent="0.2">
      <c r="A135" s="366">
        <f>ROW()</f>
        <v>135</v>
      </c>
      <c r="B135" s="367" t="s">
        <v>50</v>
      </c>
      <c r="C135" s="368">
        <v>0.5</v>
      </c>
      <c r="D135" s="368">
        <v>230</v>
      </c>
      <c r="E135" s="367">
        <v>0</v>
      </c>
      <c r="F135" s="441">
        <v>230</v>
      </c>
      <c r="G135" s="369" t="s">
        <v>359</v>
      </c>
      <c r="H135" s="370">
        <v>1</v>
      </c>
      <c r="I135" s="367">
        <v>50</v>
      </c>
      <c r="J135" s="371">
        <v>10</v>
      </c>
      <c r="K135" s="372">
        <v>5</v>
      </c>
      <c r="L135" s="482">
        <v>100000</v>
      </c>
      <c r="M135" s="443" t="s">
        <v>535</v>
      </c>
      <c r="N135" s="726">
        <f t="shared" si="3"/>
        <v>1.6327966805453765E-3</v>
      </c>
      <c r="O135" s="370">
        <v>6</v>
      </c>
      <c r="P135" s="66">
        <v>123</v>
      </c>
      <c r="Q135" s="335">
        <f>(W135-W48)/X135</f>
        <v>4.3467691193013851E-2</v>
      </c>
      <c r="R135" s="534" t="s">
        <v>29</v>
      </c>
      <c r="S135" s="402">
        <v>229.9963999</v>
      </c>
      <c r="T135" s="395">
        <v>0.50001863899999999</v>
      </c>
      <c r="U135" s="402">
        <v>-1.756528E-3</v>
      </c>
      <c r="V135" s="395">
        <v>1</v>
      </c>
      <c r="W135" s="400">
        <v>2.2317169999999998E-3</v>
      </c>
      <c r="X135" s="400">
        <v>4.8251240000000001E-3</v>
      </c>
      <c r="Y135" s="402">
        <v>2.0710080679999998</v>
      </c>
      <c r="Z135" s="409">
        <v>100002.2317</v>
      </c>
      <c r="AA135" s="396">
        <v>42037.486400462964</v>
      </c>
      <c r="AB135" s="393">
        <v>50.000448123376202</v>
      </c>
      <c r="AC135" s="393">
        <v>0.44140625</v>
      </c>
      <c r="AD135" s="393" t="s">
        <v>134</v>
      </c>
      <c r="AE135" s="393">
        <v>0</v>
      </c>
      <c r="AF135" s="393" t="s">
        <v>133</v>
      </c>
      <c r="AG135" s="393">
        <v>0.15709676848141901</v>
      </c>
      <c r="AH135" s="393">
        <v>-111.77471066978001</v>
      </c>
      <c r="AI135" s="393">
        <v>1.1330934597684701</v>
      </c>
      <c r="AJ135" s="393">
        <v>1.1325576761765599</v>
      </c>
      <c r="AK135" s="393">
        <v>107.92683500371299</v>
      </c>
      <c r="AL135" s="393">
        <v>3194.59335211696</v>
      </c>
      <c r="AM135" s="393">
        <v>115.005645751953</v>
      </c>
      <c r="AN135" s="393">
        <v>0.15517948064624201</v>
      </c>
      <c r="AO135" s="393">
        <v>-111.10231776275501</v>
      </c>
      <c r="AP135" s="393">
        <v>1.1330937850525999</v>
      </c>
      <c r="AQ135" s="393">
        <v>1.13309584878313</v>
      </c>
      <c r="AR135" s="393">
        <v>107.963289599452</v>
      </c>
      <c r="AS135" s="393">
        <v>3194.6154749887301</v>
      </c>
      <c r="AT135" s="393">
        <v>115.006065368652</v>
      </c>
      <c r="AU135" s="393">
        <v>0.15447678916871199</v>
      </c>
      <c r="AV135" s="393">
        <v>-112.281864273143</v>
      </c>
      <c r="AW135" s="393">
        <v>1.1330956312531699</v>
      </c>
      <c r="AX135" s="393">
        <v>1.13279020263843</v>
      </c>
      <c r="AY135" s="393">
        <v>107.944747792545</v>
      </c>
      <c r="AZ135" s="393">
        <v>3194.5663369510498</v>
      </c>
      <c r="BA135" s="393">
        <v>115.006149291992</v>
      </c>
      <c r="BB135" s="393">
        <v>0.15562276934181701</v>
      </c>
      <c r="BC135" s="393">
        <v>-110.598420997142</v>
      </c>
      <c r="BD135" s="393">
        <v>1.13309582777958</v>
      </c>
      <c r="BE135" s="393">
        <v>1.1336771504188701</v>
      </c>
      <c r="BF135" s="393">
        <v>107.932469785923</v>
      </c>
      <c r="BG135" s="393">
        <v>3194.5824239788099</v>
      </c>
      <c r="BH135" s="393">
        <v>115.005996704102</v>
      </c>
      <c r="BI135" s="393">
        <v>0.15393844025457001</v>
      </c>
      <c r="BJ135" s="393">
        <v>-112.184524439825</v>
      </c>
      <c r="BK135" s="393">
        <v>1.13309467023529</v>
      </c>
      <c r="BL135" s="393">
        <v>1.13311620407693</v>
      </c>
      <c r="BM135" s="393">
        <v>107.938197681509</v>
      </c>
      <c r="BN135" s="393">
        <v>3194.566574255</v>
      </c>
      <c r="BO135" s="393">
        <v>115.005828857422</v>
      </c>
      <c r="BP135" s="393"/>
      <c r="BQ135" s="834" t="s">
        <v>1133</v>
      </c>
      <c r="BR135" s="393"/>
      <c r="BS135" s="393"/>
      <c r="BT135" s="393"/>
      <c r="BU135" s="393"/>
      <c r="BV135" s="393"/>
      <c r="BW135" s="393">
        <v>115.00248740000001</v>
      </c>
      <c r="BX135" s="393">
        <v>3.5256530000000001E-3</v>
      </c>
      <c r="BY135" s="393">
        <v>229.9963999</v>
      </c>
      <c r="BZ135" s="393">
        <v>0.50001863899999999</v>
      </c>
      <c r="CA135" s="393">
        <v>-1.756528E-3</v>
      </c>
      <c r="CB135" s="393">
        <v>3.2759899999999998E-4</v>
      </c>
      <c r="CC135" s="393">
        <v>3.7664799999999999E-4</v>
      </c>
      <c r="CD135" s="399">
        <v>9.6414499999999997E-5</v>
      </c>
      <c r="CE135" s="399">
        <v>1.3010300000000001E-6</v>
      </c>
      <c r="CF135" s="393">
        <v>1.87653E-4</v>
      </c>
      <c r="CG135" s="393">
        <v>2.2317169999999998E-3</v>
      </c>
      <c r="CH135" s="393">
        <v>2.3298429999999998E-3</v>
      </c>
      <c r="CI135" s="393">
        <v>22.020697309999999</v>
      </c>
      <c r="CJ135" s="393">
        <v>2.0710080679999998</v>
      </c>
      <c r="CK135" s="393">
        <v>4.8251240000000001E-3</v>
      </c>
      <c r="CL135" s="393">
        <v>1</v>
      </c>
      <c r="CM135" s="393">
        <v>459.9756529</v>
      </c>
      <c r="CN135" s="393">
        <v>2.472218E-3</v>
      </c>
      <c r="CO135" s="393">
        <v>100002.2317</v>
      </c>
      <c r="CP135" s="393">
        <v>0</v>
      </c>
      <c r="CQ135" s="393">
        <v>0</v>
      </c>
      <c r="CR135" s="393">
        <v>109.16800000000001</v>
      </c>
      <c r="CS135" s="393">
        <v>23.661490449999999</v>
      </c>
      <c r="CT135" s="393">
        <v>0.32292407699999998</v>
      </c>
      <c r="CU135" s="393"/>
      <c r="CV135" s="393"/>
      <c r="CW135" s="393"/>
      <c r="CX135" s="393"/>
      <c r="CY135" s="393"/>
      <c r="CZ135" s="393"/>
      <c r="DA135" s="393"/>
    </row>
    <row r="136" spans="1:105" x14ac:dyDescent="0.2">
      <c r="A136" s="366">
        <f>ROW()</f>
        <v>136</v>
      </c>
      <c r="B136" s="367" t="s">
        <v>50</v>
      </c>
      <c r="C136" s="368">
        <v>0.5</v>
      </c>
      <c r="D136" s="368">
        <v>230</v>
      </c>
      <c r="E136" s="367">
        <v>0</v>
      </c>
      <c r="F136" s="441">
        <v>230</v>
      </c>
      <c r="G136" s="369" t="s">
        <v>359</v>
      </c>
      <c r="H136" s="370">
        <v>1</v>
      </c>
      <c r="I136" s="367">
        <v>50</v>
      </c>
      <c r="J136" s="371">
        <v>10</v>
      </c>
      <c r="K136" s="372">
        <v>5</v>
      </c>
      <c r="L136" s="482">
        <v>100000</v>
      </c>
      <c r="M136" s="443" t="s">
        <v>535</v>
      </c>
      <c r="N136" s="726">
        <f t="shared" si="3"/>
        <v>1.6327966805453765E-3</v>
      </c>
      <c r="O136" s="370">
        <v>6</v>
      </c>
      <c r="P136" s="66">
        <v>123</v>
      </c>
      <c r="Q136" s="335">
        <f>(W136-W49)/X136</f>
        <v>-7.0005456585624737E-2</v>
      </c>
      <c r="R136" s="657" t="s">
        <v>1138</v>
      </c>
      <c r="S136" s="402">
        <v>229.99665759999999</v>
      </c>
      <c r="T136" s="395">
        <v>0.50001841400000002</v>
      </c>
      <c r="U136" s="402">
        <v>-1.9196389999999999E-3</v>
      </c>
      <c r="V136" s="395">
        <v>0.99999999900000003</v>
      </c>
      <c r="W136" s="400">
        <v>1.4951579999999999E-3</v>
      </c>
      <c r="X136" s="400">
        <v>4.808868E-3</v>
      </c>
      <c r="Y136" s="402">
        <v>2.0723953700000002</v>
      </c>
      <c r="Z136" s="409">
        <v>100001.4952</v>
      </c>
      <c r="AA136" s="396">
        <v>42037.489282407405</v>
      </c>
      <c r="AB136" s="393">
        <v>50.000617934655502</v>
      </c>
      <c r="AC136" s="393">
        <v>0.44140625</v>
      </c>
      <c r="AD136" s="393" t="s">
        <v>134</v>
      </c>
      <c r="AE136" s="393">
        <v>0</v>
      </c>
      <c r="AF136" s="393" t="s">
        <v>133</v>
      </c>
      <c r="AG136" s="393">
        <v>0.15332063826026901</v>
      </c>
      <c r="AH136" s="393">
        <v>-110.837383939239</v>
      </c>
      <c r="AI136" s="393">
        <v>1.13309459294925</v>
      </c>
      <c r="AJ136" s="393">
        <v>1.1334250933579799</v>
      </c>
      <c r="AK136" s="393">
        <v>107.94993600422499</v>
      </c>
      <c r="AL136" s="393">
        <v>3194.5685717474698</v>
      </c>
      <c r="AM136" s="393">
        <v>115.00634765625</v>
      </c>
      <c r="AN136" s="393">
        <v>0.156889689460285</v>
      </c>
      <c r="AO136" s="393">
        <v>-110.093225448748</v>
      </c>
      <c r="AP136" s="393">
        <v>1.13309701553242</v>
      </c>
      <c r="AQ136" s="393">
        <v>1.13343871773118</v>
      </c>
      <c r="AR136" s="393">
        <v>107.92399170029201</v>
      </c>
      <c r="AS136" s="393">
        <v>3194.54606925291</v>
      </c>
      <c r="AT136" s="393">
        <v>115.00514221191401</v>
      </c>
      <c r="AU136" s="393">
        <v>0.157513239550022</v>
      </c>
      <c r="AV136" s="393">
        <v>-111.877871974508</v>
      </c>
      <c r="AW136" s="393">
        <v>1.13309581794432</v>
      </c>
      <c r="AX136" s="393">
        <v>1.1335603945636601</v>
      </c>
      <c r="AY136" s="393">
        <v>107.948938686036</v>
      </c>
      <c r="AZ136" s="393">
        <v>3194.5949683938202</v>
      </c>
      <c r="BA136" s="393">
        <v>115.00562286377</v>
      </c>
      <c r="BB136" s="393">
        <v>0.153194033791589</v>
      </c>
      <c r="BC136" s="393">
        <v>-111.377928381364</v>
      </c>
      <c r="BD136" s="393">
        <v>1.13309589104413</v>
      </c>
      <c r="BE136" s="393">
        <v>1.1332787503011299</v>
      </c>
      <c r="BF136" s="393">
        <v>107.964339208326</v>
      </c>
      <c r="BG136" s="393">
        <v>3194.55050852867</v>
      </c>
      <c r="BH136" s="393">
        <v>115.00583648681599</v>
      </c>
      <c r="BI136" s="393">
        <v>0.156760810347429</v>
      </c>
      <c r="BJ136" s="393">
        <v>-112.264270041711</v>
      </c>
      <c r="BK136" s="393">
        <v>1.1330964051810299</v>
      </c>
      <c r="BL136" s="393">
        <v>1.1328658915512699</v>
      </c>
      <c r="BM136" s="393">
        <v>107.958211144228</v>
      </c>
      <c r="BN136" s="393">
        <v>3194.5571024865799</v>
      </c>
      <c r="BO136" s="393">
        <v>115.00592803955099</v>
      </c>
      <c r="BP136" s="393"/>
      <c r="BQ136" s="335">
        <f>('RD31 Data'!HY136-'RD31 Data'!HY49)/(X136*10000)</f>
        <v>-0.13210257781272602</v>
      </c>
      <c r="BR136" s="393"/>
      <c r="BS136" s="393"/>
      <c r="BT136" s="393"/>
      <c r="BU136" s="393"/>
      <c r="BV136" s="393"/>
      <c r="BW136" s="393">
        <v>115.00256450000001</v>
      </c>
      <c r="BX136" s="393">
        <v>3.853048E-3</v>
      </c>
      <c r="BY136" s="393">
        <v>229.99665759999999</v>
      </c>
      <c r="BZ136" s="393">
        <v>0.50001841400000002</v>
      </c>
      <c r="CA136" s="393">
        <v>-1.9196389999999999E-3</v>
      </c>
      <c r="CB136" s="393">
        <v>3.5951100000000002E-4</v>
      </c>
      <c r="CC136" s="393">
        <v>4.9569900000000005E-4</v>
      </c>
      <c r="CD136" s="399">
        <v>8.1262900000000004E-5</v>
      </c>
      <c r="CE136" s="399">
        <v>1.66722E-6</v>
      </c>
      <c r="CF136" s="393">
        <v>2.4696400000000002E-4</v>
      </c>
      <c r="CG136" s="393">
        <v>1.4951579999999999E-3</v>
      </c>
      <c r="CH136" s="393">
        <v>2.3204390000000001E-3</v>
      </c>
      <c r="CI136" s="393">
        <v>21.758261399999999</v>
      </c>
      <c r="CJ136" s="393">
        <v>2.0723953700000002</v>
      </c>
      <c r="CK136" s="393">
        <v>4.808868E-3</v>
      </c>
      <c r="CL136" s="393">
        <v>0.99999999900000003</v>
      </c>
      <c r="CM136" s="393">
        <v>459.97637550000002</v>
      </c>
      <c r="CN136" s="393">
        <v>3.6671920000000001E-3</v>
      </c>
      <c r="CO136" s="393">
        <v>100001.4952</v>
      </c>
      <c r="CP136" s="393">
        <v>0</v>
      </c>
      <c r="CQ136" s="393">
        <v>0</v>
      </c>
      <c r="CR136" s="393">
        <v>109.173</v>
      </c>
      <c r="CS136" s="393">
        <v>23.674374159999999</v>
      </c>
      <c r="CT136" s="393">
        <v>0.322923552</v>
      </c>
      <c r="CU136" s="393"/>
      <c r="CV136" s="393"/>
      <c r="CW136" s="393"/>
      <c r="CX136" s="393"/>
      <c r="CY136" s="393"/>
      <c r="CZ136" s="393"/>
      <c r="DA136" s="393"/>
    </row>
    <row r="137" spans="1:105" x14ac:dyDescent="0.2">
      <c r="A137" s="366">
        <f>ROW()</f>
        <v>137</v>
      </c>
      <c r="B137" s="367" t="s">
        <v>50</v>
      </c>
      <c r="C137" s="368">
        <v>1</v>
      </c>
      <c r="D137" s="368">
        <v>230</v>
      </c>
      <c r="E137" s="367">
        <v>-60</v>
      </c>
      <c r="F137" s="441">
        <v>230</v>
      </c>
      <c r="G137" s="369" t="s">
        <v>359</v>
      </c>
      <c r="H137" s="370">
        <v>1</v>
      </c>
      <c r="I137" s="367">
        <v>50</v>
      </c>
      <c r="J137" s="371">
        <v>10</v>
      </c>
      <c r="K137" s="372">
        <v>5</v>
      </c>
      <c r="L137" s="482">
        <v>100000</v>
      </c>
      <c r="M137" s="443" t="s">
        <v>535</v>
      </c>
      <c r="N137" s="726">
        <f t="shared" si="3"/>
        <v>2.5818646362658127E-3</v>
      </c>
      <c r="O137" s="370">
        <v>6</v>
      </c>
      <c r="P137" s="66">
        <v>123</v>
      </c>
      <c r="Q137" s="335">
        <f>(W137-W51)/X137</f>
        <v>-7.4218777937636912E-2</v>
      </c>
      <c r="S137" s="402">
        <v>229.99664820000001</v>
      </c>
      <c r="T137" s="395">
        <v>0.99999098799999997</v>
      </c>
      <c r="U137" s="402">
        <v>-59.99853822</v>
      </c>
      <c r="V137" s="395">
        <v>0.50002209500000006</v>
      </c>
      <c r="W137" s="400">
        <v>-6.3850870000000002E-3</v>
      </c>
      <c r="X137" s="400">
        <v>8.5290409999999994E-3</v>
      </c>
      <c r="Y137" s="402">
        <v>2.0516130100000001</v>
      </c>
      <c r="Z137" s="409">
        <v>99993.614910000004</v>
      </c>
      <c r="AA137" s="396">
        <v>42037.492152777777</v>
      </c>
      <c r="AB137" s="393">
        <v>50.000292462203397</v>
      </c>
      <c r="AC137" s="393">
        <v>0.44140625</v>
      </c>
      <c r="AD137" s="393" t="s">
        <v>134</v>
      </c>
      <c r="AE137" s="393">
        <v>0.7529296875</v>
      </c>
      <c r="AF137" s="393" t="s">
        <v>133</v>
      </c>
      <c r="AG137" s="393">
        <v>0.20959642401313999</v>
      </c>
      <c r="AH137" s="393">
        <v>-16.974470578989099</v>
      </c>
      <c r="AI137" s="393">
        <v>1.1330953626743001</v>
      </c>
      <c r="AJ137" s="393">
        <v>1.13284031977681</v>
      </c>
      <c r="AK137" s="393">
        <v>107.96985662365699</v>
      </c>
      <c r="AL137" s="393">
        <v>3194.3223046847502</v>
      </c>
      <c r="AM137" s="393">
        <v>114.99217224121099</v>
      </c>
      <c r="AN137" s="393">
        <v>0.213368994567145</v>
      </c>
      <c r="AO137" s="393">
        <v>-16.604653554450501</v>
      </c>
      <c r="AP137" s="393">
        <v>1.1330955730449399</v>
      </c>
      <c r="AQ137" s="393">
        <v>1.13325674964014</v>
      </c>
      <c r="AR137" s="393">
        <v>107.969064506915</v>
      </c>
      <c r="AS137" s="393">
        <v>3194.3697567928002</v>
      </c>
      <c r="AT137" s="393">
        <v>114.99179077148401</v>
      </c>
      <c r="AU137" s="393">
        <v>0.213142699151565</v>
      </c>
      <c r="AV137" s="393">
        <v>-18.842162880839101</v>
      </c>
      <c r="AW137" s="393">
        <v>1.13309481873176</v>
      </c>
      <c r="AX137" s="393">
        <v>1.13312826008935</v>
      </c>
      <c r="AY137" s="393">
        <v>107.935245643871</v>
      </c>
      <c r="AZ137" s="393">
        <v>3194.2748090552</v>
      </c>
      <c r="BA137" s="393">
        <v>114.991424560547</v>
      </c>
      <c r="BB137" s="393">
        <v>0.21375093860760599</v>
      </c>
      <c r="BC137" s="393">
        <v>-17.028582245931201</v>
      </c>
      <c r="BD137" s="393">
        <v>1.1330969940603499</v>
      </c>
      <c r="BE137" s="393">
        <v>1.1330198567215299</v>
      </c>
      <c r="BF137" s="393">
        <v>107.951927481303</v>
      </c>
      <c r="BG137" s="393">
        <v>3194.3221444636401</v>
      </c>
      <c r="BH137" s="393">
        <v>114.99250793457</v>
      </c>
      <c r="BI137" s="393">
        <v>0.21495431371806001</v>
      </c>
      <c r="BJ137" s="393">
        <v>-17.509141101288499</v>
      </c>
      <c r="BK137" s="393">
        <v>1.1330967416036799</v>
      </c>
      <c r="BL137" s="393">
        <v>1.1333322298533099</v>
      </c>
      <c r="BM137" s="393">
        <v>107.952187879909</v>
      </c>
      <c r="BN137" s="393">
        <v>3194.2425209497201</v>
      </c>
      <c r="BO137" s="393">
        <v>114.99204254150401</v>
      </c>
      <c r="BP137" s="393"/>
      <c r="BQ137" s="335">
        <f>('RD31 Data'!HY137-'RD31 Data'!HY51)/10000/X137</f>
        <v>-0.1939667831792555</v>
      </c>
      <c r="BR137" s="393"/>
      <c r="BS137" s="393"/>
      <c r="BT137" s="393"/>
      <c r="BU137" s="393"/>
      <c r="BV137" s="393"/>
      <c r="BW137" s="393">
        <v>115.00237009999999</v>
      </c>
      <c r="BX137" s="393">
        <v>199.17821230000001</v>
      </c>
      <c r="BY137" s="393">
        <v>229.99664820000001</v>
      </c>
      <c r="BZ137" s="393">
        <v>0.99999098799999997</v>
      </c>
      <c r="CA137" s="393">
        <v>-59.99853822</v>
      </c>
      <c r="CB137" s="393">
        <v>6.9188500000000005E-4</v>
      </c>
      <c r="CC137" s="393">
        <v>5.0509199999999995E-4</v>
      </c>
      <c r="CD137" s="399">
        <v>8.4562500000000002E-5</v>
      </c>
      <c r="CE137" s="399">
        <v>2.2924100000000001E-6</v>
      </c>
      <c r="CF137" s="393">
        <v>1.52738E-4</v>
      </c>
      <c r="CG137" s="393">
        <v>-6.3850870000000002E-3</v>
      </c>
      <c r="CH137" s="393">
        <v>4.1572370000000003E-3</v>
      </c>
      <c r="CI137" s="393">
        <v>26.525739789999999</v>
      </c>
      <c r="CJ137" s="393">
        <v>2.0516130100000001</v>
      </c>
      <c r="CK137" s="393">
        <v>8.5290409999999994E-3</v>
      </c>
      <c r="CL137" s="393">
        <v>0.50002209500000006</v>
      </c>
      <c r="CM137" s="393">
        <v>229.9987209</v>
      </c>
      <c r="CN137" s="393">
        <v>1.0304489999999999E-3</v>
      </c>
      <c r="CO137" s="393">
        <v>99993.614910000004</v>
      </c>
      <c r="CP137" s="393">
        <v>0</v>
      </c>
      <c r="CQ137" s="393">
        <v>0</v>
      </c>
      <c r="CR137" s="393">
        <v>109.178</v>
      </c>
      <c r="CS137" s="393">
        <v>23.68725792</v>
      </c>
      <c r="CT137" s="393">
        <v>0.322923028</v>
      </c>
      <c r="CU137" s="393"/>
      <c r="CV137" s="393"/>
      <c r="CW137" s="393"/>
      <c r="CX137" s="393"/>
      <c r="CY137" s="393"/>
      <c r="CZ137" s="393"/>
      <c r="DA137" s="393"/>
    </row>
    <row r="138" spans="1:105" x14ac:dyDescent="0.2">
      <c r="A138" s="366">
        <f>ROW()</f>
        <v>138</v>
      </c>
      <c r="B138" s="367" t="s">
        <v>50</v>
      </c>
      <c r="C138" s="368">
        <v>1</v>
      </c>
      <c r="D138" s="368">
        <v>230</v>
      </c>
      <c r="E138" s="367">
        <v>-60</v>
      </c>
      <c r="F138" s="441">
        <v>230</v>
      </c>
      <c r="G138" s="369" t="s">
        <v>359</v>
      </c>
      <c r="H138" s="370">
        <v>1</v>
      </c>
      <c r="I138" s="367">
        <v>50</v>
      </c>
      <c r="J138" s="371">
        <v>10</v>
      </c>
      <c r="K138" s="372">
        <v>5</v>
      </c>
      <c r="L138" s="482">
        <v>100000</v>
      </c>
      <c r="M138" s="443" t="s">
        <v>535</v>
      </c>
      <c r="N138" s="726">
        <f t="shared" si="3"/>
        <v>2.5818646362658127E-3</v>
      </c>
      <c r="O138" s="370">
        <v>6</v>
      </c>
      <c r="P138" s="66">
        <v>123</v>
      </c>
      <c r="Q138" s="335">
        <f>(W138-W52)/X138</f>
        <v>-1.6984162264315501E-2</v>
      </c>
      <c r="S138" s="402">
        <v>229.99681849999999</v>
      </c>
      <c r="T138" s="395">
        <v>0.99999286799999998</v>
      </c>
      <c r="U138" s="402">
        <v>-59.998641859999999</v>
      </c>
      <c r="V138" s="395">
        <v>0.50002052799999996</v>
      </c>
      <c r="W138" s="400">
        <v>-6.4599050000000002E-3</v>
      </c>
      <c r="X138" s="400">
        <v>8.5753419999999997E-3</v>
      </c>
      <c r="Y138" s="402">
        <v>2.0496218829999999</v>
      </c>
      <c r="Z138" s="409">
        <v>99993.540099999998</v>
      </c>
      <c r="AA138" s="396">
        <v>42037.495023148149</v>
      </c>
      <c r="AB138" s="393">
        <v>50.000367932772001</v>
      </c>
      <c r="AC138" s="393">
        <v>0.44140625</v>
      </c>
      <c r="AD138" s="393" t="s">
        <v>134</v>
      </c>
      <c r="AE138" s="393">
        <v>0.7529296875</v>
      </c>
      <c r="AF138" s="393" t="s">
        <v>133</v>
      </c>
      <c r="AG138" s="393">
        <v>0.211746025385638</v>
      </c>
      <c r="AH138" s="393">
        <v>-18.440422767441099</v>
      </c>
      <c r="AI138" s="393">
        <v>1.1330974517888199</v>
      </c>
      <c r="AJ138" s="393">
        <v>1.13316417363271</v>
      </c>
      <c r="AK138" s="393">
        <v>107.933904069078</v>
      </c>
      <c r="AL138" s="393">
        <v>3194.3321478703801</v>
      </c>
      <c r="AM138" s="393">
        <v>114.991287231445</v>
      </c>
      <c r="AN138" s="393">
        <v>0.214705462850347</v>
      </c>
      <c r="AO138" s="393">
        <v>-17.612628046656798</v>
      </c>
      <c r="AP138" s="393">
        <v>1.13309759490165</v>
      </c>
      <c r="AQ138" s="393">
        <v>1.13236902058654</v>
      </c>
      <c r="AR138" s="393">
        <v>107.956679772431</v>
      </c>
      <c r="AS138" s="393">
        <v>3194.3063350420498</v>
      </c>
      <c r="AT138" s="393">
        <v>114.99201202392599</v>
      </c>
      <c r="AU138" s="393">
        <v>0.21330590828232901</v>
      </c>
      <c r="AV138" s="393">
        <v>-17.231396700683302</v>
      </c>
      <c r="AW138" s="393">
        <v>1.13309591113348</v>
      </c>
      <c r="AX138" s="393">
        <v>1.1330002434273001</v>
      </c>
      <c r="AY138" s="393">
        <v>107.96009129696201</v>
      </c>
      <c r="AZ138" s="393">
        <v>3194.2644742453899</v>
      </c>
      <c r="BA138" s="393">
        <v>114.992156982422</v>
      </c>
      <c r="BB138" s="393">
        <v>0.21040623388007501</v>
      </c>
      <c r="BC138" s="393">
        <v>-17.556060461787499</v>
      </c>
      <c r="BD138" s="393">
        <v>1.1330963549312201</v>
      </c>
      <c r="BE138" s="393">
        <v>1.1328541399837699</v>
      </c>
      <c r="BF138" s="393">
        <v>107.936735351743</v>
      </c>
      <c r="BG138" s="393">
        <v>3194.3359833913801</v>
      </c>
      <c r="BH138" s="393">
        <v>114.992027282715</v>
      </c>
      <c r="BI138" s="393">
        <v>0.21279016531588399</v>
      </c>
      <c r="BJ138" s="393">
        <v>-16.8936709830061</v>
      </c>
      <c r="BK138" s="393">
        <v>1.13309637329205</v>
      </c>
      <c r="BL138" s="393">
        <v>1.13319521376179</v>
      </c>
      <c r="BM138" s="393">
        <v>107.958625853223</v>
      </c>
      <c r="BN138" s="393">
        <v>3194.27246549966</v>
      </c>
      <c r="BO138" s="393">
        <v>114.992027282715</v>
      </c>
      <c r="BP138" s="393"/>
      <c r="BQ138" s="335">
        <f>('RD31 Data'!HY138-'RD31 Data'!HY52)/10000/X138</f>
        <v>2.1366664621580104E-2</v>
      </c>
      <c r="BR138" s="393"/>
      <c r="BS138" s="393"/>
      <c r="BT138" s="393"/>
      <c r="BU138" s="393"/>
      <c r="BV138" s="393"/>
      <c r="BW138" s="393">
        <v>115.00231119999999</v>
      </c>
      <c r="BX138" s="393">
        <v>199.17894229999999</v>
      </c>
      <c r="BY138" s="393">
        <v>229.99681849999999</v>
      </c>
      <c r="BZ138" s="393">
        <v>0.99999286799999998</v>
      </c>
      <c r="CA138" s="393">
        <v>-59.998641859999999</v>
      </c>
      <c r="CB138" s="393">
        <v>3.7003399999999999E-4</v>
      </c>
      <c r="CC138" s="393">
        <v>3.8118700000000001E-4</v>
      </c>
      <c r="CD138" s="399">
        <v>6.7402600000000004E-5</v>
      </c>
      <c r="CE138" s="399">
        <v>1.7355599999999999E-6</v>
      </c>
      <c r="CF138" s="399">
        <v>8.7254699999999997E-5</v>
      </c>
      <c r="CG138" s="393">
        <v>-6.4599050000000002E-3</v>
      </c>
      <c r="CH138" s="393">
        <v>4.1838659999999996E-3</v>
      </c>
      <c r="CI138" s="393">
        <v>27.099016200000001</v>
      </c>
      <c r="CJ138" s="393">
        <v>2.0496218829999999</v>
      </c>
      <c r="CK138" s="393">
        <v>8.5753419999999997E-3</v>
      </c>
      <c r="CL138" s="393">
        <v>0.50002052799999996</v>
      </c>
      <c r="CM138" s="393">
        <v>229.99845880000001</v>
      </c>
      <c r="CN138" s="393">
        <v>9.1713099999999996E-4</v>
      </c>
      <c r="CO138" s="393">
        <v>99993.540099999998</v>
      </c>
      <c r="CP138" s="393">
        <v>0</v>
      </c>
      <c r="CQ138" s="393">
        <v>0</v>
      </c>
      <c r="CR138" s="393">
        <v>109.173</v>
      </c>
      <c r="CS138" s="393">
        <v>23.674374159999999</v>
      </c>
      <c r="CT138" s="393">
        <v>0.322923552</v>
      </c>
      <c r="CU138" s="393"/>
      <c r="CV138" s="393"/>
      <c r="CW138" s="393"/>
      <c r="CX138" s="393"/>
      <c r="CY138" s="393"/>
      <c r="CZ138" s="393"/>
      <c r="DA138" s="393"/>
    </row>
    <row r="139" spans="1:105" x14ac:dyDescent="0.2">
      <c r="A139" s="366">
        <f>ROW()</f>
        <v>139</v>
      </c>
      <c r="B139" s="367" t="s">
        <v>50</v>
      </c>
      <c r="C139" s="368">
        <v>1</v>
      </c>
      <c r="D139" s="368">
        <v>230</v>
      </c>
      <c r="E139" s="367">
        <v>-90</v>
      </c>
      <c r="F139" s="441">
        <v>230</v>
      </c>
      <c r="G139" s="369" t="s">
        <v>359</v>
      </c>
      <c r="H139" s="370">
        <v>1</v>
      </c>
      <c r="I139" s="367">
        <v>50</v>
      </c>
      <c r="J139" s="371">
        <v>10</v>
      </c>
      <c r="K139" s="372">
        <v>5</v>
      </c>
      <c r="L139" s="482">
        <v>100000</v>
      </c>
      <c r="M139" s="443" t="s">
        <v>49</v>
      </c>
      <c r="N139" s="726">
        <f>IF(M139="watts",SQRT((0.0005+0.001/COS(RADIANS(ABS(E139))))^2+0.000645^2)*IF(#REF!&gt;26,2,1),SQRT((0.001+0.001/SIN(RADIANS(ABS(E139))))^2+0.000645^2+0.0035^2))</f>
        <v>4.0824043160862938E-3</v>
      </c>
      <c r="O139" s="370">
        <v>6</v>
      </c>
      <c r="P139" s="66">
        <v>123</v>
      </c>
      <c r="Q139" s="335">
        <f>(W139-W76)/X139</f>
        <v>0.60512600743640954</v>
      </c>
      <c r="S139" s="402">
        <v>229.99671140000001</v>
      </c>
      <c r="T139" s="395">
        <v>0.99996077999999999</v>
      </c>
      <c r="U139" s="402">
        <v>-89.999987520000005</v>
      </c>
      <c r="V139" s="395">
        <v>1</v>
      </c>
      <c r="W139" s="400">
        <v>1.0819241E-2</v>
      </c>
      <c r="X139" s="400">
        <v>1.380236E-2</v>
      </c>
      <c r="Y139" s="402">
        <v>2.0826468120000001</v>
      </c>
      <c r="Z139" s="409">
        <v>100010.8192</v>
      </c>
      <c r="AA139" s="396">
        <v>42037.50476851852</v>
      </c>
      <c r="AB139" s="393">
        <v>50.000108490817397</v>
      </c>
      <c r="AC139" s="393">
        <v>0</v>
      </c>
      <c r="AD139" s="393" t="s">
        <v>134</v>
      </c>
      <c r="AE139" s="393">
        <v>0.8701171875</v>
      </c>
      <c r="AF139" s="393" t="s">
        <v>133</v>
      </c>
      <c r="AG139" s="393">
        <v>0.21062376468375199</v>
      </c>
      <c r="AH139" s="393">
        <v>120.914792068661</v>
      </c>
      <c r="AI139" s="393">
        <v>1.1330965946698499</v>
      </c>
      <c r="AJ139" s="393">
        <v>1.13269774634677</v>
      </c>
      <c r="AK139" s="393">
        <v>107.94027260032701</v>
      </c>
      <c r="AL139" s="393">
        <v>6389.2554808056302</v>
      </c>
      <c r="AM139" s="393">
        <v>230.01036071777301</v>
      </c>
      <c r="AN139" s="393">
        <v>0.207219583645883</v>
      </c>
      <c r="AO139" s="393">
        <v>120.456358071282</v>
      </c>
      <c r="AP139" s="393">
        <v>1.1330964815126201</v>
      </c>
      <c r="AQ139" s="393">
        <v>1.1329728867837101</v>
      </c>
      <c r="AR139" s="393">
        <v>107.96757210871399</v>
      </c>
      <c r="AS139" s="393">
        <v>6389.2528750281599</v>
      </c>
      <c r="AT139" s="393">
        <v>230.01011657714801</v>
      </c>
      <c r="AU139" s="393">
        <v>0.212890942833073</v>
      </c>
      <c r="AV139" s="393">
        <v>120.803385559842</v>
      </c>
      <c r="AW139" s="393">
        <v>1.1330952660617399</v>
      </c>
      <c r="AX139" s="393">
        <v>1.1333185329180799</v>
      </c>
      <c r="AY139" s="393">
        <v>107.966290981074</v>
      </c>
      <c r="AZ139" s="393">
        <v>6389.2430322428199</v>
      </c>
      <c r="BA139" s="393">
        <v>230.01095581054699</v>
      </c>
      <c r="BB139" s="393">
        <v>0.207474668673575</v>
      </c>
      <c r="BC139" s="393">
        <v>120.58119710855701</v>
      </c>
      <c r="BD139" s="393">
        <v>1.13309653661014</v>
      </c>
      <c r="BE139" s="393">
        <v>1.1326798437016601</v>
      </c>
      <c r="BF139" s="393">
        <v>107.931403142793</v>
      </c>
      <c r="BG139" s="393">
        <v>6389.2176552258798</v>
      </c>
      <c r="BH139" s="393">
        <v>230.010986328125</v>
      </c>
      <c r="BI139" s="393">
        <v>0.20740227592413499</v>
      </c>
      <c r="BJ139" s="393">
        <v>120.283297146248</v>
      </c>
      <c r="BK139" s="393">
        <v>1.1330961686596199</v>
      </c>
      <c r="BL139" s="393">
        <v>1.1326430160618901</v>
      </c>
      <c r="BM139" s="393">
        <v>107.92196305696901</v>
      </c>
      <c r="BN139" s="393">
        <v>6389.2219552310899</v>
      </c>
      <c r="BO139" s="393">
        <v>230.01057434082</v>
      </c>
      <c r="BP139" s="393"/>
      <c r="BQ139" s="335">
        <f>('RD31 Data'!IA139-'RD31 Data'!IA76)/10000/X139</f>
        <v>1.0975565413950018E-2</v>
      </c>
      <c r="BR139" s="393"/>
      <c r="BS139" s="393"/>
      <c r="BT139" s="393"/>
      <c r="BU139" s="393"/>
      <c r="BV139" s="393"/>
      <c r="BW139" s="399">
        <v>5.00914E-5</v>
      </c>
      <c r="BX139" s="393">
        <v>229.98769229999999</v>
      </c>
      <c r="BY139" s="393">
        <v>229.99671140000001</v>
      </c>
      <c r="BZ139" s="393">
        <v>0.99996077999999999</v>
      </c>
      <c r="CA139" s="393">
        <v>-89.999987520000005</v>
      </c>
      <c r="CB139" s="393">
        <v>2.9391299999999998E-4</v>
      </c>
      <c r="CC139" s="393">
        <v>5.2673499999999996E-4</v>
      </c>
      <c r="CD139" s="399">
        <v>5.0145500000000003E-5</v>
      </c>
      <c r="CE139" s="399">
        <v>2.1442600000000001E-6</v>
      </c>
      <c r="CF139" s="399">
        <v>7.3223299999999994E-5</v>
      </c>
      <c r="CG139" s="393">
        <v>1.0819241E-2</v>
      </c>
      <c r="CH139" s="393">
        <v>6.6273169999999998E-3</v>
      </c>
      <c r="CI139" s="393">
        <v>20.003834149999999</v>
      </c>
      <c r="CJ139" s="393">
        <v>2.0826468120000001</v>
      </c>
      <c r="CK139" s="393">
        <v>1.380236E-2</v>
      </c>
      <c r="CL139" s="393">
        <v>1</v>
      </c>
      <c r="CM139" s="393">
        <v>230.00573230000001</v>
      </c>
      <c r="CN139" s="393">
        <v>1.034515E-3</v>
      </c>
      <c r="CO139" s="393">
        <v>100010.8192</v>
      </c>
      <c r="CP139" s="393">
        <v>0</v>
      </c>
      <c r="CQ139" s="393">
        <v>0</v>
      </c>
      <c r="CR139" s="393">
        <v>109.166</v>
      </c>
      <c r="CS139" s="393">
        <v>23.65633699</v>
      </c>
      <c r="CT139" s="393">
        <v>0.322924286</v>
      </c>
      <c r="CU139" s="393"/>
      <c r="CV139" s="393"/>
      <c r="CW139" s="393"/>
      <c r="CX139" s="393"/>
      <c r="CY139" s="393"/>
      <c r="CZ139" s="393"/>
      <c r="DA139" s="393"/>
    </row>
    <row r="140" spans="1:105" x14ac:dyDescent="0.2">
      <c r="A140" s="366">
        <f>ROW()</f>
        <v>140</v>
      </c>
      <c r="B140" s="367" t="s">
        <v>50</v>
      </c>
      <c r="C140" s="368">
        <v>1</v>
      </c>
      <c r="D140" s="368">
        <v>230</v>
      </c>
      <c r="E140" s="367">
        <v>-90</v>
      </c>
      <c r="F140" s="441">
        <v>230</v>
      </c>
      <c r="G140" s="369" t="s">
        <v>359</v>
      </c>
      <c r="H140" s="370">
        <v>1</v>
      </c>
      <c r="I140" s="367">
        <v>50</v>
      </c>
      <c r="J140" s="371">
        <v>10</v>
      </c>
      <c r="K140" s="372">
        <v>5</v>
      </c>
      <c r="L140" s="482">
        <v>100000</v>
      </c>
      <c r="M140" s="443" t="s">
        <v>49</v>
      </c>
      <c r="N140" s="726">
        <f>IF(M140="watts",SQRT((0.0005+0.001/COS(RADIANS(ABS(E140))))^2+0.000645^2)*IF(#REF!&gt;26,2,1),SQRT((0.001+0.001/SIN(RADIANS(ABS(E140))))^2+0.000645^2+0.0035^2))</f>
        <v>4.0824043160862938E-3</v>
      </c>
      <c r="O140" s="370">
        <v>6</v>
      </c>
      <c r="P140" s="66">
        <v>123</v>
      </c>
      <c r="Q140" s="335">
        <f>(W140-W77)/X140</f>
        <v>0.53744238441309489</v>
      </c>
      <c r="S140" s="402">
        <v>229.99659080000001</v>
      </c>
      <c r="T140" s="395">
        <v>0.99995056800000004</v>
      </c>
      <c r="U140" s="402">
        <v>-89.999849350000005</v>
      </c>
      <c r="V140" s="395">
        <v>1</v>
      </c>
      <c r="W140" s="400">
        <v>1.0389740999999999E-2</v>
      </c>
      <c r="X140" s="400">
        <v>1.3795529000000001E-2</v>
      </c>
      <c r="Y140" s="402">
        <v>2.0829836070000001</v>
      </c>
      <c r="Z140" s="409">
        <v>100010.3897</v>
      </c>
      <c r="AA140" s="396">
        <v>42037.507638888892</v>
      </c>
      <c r="AB140" s="393">
        <v>50.000103780781899</v>
      </c>
      <c r="AC140" s="393">
        <v>0</v>
      </c>
      <c r="AD140" s="393" t="s">
        <v>132</v>
      </c>
      <c r="AE140" s="393">
        <v>0.8701171875</v>
      </c>
      <c r="AF140" s="393" t="s">
        <v>133</v>
      </c>
      <c r="AG140" s="393">
        <v>0.204291590217619</v>
      </c>
      <c r="AH140" s="393">
        <v>119.443520690235</v>
      </c>
      <c r="AI140" s="393">
        <v>1.1330952927737801</v>
      </c>
      <c r="AJ140" s="393">
        <v>1.1326410054418601</v>
      </c>
      <c r="AK140" s="393">
        <v>107.961900444563</v>
      </c>
      <c r="AL140" s="393">
        <v>6389.1885605806401</v>
      </c>
      <c r="AM140" s="393">
        <v>230.01127624511699</v>
      </c>
      <c r="AN140" s="393">
        <v>0.207162675810595</v>
      </c>
      <c r="AO140" s="393">
        <v>118.7184782718</v>
      </c>
      <c r="AP140" s="393">
        <v>1.13309530792877</v>
      </c>
      <c r="AQ140" s="393">
        <v>1.1331761430352201</v>
      </c>
      <c r="AR140" s="393">
        <v>107.9498796802</v>
      </c>
      <c r="AS140" s="393">
        <v>6389.1641031736999</v>
      </c>
      <c r="AT140" s="393">
        <v>230.00938415527301</v>
      </c>
      <c r="AU140" s="393">
        <v>0.20762979163944401</v>
      </c>
      <c r="AV140" s="393">
        <v>119.316885452973</v>
      </c>
      <c r="AW140" s="393">
        <v>1.1330962349352001</v>
      </c>
      <c r="AX140" s="393">
        <v>1.1330107018005899</v>
      </c>
      <c r="AY140" s="393">
        <v>107.93548815480101</v>
      </c>
      <c r="AZ140" s="393">
        <v>6389.1233467662796</v>
      </c>
      <c r="BA140" s="393">
        <v>230.01034545898401</v>
      </c>
      <c r="BB140" s="393">
        <v>0.211014162480753</v>
      </c>
      <c r="BC140" s="393">
        <v>119.349963949925</v>
      </c>
      <c r="BD140" s="393">
        <v>1.13309456317418</v>
      </c>
      <c r="BE140" s="393">
        <v>1.13325123160174</v>
      </c>
      <c r="BF140" s="393">
        <v>107.948256889926</v>
      </c>
      <c r="BG140" s="393">
        <v>6389.1288351109997</v>
      </c>
      <c r="BH140" s="393">
        <v>230.01020812988301</v>
      </c>
      <c r="BI140" s="393">
        <v>0.20539636612512899</v>
      </c>
      <c r="BJ140" s="393">
        <v>120.578163936191</v>
      </c>
      <c r="BK140" s="393">
        <v>1.13309667646543</v>
      </c>
      <c r="BL140" s="393">
        <v>1.1336618059922701</v>
      </c>
      <c r="BM140" s="393">
        <v>107.956233965881</v>
      </c>
      <c r="BN140" s="393">
        <v>6389.1059651683499</v>
      </c>
      <c r="BO140" s="393">
        <v>230.01016235351599</v>
      </c>
      <c r="BP140" s="393"/>
      <c r="BQ140" s="335">
        <f>('RD31 Data'!IA140-'RD31 Data'!IA77)/10000/X140</f>
        <v>3.4970995535237921E-2</v>
      </c>
      <c r="BR140" s="393"/>
      <c r="BS140" s="393"/>
      <c r="BT140" s="393"/>
      <c r="BU140" s="393"/>
      <c r="BV140" s="393"/>
      <c r="BW140" s="393">
        <v>6.0469300000000001E-4</v>
      </c>
      <c r="BX140" s="393">
        <v>229.98522299999999</v>
      </c>
      <c r="BY140" s="393">
        <v>229.99659080000001</v>
      </c>
      <c r="BZ140" s="393">
        <v>0.99995056800000004</v>
      </c>
      <c r="CA140" s="393">
        <v>-89.999849350000005</v>
      </c>
      <c r="CB140" s="393">
        <v>5.9008800000000001E-4</v>
      </c>
      <c r="CC140" s="393">
        <v>4.19665E-4</v>
      </c>
      <c r="CD140" s="399">
        <v>7.6179400000000005E-5</v>
      </c>
      <c r="CE140" s="399">
        <v>1.7729800000000001E-6</v>
      </c>
      <c r="CF140" s="393">
        <v>1.47009E-4</v>
      </c>
      <c r="CG140" s="393">
        <v>1.0389740999999999E-2</v>
      </c>
      <c r="CH140" s="393">
        <v>6.6229660000000001E-3</v>
      </c>
      <c r="CI140" s="393">
        <v>19.951181470000002</v>
      </c>
      <c r="CJ140" s="393">
        <v>2.0829836070000001</v>
      </c>
      <c r="CK140" s="393">
        <v>1.3795529000000001E-2</v>
      </c>
      <c r="CL140" s="393">
        <v>1</v>
      </c>
      <c r="CM140" s="393">
        <v>230.0079604</v>
      </c>
      <c r="CN140" s="393">
        <v>9.1674200000000001E-4</v>
      </c>
      <c r="CO140" s="393">
        <v>100010.3897</v>
      </c>
      <c r="CP140" s="393">
        <v>0</v>
      </c>
      <c r="CQ140" s="393">
        <v>0</v>
      </c>
      <c r="CR140" s="393">
        <v>109.164</v>
      </c>
      <c r="CS140" s="393">
        <v>23.651183530000001</v>
      </c>
      <c r="CT140" s="393">
        <v>0.32292449600000001</v>
      </c>
      <c r="CU140" s="393"/>
      <c r="CV140" s="393"/>
      <c r="CW140" s="393"/>
      <c r="CX140" s="393"/>
      <c r="CY140" s="393"/>
      <c r="CZ140" s="393"/>
      <c r="DA140" s="393"/>
    </row>
    <row r="141" spans="1:105" x14ac:dyDescent="0.2">
      <c r="A141" s="366">
        <f>ROW()</f>
        <v>141</v>
      </c>
      <c r="B141" s="367" t="s">
        <v>50</v>
      </c>
      <c r="C141" s="368">
        <v>1</v>
      </c>
      <c r="D141" s="368">
        <v>230</v>
      </c>
      <c r="E141" s="367">
        <v>-30</v>
      </c>
      <c r="F141" s="441">
        <v>230</v>
      </c>
      <c r="G141" s="369" t="s">
        <v>359</v>
      </c>
      <c r="H141" s="370">
        <v>1</v>
      </c>
      <c r="I141" s="367">
        <v>50</v>
      </c>
      <c r="J141" s="371">
        <v>10</v>
      </c>
      <c r="K141" s="372">
        <v>5</v>
      </c>
      <c r="L141" s="482">
        <v>100000</v>
      </c>
      <c r="M141" s="443" t="s">
        <v>49</v>
      </c>
      <c r="N141" s="726">
        <f>IF(M141="watts",SQRT((0.0005+0.001/COS(RADIANS(ABS(E141))))^2+0.000645^2)*IF(#REF!&gt;26,2,1),SQRT((0.001+0.001/SIN(RADIANS(ABS(E141))))^2+0.000645^2+0.0035^2))</f>
        <v>4.6546777546893625E-3</v>
      </c>
      <c r="O141" s="370">
        <v>6</v>
      </c>
      <c r="P141" s="66">
        <v>123</v>
      </c>
      <c r="Q141" s="335">
        <f>(W141-W78)/X141</f>
        <v>0.41772150611425168</v>
      </c>
      <c r="S141" s="402">
        <v>229.9965871</v>
      </c>
      <c r="T141" s="395">
        <v>1.0000305270000001</v>
      </c>
      <c r="U141" s="402">
        <v>-29.999735350000002</v>
      </c>
      <c r="V141" s="395">
        <v>0.499996</v>
      </c>
      <c r="W141" s="400">
        <v>8.5251349999999997E-3</v>
      </c>
      <c r="X141" s="400">
        <v>1.4749638000000001E-2</v>
      </c>
      <c r="Y141" s="402">
        <v>2.0861567330000002</v>
      </c>
      <c r="Z141" s="409">
        <v>100008.5251</v>
      </c>
      <c r="AA141" s="396">
        <v>42037.510509259257</v>
      </c>
      <c r="AB141" s="393">
        <v>50.000462273482803</v>
      </c>
      <c r="AC141" s="393">
        <v>0.7646484375</v>
      </c>
      <c r="AD141" s="393" t="s">
        <v>134</v>
      </c>
      <c r="AE141" s="393">
        <v>0.4345703125</v>
      </c>
      <c r="AF141" s="393" t="s">
        <v>133</v>
      </c>
      <c r="AG141" s="393">
        <v>0.30735338174683402</v>
      </c>
      <c r="AH141" s="393">
        <v>-67.667512263328604</v>
      </c>
      <c r="AI141" s="393">
        <v>1.1330948565137999</v>
      </c>
      <c r="AJ141" s="393">
        <v>1.1325261144762999</v>
      </c>
      <c r="AK141" s="393">
        <v>107.949620590889</v>
      </c>
      <c r="AL141" s="393">
        <v>3194.74453399493</v>
      </c>
      <c r="AM141" s="393">
        <v>115.018394470215</v>
      </c>
      <c r="AN141" s="393">
        <v>0.311912223313072</v>
      </c>
      <c r="AO141" s="393">
        <v>-67.154948004718406</v>
      </c>
      <c r="AP141" s="393">
        <v>1.13309576932183</v>
      </c>
      <c r="AQ141" s="393">
        <v>1.1338445631512799</v>
      </c>
      <c r="AR141" s="393">
        <v>107.958985570122</v>
      </c>
      <c r="AS141" s="393">
        <v>3194.7576578001999</v>
      </c>
      <c r="AT141" s="393">
        <v>115.01911163330099</v>
      </c>
      <c r="AU141" s="393">
        <v>0.30859741003119801</v>
      </c>
      <c r="AV141" s="393">
        <v>-67.537720015359298</v>
      </c>
      <c r="AW141" s="393">
        <v>1.1330954736852901</v>
      </c>
      <c r="AX141" s="393">
        <v>1.1330561902501199</v>
      </c>
      <c r="AY141" s="393">
        <v>107.935928220318</v>
      </c>
      <c r="AZ141" s="393">
        <v>3194.7338788289799</v>
      </c>
      <c r="BA141" s="393">
        <v>115.01840209960901</v>
      </c>
      <c r="BB141" s="393">
        <v>0.30841830952481297</v>
      </c>
      <c r="BC141" s="393">
        <v>-67.247914764869407</v>
      </c>
      <c r="BD141" s="393">
        <v>1.1330955305916</v>
      </c>
      <c r="BE141" s="393">
        <v>1.1331239571954499</v>
      </c>
      <c r="BF141" s="393">
        <v>107.961593497667</v>
      </c>
      <c r="BG141" s="393">
        <v>3194.7377728863999</v>
      </c>
      <c r="BH141" s="393">
        <v>115.01877593994099</v>
      </c>
      <c r="BI141" s="393">
        <v>0.307213223912019</v>
      </c>
      <c r="BJ141" s="393">
        <v>-67.833801216396907</v>
      </c>
      <c r="BK141" s="393">
        <v>1.13309635564003</v>
      </c>
      <c r="BL141" s="393">
        <v>1.1327523004437901</v>
      </c>
      <c r="BM141" s="393">
        <v>107.94406028847401</v>
      </c>
      <c r="BN141" s="393">
        <v>3194.73291907165</v>
      </c>
      <c r="BO141" s="393">
        <v>115.018196105957</v>
      </c>
      <c r="BP141" s="393"/>
      <c r="BQ141" s="335">
        <f>('RD31 Data'!IA141-'RD31 Data'!IA78)/10000/X141</f>
        <v>5.8636756158427526E-2</v>
      </c>
      <c r="BR141" s="393"/>
      <c r="BS141" s="393"/>
      <c r="BT141" s="393"/>
      <c r="BU141" s="393"/>
      <c r="BV141" s="393"/>
      <c r="BW141" s="393">
        <v>199.18950000000001</v>
      </c>
      <c r="BX141" s="393">
        <v>115.0008847</v>
      </c>
      <c r="BY141" s="393">
        <v>229.9965871</v>
      </c>
      <c r="BZ141" s="393">
        <v>1.0000305270000001</v>
      </c>
      <c r="CA141" s="393">
        <v>-29.999735350000002</v>
      </c>
      <c r="CB141" s="393">
        <v>1.9748199999999999E-4</v>
      </c>
      <c r="CC141" s="393">
        <v>4.4837000000000002E-4</v>
      </c>
      <c r="CD141" s="399">
        <v>4.91489E-5</v>
      </c>
      <c r="CE141" s="399">
        <v>6.7467900000000003E-7</v>
      </c>
      <c r="CF141" s="393">
        <v>1.15251E-4</v>
      </c>
      <c r="CG141" s="393">
        <v>8.5251349999999997E-3</v>
      </c>
      <c r="CH141" s="393">
        <v>7.0702450000000002E-3</v>
      </c>
      <c r="CI141" s="393">
        <v>19.46898423</v>
      </c>
      <c r="CJ141" s="393">
        <v>2.0861567330000002</v>
      </c>
      <c r="CK141" s="393">
        <v>1.4749638000000001E-2</v>
      </c>
      <c r="CL141" s="393">
        <v>0.499996</v>
      </c>
      <c r="CM141" s="393">
        <v>229.98956630000001</v>
      </c>
      <c r="CN141" s="393">
        <v>3.6742099999999999E-4</v>
      </c>
      <c r="CO141" s="393">
        <v>100008.5251</v>
      </c>
      <c r="CP141" s="393">
        <v>0</v>
      </c>
      <c r="CQ141" s="393">
        <v>0</v>
      </c>
      <c r="CR141" s="393">
        <v>109.16</v>
      </c>
      <c r="CS141" s="393">
        <v>23.640876639999998</v>
      </c>
      <c r="CT141" s="393">
        <v>0.32292491499999998</v>
      </c>
      <c r="CU141" s="393"/>
      <c r="CV141" s="393"/>
      <c r="CW141" s="393"/>
      <c r="CX141" s="393"/>
      <c r="CY141" s="393"/>
      <c r="CZ141" s="393"/>
      <c r="DA141" s="393"/>
    </row>
    <row r="142" spans="1:105" x14ac:dyDescent="0.2">
      <c r="A142" s="366">
        <f>ROW()</f>
        <v>142</v>
      </c>
      <c r="B142" s="367" t="s">
        <v>50</v>
      </c>
      <c r="C142" s="368">
        <v>1</v>
      </c>
      <c r="D142" s="368">
        <v>230</v>
      </c>
      <c r="E142" s="367">
        <v>-30</v>
      </c>
      <c r="F142" s="441">
        <v>230</v>
      </c>
      <c r="G142" s="369" t="s">
        <v>359</v>
      </c>
      <c r="H142" s="370">
        <v>1</v>
      </c>
      <c r="I142" s="367">
        <v>50</v>
      </c>
      <c r="J142" s="371">
        <v>10</v>
      </c>
      <c r="K142" s="372">
        <v>5</v>
      </c>
      <c r="L142" s="482">
        <v>100000</v>
      </c>
      <c r="M142" s="443" t="s">
        <v>49</v>
      </c>
      <c r="N142" s="726">
        <f>IF(M142="watts",SQRT((0.0005+0.001/COS(RADIANS(ABS(E142))))^2+0.000645^2)*IF(#REF!&gt;26,2,1),SQRT((0.001+0.001/SIN(RADIANS(ABS(E142))))^2+0.000645^2+0.0035^2))</f>
        <v>4.6546777546893625E-3</v>
      </c>
      <c r="O142" s="370">
        <v>6</v>
      </c>
      <c r="P142" s="66">
        <v>123</v>
      </c>
      <c r="Q142" s="335">
        <f>(W142-W79)/X142</f>
        <v>0.60196267169448214</v>
      </c>
      <c r="S142" s="402">
        <v>229.996816</v>
      </c>
      <c r="T142" s="395">
        <v>1.000026721</v>
      </c>
      <c r="U142" s="402">
        <v>-29.999437199999999</v>
      </c>
      <c r="V142" s="395">
        <v>0.49999149300000001</v>
      </c>
      <c r="W142" s="400">
        <v>9.4352870000000005E-3</v>
      </c>
      <c r="X142" s="400">
        <v>1.4761613E-2</v>
      </c>
      <c r="Y142" s="402">
        <v>2.0856009480000002</v>
      </c>
      <c r="Z142" s="409">
        <v>100009.4353</v>
      </c>
      <c r="AA142" s="396">
        <v>42037.513402777775</v>
      </c>
      <c r="AB142" s="393">
        <v>49.999716987867799</v>
      </c>
      <c r="AC142" s="393">
        <v>0.7646484375</v>
      </c>
      <c r="AD142" s="393" t="s">
        <v>134</v>
      </c>
      <c r="AE142" s="393">
        <v>0.4345703125</v>
      </c>
      <c r="AF142" s="393" t="s">
        <v>133</v>
      </c>
      <c r="AG142" s="393">
        <v>0.31157549929659101</v>
      </c>
      <c r="AH142" s="393">
        <v>-67.629269797183099</v>
      </c>
      <c r="AI142" s="393">
        <v>1.13309644994333</v>
      </c>
      <c r="AJ142" s="393">
        <v>1.13289126245504</v>
      </c>
      <c r="AK142" s="393">
        <v>107.926609891789</v>
      </c>
      <c r="AL142" s="393">
        <v>3194.73403890088</v>
      </c>
      <c r="AM142" s="393">
        <v>115.01897430419901</v>
      </c>
      <c r="AN142" s="393">
        <v>0.30783020588135801</v>
      </c>
      <c r="AO142" s="393">
        <v>-67.215260837556002</v>
      </c>
      <c r="AP142" s="393">
        <v>1.1330969298445299</v>
      </c>
      <c r="AQ142" s="393">
        <v>1.1329716349988399</v>
      </c>
      <c r="AR142" s="393">
        <v>107.928123807739</v>
      </c>
      <c r="AS142" s="393">
        <v>3194.7326376769802</v>
      </c>
      <c r="AT142" s="393">
        <v>115.018562316895</v>
      </c>
      <c r="AU142" s="393">
        <v>0.31326504932642002</v>
      </c>
      <c r="AV142" s="393">
        <v>-67.527860938758295</v>
      </c>
      <c r="AW142" s="393">
        <v>1.13309800141174</v>
      </c>
      <c r="AX142" s="393">
        <v>1.1329844734183501</v>
      </c>
      <c r="AY142" s="393">
        <v>107.959065024632</v>
      </c>
      <c r="AZ142" s="393">
        <v>3194.7265996474698</v>
      </c>
      <c r="BA142" s="393">
        <v>115.018203735352</v>
      </c>
      <c r="BB142" s="393">
        <v>0.30741429426889799</v>
      </c>
      <c r="BC142" s="393">
        <v>-67.874864415200094</v>
      </c>
      <c r="BD142" s="393">
        <v>1.13309645739355</v>
      </c>
      <c r="BE142" s="393">
        <v>1.13361820147194</v>
      </c>
      <c r="BF142" s="393">
        <v>107.945232226313</v>
      </c>
      <c r="BG142" s="393">
        <v>3194.7347483450098</v>
      </c>
      <c r="BH142" s="393">
        <v>115.018432617188</v>
      </c>
      <c r="BI142" s="393">
        <v>0.30675504649080798</v>
      </c>
      <c r="BJ142" s="393">
        <v>-67.642509507806906</v>
      </c>
      <c r="BK142" s="393">
        <v>1.1330957857871999</v>
      </c>
      <c r="BL142" s="393">
        <v>1.13294353250627</v>
      </c>
      <c r="BM142" s="393">
        <v>107.924729459489</v>
      </c>
      <c r="BN142" s="393">
        <v>3194.7352375830201</v>
      </c>
      <c r="BO142" s="393">
        <v>115.01922607421901</v>
      </c>
      <c r="BP142" s="393"/>
      <c r="BQ142" s="335">
        <f>('RD31 Data'!IA142-'RD31 Data'!IA79)/10000/X142</f>
        <v>0.21704103780769182</v>
      </c>
      <c r="BR142" s="393"/>
      <c r="BS142" s="393"/>
      <c r="BT142" s="393"/>
      <c r="BU142" s="393"/>
      <c r="BV142" s="393"/>
      <c r="BW142" s="393">
        <v>199.18953859999999</v>
      </c>
      <c r="BX142" s="393">
        <v>114.99952500000001</v>
      </c>
      <c r="BY142" s="393">
        <v>229.996816</v>
      </c>
      <c r="BZ142" s="393">
        <v>1.000026721</v>
      </c>
      <c r="CA142" s="393">
        <v>-29.999437199999999</v>
      </c>
      <c r="CB142" s="393">
        <v>4.2860100000000003E-4</v>
      </c>
      <c r="CC142" s="393">
        <v>4.6569299999999999E-4</v>
      </c>
      <c r="CD142" s="399">
        <v>7.4577099999999994E-5</v>
      </c>
      <c r="CE142" s="399">
        <v>1.3973299999999999E-6</v>
      </c>
      <c r="CF142" s="393">
        <v>1.35916E-4</v>
      </c>
      <c r="CG142" s="393">
        <v>9.4352870000000005E-3</v>
      </c>
      <c r="CH142" s="393">
        <v>7.07787E-3</v>
      </c>
      <c r="CI142" s="393">
        <v>19.55167355</v>
      </c>
      <c r="CJ142" s="393">
        <v>2.0856009480000002</v>
      </c>
      <c r="CK142" s="393">
        <v>1.4761613E-2</v>
      </c>
      <c r="CL142" s="393">
        <v>0.49999149300000001</v>
      </c>
      <c r="CM142" s="393">
        <v>229.99067049999999</v>
      </c>
      <c r="CN142" s="393">
        <v>7.5763800000000004E-4</v>
      </c>
      <c r="CO142" s="393">
        <v>100009.4353</v>
      </c>
      <c r="CP142" s="393">
        <v>0</v>
      </c>
      <c r="CQ142" s="393">
        <v>0</v>
      </c>
      <c r="CR142" s="393">
        <v>109.157</v>
      </c>
      <c r="CS142" s="393">
        <v>23.633146490000001</v>
      </c>
      <c r="CT142" s="393">
        <v>0.32292523000000001</v>
      </c>
      <c r="CU142" s="393"/>
      <c r="CV142" s="393"/>
      <c r="CW142" s="393"/>
      <c r="CX142" s="393"/>
      <c r="CY142" s="393"/>
      <c r="CZ142" s="393"/>
      <c r="DA142" s="393"/>
    </row>
    <row r="143" spans="1:105" x14ac:dyDescent="0.2">
      <c r="A143" s="366">
        <f>ROW()</f>
        <v>143</v>
      </c>
      <c r="B143" s="367" t="s">
        <v>50</v>
      </c>
      <c r="C143" s="368">
        <v>2</v>
      </c>
      <c r="D143" s="368">
        <v>230</v>
      </c>
      <c r="E143" s="367">
        <v>-126.87</v>
      </c>
      <c r="F143" s="441">
        <v>230</v>
      </c>
      <c r="G143" s="369" t="s">
        <v>131</v>
      </c>
      <c r="H143" s="370">
        <v>1</v>
      </c>
      <c r="I143" s="367">
        <v>50</v>
      </c>
      <c r="J143" s="371">
        <v>10</v>
      </c>
      <c r="K143" s="372">
        <v>5</v>
      </c>
      <c r="L143" s="482">
        <v>100000</v>
      </c>
      <c r="M143" s="443" t="s">
        <v>49</v>
      </c>
      <c r="N143" s="726">
        <f>IF(M143="watts",SQRT((0.0005+0.001/COS(RADIANS(ABS(E143))))^2+0.000645^2)*IF(#REF!&gt;26,2,1),SQRT((0.001+0.001/SIN(RADIANS(ABS(E143))))^2+0.000645^2+0.0035^2))</f>
        <v>4.210526396600394E-3</v>
      </c>
      <c r="O143" s="370">
        <v>6</v>
      </c>
      <c r="P143" s="66">
        <v>123</v>
      </c>
      <c r="Q143" s="335">
        <f>(W143-W43)/X143</f>
        <v>0.62329375405128451</v>
      </c>
      <c r="S143" s="402">
        <v>229.99647210000001</v>
      </c>
      <c r="T143" s="395">
        <v>1.9999677579999999</v>
      </c>
      <c r="U143" s="402">
        <v>-126.8733017</v>
      </c>
      <c r="V143" s="395">
        <v>0.79996435200000005</v>
      </c>
      <c r="W143" s="400">
        <v>6.7795049999999999E-3</v>
      </c>
      <c r="X143" s="400">
        <v>1.4023330000000001E-2</v>
      </c>
      <c r="Y143" s="402">
        <v>2.0821552630000002</v>
      </c>
      <c r="Z143" s="409">
        <v>100006.7795</v>
      </c>
      <c r="AA143" s="396">
        <v>42037.524606481478</v>
      </c>
      <c r="AB143" s="393">
        <v>50.000193401457103</v>
      </c>
      <c r="AC143" s="393">
        <v>0.2119140625</v>
      </c>
      <c r="AD143" s="393" t="s">
        <v>132</v>
      </c>
      <c r="AE143" s="393">
        <v>0.2783203125</v>
      </c>
      <c r="AF143" s="393" t="s">
        <v>133</v>
      </c>
      <c r="AG143" s="393">
        <v>0.111716051957282</v>
      </c>
      <c r="AH143" s="393">
        <v>58.903366063085201</v>
      </c>
      <c r="AI143" s="393">
        <v>1.13309307487098</v>
      </c>
      <c r="AJ143" s="393">
        <v>1.1337872155490201</v>
      </c>
      <c r="AK143" s="393">
        <v>107.93836210767699</v>
      </c>
      <c r="AL143" s="393">
        <v>10222.1630723901</v>
      </c>
      <c r="AM143" s="393">
        <v>368.01016235351602</v>
      </c>
      <c r="AN143" s="393">
        <v>0.11029583680657799</v>
      </c>
      <c r="AO143" s="393">
        <v>59.788640037022802</v>
      </c>
      <c r="AP143" s="393">
        <v>1.13309524693356</v>
      </c>
      <c r="AQ143" s="393">
        <v>1.1331810866576599</v>
      </c>
      <c r="AR143" s="393">
        <v>107.94489189889001</v>
      </c>
      <c r="AS143" s="393">
        <v>10222.165812130101</v>
      </c>
      <c r="AT143" s="393">
        <v>368.00802612304699</v>
      </c>
      <c r="AU143" s="393">
        <v>0.110439941821904</v>
      </c>
      <c r="AV143" s="393">
        <v>59.468744883229697</v>
      </c>
      <c r="AW143" s="393">
        <v>1.1330953724583801</v>
      </c>
      <c r="AX143" s="393">
        <v>1.1326559004549499</v>
      </c>
      <c r="AY143" s="393">
        <v>107.967605735758</v>
      </c>
      <c r="AZ143" s="393">
        <v>10222.143978747599</v>
      </c>
      <c r="BA143" s="393">
        <v>368.00631713867199</v>
      </c>
      <c r="BB143" s="393">
        <v>0.11146960792022299</v>
      </c>
      <c r="BC143" s="393">
        <v>60.1788545560591</v>
      </c>
      <c r="BD143" s="393">
        <v>1.13309578530876</v>
      </c>
      <c r="BE143" s="393">
        <v>1.1332312952040999</v>
      </c>
      <c r="BF143" s="393">
        <v>107.945167688365</v>
      </c>
      <c r="BG143" s="393">
        <v>10222.120788648899</v>
      </c>
      <c r="BH143" s="393">
        <v>368.008056640625</v>
      </c>
      <c r="BI143" s="393">
        <v>0.111300258204234</v>
      </c>
      <c r="BJ143" s="393">
        <v>59.8752016776142</v>
      </c>
      <c r="BK143" s="393">
        <v>1.1330956718563601</v>
      </c>
      <c r="BL143" s="393">
        <v>1.1338221089349301</v>
      </c>
      <c r="BM143" s="393">
        <v>107.956412381725</v>
      </c>
      <c r="BN143" s="393">
        <v>10222.0971842613</v>
      </c>
      <c r="BO143" s="393">
        <v>368.00402832031199</v>
      </c>
      <c r="BP143" s="393"/>
      <c r="BQ143" s="335">
        <f>('RD31 Data'!IA143-'RD31 Data'!IA43)/10000/X143</f>
        <v>-5.0401918668047205E-2</v>
      </c>
      <c r="BR143" s="393"/>
      <c r="BS143" s="393"/>
      <c r="BT143" s="393"/>
      <c r="BU143" s="393"/>
      <c r="BV143" s="393"/>
      <c r="BW143" s="393">
        <v>-276.01318099999997</v>
      </c>
      <c r="BX143" s="393">
        <v>367.97202729999998</v>
      </c>
      <c r="BY143" s="393">
        <v>229.99647210000001</v>
      </c>
      <c r="BZ143" s="393">
        <v>1.9999677579999999</v>
      </c>
      <c r="CA143" s="393">
        <v>-126.8733017</v>
      </c>
      <c r="CB143" s="393">
        <v>6.7463699999999996E-4</v>
      </c>
      <c r="CC143" s="393">
        <v>6.6376599999999999E-4</v>
      </c>
      <c r="CD143" s="393">
        <v>1.01172E-4</v>
      </c>
      <c r="CE143" s="399">
        <v>3.2238599999999999E-6</v>
      </c>
      <c r="CF143" s="399">
        <v>8.9941100000000005E-5</v>
      </c>
      <c r="CG143" s="393">
        <v>6.7795049999999999E-3</v>
      </c>
      <c r="CH143" s="393">
        <v>6.7350070000000003E-3</v>
      </c>
      <c r="CI143" s="393">
        <v>20.0812043</v>
      </c>
      <c r="CJ143" s="393">
        <v>2.0821552630000002</v>
      </c>
      <c r="CK143" s="393">
        <v>1.4023330000000001E-2</v>
      </c>
      <c r="CL143" s="393">
        <v>0.79996435200000005</v>
      </c>
      <c r="CM143" s="393">
        <v>115.00008990000001</v>
      </c>
      <c r="CN143" s="393">
        <v>5.0224199999999997E-4</v>
      </c>
      <c r="CO143" s="393">
        <v>100006.7795</v>
      </c>
      <c r="CP143" s="393">
        <v>0</v>
      </c>
      <c r="CQ143" s="393">
        <v>0</v>
      </c>
      <c r="CR143" s="393">
        <v>109.163</v>
      </c>
      <c r="CS143" s="393">
        <v>23.6486068</v>
      </c>
      <c r="CT143" s="393">
        <v>0.32292460099999998</v>
      </c>
      <c r="CU143" s="393"/>
      <c r="CV143" s="393"/>
      <c r="CW143" s="393"/>
      <c r="CX143" s="393"/>
      <c r="CY143" s="393"/>
      <c r="CZ143" s="393"/>
      <c r="DA143" s="393"/>
    </row>
    <row r="144" spans="1:105" x14ac:dyDescent="0.2">
      <c r="A144" s="366">
        <f>ROW()</f>
        <v>144</v>
      </c>
      <c r="B144" s="367" t="s">
        <v>50</v>
      </c>
      <c r="C144" s="368">
        <v>2</v>
      </c>
      <c r="D144" s="368">
        <v>230</v>
      </c>
      <c r="E144" s="367">
        <v>-126.87</v>
      </c>
      <c r="F144" s="441">
        <v>230</v>
      </c>
      <c r="G144" s="369" t="s">
        <v>131</v>
      </c>
      <c r="H144" s="370">
        <v>1</v>
      </c>
      <c r="I144" s="367">
        <v>50</v>
      </c>
      <c r="J144" s="371">
        <v>10</v>
      </c>
      <c r="K144" s="372">
        <v>5</v>
      </c>
      <c r="L144" s="482">
        <v>100000</v>
      </c>
      <c r="M144" s="443" t="s">
        <v>49</v>
      </c>
      <c r="N144" s="726">
        <f>IF(M144="watts",SQRT((0.0005+0.001/COS(RADIANS(ABS(E144))))^2+0.000645^2)*IF(#REF!&gt;26,2,1),SQRT((0.001+0.001/SIN(RADIANS(ABS(E144))))^2+0.000645^2+0.0035^2))</f>
        <v>4.210526396600394E-3</v>
      </c>
      <c r="O144" s="370">
        <v>6</v>
      </c>
      <c r="P144" s="66">
        <v>123</v>
      </c>
      <c r="Q144" s="335">
        <f>(W144-W44)/X144</f>
        <v>0.5312871412067196</v>
      </c>
      <c r="S144" s="402">
        <v>229.9966574</v>
      </c>
      <c r="T144" s="395">
        <v>1.99995988</v>
      </c>
      <c r="U144" s="402">
        <v>-126.8735891</v>
      </c>
      <c r="V144" s="395">
        <v>0.79996134200000002</v>
      </c>
      <c r="W144" s="400">
        <v>6.104211E-3</v>
      </c>
      <c r="X144" s="400">
        <v>1.4026705E-2</v>
      </c>
      <c r="Y144" s="402">
        <v>2.0819976379999998</v>
      </c>
      <c r="Z144" s="409">
        <v>100006.1042</v>
      </c>
      <c r="AA144" s="396">
        <v>42037.527604166666</v>
      </c>
      <c r="AB144" s="393">
        <v>50.000099060746301</v>
      </c>
      <c r="AC144" s="393">
        <v>0.2119140625</v>
      </c>
      <c r="AD144" s="393" t="s">
        <v>132</v>
      </c>
      <c r="AE144" s="393">
        <v>0.2783203125</v>
      </c>
      <c r="AF144" s="393" t="s">
        <v>133</v>
      </c>
      <c r="AG144" s="393">
        <v>0.110212504894328</v>
      </c>
      <c r="AH144" s="393">
        <v>59.924242034868101</v>
      </c>
      <c r="AI144" s="393">
        <v>1.1330964627686</v>
      </c>
      <c r="AJ144" s="393">
        <v>1.13331349591407</v>
      </c>
      <c r="AK144" s="393">
        <v>107.94294761571901</v>
      </c>
      <c r="AL144" s="393">
        <v>10221.9534988828</v>
      </c>
      <c r="AM144" s="393">
        <v>368.00442504882801</v>
      </c>
      <c r="AN144" s="393">
        <v>0.111694959558243</v>
      </c>
      <c r="AO144" s="393">
        <v>59.732639044815102</v>
      </c>
      <c r="AP144" s="393">
        <v>1.1330970064136501</v>
      </c>
      <c r="AQ144" s="393">
        <v>1.1331189222095199</v>
      </c>
      <c r="AR144" s="393">
        <v>107.962838188343</v>
      </c>
      <c r="AS144" s="393">
        <v>10222.0429974935</v>
      </c>
      <c r="AT144" s="393">
        <v>368.011962890625</v>
      </c>
      <c r="AU144" s="393">
        <v>0.11130564565730899</v>
      </c>
      <c r="AV144" s="393">
        <v>60.169153403673299</v>
      </c>
      <c r="AW144" s="393">
        <v>1.1330955577705</v>
      </c>
      <c r="AX144" s="393">
        <v>1.1336145712453101</v>
      </c>
      <c r="AY144" s="393">
        <v>107.969888915392</v>
      </c>
      <c r="AZ144" s="393">
        <v>10221.9928269761</v>
      </c>
      <c r="BA144" s="393">
        <v>368.00500488281199</v>
      </c>
      <c r="BB144" s="393">
        <v>0.10896888601497901</v>
      </c>
      <c r="BC144" s="393">
        <v>60.235836649727602</v>
      </c>
      <c r="BD144" s="393">
        <v>1.1330955372598199</v>
      </c>
      <c r="BE144" s="393">
        <v>1.13300160401822</v>
      </c>
      <c r="BF144" s="393">
        <v>107.942681754746</v>
      </c>
      <c r="BG144" s="393">
        <v>10221.997689178599</v>
      </c>
      <c r="BH144" s="393">
        <v>368.00375366210898</v>
      </c>
      <c r="BI144" s="393">
        <v>0.110371298982525</v>
      </c>
      <c r="BJ144" s="393">
        <v>60.360540076981998</v>
      </c>
      <c r="BK144" s="393">
        <v>1.1330951521382699</v>
      </c>
      <c r="BL144" s="393">
        <v>1.1335811718500299</v>
      </c>
      <c r="BM144" s="393">
        <v>107.962052210796</v>
      </c>
      <c r="BN144" s="393">
        <v>10222.006246253701</v>
      </c>
      <c r="BO144" s="393">
        <v>368.00650024414102</v>
      </c>
      <c r="BP144" s="393"/>
      <c r="BQ144" s="335">
        <f>('RD31 Data'!IA144-'RD31 Data'!IA44)/10000/X144</f>
        <v>8.7752505113220386E-3</v>
      </c>
      <c r="BR144" s="393"/>
      <c r="BS144" s="393"/>
      <c r="BT144" s="393"/>
      <c r="BU144" s="393"/>
      <c r="BV144" s="393"/>
      <c r="BW144" s="393">
        <v>-276.01416180000001</v>
      </c>
      <c r="BX144" s="393">
        <v>367.96948980000002</v>
      </c>
      <c r="BY144" s="393">
        <v>229.9966574</v>
      </c>
      <c r="BZ144" s="393">
        <v>1.99995988</v>
      </c>
      <c r="CA144" s="393">
        <v>-126.8735891</v>
      </c>
      <c r="CB144" s="393">
        <v>9.0021399999999998E-4</v>
      </c>
      <c r="CC144" s="393">
        <v>9.2202099999999997E-4</v>
      </c>
      <c r="CD144" s="399">
        <v>6.9402300000000005E-5</v>
      </c>
      <c r="CE144" s="399">
        <v>2.2125699999999998E-6</v>
      </c>
      <c r="CF144" s="393">
        <v>1.39763E-4</v>
      </c>
      <c r="CG144" s="393">
        <v>6.104211E-3</v>
      </c>
      <c r="CH144" s="393">
        <v>6.7371380000000002E-3</v>
      </c>
      <c r="CI144" s="393">
        <v>20.106147199999999</v>
      </c>
      <c r="CJ144" s="393">
        <v>2.0819976379999998</v>
      </c>
      <c r="CK144" s="393">
        <v>1.4026705E-2</v>
      </c>
      <c r="CL144" s="393">
        <v>0.79996134200000002</v>
      </c>
      <c r="CM144" s="393">
        <v>115.0006356</v>
      </c>
      <c r="CN144" s="393">
        <v>2.20032E-4</v>
      </c>
      <c r="CO144" s="393">
        <v>100006.1042</v>
      </c>
      <c r="CP144" s="393">
        <v>0</v>
      </c>
      <c r="CQ144" s="393">
        <v>0</v>
      </c>
      <c r="CR144" s="393">
        <v>109.16500000000001</v>
      </c>
      <c r="CS144" s="393">
        <v>23.653760259999999</v>
      </c>
      <c r="CT144" s="393">
        <v>0.32292439099999998</v>
      </c>
      <c r="CU144" s="393"/>
      <c r="CV144" s="393"/>
      <c r="CW144" s="393"/>
      <c r="CX144" s="393"/>
      <c r="CY144" s="393"/>
      <c r="CZ144" s="393"/>
      <c r="DA144" s="393"/>
    </row>
    <row r="145" spans="1:105" x14ac:dyDescent="0.2">
      <c r="A145" s="366">
        <f>ROW()</f>
        <v>145</v>
      </c>
      <c r="B145" s="367" t="s">
        <v>50</v>
      </c>
      <c r="C145" s="368">
        <v>5</v>
      </c>
      <c r="D145" s="368">
        <v>230</v>
      </c>
      <c r="E145" s="367">
        <v>-30</v>
      </c>
      <c r="F145" s="441">
        <v>230</v>
      </c>
      <c r="G145" s="369" t="s">
        <v>131</v>
      </c>
      <c r="H145" s="370">
        <v>1</v>
      </c>
      <c r="I145" s="367">
        <v>50</v>
      </c>
      <c r="J145" s="371">
        <v>10</v>
      </c>
      <c r="K145" s="372">
        <v>5</v>
      </c>
      <c r="L145" s="482">
        <v>100000</v>
      </c>
      <c r="M145" s="443" t="s">
        <v>49</v>
      </c>
      <c r="N145" s="726">
        <f>IF(M145="watts",SQRT((0.0005+0.001/COS(RADIANS(ABS(E145))))^2+0.000645^2)*IF(T145&gt;26,2,1),SQRT((0.001+0.001/SIN(RADIANS(ABS(E145))))^2+0.000645^2+0.0035^2))</f>
        <v>4.6546777546893625E-3</v>
      </c>
      <c r="O145" s="370">
        <v>6</v>
      </c>
      <c r="P145" s="66">
        <v>123</v>
      </c>
      <c r="Q145" s="335">
        <f>(W145-W40)/X145</f>
        <v>0.44396501427696894</v>
      </c>
      <c r="S145" s="402">
        <v>229.99682899999999</v>
      </c>
      <c r="T145" s="395">
        <v>5.0002407460000002</v>
      </c>
      <c r="U145" s="402">
        <v>-29.999729429999999</v>
      </c>
      <c r="V145" s="395">
        <v>0.49999590999999999</v>
      </c>
      <c r="W145" s="400">
        <v>5.9106819999999996E-3</v>
      </c>
      <c r="X145" s="400">
        <v>1.4757334E-2</v>
      </c>
      <c r="Y145" s="402">
        <v>2.0858037619999998</v>
      </c>
      <c r="Z145" s="409">
        <v>100005.91069999999</v>
      </c>
      <c r="AA145" s="396">
        <v>42037.530543981484</v>
      </c>
      <c r="AB145" s="393">
        <v>50.000787755935001</v>
      </c>
      <c r="AC145" s="393">
        <v>0.7646484375</v>
      </c>
      <c r="AD145" s="393" t="s">
        <v>134</v>
      </c>
      <c r="AE145" s="393">
        <v>0.4345703125</v>
      </c>
      <c r="AF145" s="393" t="s">
        <v>133</v>
      </c>
      <c r="AG145" s="393">
        <v>0.31658508569125299</v>
      </c>
      <c r="AH145" s="393">
        <v>-67.210440866273004</v>
      </c>
      <c r="AI145" s="393">
        <v>1.1330976908221899</v>
      </c>
      <c r="AJ145" s="393">
        <v>1.1333364869415301</v>
      </c>
      <c r="AK145" s="393">
        <v>107.954655522998</v>
      </c>
      <c r="AL145" s="393">
        <v>15973.649654290801</v>
      </c>
      <c r="AM145" s="393">
        <v>575.083984375</v>
      </c>
      <c r="AN145" s="393">
        <v>0.31241808786605402</v>
      </c>
      <c r="AO145" s="393">
        <v>-67.791807285480502</v>
      </c>
      <c r="AP145" s="393">
        <v>1.1330959577411399</v>
      </c>
      <c r="AQ145" s="393">
        <v>1.1330213576213899</v>
      </c>
      <c r="AR145" s="393">
        <v>107.94298392617701</v>
      </c>
      <c r="AS145" s="393">
        <v>15973.570344068101</v>
      </c>
      <c r="AT145" s="393">
        <v>575.091064453125</v>
      </c>
      <c r="AU145" s="393">
        <v>0.31259373024784398</v>
      </c>
      <c r="AV145" s="393">
        <v>-66.962377429318096</v>
      </c>
      <c r="AW145" s="393">
        <v>1.13309617773376</v>
      </c>
      <c r="AX145" s="393">
        <v>1.1326437256283799</v>
      </c>
      <c r="AY145" s="393">
        <v>107.96110873136</v>
      </c>
      <c r="AZ145" s="393">
        <v>15973.547766669901</v>
      </c>
      <c r="BA145" s="393">
        <v>575.09533691406205</v>
      </c>
      <c r="BB145" s="393">
        <v>0.31318468601097699</v>
      </c>
      <c r="BC145" s="393">
        <v>-67.861382063550096</v>
      </c>
      <c r="BD145" s="393">
        <v>1.13309731363415</v>
      </c>
      <c r="BE145" s="393">
        <v>1.13326305100428</v>
      </c>
      <c r="BF145" s="393">
        <v>107.962693797296</v>
      </c>
      <c r="BG145" s="393">
        <v>15973.623921209901</v>
      </c>
      <c r="BH145" s="393">
        <v>575.082763671875</v>
      </c>
      <c r="BI145" s="393">
        <v>0.31192660053433402</v>
      </c>
      <c r="BJ145" s="393">
        <v>-67.696720021297807</v>
      </c>
      <c r="BK145" s="393">
        <v>1.1330968043298499</v>
      </c>
      <c r="BL145" s="393">
        <v>1.13299885540983</v>
      </c>
      <c r="BM145" s="393">
        <v>107.95099631471</v>
      </c>
      <c r="BN145" s="393">
        <v>15973.5312629686</v>
      </c>
      <c r="BO145" s="393">
        <v>575.08782958984398</v>
      </c>
      <c r="BP145" s="393"/>
      <c r="BQ145" s="335">
        <f>('RD31 Data'!IA145-'RD31 Data'!IA40)/10000/X145</f>
        <v>-4.0687719385112536E-2</v>
      </c>
      <c r="BR145" s="393"/>
      <c r="BS145" s="393"/>
      <c r="BT145" s="393"/>
      <c r="BU145" s="393"/>
      <c r="BV145" s="393"/>
      <c r="BW145" s="393">
        <v>995.96615729999996</v>
      </c>
      <c r="BX145" s="393">
        <v>575.01505799999995</v>
      </c>
      <c r="BY145" s="393">
        <v>229.99682899999999</v>
      </c>
      <c r="BZ145" s="393">
        <v>5.0002407460000002</v>
      </c>
      <c r="CA145" s="393">
        <v>-29.999729429999999</v>
      </c>
      <c r="CB145" s="393">
        <v>1.2024659999999999E-3</v>
      </c>
      <c r="CC145" s="393">
        <v>2.5503819999999999E-3</v>
      </c>
      <c r="CD145" s="399">
        <v>6.6620799999999997E-5</v>
      </c>
      <c r="CE145" s="399">
        <v>7.4820800000000002E-6</v>
      </c>
      <c r="CF145" s="393">
        <v>1.12432E-4</v>
      </c>
      <c r="CG145" s="393">
        <v>5.9106819999999996E-3</v>
      </c>
      <c r="CH145" s="393">
        <v>7.0751299999999998E-3</v>
      </c>
      <c r="CI145" s="393">
        <v>19.521413949999999</v>
      </c>
      <c r="CJ145" s="393">
        <v>2.0858037619999998</v>
      </c>
      <c r="CK145" s="393">
        <v>1.4757334E-2</v>
      </c>
      <c r="CL145" s="393">
        <v>0.49999590999999999</v>
      </c>
      <c r="CM145" s="393">
        <v>45.997151080000002</v>
      </c>
      <c r="CN145" s="393">
        <v>1.62141E-4</v>
      </c>
      <c r="CO145" s="393">
        <v>100005.91069999999</v>
      </c>
      <c r="CP145" s="393">
        <v>0</v>
      </c>
      <c r="CQ145" s="393">
        <v>0</v>
      </c>
      <c r="CR145" s="393">
        <v>109.16500000000001</v>
      </c>
      <c r="CS145" s="393">
        <v>23.653760259999999</v>
      </c>
      <c r="CT145" s="393">
        <v>0.32292439099999998</v>
      </c>
      <c r="CU145" s="393"/>
      <c r="CV145" s="393"/>
      <c r="CW145" s="393"/>
      <c r="CX145" s="393"/>
      <c r="CY145" s="393"/>
      <c r="CZ145" s="393"/>
      <c r="DA145" s="393"/>
    </row>
    <row r="146" spans="1:105" x14ac:dyDescent="0.2">
      <c r="A146" s="366">
        <f>ROW()</f>
        <v>146</v>
      </c>
      <c r="B146" s="367" t="s">
        <v>50</v>
      </c>
      <c r="C146" s="368">
        <v>5</v>
      </c>
      <c r="D146" s="368">
        <v>230</v>
      </c>
      <c r="E146" s="367">
        <v>-30</v>
      </c>
      <c r="F146" s="441">
        <v>230</v>
      </c>
      <c r="G146" s="369" t="s">
        <v>131</v>
      </c>
      <c r="H146" s="370">
        <v>1</v>
      </c>
      <c r="I146" s="367">
        <v>50</v>
      </c>
      <c r="J146" s="371">
        <v>10</v>
      </c>
      <c r="K146" s="372">
        <v>5</v>
      </c>
      <c r="L146" s="482">
        <v>100000</v>
      </c>
      <c r="M146" s="443" t="s">
        <v>49</v>
      </c>
      <c r="N146" s="726">
        <f>IF(M146="watts",SQRT((0.0005+0.001/COS(RADIANS(ABS(E146))))^2+0.000645^2)*IF(T146&gt;26,2,1),SQRT((0.001+0.001/SIN(RADIANS(ABS(E146))))^2+0.000645^2+0.0035^2))</f>
        <v>4.6546777546893625E-3</v>
      </c>
      <c r="O146" s="370">
        <v>6</v>
      </c>
      <c r="P146" s="66">
        <v>123</v>
      </c>
      <c r="Q146" s="335">
        <f>(W146-W41)/X146</f>
        <v>0.45489178447101214</v>
      </c>
      <c r="S146" s="402">
        <v>229.99673189999999</v>
      </c>
      <c r="T146" s="395">
        <v>5.0002372099999999</v>
      </c>
      <c r="U146" s="402">
        <v>-29.999734459999999</v>
      </c>
      <c r="V146" s="395">
        <v>0.499995986</v>
      </c>
      <c r="W146" s="400">
        <v>6.5938990000000003E-3</v>
      </c>
      <c r="X146" s="400">
        <v>1.4750516999999999E-2</v>
      </c>
      <c r="Y146" s="402">
        <v>2.0861206569999999</v>
      </c>
      <c r="Z146" s="409">
        <v>100006.59390000001</v>
      </c>
      <c r="AA146" s="396">
        <v>42037.533495370371</v>
      </c>
      <c r="AB146" s="393">
        <v>50.000622654691099</v>
      </c>
      <c r="AC146" s="393">
        <v>0.7646484375</v>
      </c>
      <c r="AD146" s="393" t="s">
        <v>134</v>
      </c>
      <c r="AE146" s="393">
        <v>0.4345703125</v>
      </c>
      <c r="AF146" s="393" t="s">
        <v>133</v>
      </c>
      <c r="AG146" s="393">
        <v>0.31631649886880497</v>
      </c>
      <c r="AH146" s="393">
        <v>-67.353842064144899</v>
      </c>
      <c r="AI146" s="393">
        <v>1.1330955578972399</v>
      </c>
      <c r="AJ146" s="393">
        <v>1.1334380962658599</v>
      </c>
      <c r="AK146" s="393">
        <v>107.954095632769</v>
      </c>
      <c r="AL146" s="393">
        <v>15973.749947496101</v>
      </c>
      <c r="AM146" s="393">
        <v>575.089599609375</v>
      </c>
      <c r="AN146" s="393">
        <v>0.31503363924841699</v>
      </c>
      <c r="AO146" s="393">
        <v>-67.812591566220206</v>
      </c>
      <c r="AP146" s="393">
        <v>1.13309551751656</v>
      </c>
      <c r="AQ146" s="393">
        <v>1.1329589519010399</v>
      </c>
      <c r="AR146" s="393">
        <v>107.94224066919401</v>
      </c>
      <c r="AS146" s="393">
        <v>15973.716389036401</v>
      </c>
      <c r="AT146" s="393">
        <v>575.08673095703102</v>
      </c>
      <c r="AU146" s="393">
        <v>0.31270489542480501</v>
      </c>
      <c r="AV146" s="393">
        <v>-67.317331120189806</v>
      </c>
      <c r="AW146" s="393">
        <v>1.13309678534395</v>
      </c>
      <c r="AX146" s="393">
        <v>1.13281887730338</v>
      </c>
      <c r="AY146" s="393">
        <v>107.963389215533</v>
      </c>
      <c r="AZ146" s="393">
        <v>15973.6782628702</v>
      </c>
      <c r="BA146" s="393">
        <v>575.08685302734398</v>
      </c>
      <c r="BB146" s="393">
        <v>0.31155890445520501</v>
      </c>
      <c r="BC146" s="393">
        <v>-67.198529740056898</v>
      </c>
      <c r="BD146" s="393">
        <v>1.1330954216792799</v>
      </c>
      <c r="BE146" s="393">
        <v>1.1330690279458999</v>
      </c>
      <c r="BF146" s="393">
        <v>107.951382653064</v>
      </c>
      <c r="BG146" s="393">
        <v>15973.662089245099</v>
      </c>
      <c r="BH146" s="393">
        <v>575.08782958984398</v>
      </c>
      <c r="BI146" s="393">
        <v>0.31393151888614901</v>
      </c>
      <c r="BJ146" s="393">
        <v>-67.313603666245299</v>
      </c>
      <c r="BK146" s="393">
        <v>1.13309826926395</v>
      </c>
      <c r="BL146" s="393">
        <v>1.1330612441285599</v>
      </c>
      <c r="BM146" s="393">
        <v>107.950838761271</v>
      </c>
      <c r="BN146" s="393">
        <v>15973.5838332697</v>
      </c>
      <c r="BO146" s="393">
        <v>575.08642578125</v>
      </c>
      <c r="BP146" s="393"/>
      <c r="BQ146" s="335">
        <f>('RD31 Data'!IA146-'RD31 Data'!IA41)/10000/X146</f>
        <v>-6.3033144151844217E-2</v>
      </c>
      <c r="BR146" s="393"/>
      <c r="BS146" s="393"/>
      <c r="BT146" s="393"/>
      <c r="BU146" s="393"/>
      <c r="BV146" s="393"/>
      <c r="BW146" s="393">
        <v>995.9649819</v>
      </c>
      <c r="BX146" s="393">
        <v>575.01449590000004</v>
      </c>
      <c r="BY146" s="393">
        <v>229.99673189999999</v>
      </c>
      <c r="BZ146" s="393">
        <v>5.0002372099999999</v>
      </c>
      <c r="CA146" s="393">
        <v>-29.999734459999999</v>
      </c>
      <c r="CB146" s="393">
        <v>2.428047E-3</v>
      </c>
      <c r="CC146" s="393">
        <v>1.2691740000000001E-3</v>
      </c>
      <c r="CD146" s="393">
        <v>1.1162099999999999E-4</v>
      </c>
      <c r="CE146" s="399">
        <v>8.5225899999999997E-6</v>
      </c>
      <c r="CF146" s="399">
        <v>7.4860399999999999E-5</v>
      </c>
      <c r="CG146" s="393">
        <v>6.5938990000000003E-3</v>
      </c>
      <c r="CH146" s="393">
        <v>7.0707879999999997E-3</v>
      </c>
      <c r="CI146" s="393">
        <v>19.474329440000002</v>
      </c>
      <c r="CJ146" s="393">
        <v>2.0861206569999999</v>
      </c>
      <c r="CK146" s="393">
        <v>1.4750516999999999E-2</v>
      </c>
      <c r="CL146" s="393">
        <v>0.499995986</v>
      </c>
      <c r="CM146" s="393">
        <v>45.997164179999999</v>
      </c>
      <c r="CN146" s="393">
        <v>1.5642400000000001E-4</v>
      </c>
      <c r="CO146" s="393">
        <v>100006.59390000001</v>
      </c>
      <c r="CP146" s="393">
        <v>0</v>
      </c>
      <c r="CQ146" s="393">
        <v>0</v>
      </c>
      <c r="CR146" s="393">
        <v>109.16500000000001</v>
      </c>
      <c r="CS146" s="393">
        <v>23.653760259999999</v>
      </c>
      <c r="CT146" s="393">
        <v>0.32292439099999998</v>
      </c>
      <c r="CU146" s="393"/>
      <c r="CV146" s="393"/>
      <c r="CW146" s="393"/>
      <c r="CX146" s="393"/>
      <c r="CY146" s="393"/>
      <c r="CZ146" s="393"/>
      <c r="DA146" s="393"/>
    </row>
    <row r="147" spans="1:105" x14ac:dyDescent="0.2">
      <c r="A147" s="366">
        <f>ROW()</f>
        <v>147</v>
      </c>
      <c r="B147" s="367" t="s">
        <v>50</v>
      </c>
      <c r="C147" s="368">
        <v>2</v>
      </c>
      <c r="D147" s="368">
        <v>230</v>
      </c>
      <c r="E147" s="367">
        <v>0</v>
      </c>
      <c r="F147" s="441">
        <v>230</v>
      </c>
      <c r="G147" s="369" t="s">
        <v>131</v>
      </c>
      <c r="H147" s="370">
        <v>1</v>
      </c>
      <c r="I147" s="367">
        <v>50</v>
      </c>
      <c r="J147" s="371">
        <v>10</v>
      </c>
      <c r="K147" s="372">
        <v>5</v>
      </c>
      <c r="L147" s="482">
        <v>100000</v>
      </c>
      <c r="M147" s="443" t="s">
        <v>535</v>
      </c>
      <c r="N147" s="483">
        <v>5.9999999999999995E-4</v>
      </c>
      <c r="O147" s="370">
        <v>6</v>
      </c>
      <c r="P147" s="66">
        <v>123</v>
      </c>
      <c r="Q147" s="335">
        <f>(W147-W13)/X147</f>
        <v>-0.33120667800740472</v>
      </c>
      <c r="S147" s="402">
        <v>229.9965521</v>
      </c>
      <c r="T147" s="395">
        <v>2.0000968299999999</v>
      </c>
      <c r="U147" s="402">
        <v>-2.008059E-3</v>
      </c>
      <c r="V147" s="395">
        <v>0.99999999900000003</v>
      </c>
      <c r="W147" s="400">
        <v>1.9801799999999998E-3</v>
      </c>
      <c r="X147" s="400">
        <v>3.7457879999999999E-3</v>
      </c>
      <c r="Y147" s="402">
        <v>2.0075605259999998</v>
      </c>
      <c r="Z147" s="409">
        <v>100001.98020000001</v>
      </c>
      <c r="AA147" s="396">
        <v>42037.548032407409</v>
      </c>
      <c r="AB147" s="393">
        <v>50.000023590177697</v>
      </c>
      <c r="AC147" s="393">
        <v>0.353515625</v>
      </c>
      <c r="AD147" s="393" t="s">
        <v>134</v>
      </c>
      <c r="AE147" s="393">
        <v>0</v>
      </c>
      <c r="AF147" s="393" t="s">
        <v>133</v>
      </c>
      <c r="AG147" s="393">
        <v>0.34799618323498599</v>
      </c>
      <c r="AH147" s="393">
        <v>-104.795024430802</v>
      </c>
      <c r="AI147" s="393">
        <v>1.1330936302158101</v>
      </c>
      <c r="AJ147" s="393">
        <v>1.1333706250416</v>
      </c>
      <c r="AK147" s="393">
        <v>107.950058779687</v>
      </c>
      <c r="AL147" s="393">
        <v>12778.4515389098</v>
      </c>
      <c r="AM147" s="393">
        <v>460.03121948242199</v>
      </c>
      <c r="AN147" s="393">
        <v>0.34746574071160502</v>
      </c>
      <c r="AO147" s="393">
        <v>-104.761720136734</v>
      </c>
      <c r="AP147" s="393">
        <v>1.13309566645785</v>
      </c>
      <c r="AQ147" s="393">
        <v>1.1326839482594899</v>
      </c>
      <c r="AR147" s="393">
        <v>107.944510366619</v>
      </c>
      <c r="AS147" s="393">
        <v>12778.496420141901</v>
      </c>
      <c r="AT147" s="393">
        <v>460.02697753906199</v>
      </c>
      <c r="AU147" s="393">
        <v>0.34795583839569599</v>
      </c>
      <c r="AV147" s="393">
        <v>-104.82748389798201</v>
      </c>
      <c r="AW147" s="393">
        <v>1.1330949334428599</v>
      </c>
      <c r="AX147" s="393">
        <v>1.1330600369796699</v>
      </c>
      <c r="AY147" s="393">
        <v>107.938907894469</v>
      </c>
      <c r="AZ147" s="393">
        <v>12778.414656138801</v>
      </c>
      <c r="BA147" s="393">
        <v>460.03421020507801</v>
      </c>
      <c r="BB147" s="393">
        <v>0.35012516639442498</v>
      </c>
      <c r="BC147" s="393">
        <v>-104.919133823176</v>
      </c>
      <c r="BD147" s="393">
        <v>1.13309665863746</v>
      </c>
      <c r="BE147" s="393">
        <v>1.13354794440735</v>
      </c>
      <c r="BF147" s="393">
        <v>107.950531568941</v>
      </c>
      <c r="BG147" s="393">
        <v>12778.6984773449</v>
      </c>
      <c r="BH147" s="393">
        <v>460.02972412109398</v>
      </c>
      <c r="BI147" s="393">
        <v>0.34776077940590699</v>
      </c>
      <c r="BJ147" s="393">
        <v>-104.66095414807</v>
      </c>
      <c r="BK147" s="393">
        <v>1.1330962335911099</v>
      </c>
      <c r="BL147" s="393">
        <v>1.13303877234686</v>
      </c>
      <c r="BM147" s="393">
        <v>107.960537275924</v>
      </c>
      <c r="BN147" s="393">
        <v>12778.228665503801</v>
      </c>
      <c r="BO147" s="393">
        <v>460.03161621093801</v>
      </c>
      <c r="BP147" s="393"/>
      <c r="BQ147" s="335">
        <f>('RD31 Data'!HY147-'RD31 Data'!HY13)/10000/X147</f>
        <v>-8.8956136390622068E-2</v>
      </c>
      <c r="BR147" s="393"/>
      <c r="BS147" s="393"/>
      <c r="BT147" s="393"/>
      <c r="BU147" s="393"/>
      <c r="BV147" s="393"/>
      <c r="BW147" s="393">
        <v>460.01537710000002</v>
      </c>
      <c r="BX147" s="393">
        <v>1.6122276000000001E-2</v>
      </c>
      <c r="BY147" s="393">
        <v>229.9965521</v>
      </c>
      <c r="BZ147" s="393">
        <v>2.0000968299999999</v>
      </c>
      <c r="CA147" s="393">
        <v>-2.008059E-3</v>
      </c>
      <c r="CB147" s="393">
        <v>9.3247299999999996E-4</v>
      </c>
      <c r="CC147" s="393">
        <v>6.1026099999999996E-4</v>
      </c>
      <c r="CD147" s="393">
        <v>1.0832699999999999E-4</v>
      </c>
      <c r="CE147" s="399">
        <v>4.2195099999999999E-6</v>
      </c>
      <c r="CF147" s="399">
        <v>7.6005600000000003E-5</v>
      </c>
      <c r="CG147" s="393">
        <v>1.9801799999999998E-3</v>
      </c>
      <c r="CH147" s="393">
        <v>1.865841E-3</v>
      </c>
      <c r="CI147" s="393">
        <v>50.462586790000003</v>
      </c>
      <c r="CJ147" s="393">
        <v>2.0075605259999998</v>
      </c>
      <c r="CK147" s="393">
        <v>3.7457879999999999E-3</v>
      </c>
      <c r="CL147" s="393">
        <v>0.99999999900000003</v>
      </c>
      <c r="CM147" s="393">
        <v>114.99270869999999</v>
      </c>
      <c r="CN147" s="393">
        <v>5.8836999999999995E-4</v>
      </c>
      <c r="CO147" s="393">
        <v>100001.98020000001</v>
      </c>
      <c r="CP147" s="393">
        <v>0</v>
      </c>
      <c r="CQ147" s="393">
        <v>0</v>
      </c>
      <c r="CR147" s="393">
        <v>109.16200000000001</v>
      </c>
      <c r="CS147" s="393">
        <v>23.646030079999999</v>
      </c>
      <c r="CT147" s="393">
        <v>0.32292470600000001</v>
      </c>
      <c r="CU147" s="393"/>
      <c r="CV147" s="393"/>
      <c r="CW147" s="393"/>
      <c r="CX147" s="393"/>
      <c r="CY147" s="393"/>
      <c r="CZ147" s="393"/>
      <c r="DA147" s="393"/>
    </row>
    <row r="148" spans="1:105" x14ac:dyDescent="0.2">
      <c r="A148" s="366">
        <f>ROW()</f>
        <v>148</v>
      </c>
      <c r="B148" s="367" t="s">
        <v>50</v>
      </c>
      <c r="C148" s="368">
        <v>2</v>
      </c>
      <c r="D148" s="368">
        <v>230</v>
      </c>
      <c r="E148" s="367">
        <v>0</v>
      </c>
      <c r="F148" s="441">
        <v>230</v>
      </c>
      <c r="G148" s="369" t="s">
        <v>131</v>
      </c>
      <c r="H148" s="370">
        <v>1</v>
      </c>
      <c r="I148" s="367">
        <v>50</v>
      </c>
      <c r="J148" s="371">
        <v>10</v>
      </c>
      <c r="K148" s="372">
        <v>5</v>
      </c>
      <c r="L148" s="482">
        <v>100000</v>
      </c>
      <c r="M148" s="443" t="s">
        <v>535</v>
      </c>
      <c r="N148" s="726">
        <f t="shared" ref="N148:N154" si="4">IF(M148="watts",SQRT((0.0005+0.001/COS(RADIANS(ABS(E148))))^2+0.000645^2)*IF(T148&gt;26,2,1),SQRT((0.001+0.001/SIN(RADIANS(ABS(E148))))^2+0.000645^2+0.0035^2))</f>
        <v>1.6327966805453765E-3</v>
      </c>
      <c r="O148" s="370">
        <v>6</v>
      </c>
      <c r="P148" s="66">
        <v>123</v>
      </c>
      <c r="Q148" s="335">
        <f>(W148-W14)/X148</f>
        <v>-8.693691437625703E-2</v>
      </c>
      <c r="S148" s="402">
        <v>229.9966622</v>
      </c>
      <c r="T148" s="395">
        <v>2.0000802929999999</v>
      </c>
      <c r="U148" s="402">
        <v>-2.3884010000000001E-3</v>
      </c>
      <c r="V148" s="395">
        <v>0.99999999900000003</v>
      </c>
      <c r="W148" s="400">
        <v>2.520727E-3</v>
      </c>
      <c r="X148" s="400">
        <v>4.8318140000000002E-3</v>
      </c>
      <c r="Y148" s="402">
        <v>2.0698586720000001</v>
      </c>
      <c r="Z148" s="409">
        <v>100002.52069999999</v>
      </c>
      <c r="AA148" s="396">
        <v>42037.55091435185</v>
      </c>
      <c r="AB148" s="393">
        <v>50.000344342594303</v>
      </c>
      <c r="AC148" s="393">
        <v>0.353515625</v>
      </c>
      <c r="AD148" s="393" t="s">
        <v>134</v>
      </c>
      <c r="AE148" s="393">
        <v>0</v>
      </c>
      <c r="AF148" s="393" t="s">
        <v>133</v>
      </c>
      <c r="AG148" s="393">
        <v>0.34943570795218798</v>
      </c>
      <c r="AH148" s="393">
        <v>-104.78267169345099</v>
      </c>
      <c r="AI148" s="393">
        <v>1.13309496216133</v>
      </c>
      <c r="AJ148" s="393">
        <v>1.13302998305657</v>
      </c>
      <c r="AK148" s="393">
        <v>107.972525679546</v>
      </c>
      <c r="AL148" s="393">
        <v>12778.637172499601</v>
      </c>
      <c r="AM148" s="393">
        <v>460.02871704101602</v>
      </c>
      <c r="AN148" s="393">
        <v>0.34923027658210698</v>
      </c>
      <c r="AO148" s="393">
        <v>-104.480412413298</v>
      </c>
      <c r="AP148" s="393">
        <v>1.1330961512582101</v>
      </c>
      <c r="AQ148" s="393">
        <v>1.13292129027435</v>
      </c>
      <c r="AR148" s="393">
        <v>107.93846903491399</v>
      </c>
      <c r="AS148" s="393">
        <v>12778.380091483799</v>
      </c>
      <c r="AT148" s="393">
        <v>460.03063964843801</v>
      </c>
      <c r="AU148" s="393">
        <v>0.35107693297868497</v>
      </c>
      <c r="AV148" s="393">
        <v>-104.6451212895</v>
      </c>
      <c r="AW148" s="393">
        <v>1.1330964740184</v>
      </c>
      <c r="AX148" s="393">
        <v>1.13371874887587</v>
      </c>
      <c r="AY148" s="393">
        <v>107.94261641576099</v>
      </c>
      <c r="AZ148" s="393">
        <v>12778.4444303779</v>
      </c>
      <c r="BA148" s="393">
        <v>460.0263671875</v>
      </c>
      <c r="BB148" s="393">
        <v>0.35000119846737199</v>
      </c>
      <c r="BC148" s="393">
        <v>-104.663460506974</v>
      </c>
      <c r="BD148" s="393">
        <v>1.13309542105913</v>
      </c>
      <c r="BE148" s="393">
        <v>1.13281403757503</v>
      </c>
      <c r="BF148" s="393">
        <v>107.967167073792</v>
      </c>
      <c r="BG148" s="393">
        <v>12778.394813376201</v>
      </c>
      <c r="BH148" s="393">
        <v>460.02978515625</v>
      </c>
      <c r="BI148" s="393">
        <v>0.35004325060805203</v>
      </c>
      <c r="BJ148" s="393">
        <v>-104.18191842559401</v>
      </c>
      <c r="BK148" s="393">
        <v>1.13309682672011</v>
      </c>
      <c r="BL148" s="393">
        <v>1.13258296063946</v>
      </c>
      <c r="BM148" s="393">
        <v>107.956702664264</v>
      </c>
      <c r="BN148" s="393">
        <v>12778.280910686901</v>
      </c>
      <c r="BO148" s="393">
        <v>460.02804565429699</v>
      </c>
      <c r="BP148" s="393"/>
      <c r="BQ148" s="335">
        <f>('RD31 Data'!HY148-'RD31 Data'!HY14)/10000/X148</f>
        <v>-6.6929869074861034E-3</v>
      </c>
      <c r="BR148" s="393"/>
      <c r="BS148" s="393"/>
      <c r="BT148" s="393"/>
      <c r="BU148" s="393"/>
      <c r="BV148" s="393"/>
      <c r="BW148" s="393">
        <v>460.01179380000002</v>
      </c>
      <c r="BX148" s="393">
        <v>1.9175808999999999E-2</v>
      </c>
      <c r="BY148" s="393">
        <v>229.9966622</v>
      </c>
      <c r="BZ148" s="393">
        <v>2.0000802929999999</v>
      </c>
      <c r="CA148" s="393">
        <v>-2.3884010000000001E-3</v>
      </c>
      <c r="CB148" s="393">
        <v>6.2767200000000002E-4</v>
      </c>
      <c r="CC148" s="393">
        <v>1.476904E-3</v>
      </c>
      <c r="CD148" s="399">
        <v>6.9423299999999996E-5</v>
      </c>
      <c r="CE148" s="399">
        <v>2.9056000000000002E-6</v>
      </c>
      <c r="CF148" s="393">
        <v>1.83952E-4</v>
      </c>
      <c r="CG148" s="393">
        <v>2.520727E-3</v>
      </c>
      <c r="CH148" s="393">
        <v>2.3343690000000002E-3</v>
      </c>
      <c r="CI148" s="393">
        <v>22.243171400000001</v>
      </c>
      <c r="CJ148" s="393">
        <v>2.0698586720000001</v>
      </c>
      <c r="CK148" s="393">
        <v>4.8318140000000002E-3</v>
      </c>
      <c r="CL148" s="393">
        <v>0.99999999900000003</v>
      </c>
      <c r="CM148" s="393">
        <v>114.9937145</v>
      </c>
      <c r="CN148" s="393">
        <v>4.0990200000000002E-4</v>
      </c>
      <c r="CO148" s="393">
        <v>100002.52069999999</v>
      </c>
      <c r="CP148" s="393">
        <v>0</v>
      </c>
      <c r="CQ148" s="393">
        <v>0</v>
      </c>
      <c r="CR148" s="393">
        <v>109.166</v>
      </c>
      <c r="CS148" s="393">
        <v>23.65633699</v>
      </c>
      <c r="CT148" s="393">
        <v>0.322924286</v>
      </c>
      <c r="CU148" s="393"/>
      <c r="CV148" s="393"/>
      <c r="CW148" s="393"/>
      <c r="CX148" s="393"/>
      <c r="CY148" s="393"/>
      <c r="CZ148" s="393"/>
      <c r="DA148" s="393"/>
    </row>
    <row r="149" spans="1:105" x14ac:dyDescent="0.2">
      <c r="A149" s="366">
        <f>ROW()</f>
        <v>149</v>
      </c>
      <c r="B149" s="367" t="s">
        <v>50</v>
      </c>
      <c r="C149" s="368">
        <v>2</v>
      </c>
      <c r="D149" s="368">
        <v>230</v>
      </c>
      <c r="E149" s="367">
        <v>-60</v>
      </c>
      <c r="F149" s="441">
        <v>230</v>
      </c>
      <c r="G149" s="369" t="s">
        <v>131</v>
      </c>
      <c r="H149" s="370">
        <v>1</v>
      </c>
      <c r="I149" s="367">
        <v>50</v>
      </c>
      <c r="J149" s="371">
        <v>10</v>
      </c>
      <c r="K149" s="372">
        <v>5</v>
      </c>
      <c r="L149" s="482">
        <v>100000</v>
      </c>
      <c r="M149" s="443" t="s">
        <v>535</v>
      </c>
      <c r="N149" s="726">
        <f t="shared" si="4"/>
        <v>2.5818646362658127E-3</v>
      </c>
      <c r="O149" s="370">
        <v>6</v>
      </c>
      <c r="P149" s="66">
        <v>123</v>
      </c>
      <c r="Q149" s="335">
        <f>(W149-W15)/X149</f>
        <v>7.8579917379548128E-2</v>
      </c>
      <c r="S149" s="402">
        <v>229.99678979999999</v>
      </c>
      <c r="T149" s="395">
        <v>2.0000072750000002</v>
      </c>
      <c r="U149" s="402">
        <v>-59.999799080000003</v>
      </c>
      <c r="V149" s="395">
        <v>0.50000303700000004</v>
      </c>
      <c r="W149" s="400">
        <v>-3.1340679999999998E-3</v>
      </c>
      <c r="X149" s="400">
        <v>8.6862269999999995E-3</v>
      </c>
      <c r="Y149" s="402">
        <v>2.044896987</v>
      </c>
      <c r="Z149" s="409">
        <v>99996.86593</v>
      </c>
      <c r="AA149" s="396">
        <v>42037.553831018522</v>
      </c>
      <c r="AB149" s="393">
        <v>49.999948119609101</v>
      </c>
      <c r="AC149" s="393">
        <v>0.1767578125</v>
      </c>
      <c r="AD149" s="393" t="s">
        <v>134</v>
      </c>
      <c r="AE149" s="393">
        <v>0.3017578125</v>
      </c>
      <c r="AF149" s="393" t="s">
        <v>133</v>
      </c>
      <c r="AG149" s="393">
        <v>0.28590050067287798</v>
      </c>
      <c r="AH149" s="393">
        <v>-165.58400349224399</v>
      </c>
      <c r="AI149" s="393">
        <v>1.13309606748483</v>
      </c>
      <c r="AJ149" s="393">
        <v>1.1330724225850399</v>
      </c>
      <c r="AK149" s="393">
        <v>107.947652346341</v>
      </c>
      <c r="AL149" s="393">
        <v>6388.7598525324402</v>
      </c>
      <c r="AM149" s="393">
        <v>229.98808288574199</v>
      </c>
      <c r="AN149" s="393">
        <v>0.28628562071672597</v>
      </c>
      <c r="AO149" s="393">
        <v>-165.45404266733101</v>
      </c>
      <c r="AP149" s="393">
        <v>1.13309604657438</v>
      </c>
      <c r="AQ149" s="393">
        <v>1.1332545677524499</v>
      </c>
      <c r="AR149" s="393">
        <v>107.943453465891</v>
      </c>
      <c r="AS149" s="393">
        <v>6388.6862849772897</v>
      </c>
      <c r="AT149" s="393">
        <v>229.99375915527301</v>
      </c>
      <c r="AU149" s="393">
        <v>0.28507015016015702</v>
      </c>
      <c r="AV149" s="393">
        <v>-165.32762386690001</v>
      </c>
      <c r="AW149" s="393">
        <v>1.1330967728904899</v>
      </c>
      <c r="AX149" s="393">
        <v>1.1333673520099601</v>
      </c>
      <c r="AY149" s="393">
        <v>107.957390338781</v>
      </c>
      <c r="AZ149" s="393">
        <v>6388.6778032690199</v>
      </c>
      <c r="BA149" s="393">
        <v>229.98812866210901</v>
      </c>
      <c r="BB149" s="393">
        <v>0.28532250819513499</v>
      </c>
      <c r="BC149" s="393">
        <v>-165.59728852926</v>
      </c>
      <c r="BD149" s="393">
        <v>1.1330976943863</v>
      </c>
      <c r="BE149" s="393">
        <v>1.13305749868524</v>
      </c>
      <c r="BF149" s="393">
        <v>107.95274670653799</v>
      </c>
      <c r="BG149" s="393">
        <v>6388.7085015467801</v>
      </c>
      <c r="BH149" s="393">
        <v>229.98844909668</v>
      </c>
      <c r="BI149" s="393">
        <v>0.28554947714018802</v>
      </c>
      <c r="BJ149" s="393">
        <v>-165.41143856138299</v>
      </c>
      <c r="BK149" s="393">
        <v>1.13309639774683</v>
      </c>
      <c r="BL149" s="393">
        <v>1.13285137439772</v>
      </c>
      <c r="BM149" s="393">
        <v>107.922659418051</v>
      </c>
      <c r="BN149" s="393">
        <v>6388.4754019494003</v>
      </c>
      <c r="BO149" s="393">
        <v>229.99356079101599</v>
      </c>
      <c r="BP149" s="393"/>
      <c r="BQ149" s="335">
        <f>('RD31 Data'!HY149-'RD31 Data'!HY15)/10000/X149</f>
        <v>0.16725094774202348</v>
      </c>
      <c r="BR149" s="393"/>
      <c r="BS149" s="393"/>
      <c r="BT149" s="393"/>
      <c r="BU149" s="393"/>
      <c r="BV149" s="393"/>
      <c r="BW149" s="393">
        <v>229.9990248</v>
      </c>
      <c r="BX149" s="393">
        <v>398.36677049999997</v>
      </c>
      <c r="BY149" s="393">
        <v>229.99678979999999</v>
      </c>
      <c r="BZ149" s="393">
        <v>2.0000072750000002</v>
      </c>
      <c r="CA149" s="393">
        <v>-59.999799080000003</v>
      </c>
      <c r="CB149" s="393">
        <v>6.0305999999999999E-4</v>
      </c>
      <c r="CC149" s="393">
        <v>6.8303299999999999E-4</v>
      </c>
      <c r="CD149" s="399">
        <v>6.1887500000000007E-5</v>
      </c>
      <c r="CE149" s="399">
        <v>2.5018299999999999E-6</v>
      </c>
      <c r="CF149" s="399">
        <v>7.5275099999999994E-5</v>
      </c>
      <c r="CG149" s="393">
        <v>-3.1340679999999998E-3</v>
      </c>
      <c r="CH149" s="393">
        <v>4.2477579999999999E-3</v>
      </c>
      <c r="CI149" s="393">
        <v>28.567341330000001</v>
      </c>
      <c r="CJ149" s="393">
        <v>2.044896987</v>
      </c>
      <c r="CK149" s="393">
        <v>8.6862269999999995E-3</v>
      </c>
      <c r="CL149" s="393">
        <v>0.50000303700000004</v>
      </c>
      <c r="CM149" s="393">
        <v>114.9979766</v>
      </c>
      <c r="CN149" s="393">
        <v>2.6683099999999998E-4</v>
      </c>
      <c r="CO149" s="393">
        <v>99996.86593</v>
      </c>
      <c r="CP149" s="393">
        <v>0</v>
      </c>
      <c r="CQ149" s="393">
        <v>0</v>
      </c>
      <c r="CR149" s="393">
        <v>109.16500000000001</v>
      </c>
      <c r="CS149" s="393">
        <v>23.653760259999999</v>
      </c>
      <c r="CT149" s="393">
        <v>0.32292439099999998</v>
      </c>
      <c r="CU149" s="393"/>
      <c r="CV149" s="393"/>
      <c r="CW149" s="393"/>
      <c r="CX149" s="393"/>
      <c r="CY149" s="393"/>
      <c r="CZ149" s="393"/>
      <c r="DA149" s="393"/>
    </row>
    <row r="150" spans="1:105" x14ac:dyDescent="0.2">
      <c r="A150" s="366">
        <f>ROW()</f>
        <v>150</v>
      </c>
      <c r="B150" s="367" t="s">
        <v>50</v>
      </c>
      <c r="C150" s="368">
        <v>2</v>
      </c>
      <c r="D150" s="368">
        <v>230</v>
      </c>
      <c r="E150" s="367">
        <v>-60</v>
      </c>
      <c r="F150" s="441">
        <v>230</v>
      </c>
      <c r="G150" s="369" t="s">
        <v>131</v>
      </c>
      <c r="H150" s="370">
        <v>1</v>
      </c>
      <c r="I150" s="367">
        <v>50</v>
      </c>
      <c r="J150" s="371">
        <v>10</v>
      </c>
      <c r="K150" s="372">
        <v>5</v>
      </c>
      <c r="L150" s="482">
        <v>100000</v>
      </c>
      <c r="M150" s="443" t="s">
        <v>535</v>
      </c>
      <c r="N150" s="726">
        <f t="shared" si="4"/>
        <v>2.5818646362658127E-3</v>
      </c>
      <c r="O150" s="370">
        <v>6</v>
      </c>
      <c r="P150" s="66">
        <v>123</v>
      </c>
      <c r="Q150" s="335">
        <f>(W150-W16)/X150</f>
        <v>-0.52629642899097484</v>
      </c>
      <c r="S150" s="402">
        <v>229.99684579999999</v>
      </c>
      <c r="T150" s="395">
        <v>2.0000345959999999</v>
      </c>
      <c r="U150" s="402">
        <v>-59.99970467</v>
      </c>
      <c r="V150" s="395">
        <v>0.50000446399999998</v>
      </c>
      <c r="W150" s="400">
        <v>-7.0747020000000004E-3</v>
      </c>
      <c r="X150" s="400">
        <v>8.8786390000000007E-3</v>
      </c>
      <c r="Y150" s="402">
        <v>2.0396359670000002</v>
      </c>
      <c r="Z150" s="409">
        <v>99992.925300000003</v>
      </c>
      <c r="AA150" s="396">
        <v>42037.55672453704</v>
      </c>
      <c r="AB150" s="393">
        <v>50.000226421705896</v>
      </c>
      <c r="AC150" s="393">
        <v>0.1767578125</v>
      </c>
      <c r="AD150" s="393" t="s">
        <v>134</v>
      </c>
      <c r="AE150" s="393">
        <v>0.3017578125</v>
      </c>
      <c r="AF150" s="393" t="s">
        <v>133</v>
      </c>
      <c r="AG150" s="393">
        <v>0.28356278627216702</v>
      </c>
      <c r="AH150" s="393">
        <v>-165.912841743369</v>
      </c>
      <c r="AI150" s="393">
        <v>1.1330967761292099</v>
      </c>
      <c r="AJ150" s="393">
        <v>1.13241869194786</v>
      </c>
      <c r="AK150" s="393">
        <v>107.95684539841101</v>
      </c>
      <c r="AL150" s="393">
        <v>6388.6528198412198</v>
      </c>
      <c r="AM150" s="393">
        <v>229.99154663085901</v>
      </c>
      <c r="AN150" s="393">
        <v>0.28283220044665103</v>
      </c>
      <c r="AO150" s="393">
        <v>-165.56249841900001</v>
      </c>
      <c r="AP150" s="393">
        <v>1.1330959471420201</v>
      </c>
      <c r="AQ150" s="393">
        <v>1.1328896462442499</v>
      </c>
      <c r="AR150" s="393">
        <v>107.950598284169</v>
      </c>
      <c r="AS150" s="393">
        <v>6388.4815008834603</v>
      </c>
      <c r="AT150" s="393">
        <v>229.989990234375</v>
      </c>
      <c r="AU150" s="393">
        <v>0.284095547087166</v>
      </c>
      <c r="AV150" s="393">
        <v>-166.09208630903899</v>
      </c>
      <c r="AW150" s="393">
        <v>1.1330971983764799</v>
      </c>
      <c r="AX150" s="393">
        <v>1.1332795641409401</v>
      </c>
      <c r="AY150" s="393">
        <v>107.941936454025</v>
      </c>
      <c r="AZ150" s="393">
        <v>6388.3800471383702</v>
      </c>
      <c r="BA150" s="393">
        <v>229.99327087402301</v>
      </c>
      <c r="BB150" s="393">
        <v>0.28439366360770002</v>
      </c>
      <c r="BC150" s="393">
        <v>-165.247103614992</v>
      </c>
      <c r="BD150" s="393">
        <v>1.1330967684567499</v>
      </c>
      <c r="BE150" s="393">
        <v>1.1328656719547301</v>
      </c>
      <c r="BF150" s="393">
        <v>107.943706385694</v>
      </c>
      <c r="BG150" s="393">
        <v>6388.5904175188698</v>
      </c>
      <c r="BH150" s="393">
        <v>229.99038696289099</v>
      </c>
      <c r="BI150" s="393">
        <v>0.28473500640070099</v>
      </c>
      <c r="BJ150" s="393">
        <v>-165.54326880915099</v>
      </c>
      <c r="BK150" s="393">
        <v>1.13309766776944</v>
      </c>
      <c r="BL150" s="393">
        <v>1.1333590862452301</v>
      </c>
      <c r="BM150" s="393">
        <v>107.955611046705</v>
      </c>
      <c r="BN150" s="393">
        <v>6388.4795144283498</v>
      </c>
      <c r="BO150" s="393">
        <v>229.99081420898401</v>
      </c>
      <c r="BP150" s="393"/>
      <c r="BQ150" s="335">
        <f>('RD31 Data'!HY150-'RD31 Data'!HY16)/10000/X150</f>
        <v>-0.262543600138612</v>
      </c>
      <c r="BR150" s="393"/>
      <c r="BS150" s="393"/>
      <c r="BT150" s="393"/>
      <c r="BU150" s="393"/>
      <c r="BV150" s="393"/>
      <c r="BW150" s="393">
        <v>230.00287900000001</v>
      </c>
      <c r="BX150" s="393">
        <v>398.37193020000001</v>
      </c>
      <c r="BY150" s="393">
        <v>229.99684579999999</v>
      </c>
      <c r="BZ150" s="393">
        <v>2.0000345959999999</v>
      </c>
      <c r="CA150" s="393">
        <v>-59.99970467</v>
      </c>
      <c r="CB150" s="393">
        <v>1.6145770000000001E-3</v>
      </c>
      <c r="CC150" s="393">
        <v>7.3460799999999998E-4</v>
      </c>
      <c r="CD150" s="399">
        <v>5.7676400000000002E-5</v>
      </c>
      <c r="CE150" s="399">
        <v>3.0278E-6</v>
      </c>
      <c r="CF150" s="393">
        <v>2.0739599999999999E-4</v>
      </c>
      <c r="CG150" s="393">
        <v>-7.0747020000000004E-3</v>
      </c>
      <c r="CH150" s="393">
        <v>4.3530510000000001E-3</v>
      </c>
      <c r="CI150" s="393">
        <v>30.407889730000001</v>
      </c>
      <c r="CJ150" s="393">
        <v>2.0396359670000002</v>
      </c>
      <c r="CK150" s="393">
        <v>8.8786390000000007E-3</v>
      </c>
      <c r="CL150" s="393">
        <v>0.50000446399999998</v>
      </c>
      <c r="CM150" s="393">
        <v>114.9964337</v>
      </c>
      <c r="CN150" s="393">
        <v>4.4105099999999998E-4</v>
      </c>
      <c r="CO150" s="393">
        <v>99992.925300000003</v>
      </c>
      <c r="CP150" s="393">
        <v>0</v>
      </c>
      <c r="CQ150" s="393">
        <v>0</v>
      </c>
      <c r="CR150" s="393">
        <v>109.163</v>
      </c>
      <c r="CS150" s="393">
        <v>23.6486068</v>
      </c>
      <c r="CT150" s="393">
        <v>0.32292460099999998</v>
      </c>
      <c r="CU150" s="393"/>
      <c r="CV150" s="393"/>
      <c r="CW150" s="393"/>
      <c r="CX150" s="393"/>
      <c r="CY150" s="393"/>
      <c r="CZ150" s="393"/>
      <c r="DA150" s="393"/>
    </row>
    <row r="151" spans="1:105" x14ac:dyDescent="0.2">
      <c r="A151" s="366">
        <f>ROW()</f>
        <v>151</v>
      </c>
      <c r="B151" s="367" t="s">
        <v>50</v>
      </c>
      <c r="C151" s="368">
        <v>5</v>
      </c>
      <c r="D151" s="368">
        <v>230</v>
      </c>
      <c r="E151" s="367">
        <v>0</v>
      </c>
      <c r="F151" s="441">
        <v>230</v>
      </c>
      <c r="G151" s="369" t="s">
        <v>131</v>
      </c>
      <c r="H151" s="370">
        <v>1</v>
      </c>
      <c r="I151" s="367">
        <v>50</v>
      </c>
      <c r="J151" s="371">
        <v>10</v>
      </c>
      <c r="K151" s="372">
        <v>5</v>
      </c>
      <c r="L151" s="482">
        <v>100000</v>
      </c>
      <c r="M151" s="443" t="s">
        <v>535</v>
      </c>
      <c r="N151" s="726">
        <f t="shared" si="4"/>
        <v>1.6327966805453765E-3</v>
      </c>
      <c r="O151" s="370">
        <v>6</v>
      </c>
      <c r="P151" s="66">
        <v>123</v>
      </c>
      <c r="Q151" s="335">
        <f>(W151-W22)/X151</f>
        <v>-0.11596737275456868</v>
      </c>
      <c r="S151" s="402">
        <v>229.99690079999999</v>
      </c>
      <c r="T151" s="395">
        <v>5.0002226309999998</v>
      </c>
      <c r="U151" s="402">
        <v>-9.767249999999999E-4</v>
      </c>
      <c r="V151" s="395">
        <v>1</v>
      </c>
      <c r="W151" s="400">
        <v>2.4376839999999999E-3</v>
      </c>
      <c r="X151" s="400">
        <v>4.7223109999999999E-3</v>
      </c>
      <c r="Y151" s="402">
        <v>2.0821019569999999</v>
      </c>
      <c r="Z151" s="409">
        <v>100002.43769999999</v>
      </c>
      <c r="AA151" s="396">
        <v>42037.559629629628</v>
      </c>
      <c r="AB151" s="393">
        <v>50.000306612309998</v>
      </c>
      <c r="AC151" s="393">
        <v>0.8828125</v>
      </c>
      <c r="AD151" s="393" t="s">
        <v>134</v>
      </c>
      <c r="AE151" s="393">
        <v>0</v>
      </c>
      <c r="AF151" s="393" t="s">
        <v>133</v>
      </c>
      <c r="AG151" s="393">
        <v>0.31838597964045501</v>
      </c>
      <c r="AH151" s="393">
        <v>-110.676556903226</v>
      </c>
      <c r="AI151" s="393">
        <v>1.13309788277252</v>
      </c>
      <c r="AJ151" s="393">
        <v>1.13327522522194</v>
      </c>
      <c r="AK151" s="393">
        <v>107.94201171084499</v>
      </c>
      <c r="AL151" s="393">
        <v>31946.586573584798</v>
      </c>
      <c r="AM151" s="393">
        <v>1150.06494140625</v>
      </c>
      <c r="AN151" s="393">
        <v>0.31898902043584698</v>
      </c>
      <c r="AO151" s="393">
        <v>-110.605266174501</v>
      </c>
      <c r="AP151" s="393">
        <v>1.1330978024017799</v>
      </c>
      <c r="AQ151" s="393">
        <v>1.1326901609959701</v>
      </c>
      <c r="AR151" s="393">
        <v>107.951115068386</v>
      </c>
      <c r="AS151" s="393">
        <v>31946.194123737001</v>
      </c>
      <c r="AT151" s="393">
        <v>1150.06298828125</v>
      </c>
      <c r="AU151" s="393">
        <v>0.321092964555584</v>
      </c>
      <c r="AV151" s="393">
        <v>-110.427873662675</v>
      </c>
      <c r="AW151" s="393">
        <v>1.1330968638922601</v>
      </c>
      <c r="AX151" s="393">
        <v>1.1333476785213401</v>
      </c>
      <c r="AY151" s="393">
        <v>107.922255270672</v>
      </c>
      <c r="AZ151" s="393">
        <v>31946.137869775801</v>
      </c>
      <c r="BA151" s="393">
        <v>1150.06420898438</v>
      </c>
      <c r="BB151" s="393">
        <v>0.31921233872918198</v>
      </c>
      <c r="BC151" s="393">
        <v>-111.173791492334</v>
      </c>
      <c r="BD151" s="393">
        <v>1.1330970509178699</v>
      </c>
      <c r="BE151" s="393">
        <v>1.13276426809654</v>
      </c>
      <c r="BF151" s="393">
        <v>107.93790551645699</v>
      </c>
      <c r="BG151" s="393">
        <v>31945.968817283701</v>
      </c>
      <c r="BH151" s="393">
        <v>1150.06457519531</v>
      </c>
      <c r="BI151" s="393">
        <v>0.319430163705059</v>
      </c>
      <c r="BJ151" s="393">
        <v>-110.747354498907</v>
      </c>
      <c r="BK151" s="393">
        <v>1.1330961136736799</v>
      </c>
      <c r="BL151" s="393">
        <v>1.13253847098552</v>
      </c>
      <c r="BM151" s="393">
        <v>107.96654054521299</v>
      </c>
      <c r="BN151" s="393">
        <v>31946.1889351506</v>
      </c>
      <c r="BO151" s="393">
        <v>1150.06848144531</v>
      </c>
      <c r="BP151" s="393"/>
      <c r="BQ151" s="335">
        <f>('RD31 Data'!HY151-'RD31 Data'!HY22)/10000/X151</f>
        <v>-0.19852576685699061</v>
      </c>
      <c r="BR151" s="393"/>
      <c r="BS151" s="393"/>
      <c r="BT151" s="393"/>
      <c r="BU151" s="393"/>
      <c r="BV151" s="393"/>
      <c r="BW151" s="393">
        <v>1150.035715</v>
      </c>
      <c r="BX151" s="393">
        <v>1.9604732E-2</v>
      </c>
      <c r="BY151" s="393">
        <v>229.99690079999999</v>
      </c>
      <c r="BZ151" s="393">
        <v>5.0002226309999998</v>
      </c>
      <c r="CA151" s="393">
        <v>-9.767249999999999E-4</v>
      </c>
      <c r="CB151" s="393">
        <v>1.5532370000000001E-3</v>
      </c>
      <c r="CC151" s="393">
        <v>1.502502E-3</v>
      </c>
      <c r="CD151" s="399">
        <v>6.6204499999999999E-5</v>
      </c>
      <c r="CE151" s="399">
        <v>5.7729199999999999E-6</v>
      </c>
      <c r="CF151" s="399">
        <v>7.4856400000000004E-5</v>
      </c>
      <c r="CG151" s="393">
        <v>2.4376839999999999E-3</v>
      </c>
      <c r="CH151" s="393">
        <v>2.2680500000000002E-3</v>
      </c>
      <c r="CI151" s="393">
        <v>20.089632219999999</v>
      </c>
      <c r="CJ151" s="393">
        <v>2.0821019569999999</v>
      </c>
      <c r="CK151" s="393">
        <v>4.7223109999999999E-3</v>
      </c>
      <c r="CL151" s="393">
        <v>1</v>
      </c>
      <c r="CM151" s="393">
        <v>45.99733208</v>
      </c>
      <c r="CN151" s="393">
        <v>1.03244E-4</v>
      </c>
      <c r="CO151" s="393">
        <v>100002.43769999999</v>
      </c>
      <c r="CP151" s="393">
        <v>0</v>
      </c>
      <c r="CQ151" s="393">
        <v>0</v>
      </c>
      <c r="CR151" s="393">
        <v>109.15900000000001</v>
      </c>
      <c r="CS151" s="393">
        <v>23.638299920000001</v>
      </c>
      <c r="CT151" s="393">
        <v>0.32292502000000001</v>
      </c>
      <c r="CU151" s="393"/>
      <c r="CV151" s="393"/>
      <c r="CW151" s="393"/>
      <c r="CX151" s="393"/>
      <c r="CY151" s="393"/>
      <c r="CZ151" s="393"/>
      <c r="DA151" s="393"/>
    </row>
    <row r="152" spans="1:105" x14ac:dyDescent="0.2">
      <c r="A152" s="366">
        <f>ROW()</f>
        <v>152</v>
      </c>
      <c r="B152" s="367" t="s">
        <v>50</v>
      </c>
      <c r="C152" s="368">
        <v>5</v>
      </c>
      <c r="D152" s="368">
        <v>230</v>
      </c>
      <c r="E152" s="367">
        <v>0</v>
      </c>
      <c r="F152" s="441">
        <v>230</v>
      </c>
      <c r="G152" s="369" t="s">
        <v>131</v>
      </c>
      <c r="H152" s="370">
        <v>1</v>
      </c>
      <c r="I152" s="367">
        <v>50</v>
      </c>
      <c r="J152" s="371">
        <v>10</v>
      </c>
      <c r="K152" s="372">
        <v>5</v>
      </c>
      <c r="L152" s="482">
        <v>100000</v>
      </c>
      <c r="M152" s="443" t="s">
        <v>535</v>
      </c>
      <c r="N152" s="726">
        <f t="shared" si="4"/>
        <v>1.6327966805453765E-3</v>
      </c>
      <c r="O152" s="370">
        <v>6</v>
      </c>
      <c r="P152" s="66">
        <v>123</v>
      </c>
      <c r="Q152" s="335">
        <f>(W152-W23)/X152</f>
        <v>-0.10930808976096117</v>
      </c>
      <c r="S152" s="402">
        <v>229.99687650000001</v>
      </c>
      <c r="T152" s="395">
        <v>5.0002314779999999</v>
      </c>
      <c r="U152" s="402">
        <v>-1.116019E-3</v>
      </c>
      <c r="V152" s="395">
        <v>1</v>
      </c>
      <c r="W152" s="400">
        <v>2.066067E-3</v>
      </c>
      <c r="X152" s="400">
        <v>4.7115359999999997E-3</v>
      </c>
      <c r="Y152" s="402">
        <v>2.0835246999999999</v>
      </c>
      <c r="Z152" s="409">
        <v>100002.0661</v>
      </c>
      <c r="AA152" s="396">
        <v>42037.562511574077</v>
      </c>
      <c r="AB152" s="393">
        <v>50.000127360959503</v>
      </c>
      <c r="AC152" s="393">
        <v>0.8828125</v>
      </c>
      <c r="AD152" s="393" t="s">
        <v>134</v>
      </c>
      <c r="AE152" s="393">
        <v>0</v>
      </c>
      <c r="AF152" s="393" t="s">
        <v>133</v>
      </c>
      <c r="AG152" s="393">
        <v>0.31832832716981102</v>
      </c>
      <c r="AH152" s="393">
        <v>-111.07147293640099</v>
      </c>
      <c r="AI152" s="393">
        <v>1.1330956489108499</v>
      </c>
      <c r="AJ152" s="393">
        <v>1.133025293013</v>
      </c>
      <c r="AK152" s="393">
        <v>107.96609720311599</v>
      </c>
      <c r="AL152" s="393">
        <v>31946.14372167</v>
      </c>
      <c r="AM152" s="393">
        <v>1150.06713867188</v>
      </c>
      <c r="AN152" s="393">
        <v>0.31963885278083298</v>
      </c>
      <c r="AO152" s="393">
        <v>-110.492641487469</v>
      </c>
      <c r="AP152" s="393">
        <v>1.1330966394148101</v>
      </c>
      <c r="AQ152" s="393">
        <v>1.1329441652399299</v>
      </c>
      <c r="AR152" s="393">
        <v>107.95580683989201</v>
      </c>
      <c r="AS152" s="393">
        <v>31946.054326024201</v>
      </c>
      <c r="AT152" s="393">
        <v>1150.06140136719</v>
      </c>
      <c r="AU152" s="393">
        <v>0.31499179581435499</v>
      </c>
      <c r="AV152" s="393">
        <v>-110.22602406739399</v>
      </c>
      <c r="AW152" s="393">
        <v>1.13309650868698</v>
      </c>
      <c r="AX152" s="393">
        <v>1.13284509500834</v>
      </c>
      <c r="AY152" s="393">
        <v>107.962782246353</v>
      </c>
      <c r="AZ152" s="393">
        <v>31946.091397075099</v>
      </c>
      <c r="BA152" s="393">
        <v>1150.06713867188</v>
      </c>
      <c r="BB152" s="393">
        <v>0.31804673822565899</v>
      </c>
      <c r="BC152" s="393">
        <v>-110.452174215177</v>
      </c>
      <c r="BD152" s="393">
        <v>1.1330979954793901</v>
      </c>
      <c r="BE152" s="393">
        <v>1.1334126303422201</v>
      </c>
      <c r="BF152" s="393">
        <v>107.956216238018</v>
      </c>
      <c r="BG152" s="393">
        <v>31946.4303250712</v>
      </c>
      <c r="BH152" s="393">
        <v>1150.06188964844</v>
      </c>
      <c r="BI152" s="393">
        <v>0.32045886538653401</v>
      </c>
      <c r="BJ152" s="393">
        <v>-110.40126943188299</v>
      </c>
      <c r="BK152" s="393">
        <v>1.1330983221148201</v>
      </c>
      <c r="BL152" s="393">
        <v>1.1326509928655999</v>
      </c>
      <c r="BM152" s="393">
        <v>107.905041373252</v>
      </c>
      <c r="BN152" s="393">
        <v>31946.0286760573</v>
      </c>
      <c r="BO152" s="393">
        <v>1150.0625</v>
      </c>
      <c r="BP152" s="393"/>
      <c r="BQ152" s="335">
        <f>('RD31 Data'!HY152-'RD31 Data'!HY23)/10000/X152</f>
        <v>-0.22284259110357987</v>
      </c>
      <c r="BR152" s="393"/>
      <c r="BS152" s="393"/>
      <c r="BT152" s="393"/>
      <c r="BU152" s="393"/>
      <c r="BV152" s="393"/>
      <c r="BW152" s="393">
        <v>1150.037628</v>
      </c>
      <c r="BX152" s="393">
        <v>2.2400669000000002E-2</v>
      </c>
      <c r="BY152" s="393">
        <v>229.99687650000001</v>
      </c>
      <c r="BZ152" s="393">
        <v>5.0002314779999999</v>
      </c>
      <c r="CA152" s="393">
        <v>-1.116019E-3</v>
      </c>
      <c r="CB152" s="393">
        <v>1.788666E-3</v>
      </c>
      <c r="CC152" s="393">
        <v>1.925499E-3</v>
      </c>
      <c r="CD152" s="393">
        <v>1.00812E-4</v>
      </c>
      <c r="CE152" s="399">
        <v>8.0953099999999992E-6</v>
      </c>
      <c r="CF152" s="399">
        <v>9.5928799999999995E-5</v>
      </c>
      <c r="CG152" s="393">
        <v>2.066067E-3</v>
      </c>
      <c r="CH152" s="393">
        <v>2.2613300000000002E-3</v>
      </c>
      <c r="CI152" s="393">
        <v>19.86719403</v>
      </c>
      <c r="CJ152" s="393">
        <v>2.0835246999999999</v>
      </c>
      <c r="CK152" s="393">
        <v>4.7115359999999997E-3</v>
      </c>
      <c r="CL152" s="393">
        <v>1</v>
      </c>
      <c r="CM152" s="393">
        <v>45.997245839999998</v>
      </c>
      <c r="CN152" s="393">
        <v>1.8420000000000001E-4</v>
      </c>
      <c r="CO152" s="393">
        <v>100002.0661</v>
      </c>
      <c r="CP152" s="393">
        <v>0</v>
      </c>
      <c r="CQ152" s="393">
        <v>0</v>
      </c>
      <c r="CR152" s="393">
        <v>109.155</v>
      </c>
      <c r="CS152" s="393">
        <v>23.627993069999999</v>
      </c>
      <c r="CT152" s="393">
        <v>0.32292544000000001</v>
      </c>
      <c r="CU152" s="393"/>
      <c r="CV152" s="393"/>
      <c r="CW152" s="393"/>
      <c r="CX152" s="393"/>
      <c r="CY152" s="393"/>
      <c r="CZ152" s="393"/>
      <c r="DA152" s="393"/>
    </row>
    <row r="153" spans="1:105" x14ac:dyDescent="0.2">
      <c r="A153" s="366">
        <f>ROW()</f>
        <v>153</v>
      </c>
      <c r="B153" s="367" t="s">
        <v>50</v>
      </c>
      <c r="C153" s="368">
        <v>5</v>
      </c>
      <c r="D153" s="368">
        <v>230</v>
      </c>
      <c r="E153" s="367">
        <v>-60</v>
      </c>
      <c r="F153" s="441">
        <v>230</v>
      </c>
      <c r="G153" s="369" t="s">
        <v>131</v>
      </c>
      <c r="H153" s="370">
        <v>1</v>
      </c>
      <c r="I153" s="367">
        <v>50</v>
      </c>
      <c r="J153" s="371">
        <v>10</v>
      </c>
      <c r="K153" s="372">
        <v>5</v>
      </c>
      <c r="L153" s="482">
        <v>100000</v>
      </c>
      <c r="M153" s="443" t="s">
        <v>535</v>
      </c>
      <c r="N153" s="726">
        <f t="shared" si="4"/>
        <v>2.5818646362658127E-3</v>
      </c>
      <c r="O153" s="370">
        <v>6</v>
      </c>
      <c r="P153" s="66">
        <v>123</v>
      </c>
      <c r="Q153" s="335">
        <f>(W153-W24)/X153</f>
        <v>-0.17373444720093392</v>
      </c>
      <c r="S153" s="402">
        <v>229.99696979999999</v>
      </c>
      <c r="T153" s="395">
        <v>5.000020696</v>
      </c>
      <c r="U153" s="402">
        <v>-59.998532619999999</v>
      </c>
      <c r="V153" s="395">
        <v>0.50002217900000001</v>
      </c>
      <c r="W153" s="400">
        <v>-6.0692899999999998E-3</v>
      </c>
      <c r="X153" s="400">
        <v>8.6232870000000003E-3</v>
      </c>
      <c r="Y153" s="402">
        <v>2.0478667970000002</v>
      </c>
      <c r="Z153" s="409">
        <v>99993.930710000001</v>
      </c>
      <c r="AA153" s="396">
        <v>42037.565416666665</v>
      </c>
      <c r="AB153" s="393">
        <v>50.0001179308885</v>
      </c>
      <c r="AC153" s="393">
        <v>0.44140625</v>
      </c>
      <c r="AD153" s="393" t="s">
        <v>134</v>
      </c>
      <c r="AE153" s="393">
        <v>0.7529296875</v>
      </c>
      <c r="AF153" s="393" t="s">
        <v>133</v>
      </c>
      <c r="AG153" s="393">
        <v>0.20975826007895701</v>
      </c>
      <c r="AH153" s="393">
        <v>-19.547561730646301</v>
      </c>
      <c r="AI153" s="393">
        <v>1.1330969818466401</v>
      </c>
      <c r="AJ153" s="393">
        <v>1.13277153809644</v>
      </c>
      <c r="AK153" s="393">
        <v>107.947132684072</v>
      </c>
      <c r="AL153" s="393">
        <v>15972.0691863966</v>
      </c>
      <c r="AM153" s="393">
        <v>574.97888183593795</v>
      </c>
      <c r="AN153" s="393">
        <v>0.21224786178560301</v>
      </c>
      <c r="AO153" s="393">
        <v>-19.080717181481202</v>
      </c>
      <c r="AP153" s="393">
        <v>1.1330981778623901</v>
      </c>
      <c r="AQ153" s="393">
        <v>1.13331637400452</v>
      </c>
      <c r="AR153" s="393">
        <v>107.947497072839</v>
      </c>
      <c r="AS153" s="393">
        <v>15971.712992979201</v>
      </c>
      <c r="AT153" s="393">
        <v>574.97961425781205</v>
      </c>
      <c r="AU153" s="393">
        <v>0.20954859577529</v>
      </c>
      <c r="AV153" s="393">
        <v>-19.219828736966001</v>
      </c>
      <c r="AW153" s="393">
        <v>1.1330983079022801</v>
      </c>
      <c r="AX153" s="393">
        <v>1.1329136804878099</v>
      </c>
      <c r="AY153" s="393">
        <v>107.934608129944</v>
      </c>
      <c r="AZ153" s="393">
        <v>15971.4722513739</v>
      </c>
      <c r="BA153" s="393">
        <v>574.98254394531205</v>
      </c>
      <c r="BB153" s="393">
        <v>0.210985960714381</v>
      </c>
      <c r="BC153" s="393">
        <v>-19.443749919097101</v>
      </c>
      <c r="BD153" s="393">
        <v>1.1330977126474899</v>
      </c>
      <c r="BE153" s="393">
        <v>1.13323492416467</v>
      </c>
      <c r="BF153" s="393">
        <v>107.968575031169</v>
      </c>
      <c r="BG153" s="393">
        <v>15972.0807516685</v>
      </c>
      <c r="BH153" s="393">
        <v>574.98547363281205</v>
      </c>
      <c r="BI153" s="393">
        <v>0.21184237203690101</v>
      </c>
      <c r="BJ153" s="393">
        <v>-18.870437183640899</v>
      </c>
      <c r="BK153" s="393">
        <v>1.13309623264279</v>
      </c>
      <c r="BL153" s="393">
        <v>1.1329742879431799</v>
      </c>
      <c r="BM153" s="393">
        <v>107.933000125799</v>
      </c>
      <c r="BN153" s="393">
        <v>15971.750114198099</v>
      </c>
      <c r="BO153" s="393">
        <v>574.981689453125</v>
      </c>
      <c r="BP153" s="393"/>
      <c r="BQ153" s="335">
        <f>('RD31 Data'!HY153-'RD31 Data'!HY24)/10000/X153</f>
        <v>-7.7329071641301692E-2</v>
      </c>
      <c r="BR153" s="393"/>
      <c r="BS153" s="393"/>
      <c r="BT153" s="393"/>
      <c r="BU153" s="393"/>
      <c r="BV153" s="393"/>
      <c r="BW153" s="393">
        <v>575.02031380000005</v>
      </c>
      <c r="BX153" s="393">
        <v>995.90549510000005</v>
      </c>
      <c r="BY153" s="393">
        <v>229.99696979999999</v>
      </c>
      <c r="BZ153" s="393">
        <v>5.000020696</v>
      </c>
      <c r="CA153" s="393">
        <v>-59.998532619999999</v>
      </c>
      <c r="CB153" s="393">
        <v>9.3890499999999997E-4</v>
      </c>
      <c r="CC153" s="393">
        <v>1.3558019999999999E-3</v>
      </c>
      <c r="CD153" s="399">
        <v>7.9029600000000006E-5</v>
      </c>
      <c r="CE153" s="399">
        <v>6.2242800000000001E-6</v>
      </c>
      <c r="CF153" s="399">
        <v>3.40343E-5</v>
      </c>
      <c r="CG153" s="393">
        <v>-6.0692899999999998E-3</v>
      </c>
      <c r="CH153" s="393">
        <v>4.2108629999999996E-3</v>
      </c>
      <c r="CI153" s="393">
        <v>27.625944319999999</v>
      </c>
      <c r="CJ153" s="393">
        <v>2.0478667970000002</v>
      </c>
      <c r="CK153" s="393">
        <v>8.6232870000000003E-3</v>
      </c>
      <c r="CL153" s="393">
        <v>0.50002217900000001</v>
      </c>
      <c r="CM153" s="393">
        <v>45.999203569999999</v>
      </c>
      <c r="CN153" s="393">
        <v>1.3138200000000001E-4</v>
      </c>
      <c r="CO153" s="393">
        <v>99993.930710000001</v>
      </c>
      <c r="CP153" s="393">
        <v>0</v>
      </c>
      <c r="CQ153" s="393">
        <v>0</v>
      </c>
      <c r="CR153" s="393">
        <v>109.15300000000001</v>
      </c>
      <c r="CS153" s="393">
        <v>23.62283966</v>
      </c>
      <c r="CT153" s="393">
        <v>0.32292564899999998</v>
      </c>
      <c r="CU153" s="393"/>
      <c r="CV153" s="393"/>
      <c r="CW153" s="393"/>
      <c r="CX153" s="393"/>
      <c r="CY153" s="393"/>
      <c r="CZ153" s="393"/>
      <c r="DA153" s="393"/>
    </row>
    <row r="154" spans="1:105" x14ac:dyDescent="0.2">
      <c r="A154" s="366">
        <f>ROW()</f>
        <v>154</v>
      </c>
      <c r="B154" s="367" t="s">
        <v>50</v>
      </c>
      <c r="C154" s="368">
        <v>5</v>
      </c>
      <c r="D154" s="368">
        <v>230</v>
      </c>
      <c r="E154" s="367">
        <v>-60</v>
      </c>
      <c r="F154" s="441">
        <v>230</v>
      </c>
      <c r="G154" s="369" t="s">
        <v>131</v>
      </c>
      <c r="H154" s="370">
        <v>1</v>
      </c>
      <c r="I154" s="367">
        <v>50</v>
      </c>
      <c r="J154" s="371">
        <v>10</v>
      </c>
      <c r="K154" s="372">
        <v>5</v>
      </c>
      <c r="L154" s="482">
        <v>100000</v>
      </c>
      <c r="M154" s="443" t="s">
        <v>535</v>
      </c>
      <c r="N154" s="726">
        <f t="shared" si="4"/>
        <v>2.5818646362658127E-3</v>
      </c>
      <c r="O154" s="370">
        <v>6</v>
      </c>
      <c r="P154" s="66">
        <v>123</v>
      </c>
      <c r="Q154" s="335">
        <f>(W154-W25)/X154</f>
        <v>-0.16858753713672434</v>
      </c>
      <c r="S154" s="402">
        <v>229.99690699999999</v>
      </c>
      <c r="T154" s="395">
        <v>5.0000664590000001</v>
      </c>
      <c r="U154" s="402">
        <v>-59.998610890000002</v>
      </c>
      <c r="V154" s="395">
        <v>0.50002099600000005</v>
      </c>
      <c r="W154" s="400">
        <v>-5.6369799999999998E-3</v>
      </c>
      <c r="X154" s="400">
        <v>8.4902480000000006E-3</v>
      </c>
      <c r="Y154" s="402">
        <v>2.0535344389999999</v>
      </c>
      <c r="Z154" s="409">
        <v>99994.363020000004</v>
      </c>
      <c r="AA154" s="396">
        <v>42037.568310185183</v>
      </c>
      <c r="AB154" s="393">
        <v>50.000594354477897</v>
      </c>
      <c r="AC154" s="393">
        <v>0.44140625</v>
      </c>
      <c r="AD154" s="393" t="s">
        <v>134</v>
      </c>
      <c r="AE154" s="393">
        <v>0.7529296875</v>
      </c>
      <c r="AF154" s="393" t="s">
        <v>133</v>
      </c>
      <c r="AG154" s="393">
        <v>0.210671395695263</v>
      </c>
      <c r="AH154" s="393">
        <v>-18.5902756933435</v>
      </c>
      <c r="AI154" s="393">
        <v>1.1330962884137299</v>
      </c>
      <c r="AJ154" s="393">
        <v>1.1332070151720199</v>
      </c>
      <c r="AK154" s="393">
        <v>107.94766627093099</v>
      </c>
      <c r="AL154" s="393">
        <v>15971.845675578999</v>
      </c>
      <c r="AM154" s="393">
        <v>574.97808837890602</v>
      </c>
      <c r="AN154" s="393">
        <v>0.21043646541436001</v>
      </c>
      <c r="AO154" s="393">
        <v>-19.653201391946101</v>
      </c>
      <c r="AP154" s="393">
        <v>1.13309875710659</v>
      </c>
      <c r="AQ154" s="393">
        <v>1.13332485356535</v>
      </c>
      <c r="AR154" s="393">
        <v>107.954089855294</v>
      </c>
      <c r="AS154" s="393">
        <v>15971.925234145199</v>
      </c>
      <c r="AT154" s="393">
        <v>574.98095703125</v>
      </c>
      <c r="AU154" s="393">
        <v>0.21184221916693399</v>
      </c>
      <c r="AV154" s="393">
        <v>-18.622391987032302</v>
      </c>
      <c r="AW154" s="393">
        <v>1.13309819673495</v>
      </c>
      <c r="AX154" s="393">
        <v>1.13276346478808</v>
      </c>
      <c r="AY154" s="393">
        <v>107.963269339894</v>
      </c>
      <c r="AZ154" s="393">
        <v>15972.1888975887</v>
      </c>
      <c r="BA154" s="393">
        <v>574.979248046875</v>
      </c>
      <c r="BB154" s="393">
        <v>0.211049079884742</v>
      </c>
      <c r="BC154" s="393">
        <v>-18.2103155094144</v>
      </c>
      <c r="BD154" s="393">
        <v>1.1330966056184699</v>
      </c>
      <c r="BE154" s="393">
        <v>1.13275352928738</v>
      </c>
      <c r="BF154" s="393">
        <v>107.976823433251</v>
      </c>
      <c r="BG154" s="393">
        <v>15972.0364859602</v>
      </c>
      <c r="BH154" s="393">
        <v>574.98175048828102</v>
      </c>
      <c r="BI154" s="393">
        <v>0.20793308419379899</v>
      </c>
      <c r="BJ154" s="393">
        <v>-18.664487804950799</v>
      </c>
      <c r="BK154" s="393">
        <v>1.13309601828955</v>
      </c>
      <c r="BL154" s="393">
        <v>1.1329324690602001</v>
      </c>
      <c r="BM154" s="393">
        <v>107.945762027472</v>
      </c>
      <c r="BN154" s="393">
        <v>15971.9544367454</v>
      </c>
      <c r="BO154" s="393">
        <v>574.98229980468795</v>
      </c>
      <c r="BP154" s="393"/>
      <c r="BQ154" s="335">
        <f>('RD31 Data'!HY154-'RD31 Data'!HY25)/10000/X154</f>
        <v>-0.12594563362881056</v>
      </c>
      <c r="BR154" s="393"/>
      <c r="BS154" s="393"/>
      <c r="BT154" s="393"/>
      <c r="BU154" s="393"/>
      <c r="BV154" s="393"/>
      <c r="BW154" s="393">
        <v>575.02405929999998</v>
      </c>
      <c r="BX154" s="393">
        <v>995.91512379999995</v>
      </c>
      <c r="BY154" s="393">
        <v>229.99690699999999</v>
      </c>
      <c r="BZ154" s="393">
        <v>5.0000664590000001</v>
      </c>
      <c r="CA154" s="393">
        <v>-59.998610890000002</v>
      </c>
      <c r="CB154" s="393">
        <v>1.5795060000000001E-3</v>
      </c>
      <c r="CC154" s="393">
        <v>2.0978030000000001E-3</v>
      </c>
      <c r="CD154" s="393">
        <v>1.11125E-4</v>
      </c>
      <c r="CE154" s="399">
        <v>7.7672900000000003E-6</v>
      </c>
      <c r="CF154" s="399">
        <v>8.6899599999999997E-5</v>
      </c>
      <c r="CG154" s="393">
        <v>-5.6369799999999998E-3</v>
      </c>
      <c r="CH154" s="393">
        <v>4.1344559999999999E-3</v>
      </c>
      <c r="CI154" s="393">
        <v>25.995743130000001</v>
      </c>
      <c r="CJ154" s="393">
        <v>2.0535344389999999</v>
      </c>
      <c r="CK154" s="393">
        <v>8.4902480000000006E-3</v>
      </c>
      <c r="CL154" s="393">
        <v>0.50002099600000005</v>
      </c>
      <c r="CM154" s="393">
        <v>45.99877</v>
      </c>
      <c r="CN154" s="393">
        <v>1.5866099999999999E-4</v>
      </c>
      <c r="CO154" s="393">
        <v>99994.363020000004</v>
      </c>
      <c r="CP154" s="393">
        <v>0</v>
      </c>
      <c r="CQ154" s="393">
        <v>0</v>
      </c>
      <c r="CR154" s="393">
        <v>109.149</v>
      </c>
      <c r="CS154" s="393">
        <v>23.612532869999999</v>
      </c>
      <c r="CT154" s="393">
        <v>0.32292606899999998</v>
      </c>
      <c r="CU154" s="393"/>
      <c r="CV154" s="393"/>
      <c r="CW154" s="393"/>
      <c r="CX154" s="393"/>
      <c r="CY154" s="393"/>
      <c r="CZ154" s="393"/>
      <c r="DA154" s="393"/>
    </row>
    <row r="155" spans="1:105" x14ac:dyDescent="0.2">
      <c r="A155" s="366">
        <f>ROW()</f>
        <v>155</v>
      </c>
      <c r="B155" s="367" t="s">
        <v>50</v>
      </c>
      <c r="C155" s="368">
        <v>50</v>
      </c>
      <c r="D155" s="368">
        <v>230</v>
      </c>
      <c r="E155" s="731">
        <v>0</v>
      </c>
      <c r="F155" s="441">
        <v>230</v>
      </c>
      <c r="G155" s="369" t="s">
        <v>359</v>
      </c>
      <c r="H155" s="370">
        <v>100</v>
      </c>
      <c r="I155" s="367">
        <v>50</v>
      </c>
      <c r="J155" s="371">
        <v>10</v>
      </c>
      <c r="K155" s="372">
        <v>5</v>
      </c>
      <c r="L155" s="482">
        <v>100000</v>
      </c>
      <c r="M155" s="443" t="s">
        <v>535</v>
      </c>
      <c r="N155" s="726">
        <f t="shared" ref="N155:N160" si="5">IF(M155="watts",SQRT((0.0005+0.001/COS(RADIANS(ABS(E155))))^2+0.000645^2)*IF(T155&gt;26,2,1),SQRT((0.001+0.001/SIN(RADIANS(ABS(E155))))^2+0.000645^2+0.0035^2))</f>
        <v>3.265593361090753E-3</v>
      </c>
      <c r="O155" s="370">
        <v>6</v>
      </c>
      <c r="P155" s="66">
        <v>123</v>
      </c>
      <c r="Q155" s="335">
        <f>(W155-W115)/X155</f>
        <v>0.14568263257611208</v>
      </c>
      <c r="S155" s="402">
        <v>229.99645749999999</v>
      </c>
      <c r="T155" s="395">
        <v>50.000649490000001</v>
      </c>
      <c r="U155" s="402">
        <v>-5.8062299999999995E-4</v>
      </c>
      <c r="V155" s="395">
        <v>1</v>
      </c>
      <c r="W155" s="400">
        <v>4.6292809999999998E-3</v>
      </c>
      <c r="X155" s="400">
        <v>4.8083700000000002E-3</v>
      </c>
      <c r="Y155" s="402">
        <v>2.072436256</v>
      </c>
      <c r="Z155" s="409">
        <v>100004.6293</v>
      </c>
      <c r="AA155" s="396">
        <v>42037.580972222226</v>
      </c>
      <c r="AB155" s="393">
        <v>50.000141511066097</v>
      </c>
      <c r="AC155" s="393">
        <v>0.44140625</v>
      </c>
      <c r="AD155" s="393" t="s">
        <v>134</v>
      </c>
      <c r="AE155" s="393">
        <v>0</v>
      </c>
      <c r="AF155" s="393" t="s">
        <v>133</v>
      </c>
      <c r="AG155" s="393">
        <v>0.16272322304845099</v>
      </c>
      <c r="AH155" s="393">
        <v>-112.74275297538399</v>
      </c>
      <c r="AI155" s="393">
        <v>1.1330948620154799</v>
      </c>
      <c r="AJ155" s="393">
        <v>1.1329778915298701</v>
      </c>
      <c r="AK155" s="393">
        <v>107.943099378599</v>
      </c>
      <c r="AL155" s="393">
        <v>319460.01551301999</v>
      </c>
      <c r="AM155" s="393">
        <v>11500.236328125</v>
      </c>
      <c r="AN155" s="393">
        <v>0.16189939680049201</v>
      </c>
      <c r="AO155" s="393">
        <v>-113.043783485367</v>
      </c>
      <c r="AP155" s="393">
        <v>1.1330950716950501</v>
      </c>
      <c r="AQ155" s="393">
        <v>1.1331265162247699</v>
      </c>
      <c r="AR155" s="393">
        <v>107.93108713689</v>
      </c>
      <c r="AS155" s="393">
        <v>319454.87362078601</v>
      </c>
      <c r="AT155" s="393">
        <v>11500.3115234375</v>
      </c>
      <c r="AU155" s="393">
        <v>0.16227154504667901</v>
      </c>
      <c r="AV155" s="393">
        <v>-112.799588725879</v>
      </c>
      <c r="AW155" s="393">
        <v>1.1330948887108301</v>
      </c>
      <c r="AX155" s="393">
        <v>1.1330187955345099</v>
      </c>
      <c r="AY155" s="393">
        <v>107.934546816569</v>
      </c>
      <c r="AZ155" s="393">
        <v>319458.04401989502</v>
      </c>
      <c r="BA155" s="393">
        <v>11500.2509765625</v>
      </c>
      <c r="BB155" s="393">
        <v>0.16275609149300699</v>
      </c>
      <c r="BC155" s="393">
        <v>-113.42109112850299</v>
      </c>
      <c r="BD155" s="393">
        <v>1.1330952549155</v>
      </c>
      <c r="BE155" s="393">
        <v>1.1331959211045499</v>
      </c>
      <c r="BF155" s="393">
        <v>107.94070614703</v>
      </c>
      <c r="BG155" s="393">
        <v>319456.13682830503</v>
      </c>
      <c r="BH155" s="393">
        <v>11500.263671875</v>
      </c>
      <c r="BI155" s="393">
        <v>0.16194805933540701</v>
      </c>
      <c r="BJ155" s="393">
        <v>-113.04029849104801</v>
      </c>
      <c r="BK155" s="393">
        <v>1.1330947145852801</v>
      </c>
      <c r="BL155" s="393">
        <v>1.1325886540227701</v>
      </c>
      <c r="BM155" s="393">
        <v>107.961585873985</v>
      </c>
      <c r="BN155" s="393">
        <v>319463.24742195901</v>
      </c>
      <c r="BO155" s="393">
        <v>11500.236328125</v>
      </c>
      <c r="BP155" s="393"/>
      <c r="BQ155" s="335">
        <f>('RD31 Data'!HY155-'RD31 Data'!HY115)/10000/X155</f>
        <v>-9.6719202281636427E-2</v>
      </c>
      <c r="BR155" s="393"/>
      <c r="BS155" s="393"/>
      <c r="BT155" s="393"/>
      <c r="BU155" s="393"/>
      <c r="BV155" s="393"/>
      <c r="BW155" s="393">
        <v>11499.972320000001</v>
      </c>
      <c r="BX155" s="393">
        <v>0.116538168</v>
      </c>
      <c r="BY155" s="393">
        <v>229.99645749999999</v>
      </c>
      <c r="BZ155" s="393">
        <v>50.000649490000001</v>
      </c>
      <c r="CA155" s="393">
        <v>-5.8062299999999995E-4</v>
      </c>
      <c r="CB155" s="393">
        <v>8.291082E-3</v>
      </c>
      <c r="CC155" s="393">
        <v>1.5497034E-2</v>
      </c>
      <c r="CD155" s="399">
        <v>1.8920299999999999E-5</v>
      </c>
      <c r="CE155" s="399">
        <v>3.5910600000000001E-5</v>
      </c>
      <c r="CF155" s="399">
        <v>7.7210299999999995E-5</v>
      </c>
      <c r="CG155" s="393">
        <v>4.6292809999999998E-3</v>
      </c>
      <c r="CH155" s="393">
        <v>2.3201530000000001E-3</v>
      </c>
      <c r="CI155" s="393">
        <v>21.75062582</v>
      </c>
      <c r="CJ155" s="393">
        <v>2.072436256</v>
      </c>
      <c r="CK155" s="393">
        <v>4.8083700000000002E-3</v>
      </c>
      <c r="CL155" s="393">
        <v>1</v>
      </c>
      <c r="CM155" s="393">
        <v>4.5998693980000001</v>
      </c>
      <c r="CN155" s="399">
        <v>7.4560600000000002E-6</v>
      </c>
      <c r="CO155" s="393">
        <v>100004.6293</v>
      </c>
      <c r="CP155" s="393">
        <v>0</v>
      </c>
      <c r="CQ155" s="393">
        <v>0</v>
      </c>
      <c r="CR155" s="393">
        <v>109.142</v>
      </c>
      <c r="CS155" s="393">
        <v>23.59449605</v>
      </c>
      <c r="CT155" s="393">
        <v>0.32292680299999998</v>
      </c>
      <c r="CU155" s="393"/>
      <c r="CV155" s="393"/>
      <c r="CW155" s="393"/>
      <c r="CX155" s="393"/>
      <c r="CY155" s="393"/>
      <c r="CZ155" s="393"/>
      <c r="DA155" s="393"/>
    </row>
    <row r="156" spans="1:105" x14ac:dyDescent="0.2">
      <c r="A156" s="366">
        <f>ROW()</f>
        <v>156</v>
      </c>
      <c r="B156" s="367" t="s">
        <v>50</v>
      </c>
      <c r="C156" s="368">
        <v>50</v>
      </c>
      <c r="D156" s="368">
        <v>230</v>
      </c>
      <c r="E156" s="731">
        <v>0</v>
      </c>
      <c r="F156" s="441">
        <v>230</v>
      </c>
      <c r="G156" s="369" t="s">
        <v>359</v>
      </c>
      <c r="H156" s="370">
        <v>100</v>
      </c>
      <c r="I156" s="367">
        <v>50</v>
      </c>
      <c r="J156" s="371">
        <v>10</v>
      </c>
      <c r="K156" s="372">
        <v>5</v>
      </c>
      <c r="L156" s="482">
        <v>100000</v>
      </c>
      <c r="M156" s="443" t="s">
        <v>535</v>
      </c>
      <c r="N156" s="726">
        <f t="shared" si="5"/>
        <v>3.265593361090753E-3</v>
      </c>
      <c r="O156" s="370">
        <v>6</v>
      </c>
      <c r="P156" s="66">
        <v>123</v>
      </c>
      <c r="Q156" s="335">
        <f>(W156-W116)/X156</f>
        <v>0.16517809700268443</v>
      </c>
      <c r="S156" s="402">
        <v>229.9967116</v>
      </c>
      <c r="T156" s="395">
        <v>50.000830659999998</v>
      </c>
      <c r="U156" s="402">
        <v>-5.48531E-4</v>
      </c>
      <c r="V156" s="395">
        <v>1</v>
      </c>
      <c r="W156" s="400">
        <v>4.1269389999999996E-3</v>
      </c>
      <c r="X156" s="400">
        <v>4.7613940000000004E-3</v>
      </c>
      <c r="Y156" s="402">
        <v>2.077240481</v>
      </c>
      <c r="Z156" s="409">
        <v>100004.1269</v>
      </c>
      <c r="AA156" s="396">
        <v>42037.58390046296</v>
      </c>
      <c r="AB156" s="393">
        <v>50.000726425472898</v>
      </c>
      <c r="AC156" s="393">
        <v>0.44140625</v>
      </c>
      <c r="AD156" s="393" t="s">
        <v>134</v>
      </c>
      <c r="AE156" s="393">
        <v>0</v>
      </c>
      <c r="AF156" s="393" t="s">
        <v>133</v>
      </c>
      <c r="AG156" s="393">
        <v>0.16216336457337699</v>
      </c>
      <c r="AH156" s="393">
        <v>-113.128918186321</v>
      </c>
      <c r="AI156" s="393">
        <v>1.1330966455875999</v>
      </c>
      <c r="AJ156" s="393">
        <v>1.1332486320872099</v>
      </c>
      <c r="AK156" s="393">
        <v>107.935509992256</v>
      </c>
      <c r="AL156" s="393">
        <v>319458.56624271098</v>
      </c>
      <c r="AM156" s="393">
        <v>11500.251953125</v>
      </c>
      <c r="AN156" s="393">
        <v>0.162458083270835</v>
      </c>
      <c r="AO156" s="393">
        <v>-113.074834413876</v>
      </c>
      <c r="AP156" s="393">
        <v>1.1330959437317101</v>
      </c>
      <c r="AQ156" s="393">
        <v>1.13324983141319</v>
      </c>
      <c r="AR156" s="393">
        <v>107.94541037523599</v>
      </c>
      <c r="AS156" s="393">
        <v>319460.28422987001</v>
      </c>
      <c r="AT156" s="393">
        <v>11500.240234375</v>
      </c>
      <c r="AU156" s="393">
        <v>0.161355128211251</v>
      </c>
      <c r="AV156" s="393">
        <v>-113.127331178445</v>
      </c>
      <c r="AW156" s="393">
        <v>1.1330961028890001</v>
      </c>
      <c r="AX156" s="393">
        <v>1.1330703509675899</v>
      </c>
      <c r="AY156" s="393">
        <v>107.938703309025</v>
      </c>
      <c r="AZ156" s="393">
        <v>319459.76210300101</v>
      </c>
      <c r="BA156" s="393">
        <v>11500.2548828125</v>
      </c>
      <c r="BB156" s="393">
        <v>0.16096055058251699</v>
      </c>
      <c r="BC156" s="393">
        <v>-113.100288628798</v>
      </c>
      <c r="BD156" s="393">
        <v>1.1330961842323</v>
      </c>
      <c r="BE156" s="393">
        <v>1.13318895955502</v>
      </c>
      <c r="BF156" s="393">
        <v>107.941485801027</v>
      </c>
      <c r="BG156" s="393">
        <v>319456.32937212399</v>
      </c>
      <c r="BH156" s="393">
        <v>11500.234375</v>
      </c>
      <c r="BI156" s="393">
        <v>0.161672863268112</v>
      </c>
      <c r="BJ156" s="393">
        <v>-113.089098335136</v>
      </c>
      <c r="BK156" s="393">
        <v>1.1330961763448699</v>
      </c>
      <c r="BL156" s="393">
        <v>1.13329968653423</v>
      </c>
      <c r="BM156" s="393">
        <v>107.9491339201</v>
      </c>
      <c r="BN156" s="393">
        <v>319456.90480792499</v>
      </c>
      <c r="BO156" s="393">
        <v>11500.2666015625</v>
      </c>
      <c r="BP156" s="393"/>
      <c r="BQ156" s="335">
        <f>('RD31 Data'!HY156-'RD31 Data'!HY116)/10000/X156</f>
        <v>-0.10854093990257695</v>
      </c>
      <c r="BR156" s="393"/>
      <c r="BS156" s="393"/>
      <c r="BT156" s="393"/>
      <c r="BU156" s="393"/>
      <c r="BV156" s="393"/>
      <c r="BW156" s="393">
        <v>11500.0267</v>
      </c>
      <c r="BX156" s="393">
        <v>0.11009757000000001</v>
      </c>
      <c r="BY156" s="393">
        <v>229.9967116</v>
      </c>
      <c r="BZ156" s="393">
        <v>50.000830659999998</v>
      </c>
      <c r="CA156" s="393">
        <v>-5.48531E-4</v>
      </c>
      <c r="CB156" s="393">
        <v>1.2128655E-2</v>
      </c>
      <c r="CC156" s="393">
        <v>2.345766E-3</v>
      </c>
      <c r="CD156" s="399">
        <v>2.3700300000000001E-5</v>
      </c>
      <c r="CE156" s="399">
        <v>5.2371399999999998E-5</v>
      </c>
      <c r="CF156" s="399">
        <v>1.1686699999999999E-5</v>
      </c>
      <c r="CG156" s="393">
        <v>4.1269389999999996E-3</v>
      </c>
      <c r="CH156" s="393">
        <v>2.2921730000000002E-3</v>
      </c>
      <c r="CI156" s="393">
        <v>20.890650409999999</v>
      </c>
      <c r="CJ156" s="393">
        <v>2.077240481</v>
      </c>
      <c r="CK156" s="393">
        <v>4.7613940000000004E-3</v>
      </c>
      <c r="CL156" s="393">
        <v>1</v>
      </c>
      <c r="CM156" s="393">
        <v>4.5998578139999999</v>
      </c>
      <c r="CN156" s="399">
        <v>1.08037E-5</v>
      </c>
      <c r="CO156" s="393">
        <v>100004.1269</v>
      </c>
      <c r="CP156" s="393">
        <v>0</v>
      </c>
      <c r="CQ156" s="393">
        <v>0</v>
      </c>
      <c r="CR156" s="393">
        <v>109.14400000000001</v>
      </c>
      <c r="CS156" s="393">
        <v>23.599649419999999</v>
      </c>
      <c r="CT156" s="393">
        <v>0.32292659299999998</v>
      </c>
      <c r="CU156" s="393"/>
      <c r="CV156" s="393"/>
      <c r="CW156" s="393"/>
      <c r="CX156" s="393"/>
      <c r="CY156" s="393"/>
      <c r="CZ156" s="393"/>
      <c r="DA156" s="393"/>
    </row>
    <row r="157" spans="1:105" x14ac:dyDescent="0.2">
      <c r="A157" s="366">
        <f>ROW()</f>
        <v>157</v>
      </c>
      <c r="B157" s="367" t="s">
        <v>50</v>
      </c>
      <c r="C157" s="368">
        <v>50</v>
      </c>
      <c r="D157" s="368">
        <v>230</v>
      </c>
      <c r="E157" s="731">
        <v>-60</v>
      </c>
      <c r="F157" s="441">
        <v>230</v>
      </c>
      <c r="G157" s="369" t="s">
        <v>359</v>
      </c>
      <c r="H157" s="370">
        <v>100</v>
      </c>
      <c r="I157" s="367">
        <v>50</v>
      </c>
      <c r="J157" s="371">
        <v>10</v>
      </c>
      <c r="K157" s="372">
        <v>5</v>
      </c>
      <c r="L157" s="482">
        <v>100000</v>
      </c>
      <c r="M157" s="443" t="s">
        <v>535</v>
      </c>
      <c r="N157" s="726">
        <f t="shared" si="5"/>
        <v>5.1637292725316255E-3</v>
      </c>
      <c r="O157" s="370">
        <v>6</v>
      </c>
      <c r="P157" s="66">
        <v>123</v>
      </c>
      <c r="Q157" s="335">
        <f>(W157-W117)/X157</f>
        <v>-0.1529083683952096</v>
      </c>
      <c r="S157" s="402">
        <v>229.9966431</v>
      </c>
      <c r="T157" s="395">
        <v>49.999005599999997</v>
      </c>
      <c r="U157" s="402">
        <v>-59.997721089999999</v>
      </c>
      <c r="V157" s="395">
        <v>0.50003444500000005</v>
      </c>
      <c r="W157" s="400">
        <v>-3.035374E-3</v>
      </c>
      <c r="X157" s="400">
        <v>8.6901129999999993E-3</v>
      </c>
      <c r="Y157" s="402">
        <v>2.0449939389999998</v>
      </c>
      <c r="Z157" s="409">
        <v>99996.964630000002</v>
      </c>
      <c r="AA157" s="396">
        <v>42037.586817129632</v>
      </c>
      <c r="AB157" s="393">
        <v>50.000165101243901</v>
      </c>
      <c r="AC157" s="393">
        <v>0.220703125</v>
      </c>
      <c r="AD157" s="393" t="s">
        <v>134</v>
      </c>
      <c r="AE157" s="393">
        <v>0.376953125</v>
      </c>
      <c r="AF157" s="393" t="s">
        <v>133</v>
      </c>
      <c r="AG157" s="393">
        <v>0.188327578442195</v>
      </c>
      <c r="AH157" s="393">
        <v>170.67404966774001</v>
      </c>
      <c r="AI157" s="393">
        <v>1.13309675143682</v>
      </c>
      <c r="AJ157" s="393">
        <v>1.13313709105698</v>
      </c>
      <c r="AK157" s="393">
        <v>107.963257712163</v>
      </c>
      <c r="AL157" s="393">
        <v>159720.24972377799</v>
      </c>
      <c r="AM157" s="393">
        <v>5749.8974609375</v>
      </c>
      <c r="AN157" s="393">
        <v>0.18596805527287399</v>
      </c>
      <c r="AO157" s="393">
        <v>170.949038065265</v>
      </c>
      <c r="AP157" s="393">
        <v>1.1330970192113099</v>
      </c>
      <c r="AQ157" s="393">
        <v>1.1328964257558001</v>
      </c>
      <c r="AR157" s="393">
        <v>107.952459630474</v>
      </c>
      <c r="AS157" s="393">
        <v>159721.462604459</v>
      </c>
      <c r="AT157" s="393">
        <v>5749.8876953125</v>
      </c>
      <c r="AU157" s="393">
        <v>0.18785190791220399</v>
      </c>
      <c r="AV157" s="393">
        <v>170.82466598348699</v>
      </c>
      <c r="AW157" s="393">
        <v>1.1330950436687199</v>
      </c>
      <c r="AX157" s="393">
        <v>1.13344023900091</v>
      </c>
      <c r="AY157" s="393">
        <v>107.95756680891201</v>
      </c>
      <c r="AZ157" s="393">
        <v>159721.46176719101</v>
      </c>
      <c r="BA157" s="393">
        <v>5749.90869140625</v>
      </c>
      <c r="BB157" s="393">
        <v>0.18577065702807399</v>
      </c>
      <c r="BC157" s="393">
        <v>170.64861159225401</v>
      </c>
      <c r="BD157" s="393">
        <v>1.13309522858383</v>
      </c>
      <c r="BE157" s="393">
        <v>1.13275179885664</v>
      </c>
      <c r="BF157" s="393">
        <v>107.94636756289501</v>
      </c>
      <c r="BG157" s="393">
        <v>159727.748979286</v>
      </c>
      <c r="BH157" s="393">
        <v>5749.87060546875</v>
      </c>
      <c r="BI157" s="393">
        <v>0.18647795222757299</v>
      </c>
      <c r="BJ157" s="393">
        <v>171.14001200125799</v>
      </c>
      <c r="BK157" s="393">
        <v>1.1330953224001299</v>
      </c>
      <c r="BL157" s="393">
        <v>1.1327673353885599</v>
      </c>
      <c r="BM157" s="393">
        <v>107.94875413174</v>
      </c>
      <c r="BN157" s="393">
        <v>159723.42759403799</v>
      </c>
      <c r="BO157" s="393">
        <v>5749.884765625</v>
      </c>
      <c r="BP157" s="393"/>
      <c r="BQ157" s="335">
        <f>('RD31 Data'!HY157-'RD31 Data'!HY117)/10000/X157</f>
        <v>-0.15920582120964993</v>
      </c>
      <c r="BR157" s="393"/>
      <c r="BS157" s="393"/>
      <c r="BT157" s="393"/>
      <c r="BU157" s="393"/>
      <c r="BV157" s="393"/>
      <c r="BW157" s="393">
        <v>5750.1978650000001</v>
      </c>
      <c r="BX157" s="393">
        <v>9958.7200730000004</v>
      </c>
      <c r="BY157" s="393">
        <v>229.9966431</v>
      </c>
      <c r="BZ157" s="393">
        <v>49.999005599999997</v>
      </c>
      <c r="CA157" s="393">
        <v>-59.997721089999999</v>
      </c>
      <c r="CB157" s="393">
        <v>1.4334246E-2</v>
      </c>
      <c r="CC157" s="393">
        <v>2.401294E-2</v>
      </c>
      <c r="CD157" s="399">
        <v>8.4802999999999994E-5</v>
      </c>
      <c r="CE157" s="399">
        <v>8.6262999999999997E-5</v>
      </c>
      <c r="CF157" s="399">
        <v>9.2506399999999999E-5</v>
      </c>
      <c r="CG157" s="393">
        <v>-3.035374E-3</v>
      </c>
      <c r="CH157" s="393">
        <v>4.2494569999999999E-3</v>
      </c>
      <c r="CI157" s="393">
        <v>28.53556683</v>
      </c>
      <c r="CJ157" s="393">
        <v>2.0449939389999998</v>
      </c>
      <c r="CK157" s="393">
        <v>8.6901129999999993E-3</v>
      </c>
      <c r="CL157" s="393">
        <v>0.50003444500000005</v>
      </c>
      <c r="CM157" s="393">
        <v>4.6000243479999998</v>
      </c>
      <c r="CN157" s="399">
        <v>1.7569499999999998E-5</v>
      </c>
      <c r="CO157" s="393">
        <v>99996.964630000002</v>
      </c>
      <c r="CP157" s="393">
        <v>0</v>
      </c>
      <c r="CQ157" s="393">
        <v>0</v>
      </c>
      <c r="CR157" s="393">
        <v>109.14100000000001</v>
      </c>
      <c r="CS157" s="393">
        <v>23.59191938</v>
      </c>
      <c r="CT157" s="393">
        <v>0.32292690699999999</v>
      </c>
      <c r="CU157" s="393"/>
      <c r="CV157" s="393"/>
      <c r="CW157" s="393"/>
      <c r="CX157" s="393"/>
      <c r="CY157" s="393"/>
      <c r="CZ157" s="393"/>
      <c r="DA157" s="393"/>
    </row>
    <row r="158" spans="1:105" x14ac:dyDescent="0.2">
      <c r="A158" s="366">
        <f>ROW()</f>
        <v>158</v>
      </c>
      <c r="B158" s="367" t="s">
        <v>50</v>
      </c>
      <c r="C158" s="368">
        <v>50</v>
      </c>
      <c r="D158" s="368">
        <v>230</v>
      </c>
      <c r="E158" s="731">
        <v>-60</v>
      </c>
      <c r="F158" s="441">
        <v>230</v>
      </c>
      <c r="G158" s="369" t="s">
        <v>359</v>
      </c>
      <c r="H158" s="370">
        <v>100</v>
      </c>
      <c r="I158" s="367">
        <v>50</v>
      </c>
      <c r="J158" s="371">
        <v>10</v>
      </c>
      <c r="K158" s="372">
        <v>5</v>
      </c>
      <c r="L158" s="482">
        <v>100000</v>
      </c>
      <c r="M158" s="443" t="s">
        <v>535</v>
      </c>
      <c r="N158" s="726">
        <f t="shared" si="5"/>
        <v>5.1637292725316255E-3</v>
      </c>
      <c r="O158" s="370">
        <v>6</v>
      </c>
      <c r="P158" s="66">
        <v>123</v>
      </c>
      <c r="Q158" s="335">
        <f>(W158-W118)/X158</f>
        <v>-6.3155977099359967E-2</v>
      </c>
      <c r="S158" s="402">
        <v>229.99672050000001</v>
      </c>
      <c r="T158" s="395">
        <v>49.998616689999999</v>
      </c>
      <c r="U158" s="402">
        <v>-59.997523149999999</v>
      </c>
      <c r="V158" s="395">
        <v>0.50003743700000003</v>
      </c>
      <c r="W158" s="400">
        <v>-2.679439E-3</v>
      </c>
      <c r="X158" s="400">
        <v>8.7882259999999997E-3</v>
      </c>
      <c r="Y158" s="402">
        <v>2.0423358249999999</v>
      </c>
      <c r="Z158" s="409">
        <v>99997.320559999993</v>
      </c>
      <c r="AA158" s="396">
        <v>42037.589733796296</v>
      </c>
      <c r="AB158" s="393">
        <v>49.999778308329802</v>
      </c>
      <c r="AC158" s="393">
        <v>0.220703125</v>
      </c>
      <c r="AD158" s="393" t="s">
        <v>134</v>
      </c>
      <c r="AE158" s="393">
        <v>0.376953125</v>
      </c>
      <c r="AF158" s="393" t="s">
        <v>133</v>
      </c>
      <c r="AG158" s="393">
        <v>0.18806448918169899</v>
      </c>
      <c r="AH158" s="393">
        <v>171.091844033933</v>
      </c>
      <c r="AI158" s="393">
        <v>1.1330976365582699</v>
      </c>
      <c r="AJ158" s="393">
        <v>1.1331826143968</v>
      </c>
      <c r="AK158" s="393">
        <v>107.92363676909</v>
      </c>
      <c r="AL158" s="393">
        <v>159724.18523297901</v>
      </c>
      <c r="AM158" s="393">
        <v>5749.88134765625</v>
      </c>
      <c r="AN158" s="393">
        <v>0.18755503806537999</v>
      </c>
      <c r="AO158" s="393">
        <v>171.05170012152999</v>
      </c>
      <c r="AP158" s="393">
        <v>1.13309612230748</v>
      </c>
      <c r="AQ158" s="393">
        <v>1.1330142607481599</v>
      </c>
      <c r="AR158" s="393">
        <v>107.949976405968</v>
      </c>
      <c r="AS158" s="393">
        <v>159722.01841993499</v>
      </c>
      <c r="AT158" s="393">
        <v>5749.884765625</v>
      </c>
      <c r="AU158" s="393">
        <v>0.18814801631064601</v>
      </c>
      <c r="AV158" s="393">
        <v>170.522663060681</v>
      </c>
      <c r="AW158" s="393">
        <v>1.13309647395223</v>
      </c>
      <c r="AX158" s="393">
        <v>1.1329153037311199</v>
      </c>
      <c r="AY158" s="393">
        <v>107.938459493233</v>
      </c>
      <c r="AZ158" s="393">
        <v>159719.86190404999</v>
      </c>
      <c r="BA158" s="393">
        <v>5749.9052734375</v>
      </c>
      <c r="BB158" s="393">
        <v>0.18835649948890401</v>
      </c>
      <c r="BC158" s="393">
        <v>170.68367600601599</v>
      </c>
      <c r="BD158" s="393">
        <v>1.1330960085011601</v>
      </c>
      <c r="BE158" s="393">
        <v>1.1324794079929399</v>
      </c>
      <c r="BF158" s="393">
        <v>107.939452008304</v>
      </c>
      <c r="BG158" s="393">
        <v>159722.51304287501</v>
      </c>
      <c r="BH158" s="393">
        <v>5749.88720703125</v>
      </c>
      <c r="BI158" s="393">
        <v>0.18705925116035399</v>
      </c>
      <c r="BJ158" s="393">
        <v>171.17190987101401</v>
      </c>
      <c r="BK158" s="393">
        <v>1.1330950310177901</v>
      </c>
      <c r="BL158" s="393">
        <v>1.13289296994461</v>
      </c>
      <c r="BM158" s="393">
        <v>107.95002351027399</v>
      </c>
      <c r="BN158" s="393">
        <v>159727.449584202</v>
      </c>
      <c r="BO158" s="393">
        <v>5749.90234375</v>
      </c>
      <c r="BP158" s="393"/>
      <c r="BQ158" s="335">
        <f>('RD31 Data'!HY158-'RD31 Data'!HY118)/10000/X158</f>
        <v>-0.14504967718961037</v>
      </c>
      <c r="BR158" s="393"/>
      <c r="BS158" s="393"/>
      <c r="BT158" s="393"/>
      <c r="BU158" s="393"/>
      <c r="BV158" s="393"/>
      <c r="BW158" s="393">
        <v>5750.1894769999999</v>
      </c>
      <c r="BX158" s="393">
        <v>9958.6260980000006</v>
      </c>
      <c r="BY158" s="393">
        <v>229.99672050000001</v>
      </c>
      <c r="BZ158" s="393">
        <v>49.998616689999999</v>
      </c>
      <c r="CA158" s="393">
        <v>-59.997523149999999</v>
      </c>
      <c r="CB158" s="393">
        <v>1.9239032999999999E-2</v>
      </c>
      <c r="CC158" s="393">
        <v>9.0039579999999994E-3</v>
      </c>
      <c r="CD158" s="399">
        <v>8.5299199999999998E-5</v>
      </c>
      <c r="CE158" s="399">
        <v>1.9711299999999999E-5</v>
      </c>
      <c r="CF158" s="393">
        <v>1.0228E-4</v>
      </c>
      <c r="CG158" s="393">
        <v>-2.679439E-3</v>
      </c>
      <c r="CH158" s="393">
        <v>4.3030270000000001E-3</v>
      </c>
      <c r="CI158" s="393">
        <v>29.4338962</v>
      </c>
      <c r="CJ158" s="393">
        <v>2.0423358249999999</v>
      </c>
      <c r="CK158" s="393">
        <v>8.7882259999999997E-3</v>
      </c>
      <c r="CL158" s="393">
        <v>0.50003743700000003</v>
      </c>
      <c r="CM158" s="393">
        <v>4.6000616770000002</v>
      </c>
      <c r="CN158" s="399">
        <v>6.1787900000000002E-6</v>
      </c>
      <c r="CO158" s="393">
        <v>99997.320559999993</v>
      </c>
      <c r="CP158" s="393">
        <v>0</v>
      </c>
      <c r="CQ158" s="393">
        <v>0</v>
      </c>
      <c r="CR158" s="393">
        <v>109.13500000000001</v>
      </c>
      <c r="CS158" s="393">
        <v>23.57645935</v>
      </c>
      <c r="CT158" s="393">
        <v>0.32292753600000002</v>
      </c>
      <c r="CU158" s="393"/>
      <c r="CV158" s="393"/>
      <c r="CW158" s="393"/>
      <c r="CX158" s="393"/>
      <c r="CY158" s="393"/>
      <c r="CZ158" s="393"/>
      <c r="DA158" s="393"/>
    </row>
    <row r="159" spans="1:105" x14ac:dyDescent="0.2">
      <c r="A159" s="366">
        <f>ROW()</f>
        <v>159</v>
      </c>
      <c r="B159" s="367" t="s">
        <v>50</v>
      </c>
      <c r="C159" s="368">
        <v>50</v>
      </c>
      <c r="D159" s="368">
        <v>230</v>
      </c>
      <c r="E159" s="731">
        <v>36.869999999999997</v>
      </c>
      <c r="F159" s="441">
        <v>230</v>
      </c>
      <c r="G159" s="369" t="s">
        <v>359</v>
      </c>
      <c r="H159" s="370">
        <v>100</v>
      </c>
      <c r="I159" s="367">
        <v>50</v>
      </c>
      <c r="J159" s="371">
        <v>10</v>
      </c>
      <c r="K159" s="372">
        <v>5</v>
      </c>
      <c r="L159" s="482">
        <v>100000</v>
      </c>
      <c r="M159" s="443" t="s">
        <v>535</v>
      </c>
      <c r="N159" s="726">
        <f t="shared" si="5"/>
        <v>3.7301639973054816E-3</v>
      </c>
      <c r="O159" s="370">
        <v>6</v>
      </c>
      <c r="P159" s="66">
        <v>123</v>
      </c>
      <c r="Q159" s="335">
        <f>(W159-W120)/X159</f>
        <v>6.6995442388775112E-2</v>
      </c>
      <c r="S159" s="402">
        <v>229.996914</v>
      </c>
      <c r="T159" s="395">
        <v>49.998983019999997</v>
      </c>
      <c r="U159" s="402">
        <v>36.89811357</v>
      </c>
      <c r="V159" s="395">
        <v>0.79970442600000002</v>
      </c>
      <c r="W159" s="400">
        <v>7.2851000000000001E-3</v>
      </c>
      <c r="X159" s="400">
        <v>5.6841180000000002E-3</v>
      </c>
      <c r="Y159" s="402">
        <v>2.0553125479999999</v>
      </c>
      <c r="Z159" s="409">
        <v>100007.28509999999</v>
      </c>
      <c r="AA159" s="396">
        <v>42037.592662037037</v>
      </c>
      <c r="AB159" s="393">
        <v>49.999981139857901</v>
      </c>
      <c r="AC159" s="393">
        <v>0.3525390625</v>
      </c>
      <c r="AD159" s="393" t="s">
        <v>134</v>
      </c>
      <c r="AE159" s="393">
        <v>0.2607421875</v>
      </c>
      <c r="AF159" s="393" t="s">
        <v>135</v>
      </c>
      <c r="AG159" s="393">
        <v>0.224107026762212</v>
      </c>
      <c r="AH159" s="393">
        <v>148.333602363339</v>
      </c>
      <c r="AI159" s="393">
        <v>1.13309665546248</v>
      </c>
      <c r="AJ159" s="393">
        <v>1.13280873243367</v>
      </c>
      <c r="AK159" s="393">
        <v>107.95958332710001</v>
      </c>
      <c r="AL159" s="393">
        <v>255471.927182149</v>
      </c>
      <c r="AM159" s="393">
        <v>9196.845703125</v>
      </c>
      <c r="AN159" s="393">
        <v>0.223039378671157</v>
      </c>
      <c r="AO159" s="393">
        <v>148.32534477888601</v>
      </c>
      <c r="AP159" s="393">
        <v>1.13309714010178</v>
      </c>
      <c r="AQ159" s="393">
        <v>1.13353327311121</v>
      </c>
      <c r="AR159" s="393">
        <v>107.961154209033</v>
      </c>
      <c r="AS159" s="393">
        <v>255467.570763792</v>
      </c>
      <c r="AT159" s="393">
        <v>9196.79296875</v>
      </c>
      <c r="AU159" s="393">
        <v>0.22222058924094501</v>
      </c>
      <c r="AV159" s="393">
        <v>148.29751584719699</v>
      </c>
      <c r="AW159" s="393">
        <v>1.1330960376208501</v>
      </c>
      <c r="AX159" s="393">
        <v>1.1324069172982401</v>
      </c>
      <c r="AY159" s="393">
        <v>107.950558566906</v>
      </c>
      <c r="AZ159" s="393">
        <v>255471.91790500199</v>
      </c>
      <c r="BA159" s="393">
        <v>9196.8037109375</v>
      </c>
      <c r="BB159" s="393">
        <v>0.22192279188074401</v>
      </c>
      <c r="BC159" s="393">
        <v>147.896689281817</v>
      </c>
      <c r="BD159" s="393">
        <v>1.1330976244456601</v>
      </c>
      <c r="BE159" s="393">
        <v>1.13300625692377</v>
      </c>
      <c r="BF159" s="393">
        <v>107.947696174382</v>
      </c>
      <c r="BG159" s="393">
        <v>255472.37338713399</v>
      </c>
      <c r="BH159" s="393">
        <v>9196.8056640625</v>
      </c>
      <c r="BI159" s="393">
        <v>0.22187000244907201</v>
      </c>
      <c r="BJ159" s="393">
        <v>148.098323525859</v>
      </c>
      <c r="BK159" s="393">
        <v>1.13309858106894</v>
      </c>
      <c r="BL159" s="393">
        <v>1.1331821184111299</v>
      </c>
      <c r="BM159" s="393">
        <v>107.944514254175</v>
      </c>
      <c r="BN159" s="393">
        <v>255471.831702539</v>
      </c>
      <c r="BO159" s="393">
        <v>9196.7724609375</v>
      </c>
      <c r="BP159" s="393"/>
      <c r="BQ159" s="335">
        <f>('RD31 Data'!HY159-'RD31 Data'!HY120)/10000/X159</f>
        <v>-0.13605130805540222</v>
      </c>
      <c r="BR159" s="393"/>
      <c r="BS159" s="393"/>
      <c r="BT159" s="393"/>
      <c r="BU159" s="393"/>
      <c r="BV159" s="393"/>
      <c r="BW159" s="393">
        <v>9196.2905119999996</v>
      </c>
      <c r="BX159" s="393">
        <v>6904.2967689999996</v>
      </c>
      <c r="BY159" s="393">
        <v>229.996914</v>
      </c>
      <c r="BZ159" s="393">
        <v>49.998983019999997</v>
      </c>
      <c r="CA159" s="393">
        <v>36.89811357</v>
      </c>
      <c r="CB159" s="393">
        <v>1.5279966000000001E-2</v>
      </c>
      <c r="CC159" s="393">
        <v>1.9575603E-2</v>
      </c>
      <c r="CD159" s="399">
        <v>8.7738000000000006E-5</v>
      </c>
      <c r="CE159" s="399">
        <v>5.2693399999999999E-5</v>
      </c>
      <c r="CF159" s="393">
        <v>1.03873E-4</v>
      </c>
      <c r="CG159" s="393">
        <v>7.2851000000000001E-3</v>
      </c>
      <c r="CH159" s="393">
        <v>2.7655739999999998E-3</v>
      </c>
      <c r="CI159" s="393">
        <v>25.524378030000001</v>
      </c>
      <c r="CJ159" s="393">
        <v>2.0553125479999999</v>
      </c>
      <c r="CK159" s="393">
        <v>5.6841180000000002E-3</v>
      </c>
      <c r="CL159" s="393">
        <v>0.79970442600000002</v>
      </c>
      <c r="CM159" s="393">
        <v>4.6000318440000001</v>
      </c>
      <c r="CN159" s="399">
        <v>1.0963E-5</v>
      </c>
      <c r="CO159" s="393">
        <v>100007.28509999999</v>
      </c>
      <c r="CP159" s="393">
        <v>0</v>
      </c>
      <c r="CQ159" s="393">
        <v>0</v>
      </c>
      <c r="CR159" s="393">
        <v>109.128</v>
      </c>
      <c r="CS159" s="393">
        <v>23.558422749999998</v>
      </c>
      <c r="CT159" s="393">
        <v>0.32292827000000002</v>
      </c>
      <c r="CU159" s="393"/>
      <c r="CV159" s="393"/>
      <c r="CW159" s="393"/>
      <c r="CX159" s="393"/>
      <c r="CY159" s="393"/>
      <c r="CZ159" s="393"/>
      <c r="DA159" s="393"/>
    </row>
    <row r="160" spans="1:105" x14ac:dyDescent="0.2">
      <c r="A160" s="366">
        <f>ROW()</f>
        <v>160</v>
      </c>
      <c r="B160" s="367" t="s">
        <v>50</v>
      </c>
      <c r="C160" s="368">
        <v>50</v>
      </c>
      <c r="D160" s="368">
        <v>230</v>
      </c>
      <c r="E160" s="731">
        <v>36.869999999999997</v>
      </c>
      <c r="F160" s="441">
        <v>230</v>
      </c>
      <c r="G160" s="369" t="s">
        <v>359</v>
      </c>
      <c r="H160" s="370">
        <v>100</v>
      </c>
      <c r="I160" s="367">
        <v>50</v>
      </c>
      <c r="J160" s="371">
        <v>10</v>
      </c>
      <c r="K160" s="372">
        <v>5</v>
      </c>
      <c r="L160" s="482">
        <v>100000</v>
      </c>
      <c r="M160" s="443" t="s">
        <v>535</v>
      </c>
      <c r="N160" s="726">
        <f t="shared" si="5"/>
        <v>3.7301639973054816E-3</v>
      </c>
      <c r="O160" s="370">
        <v>6</v>
      </c>
      <c r="P160" s="66">
        <v>123</v>
      </c>
      <c r="Q160" s="335">
        <f>(W160-W121)/X160</f>
        <v>-3.5850473697883127E-2</v>
      </c>
      <c r="S160" s="402">
        <v>229.9967499</v>
      </c>
      <c r="T160" s="395">
        <v>49.999135549999998</v>
      </c>
      <c r="U160" s="402">
        <v>36.898326879999999</v>
      </c>
      <c r="V160" s="395">
        <v>0.79970219099999995</v>
      </c>
      <c r="W160" s="400">
        <v>6.738188E-3</v>
      </c>
      <c r="X160" s="400">
        <v>5.6586700000000002E-3</v>
      </c>
      <c r="Y160" s="402">
        <v>2.0573585059999999</v>
      </c>
      <c r="Z160" s="409">
        <v>100006.73820000001</v>
      </c>
      <c r="AA160" s="396">
        <v>42037.595567129632</v>
      </c>
      <c r="AB160" s="393">
        <v>50.000103780781899</v>
      </c>
      <c r="AC160" s="393">
        <v>0.3525390625</v>
      </c>
      <c r="AD160" s="393" t="s">
        <v>134</v>
      </c>
      <c r="AE160" s="393">
        <v>0.2607421875</v>
      </c>
      <c r="AF160" s="393" t="s">
        <v>135</v>
      </c>
      <c r="AG160" s="393">
        <v>0.222996418165569</v>
      </c>
      <c r="AH160" s="393">
        <v>148.15552302780301</v>
      </c>
      <c r="AI160" s="393">
        <v>1.1330962675010099</v>
      </c>
      <c r="AJ160" s="393">
        <v>1.1333492192006001</v>
      </c>
      <c r="AK160" s="393">
        <v>107.978336618637</v>
      </c>
      <c r="AL160" s="393">
        <v>255471.13390034201</v>
      </c>
      <c r="AM160" s="393">
        <v>9196.7724609375</v>
      </c>
      <c r="AN160" s="393">
        <v>0.222928209548624</v>
      </c>
      <c r="AO160" s="393">
        <v>148.11626554031801</v>
      </c>
      <c r="AP160" s="393">
        <v>1.1330964589777099</v>
      </c>
      <c r="AQ160" s="393">
        <v>1.13331735274755</v>
      </c>
      <c r="AR160" s="393">
        <v>107.957495431982</v>
      </c>
      <c r="AS160" s="393">
        <v>255469.33755518799</v>
      </c>
      <c r="AT160" s="393">
        <v>9196.779296875</v>
      </c>
      <c r="AU160" s="393">
        <v>0.22311617648177501</v>
      </c>
      <c r="AV160" s="393">
        <v>148.32048586321599</v>
      </c>
      <c r="AW160" s="393">
        <v>1.13309646308943</v>
      </c>
      <c r="AX160" s="393">
        <v>1.1332724617027099</v>
      </c>
      <c r="AY160" s="393">
        <v>107.950502346759</v>
      </c>
      <c r="AZ160" s="393">
        <v>255467.76135415601</v>
      </c>
      <c r="BA160" s="393">
        <v>9196.779296875</v>
      </c>
      <c r="BB160" s="393">
        <v>0.22409935476172299</v>
      </c>
      <c r="BC160" s="393">
        <v>148.16313829966899</v>
      </c>
      <c r="BD160" s="393">
        <v>1.13309718837423</v>
      </c>
      <c r="BE160" s="393">
        <v>1.1333143714203</v>
      </c>
      <c r="BF160" s="393">
        <v>107.94351471842</v>
      </c>
      <c r="BG160" s="393">
        <v>255470.87953445999</v>
      </c>
      <c r="BH160" s="393">
        <v>9196.7958984375</v>
      </c>
      <c r="BI160" s="393">
        <v>0.22320566733053199</v>
      </c>
      <c r="BJ160" s="393">
        <v>148.22252070307101</v>
      </c>
      <c r="BK160" s="393">
        <v>1.13309561859202</v>
      </c>
      <c r="BL160" s="393">
        <v>1.1333361095913601</v>
      </c>
      <c r="BM160" s="393">
        <v>107.924409671371</v>
      </c>
      <c r="BN160" s="393">
        <v>255468.93842812101</v>
      </c>
      <c r="BO160" s="393">
        <v>9196.7958984375</v>
      </c>
      <c r="BP160" s="393"/>
      <c r="BQ160" s="335">
        <f>('RD31 Data'!HY160-'RD31 Data'!HY121)/10000/X160</f>
        <v>-0.12454512497616047</v>
      </c>
      <c r="BR160" s="393"/>
      <c r="BS160" s="393"/>
      <c r="BT160" s="393"/>
      <c r="BU160" s="393"/>
      <c r="BV160" s="393"/>
      <c r="BW160" s="393">
        <v>9196.2863020000004</v>
      </c>
      <c r="BX160" s="393">
        <v>6904.3471449999997</v>
      </c>
      <c r="BY160" s="393">
        <v>229.9967499</v>
      </c>
      <c r="BZ160" s="393">
        <v>49.999135549999998</v>
      </c>
      <c r="CA160" s="393">
        <v>36.898326879999999</v>
      </c>
      <c r="CB160" s="393">
        <v>1.0058475000000001E-2</v>
      </c>
      <c r="CC160" s="393">
        <v>1.1489533999999999E-2</v>
      </c>
      <c r="CD160" s="399">
        <v>5.0923E-5</v>
      </c>
      <c r="CE160" s="399">
        <v>4.7196800000000002E-5</v>
      </c>
      <c r="CF160" s="399">
        <v>3.9715700000000003E-5</v>
      </c>
      <c r="CG160" s="393">
        <v>6.738188E-3</v>
      </c>
      <c r="CH160" s="393">
        <v>2.7504539999999998E-3</v>
      </c>
      <c r="CI160" s="393">
        <v>25.003382349999999</v>
      </c>
      <c r="CJ160" s="393">
        <v>2.0573585059999999</v>
      </c>
      <c r="CK160" s="393">
        <v>5.6586700000000002E-3</v>
      </c>
      <c r="CL160" s="393">
        <v>0.79970219099999995</v>
      </c>
      <c r="CM160" s="393">
        <v>4.600014528</v>
      </c>
      <c r="CN160" s="399">
        <v>7.9486799999999993E-6</v>
      </c>
      <c r="CO160" s="393">
        <v>100006.73820000001</v>
      </c>
      <c r="CP160" s="393">
        <v>0</v>
      </c>
      <c r="CQ160" s="393">
        <v>0</v>
      </c>
      <c r="CR160" s="393">
        <v>109.121</v>
      </c>
      <c r="CS160" s="393">
        <v>23.540386250000001</v>
      </c>
      <c r="CT160" s="393">
        <v>0.32292900400000002</v>
      </c>
      <c r="CU160" s="393"/>
      <c r="CV160" s="393"/>
      <c r="CW160" s="393"/>
      <c r="CX160" s="393"/>
      <c r="CY160" s="393"/>
      <c r="CZ160" s="393"/>
      <c r="DA160" s="393"/>
    </row>
    <row r="161" spans="1:105" x14ac:dyDescent="0.2">
      <c r="A161" s="366">
        <f>ROW()</f>
        <v>161</v>
      </c>
      <c r="B161" s="367" t="s">
        <v>50</v>
      </c>
      <c r="C161" s="368">
        <v>100</v>
      </c>
      <c r="D161" s="368">
        <v>230</v>
      </c>
      <c r="E161" s="731">
        <v>0</v>
      </c>
      <c r="F161" s="441">
        <v>230</v>
      </c>
      <c r="G161" s="369" t="s">
        <v>359</v>
      </c>
      <c r="H161" s="370">
        <v>100</v>
      </c>
      <c r="I161" s="367">
        <v>50</v>
      </c>
      <c r="J161" s="371">
        <v>10</v>
      </c>
      <c r="K161" s="372">
        <v>5</v>
      </c>
      <c r="L161" s="482">
        <v>100000</v>
      </c>
      <c r="M161" s="443" t="s">
        <v>535</v>
      </c>
      <c r="N161" s="726">
        <f t="shared" ref="N161:N166" si="6">IF(M161="watts",SQRT((0.0005+0.001/COS(RADIANS(ABS(E161))))^2+0.000645^2)*IF(T161&gt;26,2,1),SQRT((0.001+0.001/SIN(RADIANS(ABS(E161))))^2+0.000645^2+0.0035^2))</f>
        <v>3.265593361090753E-3</v>
      </c>
      <c r="O161" s="370">
        <v>6</v>
      </c>
      <c r="P161" s="66">
        <v>123</v>
      </c>
      <c r="Q161" s="335">
        <f>(W161-W127)/X161</f>
        <v>0.10513154922928269</v>
      </c>
      <c r="S161" s="402">
        <v>229.99634080000001</v>
      </c>
      <c r="T161" s="395">
        <v>100.0019309</v>
      </c>
      <c r="U161" s="402">
        <v>-4.6615399999999998E-4</v>
      </c>
      <c r="V161" s="395">
        <v>1</v>
      </c>
      <c r="W161" s="400">
        <v>4.8110660000000001E-3</v>
      </c>
      <c r="X161" s="400">
        <v>4.7109359999999998E-3</v>
      </c>
      <c r="Y161" s="402">
        <v>2.083624387</v>
      </c>
      <c r="Z161" s="409">
        <v>100004.81110000001</v>
      </c>
      <c r="AA161" s="396">
        <v>42037.624479166669</v>
      </c>
      <c r="AB161" s="393">
        <v>49.9999150993604</v>
      </c>
      <c r="AC161" s="393">
        <v>0.8828125</v>
      </c>
      <c r="AD161" s="393" t="s">
        <v>134</v>
      </c>
      <c r="AE161" s="393">
        <v>0</v>
      </c>
      <c r="AF161" s="393" t="s">
        <v>133</v>
      </c>
      <c r="AG161" s="393">
        <v>0.32320090388646799</v>
      </c>
      <c r="AH161" s="393">
        <v>-112.583783703298</v>
      </c>
      <c r="AI161" s="393">
        <v>1.1330939387180201</v>
      </c>
      <c r="AJ161" s="393">
        <v>1.13279207489337</v>
      </c>
      <c r="AK161" s="393">
        <v>107.999466712283</v>
      </c>
      <c r="AL161" s="393">
        <v>638919.50542632502</v>
      </c>
      <c r="AM161" s="393">
        <v>23000.4921875</v>
      </c>
      <c r="AN161" s="393">
        <v>0.32141956474925498</v>
      </c>
      <c r="AO161" s="393">
        <v>-112.480060050049</v>
      </c>
      <c r="AP161" s="393">
        <v>1.133094442163</v>
      </c>
      <c r="AQ161" s="393">
        <v>1.13268972784324</v>
      </c>
      <c r="AR161" s="393">
        <v>107.940644453754</v>
      </c>
      <c r="AS161" s="393">
        <v>638926.36845201498</v>
      </c>
      <c r="AT161" s="393">
        <v>23000.546875</v>
      </c>
      <c r="AU161" s="393">
        <v>0.32318256791417299</v>
      </c>
      <c r="AV161" s="393">
        <v>-112.23961516203801</v>
      </c>
      <c r="AW161" s="393">
        <v>1.1330941504940999</v>
      </c>
      <c r="AX161" s="393">
        <v>1.1324225907781</v>
      </c>
      <c r="AY161" s="393">
        <v>107.940975384194</v>
      </c>
      <c r="AZ161" s="393">
        <v>638916.72539391206</v>
      </c>
      <c r="BA161" s="393">
        <v>23000.4921875</v>
      </c>
      <c r="BB161" s="393">
        <v>0.32307003443356302</v>
      </c>
      <c r="BC161" s="393">
        <v>-112.209158459554</v>
      </c>
      <c r="BD161" s="393">
        <v>1.1330943665956199</v>
      </c>
      <c r="BE161" s="393">
        <v>1.13294187347982</v>
      </c>
      <c r="BF161" s="393">
        <v>107.91630711342501</v>
      </c>
      <c r="BG161" s="393">
        <v>638924.33856282197</v>
      </c>
      <c r="BH161" s="393">
        <v>23000.546875</v>
      </c>
      <c r="BI161" s="393">
        <v>0.32270419470446599</v>
      </c>
      <c r="BJ161" s="393">
        <v>-112.40999378123701</v>
      </c>
      <c r="BK161" s="393">
        <v>1.1330950194499301</v>
      </c>
      <c r="BL161" s="393">
        <v>1.1327463404479501</v>
      </c>
      <c r="BM161" s="393">
        <v>107.948318665176</v>
      </c>
      <c r="BN161" s="393">
        <v>638922.068897911</v>
      </c>
      <c r="BO161" s="393">
        <v>23000.53125</v>
      </c>
      <c r="BP161" s="393"/>
      <c r="BQ161" s="335">
        <f>('RD31 Data'!HY161-'RD31 Data'!HY127)/10000/X161</f>
        <v>-0.14016400700880527</v>
      </c>
      <c r="BR161" s="393"/>
      <c r="BS161" s="393"/>
      <c r="BT161" s="393"/>
      <c r="BU161" s="393"/>
      <c r="BV161" s="393"/>
      <c r="BW161" s="393">
        <v>23000.078300000001</v>
      </c>
      <c r="BX161" s="393">
        <v>0.18712688199999999</v>
      </c>
      <c r="BY161" s="393">
        <v>229.99634080000001</v>
      </c>
      <c r="BZ161" s="393">
        <v>100.0019309</v>
      </c>
      <c r="CA161" s="393">
        <v>-4.6615399999999998E-4</v>
      </c>
      <c r="CB161" s="393">
        <v>1.9729824999999999E-2</v>
      </c>
      <c r="CC161" s="393">
        <v>2.0343028999999999E-2</v>
      </c>
      <c r="CD161" s="399">
        <v>3.6827099999999998E-5</v>
      </c>
      <c r="CE161" s="399">
        <v>7.7293500000000001E-5</v>
      </c>
      <c r="CF161" s="399">
        <v>5.0676900000000003E-5</v>
      </c>
      <c r="CG161" s="393">
        <v>4.8110660000000001E-3</v>
      </c>
      <c r="CH161" s="393">
        <v>2.2609330000000001E-3</v>
      </c>
      <c r="CI161" s="393">
        <v>19.851801479999999</v>
      </c>
      <c r="CJ161" s="393">
        <v>2.083624387</v>
      </c>
      <c r="CK161" s="393">
        <v>4.7109359999999998E-3</v>
      </c>
      <c r="CL161" s="393">
        <v>1</v>
      </c>
      <c r="CM161" s="393">
        <v>2.299919</v>
      </c>
      <c r="CN161" s="399">
        <v>3.6745199999999998E-6</v>
      </c>
      <c r="CO161" s="393">
        <v>100004.81110000001</v>
      </c>
      <c r="CP161" s="393">
        <v>0</v>
      </c>
      <c r="CQ161" s="393">
        <v>0</v>
      </c>
      <c r="CR161" s="393">
        <v>109.136</v>
      </c>
      <c r="CS161" s="393">
        <v>23.579036009999999</v>
      </c>
      <c r="CT161" s="393">
        <v>0.32292743200000001</v>
      </c>
      <c r="CU161" s="393"/>
      <c r="CV161" s="393"/>
      <c r="CW161" s="393"/>
      <c r="CX161" s="393"/>
      <c r="CY161" s="393"/>
      <c r="CZ161" s="393"/>
      <c r="DA161" s="393"/>
    </row>
    <row r="162" spans="1:105" x14ac:dyDescent="0.2">
      <c r="A162" s="366">
        <f>ROW()</f>
        <v>162</v>
      </c>
      <c r="B162" s="367" t="s">
        <v>50</v>
      </c>
      <c r="C162" s="368">
        <v>100</v>
      </c>
      <c r="D162" s="368">
        <v>230</v>
      </c>
      <c r="E162" s="731">
        <v>0</v>
      </c>
      <c r="F162" s="441">
        <v>230</v>
      </c>
      <c r="G162" s="369" t="s">
        <v>359</v>
      </c>
      <c r="H162" s="370">
        <v>100</v>
      </c>
      <c r="I162" s="367">
        <v>50</v>
      </c>
      <c r="J162" s="371">
        <v>10</v>
      </c>
      <c r="K162" s="372">
        <v>5</v>
      </c>
      <c r="L162" s="482">
        <v>100000</v>
      </c>
      <c r="M162" s="443" t="s">
        <v>535</v>
      </c>
      <c r="N162" s="726">
        <f t="shared" si="6"/>
        <v>3.265593361090753E-3</v>
      </c>
      <c r="O162" s="370">
        <v>6</v>
      </c>
      <c r="P162" s="66">
        <v>123</v>
      </c>
      <c r="Q162" s="335">
        <f>(W162-W128)/X162</f>
        <v>0.17379716480881072</v>
      </c>
      <c r="S162" s="402">
        <v>229.99659990000001</v>
      </c>
      <c r="T162" s="395">
        <v>100.0018194</v>
      </c>
      <c r="U162" s="402">
        <v>-4.3844100000000003E-4</v>
      </c>
      <c r="V162" s="395">
        <v>1</v>
      </c>
      <c r="W162" s="400">
        <v>4.5876609999999998E-3</v>
      </c>
      <c r="X162" s="400">
        <v>4.7193290000000004E-3</v>
      </c>
      <c r="Y162" s="402">
        <v>2.0825033980000001</v>
      </c>
      <c r="Z162" s="409">
        <v>100004.5877</v>
      </c>
      <c r="AA162" s="396">
        <v>42037.627384259256</v>
      </c>
      <c r="AB162" s="393">
        <v>50.000627374726598</v>
      </c>
      <c r="AC162" s="393">
        <v>0.8828125</v>
      </c>
      <c r="AD162" s="393" t="s">
        <v>134</v>
      </c>
      <c r="AE162" s="393">
        <v>0</v>
      </c>
      <c r="AF162" s="393" t="s">
        <v>133</v>
      </c>
      <c r="AG162" s="393">
        <v>0.32320984652165602</v>
      </c>
      <c r="AH162" s="393">
        <v>-112.523895488241</v>
      </c>
      <c r="AI162" s="393">
        <v>1.1330949157411701</v>
      </c>
      <c r="AJ162" s="393">
        <v>1.1334639886795299</v>
      </c>
      <c r="AK162" s="393">
        <v>107.94234533114199</v>
      </c>
      <c r="AL162" s="393">
        <v>638920.11834270705</v>
      </c>
      <c r="AM162" s="393">
        <v>23000.5703125</v>
      </c>
      <c r="AN162" s="393">
        <v>0.32459216344859598</v>
      </c>
      <c r="AO162" s="393">
        <v>-112.451947006702</v>
      </c>
      <c r="AP162" s="393">
        <v>1.1330953561852699</v>
      </c>
      <c r="AQ162" s="393">
        <v>1.13336049913735</v>
      </c>
      <c r="AR162" s="393">
        <v>107.95936323443701</v>
      </c>
      <c r="AS162" s="393">
        <v>638925.28350373299</v>
      </c>
      <c r="AT162" s="393">
        <v>23000.505859375</v>
      </c>
      <c r="AU162" s="393">
        <v>0.324508909470548</v>
      </c>
      <c r="AV162" s="393">
        <v>-112.42278613954301</v>
      </c>
      <c r="AW162" s="393">
        <v>1.1330961768012799</v>
      </c>
      <c r="AX162" s="393">
        <v>1.1328678645049599</v>
      </c>
      <c r="AY162" s="393">
        <v>107.986278267888</v>
      </c>
      <c r="AZ162" s="393">
        <v>638915.95851627598</v>
      </c>
      <c r="BA162" s="393">
        <v>23000.5390625</v>
      </c>
      <c r="BB162" s="393">
        <v>0.32387393650549601</v>
      </c>
      <c r="BC162" s="393">
        <v>-112.15492186901101</v>
      </c>
      <c r="BD162" s="393">
        <v>1.13309604641637</v>
      </c>
      <c r="BE162" s="393">
        <v>1.1337639944595701</v>
      </c>
      <c r="BF162" s="393">
        <v>107.916483154947</v>
      </c>
      <c r="BG162" s="393">
        <v>638920.33196600305</v>
      </c>
      <c r="BH162" s="393">
        <v>23000.546875</v>
      </c>
      <c r="BI162" s="393">
        <v>0.32318762584220201</v>
      </c>
      <c r="BJ162" s="393">
        <v>-112.38566127619499</v>
      </c>
      <c r="BK162" s="393">
        <v>1.13309580623728</v>
      </c>
      <c r="BL162" s="393">
        <v>1.1328447099921299</v>
      </c>
      <c r="BM162" s="393">
        <v>107.950970769816</v>
      </c>
      <c r="BN162" s="393">
        <v>638920.21702606103</v>
      </c>
      <c r="BO162" s="393">
        <v>23000.498046875</v>
      </c>
      <c r="BP162" s="393"/>
      <c r="BQ162" s="335">
        <f>('RD31 Data'!HY162-'RD31 Data'!HY128)/10000/X162</f>
        <v>-0.13598395813860045</v>
      </c>
      <c r="BR162" s="393"/>
      <c r="BS162" s="393"/>
      <c r="BT162" s="393"/>
      <c r="BU162" s="393"/>
      <c r="BV162" s="393"/>
      <c r="BW162" s="393">
        <v>23000.078580000001</v>
      </c>
      <c r="BX162" s="393">
        <v>0.176002093</v>
      </c>
      <c r="BY162" s="393">
        <v>229.99659990000001</v>
      </c>
      <c r="BZ162" s="393">
        <v>100.0018194</v>
      </c>
      <c r="CA162" s="393">
        <v>-4.3844100000000003E-4</v>
      </c>
      <c r="CB162" s="393">
        <v>1.2367114E-2</v>
      </c>
      <c r="CC162" s="393">
        <v>1.7937689999999999E-2</v>
      </c>
      <c r="CD162" s="399">
        <v>4.7246800000000003E-5</v>
      </c>
      <c r="CE162" s="399">
        <v>5.3170200000000001E-5</v>
      </c>
      <c r="CF162" s="399">
        <v>4.4684700000000003E-5</v>
      </c>
      <c r="CG162" s="393">
        <v>4.5876609999999998E-3</v>
      </c>
      <c r="CH162" s="393">
        <v>2.2661809999999999E-3</v>
      </c>
      <c r="CI162" s="393">
        <v>20.026343140000002</v>
      </c>
      <c r="CJ162" s="393">
        <v>2.0825033980000001</v>
      </c>
      <c r="CK162" s="393">
        <v>4.7193290000000004E-3</v>
      </c>
      <c r="CL162" s="393">
        <v>1</v>
      </c>
      <c r="CM162" s="393">
        <v>2.2999241549999998</v>
      </c>
      <c r="CN162" s="399">
        <v>3.0883900000000001E-6</v>
      </c>
      <c r="CO162" s="393">
        <v>100004.5877</v>
      </c>
      <c r="CP162" s="393">
        <v>0</v>
      </c>
      <c r="CQ162" s="393">
        <v>0</v>
      </c>
      <c r="CR162" s="393">
        <v>109.14</v>
      </c>
      <c r="CS162" s="393">
        <v>23.5893427</v>
      </c>
      <c r="CT162" s="393">
        <v>0.32292701200000001</v>
      </c>
      <c r="CU162" s="393"/>
      <c r="CV162" s="393"/>
      <c r="CW162" s="393"/>
      <c r="CX162" s="393"/>
      <c r="CY162" s="393"/>
      <c r="CZ162" s="393"/>
      <c r="DA162" s="393"/>
    </row>
    <row r="163" spans="1:105" x14ac:dyDescent="0.2">
      <c r="A163" s="366">
        <f>ROW()</f>
        <v>163</v>
      </c>
      <c r="B163" s="367" t="s">
        <v>50</v>
      </c>
      <c r="C163" s="368">
        <v>100</v>
      </c>
      <c r="D163" s="368">
        <v>230</v>
      </c>
      <c r="E163" s="731">
        <v>-60</v>
      </c>
      <c r="F163" s="441">
        <v>230</v>
      </c>
      <c r="G163" s="369" t="s">
        <v>359</v>
      </c>
      <c r="H163" s="370">
        <v>100</v>
      </c>
      <c r="I163" s="367">
        <v>50</v>
      </c>
      <c r="J163" s="371">
        <v>10</v>
      </c>
      <c r="K163" s="372">
        <v>5</v>
      </c>
      <c r="L163" s="482">
        <v>100000</v>
      </c>
      <c r="M163" s="443" t="s">
        <v>535</v>
      </c>
      <c r="N163" s="726">
        <f t="shared" si="6"/>
        <v>5.1637292725316255E-3</v>
      </c>
      <c r="O163" s="370">
        <v>6</v>
      </c>
      <c r="P163" s="66">
        <v>123</v>
      </c>
      <c r="Q163" s="335">
        <f>(W163-W129)/X163</f>
        <v>-0.15428996967447098</v>
      </c>
      <c r="S163" s="402">
        <v>229.99685629999999</v>
      </c>
      <c r="T163" s="395">
        <v>99.997786689999998</v>
      </c>
      <c r="U163" s="402">
        <v>-59.997582219999998</v>
      </c>
      <c r="V163" s="395">
        <v>0.50003654399999997</v>
      </c>
      <c r="W163" s="400">
        <v>-2.6260989999999998E-3</v>
      </c>
      <c r="X163" s="400">
        <v>8.4974609999999996E-3</v>
      </c>
      <c r="Y163" s="402">
        <v>2.0531560579999999</v>
      </c>
      <c r="Z163" s="409">
        <v>99997.373900000006</v>
      </c>
      <c r="AA163" s="396">
        <v>42037.630300925928</v>
      </c>
      <c r="AB163" s="393">
        <v>50.000103780781899</v>
      </c>
      <c r="AC163" s="393">
        <v>0.44140625</v>
      </c>
      <c r="AD163" s="393" t="s">
        <v>134</v>
      </c>
      <c r="AE163" s="393">
        <v>0.7529296875</v>
      </c>
      <c r="AF163" s="393" t="s">
        <v>133</v>
      </c>
      <c r="AG163" s="393">
        <v>0.197590051461322</v>
      </c>
      <c r="AH163" s="393">
        <v>-16.308700110121599</v>
      </c>
      <c r="AI163" s="393">
        <v>1.1330971122201601</v>
      </c>
      <c r="AJ163" s="393">
        <v>1.13375584040461</v>
      </c>
      <c r="AK163" s="393">
        <v>107.922065169565</v>
      </c>
      <c r="AL163" s="393">
        <v>319451.47515900398</v>
      </c>
      <c r="AM163" s="393">
        <v>11499.70703125</v>
      </c>
      <c r="AN163" s="393">
        <v>0.19738473139691101</v>
      </c>
      <c r="AO163" s="393">
        <v>-17.1012655549488</v>
      </c>
      <c r="AP163" s="393">
        <v>1.13309804440092</v>
      </c>
      <c r="AQ163" s="393">
        <v>1.13311592326565</v>
      </c>
      <c r="AR163" s="393">
        <v>107.957847848586</v>
      </c>
      <c r="AS163" s="393">
        <v>319449.10435498302</v>
      </c>
      <c r="AT163" s="393">
        <v>11499.7119140625</v>
      </c>
      <c r="AU163" s="393">
        <v>0.19658419093944501</v>
      </c>
      <c r="AV163" s="393">
        <v>-16.844461473920202</v>
      </c>
      <c r="AW163" s="393">
        <v>1.1330962316489199</v>
      </c>
      <c r="AX163" s="393">
        <v>1.1324161915074999</v>
      </c>
      <c r="AY163" s="393">
        <v>107.957049623308</v>
      </c>
      <c r="AZ163" s="393">
        <v>319443.06732864497</v>
      </c>
      <c r="BA163" s="393">
        <v>11499.7216796875</v>
      </c>
      <c r="BB163" s="393">
        <v>0.19968080405302299</v>
      </c>
      <c r="BC163" s="393">
        <v>-16.900366944750601</v>
      </c>
      <c r="BD163" s="393">
        <v>1.1330968000599799</v>
      </c>
      <c r="BE163" s="393">
        <v>1.13343936945116</v>
      </c>
      <c r="BF163" s="393">
        <v>107.95382407226801</v>
      </c>
      <c r="BG163" s="393">
        <v>319445.42540060601</v>
      </c>
      <c r="BH163" s="393">
        <v>11499.7353515625</v>
      </c>
      <c r="BI163" s="393">
        <v>0.197888856830888</v>
      </c>
      <c r="BJ163" s="393">
        <v>-16.6000320696592</v>
      </c>
      <c r="BK163" s="393">
        <v>1.1330964287121399</v>
      </c>
      <c r="BL163" s="393">
        <v>1.1327132867876899</v>
      </c>
      <c r="BM163" s="393">
        <v>107.959355737832</v>
      </c>
      <c r="BN163" s="393">
        <v>319450.76536161301</v>
      </c>
      <c r="BO163" s="393">
        <v>11499.7685546875</v>
      </c>
      <c r="BP163" s="393"/>
      <c r="BQ163" s="335">
        <f>('RD31 Data'!HY163-'RD31 Data'!HY129)/10000/X163</f>
        <v>-0.18236291645655417</v>
      </c>
      <c r="BR163" s="393"/>
      <c r="BS163" s="393"/>
      <c r="BT163" s="393"/>
      <c r="BU163" s="393"/>
      <c r="BV163" s="393"/>
      <c r="BW163" s="393">
        <v>11500.42884</v>
      </c>
      <c r="BX163" s="393">
        <v>19917.386020000002</v>
      </c>
      <c r="BY163" s="393">
        <v>229.99685629999999</v>
      </c>
      <c r="BZ163" s="393">
        <v>99.997786689999998</v>
      </c>
      <c r="CA163" s="393">
        <v>-59.997582219999998</v>
      </c>
      <c r="CB163" s="393">
        <v>2.1236585999999998E-2</v>
      </c>
      <c r="CC163" s="393">
        <v>2.5568646E-2</v>
      </c>
      <c r="CD163" s="399">
        <v>6.4670099999999996E-5</v>
      </c>
      <c r="CE163" s="399">
        <v>9.5432299999999998E-5</v>
      </c>
      <c r="CF163" s="399">
        <v>5.8283499999999999E-5</v>
      </c>
      <c r="CG163" s="393">
        <v>-2.6260989999999998E-3</v>
      </c>
      <c r="CH163" s="393">
        <v>4.1387309999999997E-3</v>
      </c>
      <c r="CI163" s="393">
        <v>26.098379359999999</v>
      </c>
      <c r="CJ163" s="393">
        <v>2.0531560579999999</v>
      </c>
      <c r="CK163" s="393">
        <v>8.4974609999999996E-3</v>
      </c>
      <c r="CL163" s="393">
        <v>0.50003654399999997</v>
      </c>
      <c r="CM163" s="393">
        <v>2.3000194700000001</v>
      </c>
      <c r="CN163" s="399">
        <v>4.9486200000000001E-6</v>
      </c>
      <c r="CO163" s="393">
        <v>99997.373900000006</v>
      </c>
      <c r="CP163" s="393">
        <v>0</v>
      </c>
      <c r="CQ163" s="393">
        <v>0</v>
      </c>
      <c r="CR163" s="393">
        <v>109.13500000000001</v>
      </c>
      <c r="CS163" s="393">
        <v>23.57645935</v>
      </c>
      <c r="CT163" s="393">
        <v>0.32292753600000002</v>
      </c>
      <c r="CU163" s="393"/>
      <c r="CV163" s="393"/>
      <c r="CW163" s="393"/>
      <c r="CX163" s="393"/>
      <c r="CY163" s="393"/>
      <c r="CZ163" s="393"/>
      <c r="DA163" s="393"/>
    </row>
    <row r="164" spans="1:105" x14ac:dyDescent="0.2">
      <c r="A164" s="366">
        <f>ROW()</f>
        <v>164</v>
      </c>
      <c r="B164" s="367" t="s">
        <v>50</v>
      </c>
      <c r="C164" s="368">
        <v>100</v>
      </c>
      <c r="D164" s="368">
        <v>230</v>
      </c>
      <c r="E164" s="731">
        <v>-60</v>
      </c>
      <c r="F164" s="441">
        <v>230</v>
      </c>
      <c r="G164" s="369" t="s">
        <v>359</v>
      </c>
      <c r="H164" s="370">
        <v>100</v>
      </c>
      <c r="I164" s="367">
        <v>50</v>
      </c>
      <c r="J164" s="371">
        <v>10</v>
      </c>
      <c r="K164" s="372">
        <v>5</v>
      </c>
      <c r="L164" s="482">
        <v>100000</v>
      </c>
      <c r="M164" s="443" t="s">
        <v>535</v>
      </c>
      <c r="N164" s="726">
        <f t="shared" si="6"/>
        <v>5.1637292725316255E-3</v>
      </c>
      <c r="O164" s="370">
        <v>6</v>
      </c>
      <c r="P164" s="66">
        <v>123</v>
      </c>
      <c r="Q164" s="335">
        <f>(W164-W130)/X164</f>
        <v>-8.4917769689220338E-2</v>
      </c>
      <c r="S164" s="402">
        <v>229.9967278</v>
      </c>
      <c r="T164" s="395">
        <v>99.997547350000005</v>
      </c>
      <c r="U164" s="402">
        <v>-59.997611050000003</v>
      </c>
      <c r="V164" s="395">
        <v>0.50003610799999998</v>
      </c>
      <c r="W164" s="400">
        <v>-2.5269120000000001E-3</v>
      </c>
      <c r="X164" s="400">
        <v>8.4965019999999995E-3</v>
      </c>
      <c r="Y164" s="402">
        <v>2.0532058709999998</v>
      </c>
      <c r="Z164" s="409">
        <v>99997.47309</v>
      </c>
      <c r="AA164" s="396">
        <v>42037.633206018516</v>
      </c>
      <c r="AB164" s="393">
        <v>49.9999669897513</v>
      </c>
      <c r="AC164" s="393">
        <v>0.44140625</v>
      </c>
      <c r="AD164" s="393" t="s">
        <v>134</v>
      </c>
      <c r="AE164" s="393">
        <v>0.7529296875</v>
      </c>
      <c r="AF164" s="393" t="s">
        <v>133</v>
      </c>
      <c r="AG164" s="393">
        <v>0.19759279984515199</v>
      </c>
      <c r="AH164" s="393">
        <v>-16.7469851418753</v>
      </c>
      <c r="AI164" s="393">
        <v>1.1330959234284199</v>
      </c>
      <c r="AJ164" s="393">
        <v>1.1326536025515599</v>
      </c>
      <c r="AK164" s="393">
        <v>107.95517973573099</v>
      </c>
      <c r="AL164" s="393">
        <v>319451.68660075997</v>
      </c>
      <c r="AM164" s="393">
        <v>11499.765625</v>
      </c>
      <c r="AN164" s="393">
        <v>0.19707336752012999</v>
      </c>
      <c r="AO164" s="393">
        <v>-17.615981911513099</v>
      </c>
      <c r="AP164" s="393">
        <v>1.1330973948421399</v>
      </c>
      <c r="AQ164" s="393">
        <v>1.1331374655556601</v>
      </c>
      <c r="AR164" s="393">
        <v>107.94850900372199</v>
      </c>
      <c r="AS164" s="393">
        <v>319445.87502581399</v>
      </c>
      <c r="AT164" s="393">
        <v>11499.6943359375</v>
      </c>
      <c r="AU164" s="393">
        <v>0.19584112126317499</v>
      </c>
      <c r="AV164" s="393">
        <v>-16.608394389752</v>
      </c>
      <c r="AW164" s="393">
        <v>1.13309592020488</v>
      </c>
      <c r="AX164" s="393">
        <v>1.1328744233993</v>
      </c>
      <c r="AY164" s="393">
        <v>107.939096470539</v>
      </c>
      <c r="AZ164" s="393">
        <v>319448.61807860999</v>
      </c>
      <c r="BA164" s="393">
        <v>11499.720703125</v>
      </c>
      <c r="BB164" s="393">
        <v>0.19756856015129901</v>
      </c>
      <c r="BC164" s="393">
        <v>-16.859298581987801</v>
      </c>
      <c r="BD164" s="393">
        <v>1.13309678831751</v>
      </c>
      <c r="BE164" s="393">
        <v>1.13272942069308</v>
      </c>
      <c r="BF164" s="393">
        <v>107.939802914143</v>
      </c>
      <c r="BG164" s="393">
        <v>319444.20610569499</v>
      </c>
      <c r="BH164" s="393">
        <v>11499.787109375</v>
      </c>
      <c r="BI164" s="393">
        <v>0.19830875262140299</v>
      </c>
      <c r="BJ164" s="393">
        <v>-17.012206319920001</v>
      </c>
      <c r="BK164" s="393">
        <v>1.13309542426853</v>
      </c>
      <c r="BL164" s="393">
        <v>1.1333317787968</v>
      </c>
      <c r="BM164" s="393">
        <v>107.949412352279</v>
      </c>
      <c r="BN164" s="393">
        <v>319444.92870626302</v>
      </c>
      <c r="BO164" s="393">
        <v>11499.7265625</v>
      </c>
      <c r="BP164" s="393"/>
      <c r="BQ164" s="335">
        <f>('RD31 Data'!HY164-'RD31 Data'!HY130)/10000/X164</f>
        <v>-6.0356492442550216E-2</v>
      </c>
      <c r="BR164" s="393"/>
      <c r="BS164" s="393"/>
      <c r="BT164" s="393"/>
      <c r="BU164" s="393"/>
      <c r="BV164" s="393"/>
      <c r="BW164" s="393">
        <v>11500.38487</v>
      </c>
      <c r="BX164" s="393">
        <v>19917.332999999999</v>
      </c>
      <c r="BY164" s="393">
        <v>229.9967278</v>
      </c>
      <c r="BZ164" s="393">
        <v>99.997547350000005</v>
      </c>
      <c r="CA164" s="393">
        <v>-59.997611050000003</v>
      </c>
      <c r="CB164" s="393">
        <v>2.3777968E-2</v>
      </c>
      <c r="CC164" s="393">
        <v>1.8697091999999998E-2</v>
      </c>
      <c r="CD164" s="399">
        <v>7.1610699999999995E-5</v>
      </c>
      <c r="CE164" s="399">
        <v>6.5630500000000001E-5</v>
      </c>
      <c r="CF164" s="399">
        <v>6.7272899999999998E-5</v>
      </c>
      <c r="CG164" s="393">
        <v>-2.5269120000000001E-3</v>
      </c>
      <c r="CH164" s="393">
        <v>4.1381630000000003E-3</v>
      </c>
      <c r="CI164" s="393">
        <v>26.084819719999999</v>
      </c>
      <c r="CJ164" s="393">
        <v>2.0532058709999998</v>
      </c>
      <c r="CK164" s="393">
        <v>8.4965019999999995E-3</v>
      </c>
      <c r="CL164" s="393">
        <v>0.50003610799999998</v>
      </c>
      <c r="CM164" s="393">
        <v>2.3000236900000002</v>
      </c>
      <c r="CN164" s="399">
        <v>4.3154799999999999E-6</v>
      </c>
      <c r="CO164" s="393">
        <v>99997.47309</v>
      </c>
      <c r="CP164" s="393">
        <v>0</v>
      </c>
      <c r="CQ164" s="393">
        <v>0</v>
      </c>
      <c r="CR164" s="393">
        <v>109.127</v>
      </c>
      <c r="CS164" s="393">
        <v>23.5558461</v>
      </c>
      <c r="CT164" s="393">
        <v>0.32292837499999999</v>
      </c>
      <c r="CU164" s="393"/>
      <c r="CV164" s="393"/>
      <c r="CW164" s="393"/>
      <c r="CX164" s="393"/>
      <c r="CY164" s="393"/>
      <c r="CZ164" s="393"/>
      <c r="DA164" s="393"/>
    </row>
    <row r="165" spans="1:105" x14ac:dyDescent="0.2">
      <c r="A165" s="366">
        <f>ROW()</f>
        <v>165</v>
      </c>
      <c r="B165" s="367" t="s">
        <v>50</v>
      </c>
      <c r="C165" s="368">
        <v>100</v>
      </c>
      <c r="D165" s="368">
        <v>230</v>
      </c>
      <c r="E165" s="367">
        <v>36.869999999999997</v>
      </c>
      <c r="F165" s="441">
        <v>230</v>
      </c>
      <c r="G165" s="369" t="s">
        <v>359</v>
      </c>
      <c r="H165" s="370">
        <v>100</v>
      </c>
      <c r="I165" s="367">
        <v>50</v>
      </c>
      <c r="J165" s="371">
        <v>10</v>
      </c>
      <c r="K165" s="372">
        <v>5</v>
      </c>
      <c r="L165" s="482">
        <v>100000</v>
      </c>
      <c r="M165" s="443" t="s">
        <v>535</v>
      </c>
      <c r="N165" s="726">
        <f t="shared" si="6"/>
        <v>3.7301639973054816E-3</v>
      </c>
      <c r="O165" s="370">
        <v>6</v>
      </c>
      <c r="P165" s="66">
        <v>123</v>
      </c>
      <c r="Q165" s="335">
        <f>(W165-W132)/X165</f>
        <v>0.22072573839066847</v>
      </c>
      <c r="S165" s="402">
        <v>229.99686510000001</v>
      </c>
      <c r="T165" s="395">
        <v>99.998019409999998</v>
      </c>
      <c r="U165" s="402">
        <v>36.867788609999998</v>
      </c>
      <c r="V165" s="395">
        <v>0.80002208500000005</v>
      </c>
      <c r="W165" s="400">
        <v>7.3462420000000002E-3</v>
      </c>
      <c r="X165" s="400">
        <v>5.6673590000000003E-3</v>
      </c>
      <c r="Y165" s="402">
        <v>2.056677928</v>
      </c>
      <c r="Z165" s="409">
        <v>100007.3462</v>
      </c>
      <c r="AA165" s="396">
        <v>42037.636134259257</v>
      </c>
      <c r="AB165" s="393">
        <v>50</v>
      </c>
      <c r="AC165" s="393">
        <v>0.7060546875</v>
      </c>
      <c r="AD165" s="393" t="s">
        <v>134</v>
      </c>
      <c r="AE165" s="393">
        <v>0.521484375</v>
      </c>
      <c r="AF165" s="393" t="s">
        <v>135</v>
      </c>
      <c r="AG165" s="393">
        <v>0.31346596566165402</v>
      </c>
      <c r="AH165" s="393">
        <v>-140.760013208972</v>
      </c>
      <c r="AI165" s="393">
        <v>1.1330976087454001</v>
      </c>
      <c r="AJ165" s="393">
        <v>1.13263461242018</v>
      </c>
      <c r="AK165" s="393">
        <v>107.926480171466</v>
      </c>
      <c r="AL165" s="393">
        <v>511142.15768818598</v>
      </c>
      <c r="AM165" s="393">
        <v>18400.853515625</v>
      </c>
      <c r="AN165" s="393">
        <v>0.31487345487250701</v>
      </c>
      <c r="AO165" s="393">
        <v>-140.71574847681899</v>
      </c>
      <c r="AP165" s="393">
        <v>1.1330972531680601</v>
      </c>
      <c r="AQ165" s="393">
        <v>1.1330685300158501</v>
      </c>
      <c r="AR165" s="393">
        <v>107.93820249954901</v>
      </c>
      <c r="AS165" s="393">
        <v>511151.55543572502</v>
      </c>
      <c r="AT165" s="393">
        <v>18400.826171875</v>
      </c>
      <c r="AU165" s="393">
        <v>0.31274146298258898</v>
      </c>
      <c r="AV165" s="393">
        <v>-140.65026606730601</v>
      </c>
      <c r="AW165" s="393">
        <v>1.13309672366587</v>
      </c>
      <c r="AX165" s="393">
        <v>1.1329542798783201</v>
      </c>
      <c r="AY165" s="393">
        <v>107.937715370989</v>
      </c>
      <c r="AZ165" s="393">
        <v>511140.18526571902</v>
      </c>
      <c r="BA165" s="393">
        <v>18400.818359375</v>
      </c>
      <c r="BB165" s="393">
        <v>0.31362616011702499</v>
      </c>
      <c r="BC165" s="393">
        <v>-140.995931546207</v>
      </c>
      <c r="BD165" s="393">
        <v>1.1330967340982001</v>
      </c>
      <c r="BE165" s="393">
        <v>1.1330955534051701</v>
      </c>
      <c r="BF165" s="393">
        <v>107.932505433673</v>
      </c>
      <c r="BG165" s="393">
        <v>511148.77212300501</v>
      </c>
      <c r="BH165" s="393">
        <v>18400.8671875</v>
      </c>
      <c r="BI165" s="393">
        <v>0.31156406654785601</v>
      </c>
      <c r="BJ165" s="393">
        <v>-140.866789755854</v>
      </c>
      <c r="BK165" s="393">
        <v>1.1330965145752601</v>
      </c>
      <c r="BL165" s="393">
        <v>1.13370339548022</v>
      </c>
      <c r="BM165" s="393">
        <v>107.954898680591</v>
      </c>
      <c r="BN165" s="393">
        <v>511145.737621632</v>
      </c>
      <c r="BO165" s="393">
        <v>18400.82421875</v>
      </c>
      <c r="BP165" s="393"/>
      <c r="BQ165" s="335">
        <f>('RD31 Data'!HY165-'RD31 Data'!HY132)/10000/X165</f>
        <v>5.8909584793697201E-3</v>
      </c>
      <c r="BR165" s="393"/>
      <c r="BS165" s="393"/>
      <c r="BT165" s="393"/>
      <c r="BU165" s="393"/>
      <c r="BV165" s="393"/>
      <c r="BW165" s="393">
        <v>18399.89284</v>
      </c>
      <c r="BX165" s="393">
        <v>13798.86139</v>
      </c>
      <c r="BY165" s="393">
        <v>229.99686510000001</v>
      </c>
      <c r="BZ165" s="393">
        <v>99.998019409999998</v>
      </c>
      <c r="CA165" s="393">
        <v>36.867788609999998</v>
      </c>
      <c r="CB165" s="393">
        <v>1.9194174000000001E-2</v>
      </c>
      <c r="CC165" s="393">
        <v>1.9512931000000001E-2</v>
      </c>
      <c r="CD165" s="399">
        <v>4.0908100000000002E-5</v>
      </c>
      <c r="CE165" s="399">
        <v>6.5569500000000003E-5</v>
      </c>
      <c r="CF165" s="399">
        <v>5.8588100000000002E-5</v>
      </c>
      <c r="CG165" s="393">
        <v>7.3462420000000002E-3</v>
      </c>
      <c r="CH165" s="393">
        <v>2.7555890000000001E-3</v>
      </c>
      <c r="CI165" s="393">
        <v>25.17423312</v>
      </c>
      <c r="CJ165" s="393">
        <v>2.056677928</v>
      </c>
      <c r="CK165" s="393">
        <v>5.6673590000000003E-3</v>
      </c>
      <c r="CL165" s="393">
        <v>0.80002208500000005</v>
      </c>
      <c r="CM165" s="393">
        <v>2.3000142050000001</v>
      </c>
      <c r="CN165" s="399">
        <v>3.8224900000000004E-6</v>
      </c>
      <c r="CO165" s="393">
        <v>100007.3462</v>
      </c>
      <c r="CP165" s="393">
        <v>0</v>
      </c>
      <c r="CQ165" s="393">
        <v>0</v>
      </c>
      <c r="CR165" s="393">
        <v>109.119</v>
      </c>
      <c r="CS165" s="393">
        <v>23.535232990000001</v>
      </c>
      <c r="CT165" s="393">
        <v>0.32292921400000002</v>
      </c>
      <c r="CU165" s="393"/>
      <c r="CV165" s="393"/>
      <c r="CW165" s="393"/>
      <c r="CX165" s="393"/>
      <c r="CY165" s="393"/>
      <c r="CZ165" s="393"/>
      <c r="DA165" s="393"/>
    </row>
    <row r="166" spans="1:105" x14ac:dyDescent="0.2">
      <c r="A166" s="366">
        <f>ROW()</f>
        <v>166</v>
      </c>
      <c r="B166" s="367" t="s">
        <v>50</v>
      </c>
      <c r="C166" s="368">
        <v>100</v>
      </c>
      <c r="D166" s="368">
        <v>230</v>
      </c>
      <c r="E166" s="367">
        <v>36.869999999999997</v>
      </c>
      <c r="F166" s="441">
        <v>230</v>
      </c>
      <c r="G166" s="369" t="s">
        <v>359</v>
      </c>
      <c r="H166" s="370">
        <v>100</v>
      </c>
      <c r="I166" s="367">
        <v>50</v>
      </c>
      <c r="J166" s="371">
        <v>10</v>
      </c>
      <c r="K166" s="372">
        <v>5</v>
      </c>
      <c r="L166" s="482">
        <v>100000</v>
      </c>
      <c r="M166" s="443" t="s">
        <v>535</v>
      </c>
      <c r="N166" s="726">
        <f t="shared" si="6"/>
        <v>3.7301639973054816E-3</v>
      </c>
      <c r="O166" s="370">
        <v>6</v>
      </c>
      <c r="P166" s="66">
        <v>123</v>
      </c>
      <c r="Q166" s="335">
        <f>(W166-W133)/X166</f>
        <v>0.36188817756640923</v>
      </c>
      <c r="S166" s="402">
        <v>229.9966283</v>
      </c>
      <c r="T166" s="395">
        <v>99.997892179999994</v>
      </c>
      <c r="U166" s="402">
        <v>36.867786420000002</v>
      </c>
      <c r="V166" s="395">
        <v>0.80002210799999995</v>
      </c>
      <c r="W166" s="400">
        <v>8.0558209999999995E-3</v>
      </c>
      <c r="X166" s="400">
        <v>5.669721E-3</v>
      </c>
      <c r="Y166" s="402">
        <v>2.056514774</v>
      </c>
      <c r="Z166" s="409">
        <v>100008.0558</v>
      </c>
      <c r="AA166" s="396">
        <v>42037.639050925929</v>
      </c>
      <c r="AB166" s="393">
        <v>49.9999669897513</v>
      </c>
      <c r="AC166" s="393">
        <v>0.7060546875</v>
      </c>
      <c r="AD166" s="393" t="s">
        <v>134</v>
      </c>
      <c r="AE166" s="393">
        <v>0.521484375</v>
      </c>
      <c r="AF166" s="393" t="s">
        <v>135</v>
      </c>
      <c r="AG166" s="393">
        <v>0.31350361290488499</v>
      </c>
      <c r="AH166" s="393">
        <v>-140.91212270743401</v>
      </c>
      <c r="AI166" s="393">
        <v>1.13309589853902</v>
      </c>
      <c r="AJ166" s="393">
        <v>1.1328190251588499</v>
      </c>
      <c r="AK166" s="393">
        <v>107.961945088007</v>
      </c>
      <c r="AL166" s="393">
        <v>511144.95815510798</v>
      </c>
      <c r="AM166" s="393">
        <v>18400.794921875</v>
      </c>
      <c r="AN166" s="393">
        <v>0.31257906782171002</v>
      </c>
      <c r="AO166" s="393">
        <v>-140.307971297069</v>
      </c>
      <c r="AP166" s="393">
        <v>1.13309520744588</v>
      </c>
      <c r="AQ166" s="393">
        <v>1.1339721115477599</v>
      </c>
      <c r="AR166" s="393">
        <v>107.93777677625999</v>
      </c>
      <c r="AS166" s="393">
        <v>511154.23490594898</v>
      </c>
      <c r="AT166" s="393">
        <v>18400.787109375</v>
      </c>
      <c r="AU166" s="393">
        <v>0.31359696944971799</v>
      </c>
      <c r="AV166" s="393">
        <v>-141.06999401768499</v>
      </c>
      <c r="AW166" s="393">
        <v>1.1330950794076</v>
      </c>
      <c r="AX166" s="393">
        <v>1.13295548706032</v>
      </c>
      <c r="AY166" s="393">
        <v>107.956967566638</v>
      </c>
      <c r="AZ166" s="393">
        <v>511143.36234204599</v>
      </c>
      <c r="BA166" s="393">
        <v>18400.8125</v>
      </c>
      <c r="BB166" s="393">
        <v>0.31247594528116102</v>
      </c>
      <c r="BC166" s="393">
        <v>-140.65309306059601</v>
      </c>
      <c r="BD166" s="393">
        <v>1.13309588260966</v>
      </c>
      <c r="BE166" s="393">
        <v>1.13309146451321</v>
      </c>
      <c r="BF166" s="393">
        <v>107.943141323682</v>
      </c>
      <c r="BG166" s="393">
        <v>511150.74645042</v>
      </c>
      <c r="BH166" s="393">
        <v>18400.85546875</v>
      </c>
      <c r="BI166" s="393">
        <v>0.31356844874232198</v>
      </c>
      <c r="BJ166" s="393">
        <v>-140.737561525096</v>
      </c>
      <c r="BK166" s="393">
        <v>1.1330969308797301</v>
      </c>
      <c r="BL166" s="393">
        <v>1.13296170266206</v>
      </c>
      <c r="BM166" s="393">
        <v>107.94545238065101</v>
      </c>
      <c r="BN166" s="393">
        <v>511147.42904187902</v>
      </c>
      <c r="BO166" s="393">
        <v>18400.810546875</v>
      </c>
      <c r="BP166" s="393"/>
      <c r="BQ166" s="335">
        <f>('RD31 Data'!HY166-'RD31 Data'!HY133)/10000/X166</f>
        <v>1.7306903748609898E-2</v>
      </c>
      <c r="BR166" s="393"/>
      <c r="BS166" s="393"/>
      <c r="BT166" s="393"/>
      <c r="BU166" s="393"/>
      <c r="BV166" s="393"/>
      <c r="BW166" s="393">
        <v>18399.850999999999</v>
      </c>
      <c r="BX166" s="393">
        <v>13798.82891</v>
      </c>
      <c r="BY166" s="393">
        <v>229.9966283</v>
      </c>
      <c r="BZ166" s="393">
        <v>99.997892179999994</v>
      </c>
      <c r="CA166" s="393">
        <v>36.867786420000002</v>
      </c>
      <c r="CB166" s="393">
        <v>1.7082518000000001E-2</v>
      </c>
      <c r="CC166" s="393">
        <v>3.3316027999999998E-2</v>
      </c>
      <c r="CD166" s="399">
        <v>6.6795299999999994E-5</v>
      </c>
      <c r="CE166" s="393">
        <v>1.3321399999999999E-4</v>
      </c>
      <c r="CF166" s="399">
        <v>4.5184900000000002E-5</v>
      </c>
      <c r="CG166" s="393">
        <v>8.0558209999999995E-3</v>
      </c>
      <c r="CH166" s="393">
        <v>2.7569560000000001E-3</v>
      </c>
      <c r="CI166" s="393">
        <v>25.215550180000001</v>
      </c>
      <c r="CJ166" s="393">
        <v>2.056514774</v>
      </c>
      <c r="CK166" s="393">
        <v>5.669721E-3</v>
      </c>
      <c r="CL166" s="393">
        <v>0.80002210799999995</v>
      </c>
      <c r="CM166" s="393">
        <v>2.3000147630000001</v>
      </c>
      <c r="CN166" s="399">
        <v>6.6860199999999997E-6</v>
      </c>
      <c r="CO166" s="393">
        <v>100008.0558</v>
      </c>
      <c r="CP166" s="393">
        <v>0</v>
      </c>
      <c r="CQ166" s="393">
        <v>0</v>
      </c>
      <c r="CR166" s="393">
        <v>109.11499999999999</v>
      </c>
      <c r="CS166" s="393">
        <v>23.524926480000001</v>
      </c>
      <c r="CT166" s="393">
        <v>0.32292963299999999</v>
      </c>
      <c r="CU166" s="393"/>
      <c r="CV166" s="393"/>
      <c r="CW166" s="393"/>
      <c r="CX166" s="393"/>
      <c r="CY166" s="393"/>
      <c r="CZ166" s="393"/>
      <c r="DA166" s="393"/>
    </row>
    <row r="167" spans="1:105" x14ac:dyDescent="0.2">
      <c r="A167" s="393"/>
      <c r="B167" s="174"/>
      <c r="C167" s="393"/>
      <c r="D167" s="393"/>
      <c r="E167" s="395"/>
      <c r="F167" s="393"/>
      <c r="G167" s="393"/>
      <c r="H167" s="393"/>
      <c r="I167" s="393"/>
      <c r="J167" s="393"/>
      <c r="K167" s="393"/>
      <c r="L167" s="393"/>
      <c r="M167" s="393"/>
      <c r="N167" s="393"/>
      <c r="O167" s="393"/>
      <c r="P167" s="393"/>
      <c r="Q167" s="393"/>
      <c r="R167" s="393"/>
      <c r="S167" s="402"/>
      <c r="T167" s="395"/>
      <c r="U167" s="402"/>
      <c r="V167" s="395"/>
      <c r="W167" s="400"/>
      <c r="X167" s="400"/>
      <c r="Y167" s="402"/>
      <c r="Z167" s="409"/>
      <c r="AA167" s="396"/>
      <c r="AB167" s="393"/>
      <c r="AC167" s="393"/>
      <c r="AD167" s="393"/>
      <c r="AE167" s="393"/>
      <c r="AF167" s="393"/>
      <c r="AG167" s="393"/>
      <c r="AH167" s="393"/>
      <c r="AI167" s="393"/>
      <c r="AJ167" s="393"/>
      <c r="AK167" s="393"/>
      <c r="AL167" s="393"/>
      <c r="AM167" s="393"/>
      <c r="AN167" s="393"/>
      <c r="AO167" s="393"/>
      <c r="AP167" s="393"/>
      <c r="AQ167" s="393"/>
      <c r="AR167" s="393"/>
      <c r="AS167" s="393"/>
      <c r="AT167" s="393"/>
      <c r="AU167" s="393"/>
      <c r="AV167" s="393"/>
      <c r="AW167" s="393"/>
      <c r="AX167" s="393"/>
      <c r="AY167" s="393"/>
      <c r="AZ167" s="393"/>
      <c r="BA167" s="393"/>
      <c r="BB167" s="393"/>
      <c r="BC167" s="393"/>
      <c r="BD167" s="393"/>
      <c r="BE167" s="393"/>
      <c r="BF167" s="393"/>
      <c r="BG167" s="393"/>
      <c r="BH167" s="393"/>
      <c r="BI167" s="393"/>
      <c r="BJ167" s="393"/>
      <c r="BK167" s="393"/>
      <c r="BL167" s="393"/>
      <c r="BM167" s="393"/>
      <c r="BN167" s="393"/>
      <c r="BO167" s="393"/>
      <c r="BP167" s="393"/>
      <c r="BQ167" s="393"/>
      <c r="BR167" s="393"/>
      <c r="BS167" s="393"/>
      <c r="BT167" s="393"/>
      <c r="BU167" s="393"/>
      <c r="BV167" s="393"/>
      <c r="BW167" s="393"/>
      <c r="BX167" s="393"/>
      <c r="BY167" s="393"/>
      <c r="BZ167" s="393"/>
      <c r="CA167" s="393"/>
      <c r="CB167" s="393"/>
      <c r="CC167" s="393"/>
      <c r="CD167" s="393"/>
      <c r="CE167" s="393"/>
      <c r="CF167" s="393"/>
      <c r="CG167" s="393"/>
      <c r="CH167" s="393"/>
      <c r="CI167" s="393"/>
      <c r="CJ167" s="393"/>
      <c r="CK167" s="393"/>
      <c r="CL167" s="393"/>
      <c r="CM167" s="393"/>
      <c r="CN167" s="393"/>
      <c r="CO167" s="393"/>
      <c r="CP167" s="393"/>
      <c r="CQ167" s="393"/>
      <c r="CR167" s="393"/>
      <c r="CS167" s="393"/>
      <c r="CT167" s="393"/>
      <c r="CU167" s="393"/>
      <c r="CV167" s="393"/>
      <c r="CW167" s="393"/>
      <c r="CX167" s="393"/>
      <c r="CY167" s="393"/>
      <c r="CZ167" s="393"/>
      <c r="DA167" s="393"/>
    </row>
    <row r="168" spans="1:105" x14ac:dyDescent="0.2">
      <c r="A168" s="393"/>
      <c r="B168" s="174"/>
      <c r="C168" s="393"/>
      <c r="D168" s="393"/>
      <c r="E168" s="395"/>
      <c r="F168" s="393"/>
      <c r="G168" s="393"/>
      <c r="H168" s="393"/>
      <c r="I168" s="393"/>
      <c r="J168" s="393"/>
      <c r="K168" s="393"/>
      <c r="L168" s="393"/>
      <c r="M168" s="393"/>
      <c r="N168" s="393"/>
      <c r="O168" s="393"/>
      <c r="P168" s="393"/>
      <c r="Q168" s="393"/>
      <c r="R168" s="393"/>
      <c r="S168" s="402"/>
      <c r="T168" s="395"/>
      <c r="U168" s="402"/>
      <c r="V168" s="395"/>
      <c r="W168" s="400"/>
      <c r="X168" s="400"/>
      <c r="Y168" s="402"/>
      <c r="Z168" s="409"/>
      <c r="AA168" s="396"/>
      <c r="AB168" s="393"/>
      <c r="AC168" s="393"/>
      <c r="AD168" s="393"/>
      <c r="AE168" s="393"/>
      <c r="AF168" s="393"/>
      <c r="AG168" s="393"/>
      <c r="AH168" s="393"/>
      <c r="AI168" s="393"/>
      <c r="AJ168" s="393"/>
      <c r="AK168" s="393"/>
      <c r="AL168" s="393"/>
      <c r="AM168" s="393"/>
      <c r="AN168" s="393"/>
      <c r="AO168" s="393"/>
      <c r="AP168" s="393"/>
      <c r="AQ168" s="393"/>
      <c r="AR168" s="393"/>
      <c r="AS168" s="393"/>
      <c r="AT168" s="393"/>
      <c r="AU168" s="393"/>
      <c r="AV168" s="393"/>
      <c r="AW168" s="393"/>
      <c r="AX168" s="393"/>
      <c r="AY168" s="393"/>
      <c r="AZ168" s="393"/>
      <c r="BA168" s="393"/>
      <c r="BB168" s="393"/>
      <c r="BC168" s="393"/>
      <c r="BD168" s="393"/>
      <c r="BE168" s="393"/>
      <c r="BF168" s="393"/>
      <c r="BG168" s="393"/>
      <c r="BH168" s="393"/>
      <c r="BI168" s="393"/>
      <c r="BJ168" s="393"/>
      <c r="BK168" s="393"/>
      <c r="BL168" s="393"/>
      <c r="BM168" s="393"/>
      <c r="BN168" s="393"/>
      <c r="BO168" s="393"/>
      <c r="BP168" s="393"/>
      <c r="BQ168" s="393"/>
      <c r="BR168" s="393"/>
      <c r="BS168" s="393"/>
      <c r="BT168" s="393"/>
      <c r="BU168" s="393"/>
      <c r="BV168" s="393"/>
      <c r="BW168" s="393"/>
      <c r="BX168" s="393"/>
      <c r="BY168" s="393"/>
      <c r="BZ168" s="393"/>
      <c r="CA168" s="393"/>
      <c r="CB168" s="393"/>
      <c r="CC168" s="393"/>
      <c r="CD168" s="393"/>
      <c r="CE168" s="393"/>
      <c r="CF168" s="393"/>
      <c r="CG168" s="393"/>
      <c r="CH168" s="393"/>
      <c r="CI168" s="393"/>
      <c r="CJ168" s="393"/>
      <c r="CK168" s="393"/>
      <c r="CL168" s="393"/>
      <c r="CM168" s="393"/>
      <c r="CN168" s="393"/>
      <c r="CO168" s="393"/>
      <c r="CP168" s="393"/>
      <c r="CQ168" s="393"/>
      <c r="CR168" s="393"/>
      <c r="CS168" s="393"/>
      <c r="CT168" s="393"/>
      <c r="CU168" s="393"/>
      <c r="CV168" s="393"/>
      <c r="CW168" s="393"/>
      <c r="CX168" s="393"/>
      <c r="CY168" s="393"/>
      <c r="CZ168" s="393"/>
      <c r="DA168" s="393"/>
    </row>
    <row r="169" spans="1:105" x14ac:dyDescent="0.2">
      <c r="A169" s="393"/>
      <c r="B169" s="174"/>
      <c r="C169" s="393"/>
      <c r="D169" s="393"/>
      <c r="E169" s="395"/>
      <c r="F169" s="393"/>
      <c r="G169" s="393"/>
      <c r="H169" s="393"/>
      <c r="I169" s="393"/>
      <c r="J169" s="393"/>
      <c r="K169" s="393"/>
      <c r="L169" s="393"/>
      <c r="M169" s="393"/>
      <c r="N169" s="393"/>
      <c r="O169" s="393"/>
      <c r="P169" s="393"/>
      <c r="Q169" s="393"/>
      <c r="R169" s="393"/>
      <c r="S169" s="402"/>
      <c r="T169" s="395"/>
      <c r="U169" s="402"/>
      <c r="V169" s="395"/>
      <c r="W169" s="400"/>
      <c r="X169" s="400"/>
      <c r="Y169" s="402"/>
      <c r="Z169" s="409"/>
      <c r="AA169" s="396"/>
      <c r="AB169" s="393"/>
      <c r="AC169" s="393"/>
      <c r="AD169" s="393"/>
      <c r="AE169" s="393"/>
      <c r="AF169" s="393"/>
      <c r="AG169" s="393"/>
      <c r="AH169" s="393"/>
      <c r="AI169" s="393"/>
      <c r="AJ169" s="393"/>
      <c r="AK169" s="393"/>
      <c r="AL169" s="393"/>
      <c r="AM169" s="393"/>
      <c r="AN169" s="393"/>
      <c r="AO169" s="393"/>
      <c r="AP169" s="393"/>
      <c r="AQ169" s="393"/>
      <c r="AR169" s="393"/>
      <c r="AS169" s="393"/>
      <c r="AT169" s="393"/>
      <c r="AU169" s="393"/>
      <c r="AV169" s="393"/>
      <c r="AW169" s="393"/>
      <c r="AX169" s="393"/>
      <c r="AY169" s="393"/>
      <c r="AZ169" s="393"/>
      <c r="BA169" s="393"/>
      <c r="BB169" s="393"/>
      <c r="BC169" s="393"/>
      <c r="BD169" s="393"/>
      <c r="BE169" s="393"/>
      <c r="BF169" s="393"/>
      <c r="BG169" s="393"/>
      <c r="BH169" s="393"/>
      <c r="BI169" s="393"/>
      <c r="BJ169" s="393"/>
      <c r="BK169" s="393"/>
      <c r="BL169" s="393"/>
      <c r="BM169" s="393"/>
      <c r="BN169" s="393"/>
      <c r="BO169" s="393"/>
      <c r="BP169" s="393"/>
      <c r="BQ169" s="393"/>
      <c r="BR169" s="393"/>
      <c r="BS169" s="393"/>
      <c r="BT169" s="393"/>
      <c r="BU169" s="393"/>
      <c r="BV169" s="393"/>
      <c r="BW169" s="393"/>
      <c r="BX169" s="393"/>
      <c r="BY169" s="393"/>
      <c r="BZ169" s="393"/>
      <c r="CA169" s="393"/>
      <c r="CB169" s="393"/>
      <c r="CC169" s="393"/>
      <c r="CD169" s="393"/>
      <c r="CE169" s="393"/>
      <c r="CF169" s="393"/>
      <c r="CG169" s="393"/>
      <c r="CH169" s="393"/>
      <c r="CI169" s="393"/>
      <c r="CJ169" s="393"/>
      <c r="CK169" s="393"/>
      <c r="CL169" s="393"/>
      <c r="CM169" s="393"/>
      <c r="CN169" s="393"/>
      <c r="CO169" s="393"/>
      <c r="CP169" s="393"/>
      <c r="CQ169" s="393"/>
      <c r="CR169" s="393"/>
      <c r="CS169" s="393"/>
      <c r="CT169" s="393"/>
      <c r="CU169" s="393"/>
      <c r="CV169" s="393"/>
      <c r="CW169" s="393"/>
      <c r="CX169" s="393"/>
      <c r="CY169" s="393"/>
      <c r="CZ169" s="393"/>
      <c r="DA169" s="393"/>
    </row>
    <row r="170" spans="1:105" x14ac:dyDescent="0.2">
      <c r="A170" s="393"/>
      <c r="B170" s="174"/>
      <c r="C170" s="393"/>
      <c r="D170" s="393"/>
      <c r="E170" s="395"/>
      <c r="F170" s="393"/>
      <c r="G170" s="393"/>
      <c r="H170" s="393"/>
      <c r="I170" s="393"/>
      <c r="J170" s="393"/>
      <c r="K170" s="393"/>
      <c r="L170" s="393"/>
      <c r="M170" s="393"/>
      <c r="N170" s="393"/>
      <c r="O170" s="393"/>
      <c r="P170" s="393"/>
      <c r="Q170" s="393"/>
      <c r="R170" s="393"/>
      <c r="S170" s="402"/>
      <c r="T170" s="395"/>
      <c r="U170" s="402"/>
      <c r="V170" s="395"/>
      <c r="W170" s="400"/>
      <c r="X170" s="400"/>
      <c r="Y170" s="402"/>
      <c r="Z170" s="409"/>
      <c r="AA170" s="396"/>
      <c r="AB170" s="393"/>
      <c r="AC170" s="393"/>
      <c r="AD170" s="393"/>
      <c r="AE170" s="393"/>
      <c r="AF170" s="393"/>
      <c r="AG170" s="393"/>
      <c r="AH170" s="393"/>
      <c r="AI170" s="393"/>
      <c r="AJ170" s="393"/>
      <c r="AK170" s="393"/>
      <c r="AL170" s="393"/>
      <c r="AM170" s="393"/>
      <c r="AN170" s="393"/>
      <c r="AO170" s="393"/>
      <c r="AP170" s="393"/>
      <c r="AQ170" s="393"/>
      <c r="AR170" s="393"/>
      <c r="AS170" s="393"/>
      <c r="AT170" s="393"/>
      <c r="AU170" s="393"/>
      <c r="AV170" s="393"/>
      <c r="AW170" s="393"/>
      <c r="AX170" s="393"/>
      <c r="AY170" s="393"/>
      <c r="AZ170" s="393"/>
      <c r="BA170" s="393"/>
      <c r="BB170" s="393"/>
      <c r="BC170" s="393"/>
      <c r="BD170" s="393"/>
      <c r="BE170" s="393"/>
      <c r="BF170" s="393"/>
      <c r="BG170" s="393"/>
      <c r="BH170" s="393"/>
      <c r="BI170" s="393"/>
      <c r="BJ170" s="393"/>
      <c r="BK170" s="393"/>
      <c r="BL170" s="393"/>
      <c r="BM170" s="393"/>
      <c r="BN170" s="393"/>
      <c r="BO170" s="393"/>
      <c r="BP170" s="393"/>
      <c r="BQ170" s="393"/>
      <c r="BR170" s="393"/>
      <c r="BS170" s="393"/>
      <c r="BT170" s="393"/>
      <c r="BU170" s="393"/>
      <c r="BV170" s="393"/>
      <c r="BW170" s="393"/>
      <c r="BX170" s="393"/>
      <c r="BY170" s="393"/>
      <c r="BZ170" s="393"/>
      <c r="CA170" s="393"/>
      <c r="CB170" s="393"/>
      <c r="CC170" s="393"/>
      <c r="CD170" s="393"/>
      <c r="CE170" s="393"/>
      <c r="CF170" s="393"/>
      <c r="CG170" s="393"/>
      <c r="CH170" s="393"/>
      <c r="CI170" s="393"/>
      <c r="CJ170" s="393"/>
      <c r="CK170" s="393"/>
      <c r="CL170" s="393"/>
      <c r="CM170" s="393"/>
      <c r="CN170" s="393"/>
      <c r="CO170" s="393"/>
      <c r="CP170" s="393"/>
      <c r="CQ170" s="393"/>
      <c r="CR170" s="393"/>
      <c r="CS170" s="393"/>
      <c r="CT170" s="393"/>
      <c r="CU170" s="393"/>
      <c r="CV170" s="393"/>
      <c r="CW170" s="393"/>
      <c r="CX170" s="393"/>
      <c r="CY170" s="393"/>
      <c r="CZ170" s="393"/>
      <c r="DA170" s="393"/>
    </row>
    <row r="171" spans="1:105" x14ac:dyDescent="0.2">
      <c r="A171" s="393"/>
      <c r="B171" s="174"/>
      <c r="C171" s="393"/>
      <c r="D171" s="393"/>
      <c r="E171" s="395"/>
      <c r="F171" s="393"/>
      <c r="G171" s="393"/>
      <c r="H171" s="393"/>
      <c r="I171" s="393"/>
      <c r="J171" s="393"/>
      <c r="K171" s="393"/>
      <c r="L171" s="393"/>
      <c r="M171" s="393"/>
      <c r="N171" s="393"/>
      <c r="O171" s="393"/>
      <c r="P171" s="393"/>
      <c r="Q171" s="393"/>
      <c r="R171" s="393"/>
      <c r="S171" s="402"/>
      <c r="T171" s="395"/>
      <c r="U171" s="402"/>
      <c r="V171" s="395"/>
      <c r="W171" s="400"/>
      <c r="X171" s="400"/>
      <c r="Y171" s="402"/>
      <c r="Z171" s="409"/>
      <c r="AA171" s="396"/>
      <c r="AB171" s="393"/>
      <c r="AC171" s="393"/>
      <c r="AD171" s="393"/>
      <c r="AE171" s="393"/>
      <c r="AF171" s="393"/>
      <c r="AG171" s="393"/>
      <c r="AH171" s="393"/>
      <c r="AI171" s="393"/>
      <c r="AJ171" s="393"/>
      <c r="AK171" s="393"/>
      <c r="AL171" s="393"/>
      <c r="AM171" s="393"/>
      <c r="AN171" s="393"/>
      <c r="AO171" s="393"/>
      <c r="AP171" s="393"/>
      <c r="AQ171" s="393"/>
      <c r="AR171" s="393"/>
      <c r="AS171" s="393"/>
      <c r="AT171" s="393"/>
      <c r="AU171" s="393"/>
      <c r="AV171" s="393"/>
      <c r="AW171" s="393"/>
      <c r="AX171" s="393"/>
      <c r="AY171" s="393"/>
      <c r="AZ171" s="393"/>
      <c r="BA171" s="393"/>
      <c r="BB171" s="393"/>
      <c r="BC171" s="393"/>
      <c r="BD171" s="393"/>
      <c r="BE171" s="393"/>
      <c r="BF171" s="393"/>
      <c r="BG171" s="393"/>
      <c r="BH171" s="393"/>
      <c r="BI171" s="393"/>
      <c r="BJ171" s="393"/>
      <c r="BK171" s="393"/>
      <c r="BL171" s="393"/>
      <c r="BM171" s="393"/>
      <c r="BN171" s="393"/>
      <c r="BO171" s="393"/>
      <c r="BP171" s="393"/>
      <c r="BQ171" s="393"/>
      <c r="BR171" s="393"/>
      <c r="BS171" s="393"/>
      <c r="BT171" s="393"/>
      <c r="BU171" s="393"/>
      <c r="BV171" s="393"/>
      <c r="BW171" s="393"/>
      <c r="BX171" s="393"/>
      <c r="BY171" s="393"/>
      <c r="BZ171" s="393"/>
      <c r="CA171" s="393"/>
      <c r="CB171" s="393"/>
      <c r="CC171" s="393"/>
      <c r="CD171" s="393"/>
      <c r="CE171" s="393"/>
      <c r="CF171" s="393"/>
      <c r="CG171" s="393"/>
      <c r="CH171" s="393"/>
      <c r="CI171" s="393"/>
      <c r="CJ171" s="393"/>
      <c r="CK171" s="393"/>
      <c r="CL171" s="393"/>
      <c r="CM171" s="393"/>
      <c r="CN171" s="393"/>
      <c r="CO171" s="393"/>
      <c r="CP171" s="393"/>
      <c r="CQ171" s="393"/>
      <c r="CR171" s="393"/>
      <c r="CS171" s="393"/>
      <c r="CT171" s="393"/>
      <c r="CU171" s="393"/>
      <c r="CV171" s="393"/>
      <c r="CW171" s="393"/>
      <c r="CX171" s="393"/>
      <c r="CY171" s="393"/>
      <c r="CZ171" s="393"/>
      <c r="DA171" s="393"/>
    </row>
    <row r="172" spans="1:105" x14ac:dyDescent="0.2">
      <c r="A172" s="393"/>
      <c r="B172" s="174"/>
      <c r="C172" s="393"/>
      <c r="D172" s="393"/>
      <c r="E172" s="395"/>
      <c r="F172" s="393"/>
      <c r="G172" s="393"/>
      <c r="H172" s="393"/>
      <c r="I172" s="393"/>
      <c r="J172" s="393"/>
      <c r="K172" s="393"/>
      <c r="L172" s="393"/>
      <c r="M172" s="393"/>
      <c r="N172" s="393"/>
      <c r="O172" s="393"/>
      <c r="P172" s="393"/>
      <c r="Q172" s="393"/>
      <c r="R172" s="835" t="s">
        <v>389</v>
      </c>
      <c r="S172" s="836" t="s">
        <v>1134</v>
      </c>
      <c r="T172" s="395"/>
      <c r="U172" s="402"/>
      <c r="V172" s="395"/>
      <c r="W172" s="400"/>
      <c r="X172" s="400"/>
      <c r="Y172" s="402"/>
      <c r="Z172" s="409"/>
      <c r="AA172" s="396"/>
      <c r="AB172" s="393"/>
      <c r="AC172" s="393"/>
      <c r="AD172" s="393"/>
      <c r="AE172" s="393"/>
      <c r="AF172" s="393"/>
      <c r="AG172" s="393"/>
      <c r="AH172" s="393"/>
      <c r="AI172" s="393"/>
      <c r="AJ172" s="393"/>
      <c r="AK172" s="393"/>
      <c r="AL172" s="393"/>
      <c r="AM172" s="393"/>
      <c r="AN172" s="393"/>
      <c r="AO172" s="393"/>
      <c r="AP172" s="393"/>
      <c r="AQ172" s="393"/>
      <c r="AR172" s="393"/>
      <c r="AS172" s="393"/>
      <c r="AT172" s="393"/>
      <c r="AU172" s="393"/>
      <c r="AV172" s="393"/>
      <c r="AW172" s="393"/>
      <c r="AX172" s="393"/>
      <c r="AY172" s="393"/>
      <c r="AZ172" s="393"/>
      <c r="BA172" s="393"/>
      <c r="BB172" s="393"/>
      <c r="BC172" s="393"/>
      <c r="BD172" s="393"/>
      <c r="BE172" s="393"/>
      <c r="BF172" s="393"/>
      <c r="BG172" s="393"/>
      <c r="BH172" s="393"/>
      <c r="BI172" s="393"/>
      <c r="BJ172" s="393"/>
      <c r="BK172" s="393"/>
      <c r="BL172" s="393"/>
      <c r="BM172" s="393"/>
      <c r="BN172" s="393"/>
      <c r="BO172" s="393"/>
      <c r="BP172" s="393"/>
      <c r="BQ172" s="393"/>
      <c r="BR172" s="393"/>
      <c r="BS172" s="393"/>
      <c r="BT172" s="393"/>
      <c r="BU172" s="393"/>
      <c r="BV172" s="393"/>
      <c r="BW172" s="393"/>
      <c r="BX172" s="393"/>
      <c r="BY172" s="393"/>
      <c r="BZ172" s="393"/>
      <c r="CA172" s="393"/>
      <c r="CB172" s="393"/>
      <c r="CC172" s="393"/>
      <c r="CD172" s="393"/>
      <c r="CE172" s="393"/>
      <c r="CF172" s="393"/>
      <c r="CG172" s="393"/>
      <c r="CH172" s="393"/>
      <c r="CI172" s="393"/>
      <c r="CJ172" s="393"/>
      <c r="CK172" s="393"/>
      <c r="CL172" s="393"/>
      <c r="CM172" s="393"/>
      <c r="CN172" s="393"/>
      <c r="CO172" s="393"/>
      <c r="CP172" s="393"/>
      <c r="CQ172" s="393"/>
      <c r="CR172" s="393"/>
      <c r="CS172" s="393"/>
      <c r="CT172" s="393"/>
      <c r="CU172" s="393"/>
      <c r="CV172" s="393"/>
      <c r="CW172" s="393"/>
      <c r="CX172" s="393"/>
      <c r="CY172" s="393"/>
      <c r="CZ172" s="393"/>
      <c r="DA172" s="393"/>
    </row>
    <row r="173" spans="1:105" x14ac:dyDescent="0.2">
      <c r="A173" s="393"/>
      <c r="B173" s="174"/>
      <c r="C173" s="393"/>
      <c r="D173" s="393"/>
      <c r="E173" s="395"/>
      <c r="F173" s="393"/>
      <c r="G173" s="393"/>
      <c r="H173" s="393"/>
      <c r="I173" s="393"/>
      <c r="J173" s="393"/>
      <c r="K173" s="393"/>
      <c r="L173" s="393"/>
      <c r="M173" s="393"/>
      <c r="N173" s="393"/>
      <c r="O173" s="393"/>
      <c r="P173" s="393"/>
      <c r="Q173" s="393"/>
      <c r="R173" s="393">
        <v>19.760000000000002</v>
      </c>
      <c r="S173" s="402">
        <v>65.69</v>
      </c>
      <c r="T173" s="395"/>
      <c r="U173" s="402"/>
      <c r="V173" s="395"/>
      <c r="W173" s="400"/>
      <c r="X173" s="400"/>
      <c r="Y173" s="402"/>
      <c r="Z173" s="409"/>
      <c r="AA173" s="396"/>
      <c r="AB173" s="393"/>
      <c r="AC173" s="393"/>
      <c r="AD173" s="393"/>
      <c r="AE173" s="393"/>
      <c r="AF173" s="393"/>
      <c r="AG173" s="393"/>
      <c r="AH173" s="393"/>
      <c r="AI173" s="393"/>
      <c r="AJ173" s="393"/>
      <c r="AK173" s="393"/>
      <c r="AL173" s="393"/>
      <c r="AM173" s="393"/>
      <c r="AN173" s="393"/>
      <c r="AO173" s="393"/>
      <c r="AP173" s="393"/>
      <c r="AQ173" s="393"/>
      <c r="AR173" s="393"/>
      <c r="AS173" s="393"/>
      <c r="AT173" s="393"/>
      <c r="AU173" s="393"/>
      <c r="AV173" s="393"/>
      <c r="AW173" s="393"/>
      <c r="AX173" s="393"/>
      <c r="AY173" s="393"/>
      <c r="AZ173" s="393"/>
      <c r="BA173" s="393"/>
      <c r="BB173" s="393"/>
      <c r="BC173" s="393"/>
      <c r="BD173" s="393"/>
      <c r="BE173" s="393"/>
      <c r="BF173" s="393"/>
      <c r="BG173" s="393"/>
      <c r="BH173" s="393"/>
      <c r="BI173" s="393"/>
      <c r="BJ173" s="393"/>
      <c r="BK173" s="393"/>
      <c r="BL173" s="393"/>
      <c r="BM173" s="393"/>
      <c r="BN173" s="393"/>
      <c r="BO173" s="393"/>
      <c r="BP173" s="393"/>
      <c r="BQ173" s="393"/>
      <c r="BR173" s="393"/>
      <c r="BS173" s="393"/>
      <c r="BT173" s="393"/>
      <c r="BU173" s="393"/>
      <c r="BV173" s="393"/>
      <c r="BW173" s="393"/>
      <c r="BX173" s="393"/>
      <c r="BY173" s="393"/>
      <c r="BZ173" s="393"/>
      <c r="CA173" s="393"/>
      <c r="CB173" s="393"/>
      <c r="CC173" s="393"/>
      <c r="CD173" s="393"/>
      <c r="CE173" s="393"/>
      <c r="CF173" s="393"/>
      <c r="CG173" s="393"/>
      <c r="CH173" s="393"/>
      <c r="CI173" s="393"/>
      <c r="CJ173" s="393"/>
      <c r="CK173" s="393"/>
      <c r="CL173" s="393"/>
      <c r="CM173" s="393"/>
      <c r="CN173" s="393"/>
      <c r="CO173" s="393"/>
      <c r="CP173" s="393"/>
      <c r="CQ173" s="393"/>
      <c r="CR173" s="393"/>
      <c r="CS173" s="393"/>
      <c r="CT173" s="393"/>
      <c r="CU173" s="393"/>
      <c r="CV173" s="393"/>
      <c r="CW173" s="393"/>
      <c r="CX173" s="393"/>
      <c r="CY173" s="393"/>
      <c r="CZ173" s="393"/>
      <c r="DA173" s="393"/>
    </row>
    <row r="174" spans="1:105" x14ac:dyDescent="0.2">
      <c r="A174" s="393"/>
      <c r="B174" s="174"/>
      <c r="C174" s="393"/>
      <c r="D174" s="393"/>
      <c r="E174" s="395"/>
      <c r="F174" s="393"/>
      <c r="G174" s="393"/>
      <c r="H174" s="393"/>
      <c r="I174" s="393"/>
      <c r="J174" s="393"/>
      <c r="K174" s="393"/>
      <c r="L174" s="393"/>
      <c r="M174" s="393"/>
      <c r="N174" s="393"/>
      <c r="O174" s="393"/>
      <c r="P174" s="393"/>
      <c r="Q174" s="393"/>
      <c r="R174" s="393">
        <v>19.71</v>
      </c>
      <c r="S174" s="402">
        <v>60.9</v>
      </c>
      <c r="T174" s="395"/>
      <c r="U174" s="402"/>
      <c r="V174" s="395"/>
      <c r="W174" s="400"/>
      <c r="X174" s="400"/>
      <c r="Y174" s="402"/>
      <c r="Z174" s="409"/>
      <c r="AA174" s="396"/>
      <c r="AB174" s="393"/>
      <c r="AC174" s="393"/>
      <c r="AD174" s="393"/>
      <c r="AE174" s="393"/>
      <c r="AF174" s="393"/>
      <c r="AG174" s="393"/>
      <c r="AH174" s="393"/>
      <c r="AI174" s="393"/>
      <c r="AJ174" s="393"/>
      <c r="AK174" s="393"/>
      <c r="AL174" s="393"/>
      <c r="AM174" s="393"/>
      <c r="AN174" s="393"/>
      <c r="AO174" s="393"/>
      <c r="AP174" s="393"/>
      <c r="AQ174" s="393"/>
      <c r="AR174" s="393"/>
      <c r="AS174" s="393"/>
      <c r="AT174" s="393"/>
      <c r="AU174" s="393"/>
      <c r="AV174" s="393"/>
      <c r="AW174" s="393"/>
      <c r="AX174" s="393"/>
      <c r="AY174" s="393"/>
      <c r="AZ174" s="393"/>
      <c r="BA174" s="393"/>
      <c r="BB174" s="393"/>
      <c r="BC174" s="393"/>
      <c r="BD174" s="393"/>
      <c r="BE174" s="393"/>
      <c r="BF174" s="393"/>
      <c r="BG174" s="393"/>
      <c r="BH174" s="393"/>
      <c r="BI174" s="393"/>
      <c r="BJ174" s="393"/>
      <c r="BK174" s="393"/>
      <c r="BL174" s="393"/>
      <c r="BM174" s="393"/>
      <c r="BN174" s="393"/>
      <c r="BO174" s="393"/>
      <c r="BP174" s="393"/>
      <c r="BQ174" s="393"/>
      <c r="BR174" s="393"/>
      <c r="BS174" s="393"/>
      <c r="BT174" s="393"/>
      <c r="BU174" s="393"/>
      <c r="BV174" s="393"/>
      <c r="BW174" s="393"/>
      <c r="BX174" s="393"/>
      <c r="BY174" s="393"/>
      <c r="BZ174" s="393"/>
      <c r="CA174" s="393"/>
      <c r="CB174" s="393"/>
      <c r="CC174" s="393"/>
      <c r="CD174" s="393"/>
      <c r="CE174" s="393"/>
      <c r="CF174" s="393"/>
      <c r="CG174" s="393"/>
      <c r="CH174" s="393"/>
      <c r="CI174" s="393"/>
      <c r="CJ174" s="393"/>
      <c r="CK174" s="393"/>
      <c r="CL174" s="393"/>
      <c r="CM174" s="393"/>
      <c r="CN174" s="393"/>
      <c r="CO174" s="393"/>
      <c r="CP174" s="393"/>
      <c r="CQ174" s="393"/>
      <c r="CR174" s="393"/>
      <c r="CS174" s="393"/>
      <c r="CT174" s="393"/>
      <c r="CU174" s="393"/>
      <c r="CV174" s="393"/>
      <c r="CW174" s="393"/>
      <c r="CX174" s="393"/>
      <c r="CY174" s="393"/>
      <c r="CZ174" s="393"/>
      <c r="DA174" s="393"/>
    </row>
    <row r="175" spans="1:105" x14ac:dyDescent="0.2">
      <c r="A175" s="393"/>
      <c r="B175" s="174"/>
      <c r="C175" s="393"/>
      <c r="D175" s="393"/>
      <c r="E175" s="395"/>
      <c r="F175" s="393"/>
      <c r="G175" s="393"/>
      <c r="H175" s="393"/>
      <c r="I175" s="393"/>
      <c r="J175" s="393"/>
      <c r="K175" s="393"/>
      <c r="L175" s="393"/>
      <c r="M175" s="393"/>
      <c r="N175" s="393"/>
      <c r="O175" s="393"/>
      <c r="P175" s="393"/>
      <c r="Q175" s="393"/>
      <c r="R175" s="393">
        <v>19.55</v>
      </c>
      <c r="S175" s="402">
        <v>67.95</v>
      </c>
      <c r="T175" s="395"/>
      <c r="U175" s="402"/>
      <c r="V175" s="395"/>
      <c r="W175" s="400"/>
      <c r="X175" s="400"/>
      <c r="Y175" s="402"/>
      <c r="Z175" s="409"/>
      <c r="AA175" s="396"/>
      <c r="AB175" s="393"/>
      <c r="AC175" s="393"/>
      <c r="AD175" s="393"/>
      <c r="AE175" s="393"/>
      <c r="AF175" s="393"/>
      <c r="AG175" s="393"/>
      <c r="AH175" s="393"/>
      <c r="AI175" s="393"/>
      <c r="AJ175" s="393"/>
      <c r="AK175" s="393"/>
      <c r="AL175" s="393"/>
      <c r="AM175" s="393"/>
      <c r="AN175" s="393"/>
      <c r="AO175" s="393"/>
      <c r="AP175" s="393"/>
      <c r="AQ175" s="393"/>
      <c r="AR175" s="393"/>
      <c r="AS175" s="393"/>
      <c r="AT175" s="393"/>
      <c r="AU175" s="393"/>
      <c r="AV175" s="393"/>
      <c r="AW175" s="393"/>
      <c r="AX175" s="393"/>
      <c r="AY175" s="393"/>
      <c r="AZ175" s="393"/>
      <c r="BA175" s="393"/>
      <c r="BB175" s="393"/>
      <c r="BC175" s="393"/>
      <c r="BD175" s="393"/>
      <c r="BE175" s="393"/>
      <c r="BF175" s="393"/>
      <c r="BG175" s="393"/>
      <c r="BH175" s="393"/>
      <c r="BI175" s="393"/>
      <c r="BJ175" s="393"/>
      <c r="BK175" s="393"/>
      <c r="BL175" s="393"/>
      <c r="BM175" s="393"/>
      <c r="BN175" s="393"/>
      <c r="BO175" s="393"/>
      <c r="BP175" s="393"/>
      <c r="BQ175" s="393"/>
      <c r="BR175" s="393"/>
      <c r="BS175" s="393"/>
      <c r="BT175" s="393"/>
      <c r="BU175" s="393"/>
      <c r="BV175" s="393"/>
      <c r="BW175" s="393"/>
      <c r="BX175" s="393"/>
      <c r="BY175" s="393"/>
      <c r="BZ175" s="393"/>
      <c r="CA175" s="393"/>
      <c r="CB175" s="393"/>
      <c r="CC175" s="393"/>
      <c r="CD175" s="393"/>
      <c r="CE175" s="393"/>
      <c r="CF175" s="393"/>
      <c r="CG175" s="393"/>
      <c r="CH175" s="393"/>
      <c r="CI175" s="393"/>
      <c r="CJ175" s="393"/>
      <c r="CK175" s="393"/>
      <c r="CL175" s="393"/>
      <c r="CM175" s="393"/>
      <c r="CN175" s="393"/>
      <c r="CO175" s="393"/>
      <c r="CP175" s="393"/>
      <c r="CQ175" s="393"/>
      <c r="CR175" s="393"/>
      <c r="CS175" s="393"/>
      <c r="CT175" s="393"/>
      <c r="CU175" s="393"/>
      <c r="CV175" s="393"/>
      <c r="CW175" s="393"/>
      <c r="CX175" s="393"/>
      <c r="CY175" s="393"/>
      <c r="CZ175" s="393"/>
      <c r="DA175" s="393"/>
    </row>
    <row r="176" spans="1:105" x14ac:dyDescent="0.2">
      <c r="A176" s="393"/>
      <c r="B176" s="174"/>
      <c r="C176" s="393"/>
      <c r="D176" s="393"/>
      <c r="E176" s="395"/>
      <c r="F176" s="393"/>
      <c r="G176" s="393"/>
      <c r="H176" s="393"/>
      <c r="I176" s="393"/>
      <c r="J176" s="393"/>
      <c r="K176" s="393"/>
      <c r="L176" s="393"/>
      <c r="M176" s="393"/>
      <c r="N176" s="393"/>
      <c r="O176" s="393"/>
      <c r="P176" s="393"/>
      <c r="Q176" s="393" t="s">
        <v>1135</v>
      </c>
      <c r="R176" s="395">
        <f>AVERAGE(R173:R175)</f>
        <v>19.673333333333332</v>
      </c>
      <c r="S176" s="395">
        <f>AVERAGE(S173:S175)</f>
        <v>64.846666666666678</v>
      </c>
      <c r="T176" s="395"/>
      <c r="U176" s="402"/>
      <c r="V176" s="395"/>
      <c r="W176" s="400"/>
      <c r="X176" s="400"/>
      <c r="Y176" s="402"/>
      <c r="Z176" s="409"/>
      <c r="AA176" s="396"/>
      <c r="AB176" s="393"/>
      <c r="AC176" s="393"/>
      <c r="AD176" s="393"/>
      <c r="AE176" s="393"/>
      <c r="AF176" s="393"/>
      <c r="AG176" s="393"/>
      <c r="AH176" s="393"/>
      <c r="AI176" s="393"/>
      <c r="AJ176" s="393"/>
      <c r="AK176" s="393"/>
      <c r="AL176" s="393"/>
      <c r="AM176" s="393"/>
      <c r="AN176" s="393"/>
      <c r="AO176" s="393"/>
      <c r="AP176" s="393"/>
      <c r="AQ176" s="393"/>
      <c r="AR176" s="393"/>
      <c r="AS176" s="393"/>
      <c r="AT176" s="393"/>
      <c r="AU176" s="393"/>
      <c r="AV176" s="393"/>
      <c r="AW176" s="393"/>
      <c r="AX176" s="393"/>
      <c r="AY176" s="393"/>
      <c r="AZ176" s="393"/>
      <c r="BA176" s="393"/>
      <c r="BB176" s="393"/>
      <c r="BC176" s="393"/>
      <c r="BD176" s="393"/>
      <c r="BE176" s="393"/>
      <c r="BF176" s="393"/>
      <c r="BG176" s="393"/>
      <c r="BH176" s="393"/>
      <c r="BI176" s="393"/>
      <c r="BJ176" s="393"/>
      <c r="BK176" s="393"/>
      <c r="BL176" s="393"/>
      <c r="BM176" s="393"/>
      <c r="BN176" s="393"/>
      <c r="BO176" s="393"/>
      <c r="BP176" s="393"/>
      <c r="BQ176" s="393"/>
      <c r="BR176" s="393"/>
      <c r="BS176" s="393"/>
      <c r="BT176" s="393"/>
      <c r="BU176" s="393"/>
      <c r="BV176" s="393"/>
      <c r="BW176" s="393"/>
      <c r="BX176" s="393"/>
      <c r="BY176" s="393"/>
      <c r="BZ176" s="393"/>
      <c r="CA176" s="393"/>
      <c r="CB176" s="393"/>
      <c r="CC176" s="393"/>
      <c r="CD176" s="393"/>
      <c r="CE176" s="393"/>
      <c r="CF176" s="393"/>
      <c r="CG176" s="393"/>
      <c r="CH176" s="393"/>
      <c r="CI176" s="393"/>
      <c r="CJ176" s="393"/>
      <c r="CK176" s="393"/>
      <c r="CL176" s="393"/>
      <c r="CM176" s="393"/>
      <c r="CN176" s="393"/>
      <c r="CO176" s="393"/>
      <c r="CP176" s="393"/>
      <c r="CQ176" s="393"/>
      <c r="CR176" s="393"/>
      <c r="CS176" s="393"/>
      <c r="CT176" s="393"/>
      <c r="CU176" s="393"/>
      <c r="CV176" s="393"/>
      <c r="CW176" s="393"/>
      <c r="CX176" s="393"/>
      <c r="CY176" s="393"/>
      <c r="CZ176" s="393"/>
      <c r="DA176" s="393"/>
    </row>
    <row r="177" spans="1:105" x14ac:dyDescent="0.2">
      <c r="A177" s="393"/>
      <c r="B177" s="174"/>
      <c r="C177" s="393"/>
      <c r="D177" s="393"/>
      <c r="E177" s="395"/>
      <c r="F177" s="393"/>
      <c r="G177" s="393"/>
      <c r="H177" s="393"/>
      <c r="I177" s="393"/>
      <c r="J177" s="393"/>
      <c r="K177" s="393"/>
      <c r="L177" s="393"/>
      <c r="M177" s="393"/>
      <c r="N177" s="393"/>
      <c r="O177" s="393"/>
      <c r="P177" s="393"/>
      <c r="Q177" s="393" t="s">
        <v>1136</v>
      </c>
      <c r="R177" s="393">
        <f>20.24-19.71</f>
        <v>0.52999999999999758</v>
      </c>
      <c r="S177" s="402"/>
      <c r="T177" s="395"/>
      <c r="U177" s="402"/>
      <c r="V177" s="395"/>
      <c r="W177" s="400"/>
      <c r="X177" s="400"/>
      <c r="Y177" s="402"/>
      <c r="Z177" s="409"/>
      <c r="AA177" s="396"/>
      <c r="AB177" s="393"/>
      <c r="AC177" s="393"/>
      <c r="AD177" s="393"/>
      <c r="AE177" s="393"/>
      <c r="AF177" s="393"/>
      <c r="AG177" s="393"/>
      <c r="AH177" s="393"/>
      <c r="AI177" s="393"/>
      <c r="AJ177" s="393"/>
      <c r="AK177" s="393"/>
      <c r="AL177" s="393"/>
      <c r="AM177" s="393"/>
      <c r="AN177" s="393"/>
      <c r="AO177" s="393"/>
      <c r="AP177" s="393"/>
      <c r="AQ177" s="393"/>
      <c r="AR177" s="393"/>
      <c r="AS177" s="393"/>
      <c r="AT177" s="393"/>
      <c r="AU177" s="393"/>
      <c r="AV177" s="393"/>
      <c r="AW177" s="393"/>
      <c r="AX177" s="393"/>
      <c r="AY177" s="393"/>
      <c r="AZ177" s="393"/>
      <c r="BA177" s="393"/>
      <c r="BB177" s="393"/>
      <c r="BC177" s="393"/>
      <c r="BD177" s="393"/>
      <c r="BE177" s="393"/>
      <c r="BF177" s="393"/>
      <c r="BG177" s="393"/>
      <c r="BH177" s="393"/>
      <c r="BI177" s="393"/>
      <c r="BJ177" s="393"/>
      <c r="BK177" s="393"/>
      <c r="BL177" s="393"/>
      <c r="BM177" s="393"/>
      <c r="BN177" s="393"/>
      <c r="BO177" s="393"/>
      <c r="BP177" s="393"/>
      <c r="BQ177" s="393"/>
      <c r="BR177" s="393"/>
      <c r="BS177" s="393"/>
      <c r="BT177" s="393"/>
      <c r="BU177" s="393"/>
      <c r="BV177" s="393"/>
      <c r="BW177" s="393"/>
      <c r="BX177" s="393"/>
      <c r="BY177" s="393"/>
      <c r="BZ177" s="393"/>
      <c r="CA177" s="393"/>
      <c r="CB177" s="393"/>
      <c r="CC177" s="393"/>
      <c r="CD177" s="393"/>
      <c r="CE177" s="393"/>
      <c r="CF177" s="393"/>
      <c r="CG177" s="393"/>
      <c r="CH177" s="393"/>
      <c r="CI177" s="393"/>
      <c r="CJ177" s="393"/>
      <c r="CK177" s="393"/>
      <c r="CL177" s="393"/>
      <c r="CM177" s="393"/>
      <c r="CN177" s="393"/>
      <c r="CO177" s="393"/>
      <c r="CP177" s="393"/>
      <c r="CQ177" s="393"/>
      <c r="CR177" s="393"/>
      <c r="CS177" s="393"/>
      <c r="CT177" s="393"/>
      <c r="CU177" s="393"/>
      <c r="CV177" s="393"/>
      <c r="CW177" s="393"/>
      <c r="CX177" s="393"/>
      <c r="CY177" s="393"/>
      <c r="CZ177" s="393"/>
      <c r="DA177" s="393"/>
    </row>
    <row r="178" spans="1:105" x14ac:dyDescent="0.2">
      <c r="A178" s="393"/>
      <c r="B178" s="174"/>
      <c r="C178" s="393"/>
      <c r="D178" s="393"/>
      <c r="E178" s="395"/>
      <c r="F178" s="393"/>
      <c r="G178" s="393"/>
      <c r="H178" s="393"/>
      <c r="I178" s="393"/>
      <c r="J178" s="393"/>
      <c r="K178" s="393"/>
      <c r="L178" s="393"/>
      <c r="M178" s="393"/>
      <c r="N178" s="393"/>
      <c r="O178" s="393"/>
      <c r="P178" s="393"/>
      <c r="Q178" s="393" t="s">
        <v>1137</v>
      </c>
      <c r="R178" s="395">
        <f>R177+R176</f>
        <v>20.20333333333333</v>
      </c>
      <c r="S178" s="402"/>
      <c r="T178" s="395"/>
      <c r="U178" s="402"/>
      <c r="V178" s="395"/>
      <c r="W178" s="400"/>
      <c r="X178" s="400"/>
      <c r="Y178" s="402"/>
      <c r="Z178" s="409"/>
      <c r="AA178" s="396"/>
      <c r="AB178" s="393"/>
      <c r="AC178" s="393"/>
      <c r="AD178" s="393"/>
      <c r="AE178" s="393"/>
      <c r="AF178" s="393"/>
      <c r="AG178" s="393"/>
      <c r="AH178" s="393"/>
      <c r="AI178" s="393"/>
      <c r="AJ178" s="393"/>
      <c r="AK178" s="393"/>
      <c r="AL178" s="393"/>
      <c r="AM178" s="393"/>
      <c r="AN178" s="393"/>
      <c r="AO178" s="393"/>
      <c r="AP178" s="393"/>
      <c r="AQ178" s="393"/>
      <c r="AR178" s="393"/>
      <c r="AS178" s="393"/>
      <c r="AT178" s="393"/>
      <c r="AU178" s="393"/>
      <c r="AV178" s="393"/>
      <c r="AW178" s="393"/>
      <c r="AX178" s="393"/>
      <c r="AY178" s="393"/>
      <c r="AZ178" s="393"/>
      <c r="BA178" s="393"/>
      <c r="BB178" s="393"/>
      <c r="BC178" s="393"/>
      <c r="BD178" s="393"/>
      <c r="BE178" s="393"/>
      <c r="BF178" s="393"/>
      <c r="BG178" s="393"/>
      <c r="BH178" s="393"/>
      <c r="BI178" s="393"/>
      <c r="BJ178" s="393"/>
      <c r="BK178" s="393"/>
      <c r="BL178" s="393"/>
      <c r="BM178" s="393"/>
      <c r="BN178" s="393"/>
      <c r="BO178" s="393"/>
      <c r="BP178" s="393"/>
      <c r="BQ178" s="393"/>
      <c r="BR178" s="393"/>
      <c r="BS178" s="393"/>
      <c r="BT178" s="393"/>
      <c r="BU178" s="393"/>
      <c r="BV178" s="393"/>
      <c r="BW178" s="393"/>
      <c r="BX178" s="393"/>
      <c r="BY178" s="393"/>
      <c r="BZ178" s="393"/>
      <c r="CA178" s="393"/>
      <c r="CB178" s="393"/>
      <c r="CC178" s="393"/>
      <c r="CD178" s="393"/>
      <c r="CE178" s="393"/>
      <c r="CF178" s="393"/>
      <c r="CG178" s="393"/>
      <c r="CH178" s="393"/>
      <c r="CI178" s="393"/>
      <c r="CJ178" s="393"/>
      <c r="CK178" s="393"/>
      <c r="CL178" s="393"/>
      <c r="CM178" s="393"/>
      <c r="CN178" s="393"/>
      <c r="CO178" s="393"/>
      <c r="CP178" s="393"/>
      <c r="CQ178" s="393"/>
      <c r="CR178" s="393"/>
      <c r="CS178" s="393"/>
      <c r="CT178" s="393"/>
      <c r="CU178" s="393"/>
      <c r="CV178" s="393"/>
      <c r="CW178" s="393"/>
      <c r="CX178" s="393"/>
      <c r="CY178" s="393"/>
      <c r="CZ178" s="393"/>
      <c r="DA178" s="393"/>
    </row>
    <row r="179" spans="1:105" x14ac:dyDescent="0.2">
      <c r="A179" s="393"/>
      <c r="B179" s="174"/>
      <c r="C179" s="393"/>
      <c r="D179" s="393"/>
      <c r="E179" s="395"/>
      <c r="F179" s="393"/>
      <c r="G179" s="393"/>
      <c r="H179" s="393"/>
      <c r="I179" s="393"/>
      <c r="J179" s="393"/>
      <c r="K179" s="393"/>
      <c r="L179" s="393"/>
      <c r="M179" s="393"/>
      <c r="N179" s="393"/>
      <c r="O179" s="393"/>
      <c r="P179" s="393"/>
      <c r="Q179" s="393"/>
      <c r="R179" s="393"/>
      <c r="S179" s="402"/>
      <c r="T179" s="395"/>
      <c r="U179" s="402"/>
      <c r="V179" s="395"/>
      <c r="W179" s="400"/>
      <c r="X179" s="400"/>
      <c r="Y179" s="402"/>
      <c r="Z179" s="409"/>
      <c r="AA179" s="396"/>
      <c r="AB179" s="393"/>
      <c r="AC179" s="393"/>
      <c r="AD179" s="393"/>
      <c r="AE179" s="393"/>
      <c r="AF179" s="393"/>
      <c r="AG179" s="393"/>
      <c r="AH179" s="393"/>
      <c r="AI179" s="393"/>
      <c r="AJ179" s="393"/>
      <c r="AK179" s="393"/>
      <c r="AL179" s="393"/>
      <c r="AM179" s="393"/>
      <c r="AN179" s="393"/>
      <c r="AO179" s="393"/>
      <c r="AP179" s="393"/>
      <c r="AQ179" s="393"/>
      <c r="AR179" s="393"/>
      <c r="AS179" s="393"/>
      <c r="AT179" s="393"/>
      <c r="AU179" s="393"/>
      <c r="AV179" s="393"/>
      <c r="AW179" s="393"/>
      <c r="AX179" s="393"/>
      <c r="AY179" s="393"/>
      <c r="AZ179" s="393"/>
      <c r="BA179" s="393"/>
      <c r="BB179" s="393"/>
      <c r="BC179" s="393"/>
      <c r="BD179" s="393"/>
      <c r="BE179" s="393"/>
      <c r="BF179" s="393"/>
      <c r="BG179" s="393"/>
      <c r="BH179" s="393"/>
      <c r="BI179" s="393"/>
      <c r="BJ179" s="393"/>
      <c r="BK179" s="393"/>
      <c r="BL179" s="393"/>
      <c r="BM179" s="393"/>
      <c r="BN179" s="393"/>
      <c r="BO179" s="393"/>
      <c r="BP179" s="393"/>
      <c r="BQ179" s="393"/>
      <c r="BR179" s="393"/>
      <c r="BS179" s="393"/>
      <c r="BT179" s="393"/>
      <c r="BU179" s="393"/>
      <c r="BV179" s="393"/>
      <c r="BW179" s="393"/>
      <c r="BX179" s="393"/>
      <c r="BY179" s="393"/>
      <c r="BZ179" s="393"/>
      <c r="CA179" s="393"/>
      <c r="CB179" s="393"/>
      <c r="CC179" s="393"/>
      <c r="CD179" s="393"/>
      <c r="CE179" s="393"/>
      <c r="CF179" s="393"/>
      <c r="CG179" s="393"/>
      <c r="CH179" s="393"/>
      <c r="CI179" s="393"/>
      <c r="CJ179" s="393"/>
      <c r="CK179" s="393"/>
      <c r="CL179" s="393"/>
      <c r="CM179" s="393"/>
      <c r="CN179" s="393"/>
      <c r="CO179" s="393"/>
      <c r="CP179" s="393"/>
      <c r="CQ179" s="393"/>
      <c r="CR179" s="393"/>
      <c r="CS179" s="393"/>
      <c r="CT179" s="393"/>
      <c r="CU179" s="393"/>
      <c r="CV179" s="393"/>
      <c r="CW179" s="393"/>
      <c r="CX179" s="393"/>
      <c r="CY179" s="393"/>
      <c r="CZ179" s="393"/>
      <c r="DA179" s="393"/>
    </row>
    <row r="180" spans="1:105" x14ac:dyDescent="0.2">
      <c r="B180"/>
      <c r="E180"/>
    </row>
    <row r="181" spans="1:105" x14ac:dyDescent="0.2">
      <c r="B181"/>
      <c r="E181"/>
    </row>
    <row r="182" spans="1:105" x14ac:dyDescent="0.2">
      <c r="B182"/>
      <c r="E182"/>
    </row>
    <row r="183" spans="1:105" x14ac:dyDescent="0.2">
      <c r="B183"/>
      <c r="E183"/>
    </row>
    <row r="184" spans="1:105" x14ac:dyDescent="0.2">
      <c r="B184"/>
      <c r="E184"/>
    </row>
    <row r="185" spans="1:105" x14ac:dyDescent="0.2">
      <c r="B185"/>
      <c r="E185"/>
    </row>
    <row r="186" spans="1:105" x14ac:dyDescent="0.2">
      <c r="B186"/>
      <c r="E186"/>
    </row>
    <row r="187" spans="1:105" x14ac:dyDescent="0.2">
      <c r="B187"/>
      <c r="E187"/>
    </row>
    <row r="188" spans="1:105" x14ac:dyDescent="0.2">
      <c r="B188"/>
      <c r="E188"/>
    </row>
    <row r="189" spans="1:105" x14ac:dyDescent="0.2">
      <c r="B189"/>
      <c r="E189"/>
    </row>
    <row r="190" spans="1:105" x14ac:dyDescent="0.2">
      <c r="B190"/>
      <c r="E190"/>
    </row>
    <row r="191" spans="1:105" x14ac:dyDescent="0.2">
      <c r="B191"/>
      <c r="E191"/>
    </row>
    <row r="192" spans="1:105" x14ac:dyDescent="0.2">
      <c r="B192"/>
      <c r="E192"/>
    </row>
    <row r="193" spans="2:5" x14ac:dyDescent="0.2">
      <c r="B193"/>
      <c r="E193"/>
    </row>
    <row r="194" spans="2:5" x14ac:dyDescent="0.2">
      <c r="B194"/>
      <c r="E194"/>
    </row>
    <row r="195" spans="2:5" x14ac:dyDescent="0.2">
      <c r="B195"/>
      <c r="E195"/>
    </row>
    <row r="196" spans="2:5" x14ac:dyDescent="0.2">
      <c r="B196"/>
      <c r="E196"/>
    </row>
    <row r="197" spans="2:5" x14ac:dyDescent="0.2">
      <c r="B197"/>
      <c r="E197"/>
    </row>
    <row r="198" spans="2:5" x14ac:dyDescent="0.2">
      <c r="B198"/>
      <c r="E198"/>
    </row>
    <row r="199" spans="2:5" x14ac:dyDescent="0.2">
      <c r="B199"/>
      <c r="E199"/>
    </row>
    <row r="200" spans="2:5" x14ac:dyDescent="0.2">
      <c r="B200"/>
      <c r="E200"/>
    </row>
    <row r="201" spans="2:5" x14ac:dyDescent="0.2">
      <c r="B201"/>
      <c r="E201"/>
    </row>
    <row r="202" spans="2:5" x14ac:dyDescent="0.2">
      <c r="B202"/>
      <c r="E202"/>
    </row>
    <row r="203" spans="2:5" x14ac:dyDescent="0.2">
      <c r="B203"/>
      <c r="E203"/>
    </row>
    <row r="204" spans="2:5" x14ac:dyDescent="0.2">
      <c r="B204"/>
      <c r="E204"/>
    </row>
    <row r="205" spans="2:5" x14ac:dyDescent="0.2">
      <c r="B205"/>
      <c r="E205"/>
    </row>
    <row r="206" spans="2:5" x14ac:dyDescent="0.2">
      <c r="B206"/>
      <c r="E206"/>
    </row>
    <row r="207" spans="2:5" x14ac:dyDescent="0.2">
      <c r="B207"/>
      <c r="E207"/>
    </row>
    <row r="208" spans="2:5" x14ac:dyDescent="0.2">
      <c r="B208"/>
      <c r="E208"/>
    </row>
    <row r="209" spans="2:5" x14ac:dyDescent="0.2">
      <c r="B209"/>
      <c r="E209"/>
    </row>
    <row r="210" spans="2:5" x14ac:dyDescent="0.2">
      <c r="B210"/>
      <c r="E210"/>
    </row>
    <row r="211" spans="2:5" x14ac:dyDescent="0.2">
      <c r="B211"/>
      <c r="E211"/>
    </row>
    <row r="212" spans="2:5" x14ac:dyDescent="0.2">
      <c r="B212"/>
      <c r="E212"/>
    </row>
    <row r="213" spans="2:5" x14ac:dyDescent="0.2">
      <c r="B213"/>
      <c r="E213"/>
    </row>
    <row r="214" spans="2:5" x14ac:dyDescent="0.2">
      <c r="B214"/>
      <c r="E214"/>
    </row>
    <row r="215" spans="2:5" x14ac:dyDescent="0.2">
      <c r="B215"/>
      <c r="E215"/>
    </row>
    <row r="216" spans="2:5" x14ac:dyDescent="0.2">
      <c r="B216"/>
      <c r="E216"/>
    </row>
    <row r="217" spans="2:5" x14ac:dyDescent="0.2">
      <c r="B217"/>
      <c r="E217"/>
    </row>
    <row r="218" spans="2:5" x14ac:dyDescent="0.2">
      <c r="B218"/>
      <c r="E218"/>
    </row>
    <row r="219" spans="2:5" x14ac:dyDescent="0.2">
      <c r="B219"/>
      <c r="E219"/>
    </row>
    <row r="220" spans="2:5" x14ac:dyDescent="0.2">
      <c r="B220"/>
      <c r="E220"/>
    </row>
    <row r="221" spans="2:5" x14ac:dyDescent="0.2">
      <c r="B221"/>
      <c r="E221"/>
    </row>
    <row r="222" spans="2:5" x14ac:dyDescent="0.2">
      <c r="B222"/>
      <c r="E222"/>
    </row>
    <row r="223" spans="2:5" x14ac:dyDescent="0.2">
      <c r="B223"/>
      <c r="E223"/>
    </row>
    <row r="224" spans="2:5" x14ac:dyDescent="0.2">
      <c r="B224"/>
      <c r="E224"/>
    </row>
    <row r="225" spans="2:5" x14ac:dyDescent="0.2">
      <c r="B225"/>
      <c r="E225"/>
    </row>
    <row r="226" spans="2:5" x14ac:dyDescent="0.2">
      <c r="B226"/>
      <c r="E226"/>
    </row>
    <row r="227" spans="2:5" x14ac:dyDescent="0.2">
      <c r="B227"/>
      <c r="E227"/>
    </row>
    <row r="228" spans="2:5" x14ac:dyDescent="0.2">
      <c r="B228"/>
      <c r="E228"/>
    </row>
    <row r="229" spans="2:5" x14ac:dyDescent="0.2">
      <c r="B229"/>
      <c r="E229"/>
    </row>
    <row r="230" spans="2:5" x14ac:dyDescent="0.2">
      <c r="B230"/>
      <c r="E230"/>
    </row>
    <row r="231" spans="2:5" x14ac:dyDescent="0.2">
      <c r="B231"/>
      <c r="E231"/>
    </row>
    <row r="232" spans="2:5" x14ac:dyDescent="0.2">
      <c r="B232"/>
      <c r="E232"/>
    </row>
    <row r="233" spans="2:5" x14ac:dyDescent="0.2">
      <c r="B233"/>
      <c r="E233"/>
    </row>
    <row r="234" spans="2:5" x14ac:dyDescent="0.2">
      <c r="B234"/>
      <c r="E234"/>
    </row>
    <row r="235" spans="2:5" x14ac:dyDescent="0.2">
      <c r="B235"/>
      <c r="E235"/>
    </row>
    <row r="236" spans="2:5" x14ac:dyDescent="0.2">
      <c r="B236"/>
      <c r="E236"/>
    </row>
    <row r="237" spans="2:5" x14ac:dyDescent="0.2">
      <c r="B237"/>
      <c r="E237"/>
    </row>
    <row r="238" spans="2:5" x14ac:dyDescent="0.2">
      <c r="B238"/>
      <c r="E238"/>
    </row>
    <row r="239" spans="2:5" x14ac:dyDescent="0.2">
      <c r="B239"/>
      <c r="E239"/>
    </row>
    <row r="240" spans="2:5" x14ac:dyDescent="0.2">
      <c r="B240"/>
      <c r="E240"/>
    </row>
    <row r="241" spans="2:5" x14ac:dyDescent="0.2">
      <c r="B241"/>
      <c r="E241"/>
    </row>
    <row r="242" spans="2:5" x14ac:dyDescent="0.2">
      <c r="B242"/>
      <c r="E242"/>
    </row>
    <row r="243" spans="2:5" x14ac:dyDescent="0.2">
      <c r="B243"/>
      <c r="E243"/>
    </row>
    <row r="244" spans="2:5" x14ac:dyDescent="0.2">
      <c r="B244"/>
      <c r="E244"/>
    </row>
    <row r="245" spans="2:5" x14ac:dyDescent="0.2">
      <c r="B245"/>
      <c r="E245"/>
    </row>
    <row r="246" spans="2:5" x14ac:dyDescent="0.2">
      <c r="B246"/>
      <c r="E246"/>
    </row>
    <row r="247" spans="2:5" x14ac:dyDescent="0.2">
      <c r="B247"/>
      <c r="E247"/>
    </row>
    <row r="248" spans="2:5" x14ac:dyDescent="0.2">
      <c r="B248"/>
      <c r="E248"/>
    </row>
    <row r="249" spans="2:5" x14ac:dyDescent="0.2">
      <c r="B249"/>
      <c r="E249"/>
    </row>
    <row r="250" spans="2:5" x14ac:dyDescent="0.2">
      <c r="B250"/>
      <c r="E250"/>
    </row>
    <row r="251" spans="2:5" x14ac:dyDescent="0.2">
      <c r="B251"/>
      <c r="E251"/>
    </row>
    <row r="252" spans="2:5" x14ac:dyDescent="0.2">
      <c r="B252"/>
      <c r="E252"/>
    </row>
    <row r="253" spans="2:5" x14ac:dyDescent="0.2">
      <c r="B253"/>
      <c r="E253"/>
    </row>
    <row r="254" spans="2:5" x14ac:dyDescent="0.2">
      <c r="B254"/>
      <c r="E254"/>
    </row>
    <row r="255" spans="2:5" x14ac:dyDescent="0.2">
      <c r="B255"/>
      <c r="E255"/>
    </row>
    <row r="256" spans="2:5" x14ac:dyDescent="0.2">
      <c r="B256"/>
      <c r="E256"/>
    </row>
    <row r="257" spans="2:5" x14ac:dyDescent="0.2">
      <c r="B257"/>
      <c r="E257"/>
    </row>
    <row r="258" spans="2:5" x14ac:dyDescent="0.2">
      <c r="B258"/>
      <c r="E258"/>
    </row>
    <row r="259" spans="2:5" x14ac:dyDescent="0.2">
      <c r="B259"/>
      <c r="E259"/>
    </row>
    <row r="260" spans="2:5" x14ac:dyDescent="0.2">
      <c r="B260"/>
      <c r="E260"/>
    </row>
    <row r="261" spans="2:5" x14ac:dyDescent="0.2">
      <c r="B261"/>
      <c r="E261"/>
    </row>
    <row r="262" spans="2:5" x14ac:dyDescent="0.2">
      <c r="B262"/>
      <c r="E262"/>
    </row>
    <row r="263" spans="2:5" x14ac:dyDescent="0.2">
      <c r="B263"/>
      <c r="E263"/>
    </row>
    <row r="264" spans="2:5" x14ac:dyDescent="0.2">
      <c r="B264"/>
      <c r="E264"/>
    </row>
    <row r="265" spans="2:5" x14ac:dyDescent="0.2">
      <c r="B265"/>
      <c r="E265"/>
    </row>
    <row r="266" spans="2:5" x14ac:dyDescent="0.2">
      <c r="B266"/>
      <c r="E266"/>
    </row>
    <row r="267" spans="2:5" x14ac:dyDescent="0.2">
      <c r="B267"/>
      <c r="E267"/>
    </row>
    <row r="268" spans="2:5" x14ac:dyDescent="0.2">
      <c r="B268"/>
      <c r="E268"/>
    </row>
    <row r="269" spans="2:5" x14ac:dyDescent="0.2">
      <c r="B269"/>
      <c r="E269"/>
    </row>
    <row r="270" spans="2:5" x14ac:dyDescent="0.2">
      <c r="B270"/>
      <c r="E270"/>
    </row>
    <row r="271" spans="2:5" x14ac:dyDescent="0.2">
      <c r="B271"/>
      <c r="E271"/>
    </row>
    <row r="272" spans="2:5" x14ac:dyDescent="0.2">
      <c r="B272"/>
      <c r="E272"/>
    </row>
    <row r="273" spans="2:5" x14ac:dyDescent="0.2">
      <c r="B273"/>
      <c r="E273"/>
    </row>
    <row r="274" spans="2:5" x14ac:dyDescent="0.2">
      <c r="B274"/>
      <c r="E274"/>
    </row>
    <row r="275" spans="2:5" x14ac:dyDescent="0.2">
      <c r="B275"/>
      <c r="E275"/>
    </row>
    <row r="276" spans="2:5" x14ac:dyDescent="0.2">
      <c r="B276"/>
      <c r="E276"/>
    </row>
    <row r="277" spans="2:5" x14ac:dyDescent="0.2">
      <c r="B277"/>
      <c r="E277"/>
    </row>
    <row r="278" spans="2:5" x14ac:dyDescent="0.2">
      <c r="B278"/>
      <c r="E278"/>
    </row>
    <row r="279" spans="2:5" x14ac:dyDescent="0.2">
      <c r="B279"/>
      <c r="E279"/>
    </row>
    <row r="280" spans="2:5" x14ac:dyDescent="0.2">
      <c r="B280"/>
      <c r="E280"/>
    </row>
    <row r="281" spans="2:5" x14ac:dyDescent="0.2">
      <c r="B281"/>
      <c r="E281"/>
    </row>
    <row r="282" spans="2:5" x14ac:dyDescent="0.2">
      <c r="B282"/>
      <c r="E282"/>
    </row>
    <row r="283" spans="2:5" x14ac:dyDescent="0.2">
      <c r="B283"/>
      <c r="E283"/>
    </row>
    <row r="284" spans="2:5" x14ac:dyDescent="0.2">
      <c r="B284"/>
      <c r="E284"/>
    </row>
    <row r="285" spans="2:5" x14ac:dyDescent="0.2">
      <c r="B285"/>
      <c r="E285"/>
    </row>
    <row r="286" spans="2:5" x14ac:dyDescent="0.2">
      <c r="B286"/>
      <c r="E286"/>
    </row>
    <row r="287" spans="2:5" x14ac:dyDescent="0.2">
      <c r="B287"/>
      <c r="E287"/>
    </row>
    <row r="288" spans="2:5" x14ac:dyDescent="0.2">
      <c r="B288"/>
      <c r="E288"/>
    </row>
    <row r="289" spans="2:5" x14ac:dyDescent="0.2">
      <c r="B289"/>
      <c r="E289"/>
    </row>
    <row r="290" spans="2:5" x14ac:dyDescent="0.2">
      <c r="B290"/>
      <c r="E290"/>
    </row>
    <row r="291" spans="2:5" x14ac:dyDescent="0.2">
      <c r="B291"/>
      <c r="E291"/>
    </row>
    <row r="292" spans="2:5" x14ac:dyDescent="0.2">
      <c r="B292"/>
      <c r="E292"/>
    </row>
    <row r="293" spans="2:5" x14ac:dyDescent="0.2">
      <c r="B293"/>
      <c r="E293"/>
    </row>
    <row r="294" spans="2:5" x14ac:dyDescent="0.2">
      <c r="B294"/>
      <c r="E294"/>
    </row>
    <row r="295" spans="2:5" x14ac:dyDescent="0.2">
      <c r="B295"/>
      <c r="E295"/>
    </row>
    <row r="296" spans="2:5" x14ac:dyDescent="0.2">
      <c r="B296"/>
      <c r="E296"/>
    </row>
    <row r="297" spans="2:5" x14ac:dyDescent="0.2">
      <c r="B297"/>
      <c r="E297"/>
    </row>
    <row r="298" spans="2:5" x14ac:dyDescent="0.2">
      <c r="B298"/>
      <c r="E298"/>
    </row>
    <row r="299" spans="2:5" x14ac:dyDescent="0.2">
      <c r="B299"/>
      <c r="E299"/>
    </row>
    <row r="300" spans="2:5" x14ac:dyDescent="0.2">
      <c r="B300"/>
      <c r="E300"/>
    </row>
    <row r="301" spans="2:5" x14ac:dyDescent="0.2">
      <c r="B301"/>
      <c r="E301"/>
    </row>
    <row r="302" spans="2:5" x14ac:dyDescent="0.2">
      <c r="B302"/>
      <c r="E302"/>
    </row>
    <row r="303" spans="2:5" x14ac:dyDescent="0.2">
      <c r="B303"/>
      <c r="E303"/>
    </row>
    <row r="304" spans="2:5" x14ac:dyDescent="0.2">
      <c r="B304"/>
      <c r="E304"/>
    </row>
    <row r="305" spans="2:5" x14ac:dyDescent="0.2">
      <c r="B305"/>
      <c r="E305"/>
    </row>
    <row r="306" spans="2:5" x14ac:dyDescent="0.2">
      <c r="B306"/>
      <c r="E306"/>
    </row>
    <row r="307" spans="2:5" x14ac:dyDescent="0.2">
      <c r="B307"/>
      <c r="E307"/>
    </row>
    <row r="308" spans="2:5" x14ac:dyDescent="0.2">
      <c r="B308"/>
      <c r="E308"/>
    </row>
    <row r="309" spans="2:5" x14ac:dyDescent="0.2">
      <c r="B309"/>
      <c r="E309"/>
    </row>
    <row r="310" spans="2:5" x14ac:dyDescent="0.2">
      <c r="B310"/>
      <c r="E310"/>
    </row>
    <row r="311" spans="2:5" x14ac:dyDescent="0.2">
      <c r="B311"/>
      <c r="E311"/>
    </row>
    <row r="312" spans="2:5" x14ac:dyDescent="0.2">
      <c r="B312"/>
      <c r="E312"/>
    </row>
    <row r="313" spans="2:5" x14ac:dyDescent="0.2">
      <c r="B313"/>
      <c r="E313"/>
    </row>
    <row r="314" spans="2:5" x14ac:dyDescent="0.2">
      <c r="B314"/>
      <c r="E314"/>
    </row>
    <row r="315" spans="2:5" x14ac:dyDescent="0.2">
      <c r="B315"/>
      <c r="E315"/>
    </row>
    <row r="316" spans="2:5" x14ac:dyDescent="0.2">
      <c r="B316"/>
      <c r="E316"/>
    </row>
    <row r="317" spans="2:5" x14ac:dyDescent="0.2">
      <c r="B317"/>
      <c r="E317"/>
    </row>
    <row r="318" spans="2:5" x14ac:dyDescent="0.2">
      <c r="B318"/>
      <c r="E318"/>
    </row>
    <row r="319" spans="2:5" x14ac:dyDescent="0.2">
      <c r="B319"/>
      <c r="E319"/>
    </row>
    <row r="320" spans="2:5" x14ac:dyDescent="0.2">
      <c r="B320"/>
      <c r="E320"/>
    </row>
    <row r="321" spans="2:5" x14ac:dyDescent="0.2">
      <c r="B321"/>
      <c r="E321"/>
    </row>
    <row r="322" spans="2:5" x14ac:dyDescent="0.2">
      <c r="B322"/>
      <c r="E322"/>
    </row>
    <row r="323" spans="2:5" x14ac:dyDescent="0.2">
      <c r="B323"/>
      <c r="E323"/>
    </row>
    <row r="324" spans="2:5" x14ac:dyDescent="0.2">
      <c r="B324"/>
      <c r="E324"/>
    </row>
    <row r="325" spans="2:5" x14ac:dyDescent="0.2">
      <c r="B325"/>
      <c r="E325"/>
    </row>
    <row r="326" spans="2:5" x14ac:dyDescent="0.2">
      <c r="B326"/>
      <c r="E326"/>
    </row>
    <row r="327" spans="2:5" x14ac:dyDescent="0.2">
      <c r="B327"/>
      <c r="E327"/>
    </row>
    <row r="328" spans="2:5" x14ac:dyDescent="0.2">
      <c r="B328"/>
      <c r="E328"/>
    </row>
    <row r="329" spans="2:5" x14ac:dyDescent="0.2">
      <c r="B329"/>
      <c r="E329"/>
    </row>
    <row r="330" spans="2:5" x14ac:dyDescent="0.2">
      <c r="B330"/>
      <c r="E330"/>
    </row>
    <row r="331" spans="2:5" x14ac:dyDescent="0.2">
      <c r="B331"/>
      <c r="E331"/>
    </row>
    <row r="332" spans="2:5" x14ac:dyDescent="0.2">
      <c r="B332"/>
      <c r="E332"/>
    </row>
    <row r="333" spans="2:5" x14ac:dyDescent="0.2">
      <c r="B333"/>
      <c r="E333"/>
    </row>
    <row r="334" spans="2:5" x14ac:dyDescent="0.2">
      <c r="B334"/>
      <c r="E334"/>
    </row>
    <row r="335" spans="2:5" x14ac:dyDescent="0.2">
      <c r="B335"/>
      <c r="E335"/>
    </row>
    <row r="336" spans="2:5" x14ac:dyDescent="0.2">
      <c r="B336"/>
      <c r="E336"/>
    </row>
    <row r="337" spans="2:5" x14ac:dyDescent="0.2">
      <c r="B337"/>
      <c r="E337"/>
    </row>
    <row r="338" spans="2:5" x14ac:dyDescent="0.2">
      <c r="B338"/>
      <c r="E338"/>
    </row>
    <row r="339" spans="2:5" x14ac:dyDescent="0.2">
      <c r="B339"/>
      <c r="E339"/>
    </row>
    <row r="340" spans="2:5" x14ac:dyDescent="0.2">
      <c r="B340"/>
      <c r="E340"/>
    </row>
    <row r="341" spans="2:5" x14ac:dyDescent="0.2">
      <c r="B341"/>
      <c r="E341"/>
    </row>
    <row r="342" spans="2:5" x14ac:dyDescent="0.2">
      <c r="B342"/>
      <c r="E342"/>
    </row>
    <row r="343" spans="2:5" x14ac:dyDescent="0.2">
      <c r="B343"/>
      <c r="E343"/>
    </row>
    <row r="344" spans="2:5" x14ac:dyDescent="0.2">
      <c r="B344"/>
      <c r="E344"/>
    </row>
    <row r="345" spans="2:5" x14ac:dyDescent="0.2">
      <c r="B345"/>
      <c r="E345"/>
    </row>
    <row r="346" spans="2:5" x14ac:dyDescent="0.2">
      <c r="B346"/>
      <c r="E346"/>
    </row>
    <row r="347" spans="2:5" x14ac:dyDescent="0.2">
      <c r="B347"/>
      <c r="E347"/>
    </row>
    <row r="348" spans="2:5" x14ac:dyDescent="0.2">
      <c r="B348"/>
      <c r="E348"/>
    </row>
    <row r="349" spans="2:5" x14ac:dyDescent="0.2">
      <c r="B349"/>
      <c r="E349"/>
    </row>
    <row r="350" spans="2:5" x14ac:dyDescent="0.2">
      <c r="B350"/>
      <c r="E350"/>
    </row>
    <row r="351" spans="2:5" x14ac:dyDescent="0.2">
      <c r="B351"/>
      <c r="E351"/>
    </row>
    <row r="352" spans="2:5" x14ac:dyDescent="0.2">
      <c r="B352"/>
      <c r="E352"/>
    </row>
    <row r="353" spans="2:5" x14ac:dyDescent="0.2">
      <c r="B353"/>
      <c r="E353"/>
    </row>
    <row r="354" spans="2:5" x14ac:dyDescent="0.2">
      <c r="B354"/>
      <c r="E354"/>
    </row>
    <row r="355" spans="2:5" x14ac:dyDescent="0.2">
      <c r="B355"/>
      <c r="E355"/>
    </row>
    <row r="356" spans="2:5" x14ac:dyDescent="0.2">
      <c r="B356"/>
      <c r="E356"/>
    </row>
    <row r="357" spans="2:5" x14ac:dyDescent="0.2">
      <c r="B357"/>
      <c r="E357"/>
    </row>
    <row r="358" spans="2:5" x14ac:dyDescent="0.2">
      <c r="B358"/>
      <c r="E358"/>
    </row>
    <row r="359" spans="2:5" x14ac:dyDescent="0.2">
      <c r="B359"/>
      <c r="E359"/>
    </row>
    <row r="360" spans="2:5" x14ac:dyDescent="0.2">
      <c r="B360"/>
      <c r="E360"/>
    </row>
    <row r="361" spans="2:5" x14ac:dyDescent="0.2">
      <c r="B361"/>
      <c r="E361"/>
    </row>
    <row r="362" spans="2:5" x14ac:dyDescent="0.2">
      <c r="B362"/>
      <c r="E362"/>
    </row>
    <row r="363" spans="2:5" x14ac:dyDescent="0.2">
      <c r="B363"/>
      <c r="E363"/>
    </row>
    <row r="364" spans="2:5" x14ac:dyDescent="0.2">
      <c r="B364"/>
      <c r="E364"/>
    </row>
    <row r="365" spans="2:5" x14ac:dyDescent="0.2">
      <c r="B365"/>
      <c r="E365"/>
    </row>
    <row r="366" spans="2:5" x14ac:dyDescent="0.2">
      <c r="B366"/>
      <c r="E366"/>
    </row>
    <row r="367" spans="2:5" x14ac:dyDescent="0.2">
      <c r="B367"/>
      <c r="E367"/>
    </row>
    <row r="368" spans="2:5" x14ac:dyDescent="0.2">
      <c r="B368"/>
      <c r="E368"/>
    </row>
    <row r="369" spans="2:5" x14ac:dyDescent="0.2">
      <c r="B369"/>
      <c r="E369"/>
    </row>
    <row r="370" spans="2:5" x14ac:dyDescent="0.2">
      <c r="B370"/>
      <c r="E370"/>
    </row>
    <row r="371" spans="2:5" x14ac:dyDescent="0.2">
      <c r="B371"/>
      <c r="E371"/>
    </row>
    <row r="372" spans="2:5" x14ac:dyDescent="0.2">
      <c r="B372"/>
      <c r="E372"/>
    </row>
    <row r="373" spans="2:5" x14ac:dyDescent="0.2">
      <c r="B373"/>
      <c r="E373"/>
    </row>
    <row r="374" spans="2:5" x14ac:dyDescent="0.2">
      <c r="B374"/>
      <c r="E374"/>
    </row>
    <row r="375" spans="2:5" x14ac:dyDescent="0.2">
      <c r="B375"/>
      <c r="E375"/>
    </row>
    <row r="376" spans="2:5" x14ac:dyDescent="0.2">
      <c r="B376"/>
      <c r="E376"/>
    </row>
    <row r="377" spans="2:5" x14ac:dyDescent="0.2">
      <c r="B377"/>
      <c r="E377"/>
    </row>
    <row r="378" spans="2:5" x14ac:dyDescent="0.2">
      <c r="B378"/>
      <c r="E378"/>
    </row>
    <row r="379" spans="2:5" x14ac:dyDescent="0.2">
      <c r="B379"/>
      <c r="E379"/>
    </row>
    <row r="380" spans="2:5" x14ac:dyDescent="0.2">
      <c r="B380"/>
      <c r="E380"/>
    </row>
    <row r="381" spans="2:5" x14ac:dyDescent="0.2">
      <c r="B381"/>
      <c r="E381"/>
    </row>
    <row r="382" spans="2:5" x14ac:dyDescent="0.2">
      <c r="B382"/>
      <c r="E382"/>
    </row>
    <row r="383" spans="2:5" x14ac:dyDescent="0.2">
      <c r="B383"/>
      <c r="E383"/>
    </row>
    <row r="384" spans="2:5" x14ac:dyDescent="0.2">
      <c r="B384"/>
      <c r="E384"/>
    </row>
    <row r="385" spans="2:5" x14ac:dyDescent="0.2">
      <c r="B385"/>
      <c r="E385"/>
    </row>
    <row r="386" spans="2:5" x14ac:dyDescent="0.2">
      <c r="B386"/>
      <c r="E386"/>
    </row>
    <row r="387" spans="2:5" x14ac:dyDescent="0.2">
      <c r="B387"/>
      <c r="E387"/>
    </row>
    <row r="388" spans="2:5" x14ac:dyDescent="0.2">
      <c r="B388"/>
      <c r="E388"/>
    </row>
    <row r="389" spans="2:5" x14ac:dyDescent="0.2">
      <c r="B389"/>
      <c r="E389"/>
    </row>
    <row r="390" spans="2:5" x14ac:dyDescent="0.2">
      <c r="B390"/>
      <c r="E390"/>
    </row>
    <row r="391" spans="2:5" x14ac:dyDescent="0.2">
      <c r="B391"/>
      <c r="E391"/>
    </row>
    <row r="392" spans="2:5" x14ac:dyDescent="0.2">
      <c r="B392"/>
      <c r="E392"/>
    </row>
    <row r="393" spans="2:5" x14ac:dyDescent="0.2">
      <c r="B393"/>
      <c r="E393"/>
    </row>
    <row r="394" spans="2:5" x14ac:dyDescent="0.2">
      <c r="B394"/>
      <c r="E394"/>
    </row>
    <row r="395" spans="2:5" x14ac:dyDescent="0.2">
      <c r="B395"/>
      <c r="E395"/>
    </row>
    <row r="396" spans="2:5" x14ac:dyDescent="0.2">
      <c r="B396"/>
      <c r="E396"/>
    </row>
    <row r="397" spans="2:5" x14ac:dyDescent="0.2">
      <c r="B397"/>
      <c r="E397"/>
    </row>
    <row r="398" spans="2:5" x14ac:dyDescent="0.2">
      <c r="B398"/>
      <c r="E398"/>
    </row>
    <row r="399" spans="2:5" x14ac:dyDescent="0.2">
      <c r="B399"/>
      <c r="E399"/>
    </row>
    <row r="400" spans="2:5" x14ac:dyDescent="0.2">
      <c r="B400"/>
      <c r="E400"/>
    </row>
    <row r="401" spans="2:5" x14ac:dyDescent="0.2">
      <c r="B401"/>
      <c r="E401"/>
    </row>
    <row r="402" spans="2:5" x14ac:dyDescent="0.2">
      <c r="B402"/>
      <c r="E402"/>
    </row>
    <row r="403" spans="2:5" x14ac:dyDescent="0.2">
      <c r="B403"/>
      <c r="E403"/>
    </row>
    <row r="404" spans="2:5" x14ac:dyDescent="0.2">
      <c r="B404"/>
      <c r="E404"/>
    </row>
    <row r="405" spans="2:5" x14ac:dyDescent="0.2">
      <c r="B405"/>
      <c r="E405"/>
    </row>
    <row r="406" spans="2:5" x14ac:dyDescent="0.2">
      <c r="B406"/>
      <c r="E406"/>
    </row>
    <row r="407" spans="2:5" x14ac:dyDescent="0.2">
      <c r="B407"/>
      <c r="E407"/>
    </row>
    <row r="408" spans="2:5" x14ac:dyDescent="0.2">
      <c r="B408"/>
      <c r="E408"/>
    </row>
    <row r="409" spans="2:5" x14ac:dyDescent="0.2">
      <c r="B409"/>
      <c r="E409"/>
    </row>
    <row r="410" spans="2:5" x14ac:dyDescent="0.2">
      <c r="B410"/>
      <c r="E410"/>
    </row>
    <row r="411" spans="2:5" x14ac:dyDescent="0.2">
      <c r="B411"/>
      <c r="E411"/>
    </row>
    <row r="412" spans="2:5" x14ac:dyDescent="0.2">
      <c r="B412"/>
      <c r="E412"/>
    </row>
    <row r="413" spans="2:5" x14ac:dyDescent="0.2">
      <c r="B413"/>
      <c r="E413"/>
    </row>
    <row r="414" spans="2:5" x14ac:dyDescent="0.2">
      <c r="B414"/>
      <c r="E414"/>
    </row>
    <row r="415" spans="2:5" x14ac:dyDescent="0.2">
      <c r="B415"/>
      <c r="E415"/>
    </row>
    <row r="416" spans="2:5" x14ac:dyDescent="0.2">
      <c r="B416"/>
      <c r="E416"/>
    </row>
    <row r="417" spans="2:5" x14ac:dyDescent="0.2">
      <c r="B417"/>
      <c r="E417"/>
    </row>
    <row r="418" spans="2:5" x14ac:dyDescent="0.2">
      <c r="B418"/>
      <c r="E418"/>
    </row>
    <row r="419" spans="2:5" x14ac:dyDescent="0.2">
      <c r="B419"/>
      <c r="E419"/>
    </row>
    <row r="420" spans="2:5" x14ac:dyDescent="0.2">
      <c r="B420"/>
      <c r="E420"/>
    </row>
    <row r="421" spans="2:5" x14ac:dyDescent="0.2">
      <c r="B421"/>
      <c r="E421"/>
    </row>
    <row r="422" spans="2:5" x14ac:dyDescent="0.2">
      <c r="B422"/>
      <c r="E422"/>
    </row>
    <row r="423" spans="2:5" x14ac:dyDescent="0.2">
      <c r="B423"/>
      <c r="E423"/>
    </row>
    <row r="424" spans="2:5" x14ac:dyDescent="0.2">
      <c r="B424"/>
      <c r="E424"/>
    </row>
    <row r="425" spans="2:5" x14ac:dyDescent="0.2">
      <c r="B425"/>
      <c r="E425"/>
    </row>
    <row r="426" spans="2:5" x14ac:dyDescent="0.2">
      <c r="B426"/>
      <c r="E426"/>
    </row>
    <row r="427" spans="2:5" x14ac:dyDescent="0.2">
      <c r="B427"/>
      <c r="E427"/>
    </row>
    <row r="428" spans="2:5" x14ac:dyDescent="0.2">
      <c r="B428"/>
      <c r="E428"/>
    </row>
    <row r="429" spans="2:5" x14ac:dyDescent="0.2">
      <c r="B429"/>
      <c r="E429"/>
    </row>
    <row r="430" spans="2:5" x14ac:dyDescent="0.2">
      <c r="B430"/>
      <c r="E430"/>
    </row>
    <row r="431" spans="2:5" x14ac:dyDescent="0.2">
      <c r="B431"/>
      <c r="E431"/>
    </row>
    <row r="432" spans="2:5" x14ac:dyDescent="0.2">
      <c r="B432"/>
      <c r="E432"/>
    </row>
    <row r="433" spans="2:5" x14ac:dyDescent="0.2">
      <c r="B433"/>
      <c r="E433"/>
    </row>
    <row r="434" spans="2:5" x14ac:dyDescent="0.2">
      <c r="B434"/>
      <c r="E434"/>
    </row>
    <row r="435" spans="2:5" x14ac:dyDescent="0.2">
      <c r="B435"/>
      <c r="E435"/>
    </row>
    <row r="436" spans="2:5" x14ac:dyDescent="0.2">
      <c r="B436"/>
      <c r="E436"/>
    </row>
    <row r="437" spans="2:5" x14ac:dyDescent="0.2">
      <c r="B437"/>
      <c r="E437"/>
    </row>
    <row r="438" spans="2:5" x14ac:dyDescent="0.2">
      <c r="B438"/>
      <c r="E438"/>
    </row>
    <row r="439" spans="2:5" x14ac:dyDescent="0.2">
      <c r="B439"/>
      <c r="E439"/>
    </row>
    <row r="440" spans="2:5" x14ac:dyDescent="0.2">
      <c r="B440"/>
      <c r="E440"/>
    </row>
    <row r="441" spans="2:5" x14ac:dyDescent="0.2">
      <c r="B441"/>
      <c r="E441"/>
    </row>
    <row r="442" spans="2:5" x14ac:dyDescent="0.2">
      <c r="B442"/>
      <c r="E442"/>
    </row>
    <row r="443" spans="2:5" x14ac:dyDescent="0.2">
      <c r="B443"/>
      <c r="E443"/>
    </row>
    <row r="444" spans="2:5" x14ac:dyDescent="0.2">
      <c r="B444"/>
      <c r="E444"/>
    </row>
    <row r="445" spans="2:5" x14ac:dyDescent="0.2">
      <c r="B445"/>
      <c r="E445"/>
    </row>
    <row r="446" spans="2:5" x14ac:dyDescent="0.2">
      <c r="B446"/>
      <c r="E446"/>
    </row>
    <row r="447" spans="2:5" x14ac:dyDescent="0.2">
      <c r="B447"/>
      <c r="E447"/>
    </row>
    <row r="448" spans="2:5" x14ac:dyDescent="0.2">
      <c r="B448"/>
      <c r="E448"/>
    </row>
    <row r="449" spans="2:5" x14ac:dyDescent="0.2">
      <c r="B449"/>
      <c r="E449"/>
    </row>
    <row r="450" spans="2:5" x14ac:dyDescent="0.2">
      <c r="B450"/>
      <c r="E450"/>
    </row>
    <row r="451" spans="2:5" x14ac:dyDescent="0.2">
      <c r="B451"/>
      <c r="E451"/>
    </row>
    <row r="452" spans="2:5" x14ac:dyDescent="0.2">
      <c r="B452"/>
      <c r="E452"/>
    </row>
    <row r="453" spans="2:5" x14ac:dyDescent="0.2">
      <c r="B453"/>
      <c r="E453"/>
    </row>
    <row r="454" spans="2:5" x14ac:dyDescent="0.2">
      <c r="B454"/>
      <c r="E454"/>
    </row>
    <row r="455" spans="2:5" x14ac:dyDescent="0.2">
      <c r="B455"/>
      <c r="E455"/>
    </row>
    <row r="456" spans="2:5" x14ac:dyDescent="0.2">
      <c r="B456"/>
      <c r="E456"/>
    </row>
    <row r="457" spans="2:5" x14ac:dyDescent="0.2">
      <c r="B457"/>
      <c r="E457"/>
    </row>
    <row r="458" spans="2:5" x14ac:dyDescent="0.2">
      <c r="B458"/>
      <c r="E458"/>
    </row>
    <row r="459" spans="2:5" x14ac:dyDescent="0.2">
      <c r="B459"/>
      <c r="E459"/>
    </row>
    <row r="460" spans="2:5" x14ac:dyDescent="0.2">
      <c r="B460"/>
      <c r="E460"/>
    </row>
    <row r="461" spans="2:5" x14ac:dyDescent="0.2">
      <c r="B461"/>
      <c r="E461"/>
    </row>
    <row r="462" spans="2:5" x14ac:dyDescent="0.2">
      <c r="B462"/>
      <c r="E462"/>
    </row>
    <row r="463" spans="2:5" x14ac:dyDescent="0.2">
      <c r="B463"/>
      <c r="E463"/>
    </row>
    <row r="464" spans="2:5" x14ac:dyDescent="0.2">
      <c r="B464"/>
      <c r="E464"/>
    </row>
    <row r="465" spans="2:5" x14ac:dyDescent="0.2">
      <c r="B465"/>
      <c r="E465"/>
    </row>
    <row r="466" spans="2:5" x14ac:dyDescent="0.2">
      <c r="B466"/>
      <c r="E466"/>
    </row>
    <row r="467" spans="2:5" x14ac:dyDescent="0.2">
      <c r="B467"/>
      <c r="E467"/>
    </row>
    <row r="468" spans="2:5" x14ac:dyDescent="0.2">
      <c r="B468"/>
      <c r="E468"/>
    </row>
    <row r="469" spans="2:5" x14ac:dyDescent="0.2">
      <c r="B469"/>
      <c r="E469"/>
    </row>
    <row r="470" spans="2:5" x14ac:dyDescent="0.2">
      <c r="B470"/>
      <c r="E470"/>
    </row>
    <row r="471" spans="2:5" x14ac:dyDescent="0.2">
      <c r="B471"/>
      <c r="E471"/>
    </row>
    <row r="472" spans="2:5" x14ac:dyDescent="0.2">
      <c r="B472"/>
      <c r="E472"/>
    </row>
    <row r="473" spans="2:5" x14ac:dyDescent="0.2">
      <c r="B473"/>
      <c r="E473"/>
    </row>
    <row r="474" spans="2:5" x14ac:dyDescent="0.2">
      <c r="B474"/>
      <c r="E474"/>
    </row>
    <row r="475" spans="2:5" x14ac:dyDescent="0.2">
      <c r="B475"/>
      <c r="E475"/>
    </row>
    <row r="476" spans="2:5" x14ac:dyDescent="0.2">
      <c r="B476"/>
      <c r="E476"/>
    </row>
    <row r="477" spans="2:5" x14ac:dyDescent="0.2">
      <c r="B477"/>
      <c r="E477"/>
    </row>
    <row r="478" spans="2:5" x14ac:dyDescent="0.2">
      <c r="B478"/>
      <c r="E478"/>
    </row>
    <row r="479" spans="2:5" x14ac:dyDescent="0.2">
      <c r="B479"/>
      <c r="E479"/>
    </row>
    <row r="480" spans="2:5" x14ac:dyDescent="0.2">
      <c r="B480"/>
      <c r="E480"/>
    </row>
    <row r="481" spans="2:5" x14ac:dyDescent="0.2">
      <c r="B481"/>
      <c r="E481"/>
    </row>
    <row r="482" spans="2:5" x14ac:dyDescent="0.2">
      <c r="B482"/>
      <c r="E482"/>
    </row>
    <row r="483" spans="2:5" x14ac:dyDescent="0.2">
      <c r="B483"/>
      <c r="E483"/>
    </row>
    <row r="484" spans="2:5" x14ac:dyDescent="0.2">
      <c r="B484"/>
      <c r="E484"/>
    </row>
    <row r="485" spans="2:5" x14ac:dyDescent="0.2">
      <c r="B485"/>
      <c r="E485"/>
    </row>
    <row r="486" spans="2:5" x14ac:dyDescent="0.2">
      <c r="B486"/>
      <c r="E486"/>
    </row>
    <row r="487" spans="2:5" x14ac:dyDescent="0.2">
      <c r="B487"/>
      <c r="E487"/>
    </row>
    <row r="488" spans="2:5" x14ac:dyDescent="0.2">
      <c r="B488"/>
      <c r="E488"/>
    </row>
    <row r="489" spans="2:5" x14ac:dyDescent="0.2">
      <c r="B489"/>
      <c r="E489"/>
    </row>
    <row r="490" spans="2:5" x14ac:dyDescent="0.2">
      <c r="B490"/>
      <c r="E490"/>
    </row>
    <row r="491" spans="2:5" x14ac:dyDescent="0.2">
      <c r="B491"/>
      <c r="E491"/>
    </row>
    <row r="492" spans="2:5" x14ac:dyDescent="0.2">
      <c r="B492"/>
      <c r="E492"/>
    </row>
    <row r="493" spans="2:5" x14ac:dyDescent="0.2">
      <c r="B493"/>
      <c r="E493"/>
    </row>
    <row r="494" spans="2:5" x14ac:dyDescent="0.2">
      <c r="B494"/>
      <c r="E494"/>
    </row>
    <row r="495" spans="2:5" x14ac:dyDescent="0.2">
      <c r="B495"/>
      <c r="E495"/>
    </row>
    <row r="496" spans="2:5" x14ac:dyDescent="0.2">
      <c r="B496"/>
      <c r="E496"/>
    </row>
    <row r="497" spans="2:5" x14ac:dyDescent="0.2">
      <c r="B497"/>
      <c r="E497"/>
    </row>
    <row r="498" spans="2:5" x14ac:dyDescent="0.2">
      <c r="B498"/>
      <c r="E498"/>
    </row>
    <row r="499" spans="2:5" x14ac:dyDescent="0.2">
      <c r="B499"/>
      <c r="E499"/>
    </row>
    <row r="500" spans="2:5" x14ac:dyDescent="0.2">
      <c r="B500"/>
      <c r="E500"/>
    </row>
    <row r="501" spans="2:5" x14ac:dyDescent="0.2">
      <c r="B501"/>
      <c r="E501"/>
    </row>
    <row r="502" spans="2:5" x14ac:dyDescent="0.2">
      <c r="B502"/>
      <c r="E502"/>
    </row>
    <row r="503" spans="2:5" x14ac:dyDescent="0.2">
      <c r="B503"/>
      <c r="E503"/>
    </row>
    <row r="504" spans="2:5" x14ac:dyDescent="0.2">
      <c r="B504"/>
      <c r="E504"/>
    </row>
    <row r="505" spans="2:5" x14ac:dyDescent="0.2">
      <c r="B505"/>
      <c r="E505"/>
    </row>
    <row r="506" spans="2:5" x14ac:dyDescent="0.2">
      <c r="B506"/>
      <c r="E506"/>
    </row>
    <row r="507" spans="2:5" x14ac:dyDescent="0.2">
      <c r="B507"/>
      <c r="E507"/>
    </row>
    <row r="508" spans="2:5" x14ac:dyDescent="0.2">
      <c r="B508"/>
      <c r="E508"/>
    </row>
    <row r="509" spans="2:5" x14ac:dyDescent="0.2">
      <c r="B509"/>
      <c r="E509"/>
    </row>
    <row r="510" spans="2:5" x14ac:dyDescent="0.2">
      <c r="B510"/>
      <c r="E510"/>
    </row>
    <row r="511" spans="2:5" x14ac:dyDescent="0.2">
      <c r="B511"/>
      <c r="E511"/>
    </row>
    <row r="512" spans="2:5" x14ac:dyDescent="0.2">
      <c r="B512"/>
      <c r="E512"/>
    </row>
    <row r="513" spans="2:5" x14ac:dyDescent="0.2">
      <c r="B513"/>
      <c r="E513"/>
    </row>
    <row r="514" spans="2:5" x14ac:dyDescent="0.2">
      <c r="B514"/>
      <c r="E514"/>
    </row>
    <row r="515" spans="2:5" x14ac:dyDescent="0.2">
      <c r="B515"/>
      <c r="E515"/>
    </row>
    <row r="516" spans="2:5" x14ac:dyDescent="0.2">
      <c r="B516"/>
      <c r="E516"/>
    </row>
    <row r="517" spans="2:5" x14ac:dyDescent="0.2">
      <c r="B517"/>
      <c r="E517"/>
    </row>
    <row r="518" spans="2:5" x14ac:dyDescent="0.2">
      <c r="B518"/>
      <c r="E518"/>
    </row>
    <row r="519" spans="2:5" x14ac:dyDescent="0.2">
      <c r="B519"/>
      <c r="E519"/>
    </row>
    <row r="520" spans="2:5" x14ac:dyDescent="0.2">
      <c r="B520"/>
      <c r="E520"/>
    </row>
    <row r="521" spans="2:5" x14ac:dyDescent="0.2">
      <c r="B521"/>
      <c r="E521"/>
    </row>
    <row r="522" spans="2:5" x14ac:dyDescent="0.2">
      <c r="B522"/>
      <c r="E522"/>
    </row>
    <row r="523" spans="2:5" x14ac:dyDescent="0.2">
      <c r="B523"/>
      <c r="E523"/>
    </row>
    <row r="524" spans="2:5" x14ac:dyDescent="0.2">
      <c r="B524"/>
      <c r="E524"/>
    </row>
    <row r="525" spans="2:5" x14ac:dyDescent="0.2">
      <c r="B525"/>
      <c r="E525"/>
    </row>
    <row r="526" spans="2:5" x14ac:dyDescent="0.2">
      <c r="B526"/>
      <c r="E526"/>
    </row>
    <row r="527" spans="2:5" x14ac:dyDescent="0.2">
      <c r="B527"/>
      <c r="E527"/>
    </row>
    <row r="528" spans="2:5" x14ac:dyDescent="0.2">
      <c r="B528"/>
      <c r="E528"/>
    </row>
    <row r="529" spans="2:5" x14ac:dyDescent="0.2">
      <c r="B529"/>
      <c r="E529"/>
    </row>
    <row r="530" spans="2:5" x14ac:dyDescent="0.2">
      <c r="B530"/>
      <c r="E530"/>
    </row>
    <row r="531" spans="2:5" x14ac:dyDescent="0.2">
      <c r="B531"/>
      <c r="E531"/>
    </row>
    <row r="532" spans="2:5" x14ac:dyDescent="0.2">
      <c r="B532"/>
      <c r="E532"/>
    </row>
    <row r="533" spans="2:5" x14ac:dyDescent="0.2">
      <c r="B533"/>
      <c r="E533"/>
    </row>
    <row r="534" spans="2:5" x14ac:dyDescent="0.2">
      <c r="B534"/>
      <c r="E534"/>
    </row>
    <row r="535" spans="2:5" x14ac:dyDescent="0.2">
      <c r="B535"/>
      <c r="E535"/>
    </row>
    <row r="536" spans="2:5" x14ac:dyDescent="0.2">
      <c r="B536"/>
      <c r="E536"/>
    </row>
    <row r="537" spans="2:5" x14ac:dyDescent="0.2">
      <c r="B537"/>
      <c r="E537"/>
    </row>
    <row r="538" spans="2:5" x14ac:dyDescent="0.2">
      <c r="B538"/>
      <c r="E538"/>
    </row>
    <row r="539" spans="2:5" x14ac:dyDescent="0.2">
      <c r="B539"/>
      <c r="E539"/>
    </row>
    <row r="540" spans="2:5" x14ac:dyDescent="0.2">
      <c r="B540"/>
      <c r="E540"/>
    </row>
    <row r="541" spans="2:5" x14ac:dyDescent="0.2">
      <c r="B541"/>
      <c r="E541"/>
    </row>
    <row r="542" spans="2:5" x14ac:dyDescent="0.2">
      <c r="B542"/>
      <c r="E542"/>
    </row>
    <row r="543" spans="2:5" x14ac:dyDescent="0.2">
      <c r="B543"/>
      <c r="E543"/>
    </row>
    <row r="544" spans="2:5" x14ac:dyDescent="0.2">
      <c r="B544"/>
      <c r="E544"/>
    </row>
    <row r="545" spans="2:5" x14ac:dyDescent="0.2">
      <c r="B545"/>
      <c r="E545"/>
    </row>
    <row r="546" spans="2:5" x14ac:dyDescent="0.2">
      <c r="B546"/>
      <c r="E546"/>
    </row>
    <row r="547" spans="2:5" x14ac:dyDescent="0.2">
      <c r="B547"/>
      <c r="E547"/>
    </row>
    <row r="548" spans="2:5" x14ac:dyDescent="0.2">
      <c r="B548"/>
      <c r="E548"/>
    </row>
    <row r="549" spans="2:5" x14ac:dyDescent="0.2">
      <c r="B549"/>
      <c r="E549"/>
    </row>
    <row r="550" spans="2:5" x14ac:dyDescent="0.2">
      <c r="B550"/>
      <c r="E550"/>
    </row>
    <row r="551" spans="2:5" x14ac:dyDescent="0.2">
      <c r="B551"/>
      <c r="E551"/>
    </row>
    <row r="552" spans="2:5" x14ac:dyDescent="0.2">
      <c r="B552"/>
      <c r="E552"/>
    </row>
    <row r="553" spans="2:5" x14ac:dyDescent="0.2">
      <c r="B553"/>
      <c r="E553"/>
    </row>
    <row r="554" spans="2:5" x14ac:dyDescent="0.2">
      <c r="B554"/>
      <c r="E554"/>
    </row>
    <row r="555" spans="2:5" x14ac:dyDescent="0.2">
      <c r="B555"/>
      <c r="E555"/>
    </row>
    <row r="556" spans="2:5" x14ac:dyDescent="0.2">
      <c r="B556"/>
      <c r="E556"/>
    </row>
    <row r="557" spans="2:5" x14ac:dyDescent="0.2">
      <c r="B557"/>
      <c r="E557"/>
    </row>
    <row r="558" spans="2:5" x14ac:dyDescent="0.2">
      <c r="B558"/>
      <c r="E558"/>
    </row>
    <row r="559" spans="2:5" x14ac:dyDescent="0.2">
      <c r="B559"/>
      <c r="E559"/>
    </row>
    <row r="560" spans="2:5" x14ac:dyDescent="0.2">
      <c r="B560"/>
      <c r="E560"/>
    </row>
    <row r="561" spans="2:5" x14ac:dyDescent="0.2">
      <c r="B561"/>
      <c r="E561"/>
    </row>
    <row r="562" spans="2:5" x14ac:dyDescent="0.2">
      <c r="B562"/>
      <c r="E562"/>
    </row>
    <row r="563" spans="2:5" x14ac:dyDescent="0.2">
      <c r="B563"/>
      <c r="E563"/>
    </row>
    <row r="564" spans="2:5" x14ac:dyDescent="0.2">
      <c r="B564"/>
      <c r="E564"/>
    </row>
    <row r="565" spans="2:5" x14ac:dyDescent="0.2">
      <c r="B565"/>
      <c r="E565"/>
    </row>
    <row r="566" spans="2:5" x14ac:dyDescent="0.2">
      <c r="B566"/>
      <c r="E566"/>
    </row>
    <row r="567" spans="2:5" x14ac:dyDescent="0.2">
      <c r="B567"/>
      <c r="E567"/>
    </row>
    <row r="568" spans="2:5" x14ac:dyDescent="0.2">
      <c r="B568"/>
      <c r="E568"/>
    </row>
    <row r="569" spans="2:5" x14ac:dyDescent="0.2">
      <c r="B569"/>
      <c r="E569"/>
    </row>
    <row r="570" spans="2:5" x14ac:dyDescent="0.2">
      <c r="B570"/>
      <c r="E570"/>
    </row>
    <row r="571" spans="2:5" x14ac:dyDescent="0.2">
      <c r="B571"/>
      <c r="E571"/>
    </row>
    <row r="572" spans="2:5" x14ac:dyDescent="0.2">
      <c r="B572"/>
      <c r="E572"/>
    </row>
    <row r="573" spans="2:5" x14ac:dyDescent="0.2">
      <c r="B573"/>
      <c r="E573"/>
    </row>
    <row r="574" spans="2:5" x14ac:dyDescent="0.2">
      <c r="B574"/>
      <c r="E574"/>
    </row>
    <row r="575" spans="2:5" x14ac:dyDescent="0.2">
      <c r="B575"/>
      <c r="E575"/>
    </row>
    <row r="576" spans="2:5" x14ac:dyDescent="0.2">
      <c r="B576"/>
      <c r="E576"/>
    </row>
    <row r="577" spans="2:5" x14ac:dyDescent="0.2">
      <c r="B577"/>
      <c r="E577"/>
    </row>
    <row r="578" spans="2:5" x14ac:dyDescent="0.2">
      <c r="B578"/>
      <c r="E578"/>
    </row>
    <row r="579" spans="2:5" x14ac:dyDescent="0.2">
      <c r="B579"/>
      <c r="E579"/>
    </row>
    <row r="580" spans="2:5" x14ac:dyDescent="0.2">
      <c r="B580"/>
      <c r="E580"/>
    </row>
    <row r="581" spans="2:5" x14ac:dyDescent="0.2">
      <c r="B581"/>
      <c r="E581"/>
    </row>
    <row r="582" spans="2:5" x14ac:dyDescent="0.2">
      <c r="B582"/>
      <c r="E582"/>
    </row>
    <row r="583" spans="2:5" x14ac:dyDescent="0.2">
      <c r="B583"/>
      <c r="E583"/>
    </row>
    <row r="584" spans="2:5" x14ac:dyDescent="0.2">
      <c r="B584"/>
      <c r="E584"/>
    </row>
    <row r="585" spans="2:5" x14ac:dyDescent="0.2">
      <c r="B585"/>
      <c r="E585"/>
    </row>
    <row r="586" spans="2:5" x14ac:dyDescent="0.2">
      <c r="B586"/>
      <c r="E586"/>
    </row>
    <row r="587" spans="2:5" x14ac:dyDescent="0.2">
      <c r="B587"/>
      <c r="E587"/>
    </row>
    <row r="588" spans="2:5" x14ac:dyDescent="0.2">
      <c r="B588"/>
      <c r="E588"/>
    </row>
    <row r="589" spans="2:5" x14ac:dyDescent="0.2">
      <c r="B589"/>
      <c r="E589"/>
    </row>
    <row r="590" spans="2:5" x14ac:dyDescent="0.2">
      <c r="B590"/>
      <c r="E590"/>
    </row>
    <row r="591" spans="2:5" x14ac:dyDescent="0.2">
      <c r="B591"/>
      <c r="E591"/>
    </row>
    <row r="592" spans="2:5" x14ac:dyDescent="0.2">
      <c r="B592"/>
      <c r="E592"/>
    </row>
    <row r="593" spans="2:5" x14ac:dyDescent="0.2">
      <c r="B593"/>
      <c r="E593"/>
    </row>
    <row r="594" spans="2:5" x14ac:dyDescent="0.2">
      <c r="B594"/>
      <c r="E594"/>
    </row>
    <row r="595" spans="2:5" x14ac:dyDescent="0.2">
      <c r="B595"/>
      <c r="E595"/>
    </row>
    <row r="596" spans="2:5" x14ac:dyDescent="0.2">
      <c r="B596"/>
      <c r="E596"/>
    </row>
    <row r="597" spans="2:5" x14ac:dyDescent="0.2">
      <c r="B597"/>
      <c r="E597"/>
    </row>
    <row r="598" spans="2:5" x14ac:dyDescent="0.2">
      <c r="B598"/>
      <c r="E598"/>
    </row>
    <row r="599" spans="2:5" x14ac:dyDescent="0.2">
      <c r="B599"/>
      <c r="E599"/>
    </row>
    <row r="600" spans="2:5" x14ac:dyDescent="0.2">
      <c r="B600"/>
      <c r="E600"/>
    </row>
    <row r="601" spans="2:5" x14ac:dyDescent="0.2">
      <c r="B601"/>
      <c r="E601"/>
    </row>
    <row r="602" spans="2:5" x14ac:dyDescent="0.2">
      <c r="B602"/>
      <c r="E602"/>
    </row>
    <row r="603" spans="2:5" x14ac:dyDescent="0.2">
      <c r="B603"/>
      <c r="E603"/>
    </row>
    <row r="604" spans="2:5" x14ac:dyDescent="0.2">
      <c r="B604"/>
      <c r="E604"/>
    </row>
    <row r="605" spans="2:5" x14ac:dyDescent="0.2">
      <c r="B605"/>
      <c r="E605"/>
    </row>
    <row r="606" spans="2:5" x14ac:dyDescent="0.2">
      <c r="B606"/>
      <c r="E606"/>
    </row>
    <row r="607" spans="2:5" x14ac:dyDescent="0.2">
      <c r="B607"/>
      <c r="E607"/>
    </row>
    <row r="608" spans="2:5" x14ac:dyDescent="0.2">
      <c r="B608"/>
      <c r="E608"/>
    </row>
    <row r="609" spans="2:5" x14ac:dyDescent="0.2">
      <c r="B609"/>
      <c r="E609"/>
    </row>
    <row r="610" spans="2:5" x14ac:dyDescent="0.2">
      <c r="B610"/>
      <c r="E610"/>
    </row>
    <row r="611" spans="2:5" x14ac:dyDescent="0.2">
      <c r="B611"/>
      <c r="E611"/>
    </row>
    <row r="612" spans="2:5" x14ac:dyDescent="0.2">
      <c r="B612"/>
      <c r="E612"/>
    </row>
    <row r="613" spans="2:5" x14ac:dyDescent="0.2">
      <c r="B613"/>
      <c r="E613"/>
    </row>
    <row r="614" spans="2:5" x14ac:dyDescent="0.2">
      <c r="B614"/>
      <c r="E614"/>
    </row>
    <row r="615" spans="2:5" x14ac:dyDescent="0.2">
      <c r="B615"/>
      <c r="E615"/>
    </row>
    <row r="616" spans="2:5" x14ac:dyDescent="0.2">
      <c r="B616"/>
      <c r="E616"/>
    </row>
    <row r="617" spans="2:5" x14ac:dyDescent="0.2">
      <c r="B617"/>
      <c r="E617"/>
    </row>
    <row r="618" spans="2:5" x14ac:dyDescent="0.2">
      <c r="B618"/>
      <c r="E618"/>
    </row>
    <row r="619" spans="2:5" x14ac:dyDescent="0.2">
      <c r="B619"/>
      <c r="E619"/>
    </row>
    <row r="620" spans="2:5" x14ac:dyDescent="0.2">
      <c r="B620"/>
      <c r="E620"/>
    </row>
    <row r="621" spans="2:5" x14ac:dyDescent="0.2">
      <c r="B621"/>
      <c r="E621"/>
    </row>
    <row r="622" spans="2:5" x14ac:dyDescent="0.2">
      <c r="B622"/>
      <c r="E622"/>
    </row>
    <row r="623" spans="2:5" x14ac:dyDescent="0.2">
      <c r="B623"/>
      <c r="E623"/>
    </row>
    <row r="624" spans="2:5" x14ac:dyDescent="0.2">
      <c r="B624"/>
      <c r="E624"/>
    </row>
    <row r="625" spans="2:5" x14ac:dyDescent="0.2">
      <c r="B625"/>
      <c r="E625"/>
    </row>
    <row r="626" spans="2:5" x14ac:dyDescent="0.2">
      <c r="B626"/>
      <c r="E626"/>
    </row>
    <row r="627" spans="2:5" x14ac:dyDescent="0.2">
      <c r="B627"/>
      <c r="E627"/>
    </row>
    <row r="628" spans="2:5" x14ac:dyDescent="0.2">
      <c r="B628"/>
      <c r="E628"/>
    </row>
    <row r="629" spans="2:5" x14ac:dyDescent="0.2">
      <c r="B629"/>
      <c r="E629"/>
    </row>
    <row r="630" spans="2:5" x14ac:dyDescent="0.2">
      <c r="B630"/>
      <c r="E630"/>
    </row>
    <row r="631" spans="2:5" x14ac:dyDescent="0.2">
      <c r="B631"/>
      <c r="E631"/>
    </row>
    <row r="632" spans="2:5" x14ac:dyDescent="0.2">
      <c r="B632"/>
      <c r="E632"/>
    </row>
    <row r="633" spans="2:5" x14ac:dyDescent="0.2">
      <c r="B633"/>
      <c r="E633"/>
    </row>
    <row r="634" spans="2:5" x14ac:dyDescent="0.2">
      <c r="B634"/>
      <c r="E634"/>
    </row>
    <row r="635" spans="2:5" x14ac:dyDescent="0.2">
      <c r="B635"/>
      <c r="E635"/>
    </row>
    <row r="636" spans="2:5" x14ac:dyDescent="0.2">
      <c r="B636"/>
      <c r="E636"/>
    </row>
    <row r="637" spans="2:5" x14ac:dyDescent="0.2">
      <c r="B637"/>
      <c r="E637"/>
    </row>
    <row r="638" spans="2:5" x14ac:dyDescent="0.2">
      <c r="B638"/>
      <c r="E638"/>
    </row>
    <row r="639" spans="2:5" x14ac:dyDescent="0.2">
      <c r="B639"/>
      <c r="E639"/>
    </row>
    <row r="640" spans="2:5" x14ac:dyDescent="0.2">
      <c r="B640"/>
      <c r="E640"/>
    </row>
    <row r="641" spans="2:5" x14ac:dyDescent="0.2">
      <c r="B641"/>
      <c r="E641"/>
    </row>
    <row r="642" spans="2:5" x14ac:dyDescent="0.2">
      <c r="B642"/>
      <c r="E642"/>
    </row>
    <row r="643" spans="2:5" x14ac:dyDescent="0.2">
      <c r="B643"/>
      <c r="E643"/>
    </row>
    <row r="644" spans="2:5" x14ac:dyDescent="0.2">
      <c r="B644"/>
      <c r="E644"/>
    </row>
    <row r="645" spans="2:5" x14ac:dyDescent="0.2">
      <c r="B645"/>
      <c r="E645"/>
    </row>
    <row r="646" spans="2:5" x14ac:dyDescent="0.2">
      <c r="B646"/>
      <c r="E646"/>
    </row>
    <row r="647" spans="2:5" x14ac:dyDescent="0.2">
      <c r="B647"/>
      <c r="E647"/>
    </row>
    <row r="648" spans="2:5" x14ac:dyDescent="0.2">
      <c r="B648"/>
      <c r="E648"/>
    </row>
    <row r="649" spans="2:5" x14ac:dyDescent="0.2">
      <c r="B649"/>
      <c r="E649"/>
    </row>
    <row r="650" spans="2:5" x14ac:dyDescent="0.2">
      <c r="B650"/>
      <c r="E650"/>
    </row>
    <row r="651" spans="2:5" x14ac:dyDescent="0.2">
      <c r="B651"/>
      <c r="E651"/>
    </row>
    <row r="652" spans="2:5" x14ac:dyDescent="0.2">
      <c r="B652"/>
      <c r="E652"/>
    </row>
    <row r="653" spans="2:5" x14ac:dyDescent="0.2">
      <c r="B653"/>
      <c r="E653"/>
    </row>
    <row r="654" spans="2:5" x14ac:dyDescent="0.2">
      <c r="B654"/>
      <c r="E654"/>
    </row>
    <row r="655" spans="2:5" x14ac:dyDescent="0.2">
      <c r="B655"/>
      <c r="E655"/>
    </row>
    <row r="656" spans="2:5" x14ac:dyDescent="0.2">
      <c r="B656"/>
      <c r="E656"/>
    </row>
    <row r="657" spans="2:5" x14ac:dyDescent="0.2">
      <c r="B657"/>
      <c r="E657"/>
    </row>
    <row r="658" spans="2:5" x14ac:dyDescent="0.2">
      <c r="B658"/>
      <c r="E658"/>
    </row>
    <row r="659" spans="2:5" x14ac:dyDescent="0.2">
      <c r="B659"/>
      <c r="E659"/>
    </row>
    <row r="660" spans="2:5" x14ac:dyDescent="0.2">
      <c r="B660"/>
      <c r="E660"/>
    </row>
    <row r="661" spans="2:5" x14ac:dyDescent="0.2">
      <c r="B661"/>
      <c r="E661"/>
    </row>
    <row r="662" spans="2:5" x14ac:dyDescent="0.2">
      <c r="B662"/>
      <c r="E662"/>
    </row>
    <row r="663" spans="2:5" x14ac:dyDescent="0.2">
      <c r="B663"/>
      <c r="E663"/>
    </row>
    <row r="664" spans="2:5" x14ac:dyDescent="0.2">
      <c r="B664"/>
      <c r="E664"/>
    </row>
    <row r="665" spans="2:5" x14ac:dyDescent="0.2">
      <c r="B665"/>
      <c r="E665"/>
    </row>
    <row r="666" spans="2:5" x14ac:dyDescent="0.2">
      <c r="B666"/>
      <c r="E666"/>
    </row>
    <row r="667" spans="2:5" x14ac:dyDescent="0.2">
      <c r="B667"/>
      <c r="E667"/>
    </row>
    <row r="668" spans="2:5" x14ac:dyDescent="0.2">
      <c r="B668"/>
      <c r="E668"/>
    </row>
    <row r="669" spans="2:5" x14ac:dyDescent="0.2">
      <c r="B669"/>
      <c r="E669"/>
    </row>
    <row r="670" spans="2:5" x14ac:dyDescent="0.2">
      <c r="B670"/>
      <c r="E670"/>
    </row>
    <row r="671" spans="2:5" x14ac:dyDescent="0.2">
      <c r="B671"/>
      <c r="E671"/>
    </row>
    <row r="672" spans="2:5" x14ac:dyDescent="0.2">
      <c r="B672"/>
      <c r="E672"/>
    </row>
    <row r="673" spans="2:5" x14ac:dyDescent="0.2">
      <c r="B673"/>
      <c r="E673"/>
    </row>
    <row r="674" spans="2:5" x14ac:dyDescent="0.2">
      <c r="B674"/>
      <c r="E674"/>
    </row>
    <row r="675" spans="2:5" x14ac:dyDescent="0.2">
      <c r="B675"/>
      <c r="E675"/>
    </row>
    <row r="676" spans="2:5" x14ac:dyDescent="0.2">
      <c r="B676"/>
      <c r="E676"/>
    </row>
    <row r="677" spans="2:5" x14ac:dyDescent="0.2">
      <c r="B677"/>
      <c r="E677"/>
    </row>
    <row r="678" spans="2:5" x14ac:dyDescent="0.2">
      <c r="B678"/>
      <c r="E678"/>
    </row>
    <row r="679" spans="2:5" x14ac:dyDescent="0.2">
      <c r="B679"/>
      <c r="E679"/>
    </row>
    <row r="680" spans="2:5" x14ac:dyDescent="0.2">
      <c r="B680"/>
      <c r="E680"/>
    </row>
    <row r="681" spans="2:5" x14ac:dyDescent="0.2">
      <c r="B681"/>
      <c r="E681"/>
    </row>
    <row r="682" spans="2:5" x14ac:dyDescent="0.2">
      <c r="B682"/>
      <c r="E682"/>
    </row>
    <row r="683" spans="2:5" x14ac:dyDescent="0.2">
      <c r="B683"/>
      <c r="E683"/>
    </row>
    <row r="684" spans="2:5" x14ac:dyDescent="0.2">
      <c r="B684"/>
      <c r="E684"/>
    </row>
    <row r="685" spans="2:5" x14ac:dyDescent="0.2">
      <c r="B685"/>
      <c r="E685"/>
    </row>
    <row r="686" spans="2:5" x14ac:dyDescent="0.2">
      <c r="B686"/>
      <c r="E686"/>
    </row>
    <row r="687" spans="2:5" x14ac:dyDescent="0.2">
      <c r="B687"/>
      <c r="E687"/>
    </row>
    <row r="688" spans="2:5" x14ac:dyDescent="0.2">
      <c r="B688"/>
      <c r="E688"/>
    </row>
    <row r="689" spans="2:5" x14ac:dyDescent="0.2">
      <c r="B689"/>
      <c r="E689"/>
    </row>
    <row r="690" spans="2:5" x14ac:dyDescent="0.2">
      <c r="B690"/>
      <c r="E690"/>
    </row>
    <row r="691" spans="2:5" x14ac:dyDescent="0.2">
      <c r="B691"/>
      <c r="E691"/>
    </row>
    <row r="692" spans="2:5" x14ac:dyDescent="0.2">
      <c r="B692"/>
      <c r="E692"/>
    </row>
    <row r="693" spans="2:5" x14ac:dyDescent="0.2">
      <c r="B693"/>
      <c r="E693"/>
    </row>
    <row r="694" spans="2:5" x14ac:dyDescent="0.2">
      <c r="B694"/>
      <c r="E694"/>
    </row>
    <row r="695" spans="2:5" x14ac:dyDescent="0.2">
      <c r="B695"/>
      <c r="E695"/>
    </row>
    <row r="696" spans="2:5" x14ac:dyDescent="0.2">
      <c r="B696"/>
      <c r="E696"/>
    </row>
    <row r="697" spans="2:5" x14ac:dyDescent="0.2">
      <c r="B697"/>
      <c r="E697"/>
    </row>
    <row r="698" spans="2:5" x14ac:dyDescent="0.2">
      <c r="B698"/>
      <c r="E698"/>
    </row>
    <row r="699" spans="2:5" x14ac:dyDescent="0.2">
      <c r="B699"/>
      <c r="E699"/>
    </row>
    <row r="700" spans="2:5" x14ac:dyDescent="0.2">
      <c r="B700"/>
      <c r="E700"/>
    </row>
    <row r="701" spans="2:5" x14ac:dyDescent="0.2">
      <c r="B701"/>
      <c r="E701"/>
    </row>
    <row r="702" spans="2:5" x14ac:dyDescent="0.2">
      <c r="B702"/>
      <c r="E702"/>
    </row>
    <row r="703" spans="2:5" x14ac:dyDescent="0.2">
      <c r="B703"/>
      <c r="E703"/>
    </row>
    <row r="704" spans="2:5" x14ac:dyDescent="0.2">
      <c r="B704"/>
      <c r="E704"/>
    </row>
    <row r="705" spans="2:5" x14ac:dyDescent="0.2">
      <c r="B705"/>
      <c r="E705"/>
    </row>
    <row r="706" spans="2:5" x14ac:dyDescent="0.2">
      <c r="B706"/>
      <c r="E706"/>
    </row>
    <row r="707" spans="2:5" x14ac:dyDescent="0.2">
      <c r="B707"/>
      <c r="E707"/>
    </row>
    <row r="708" spans="2:5" x14ac:dyDescent="0.2">
      <c r="B708"/>
      <c r="E708"/>
    </row>
    <row r="709" spans="2:5" x14ac:dyDescent="0.2">
      <c r="B709"/>
      <c r="E709"/>
    </row>
    <row r="710" spans="2:5" x14ac:dyDescent="0.2">
      <c r="B710"/>
      <c r="E710"/>
    </row>
    <row r="711" spans="2:5" x14ac:dyDescent="0.2">
      <c r="B711"/>
      <c r="E711"/>
    </row>
    <row r="712" spans="2:5" x14ac:dyDescent="0.2">
      <c r="B712"/>
      <c r="E712"/>
    </row>
    <row r="713" spans="2:5" x14ac:dyDescent="0.2">
      <c r="B713"/>
      <c r="E713"/>
    </row>
    <row r="714" spans="2:5" x14ac:dyDescent="0.2">
      <c r="B714"/>
      <c r="E714"/>
    </row>
    <row r="715" spans="2:5" x14ac:dyDescent="0.2">
      <c r="B715"/>
      <c r="E715"/>
    </row>
    <row r="716" spans="2:5" x14ac:dyDescent="0.2">
      <c r="B716"/>
      <c r="E716"/>
    </row>
    <row r="717" spans="2:5" x14ac:dyDescent="0.2">
      <c r="B717"/>
      <c r="E717"/>
    </row>
    <row r="718" spans="2:5" x14ac:dyDescent="0.2">
      <c r="B718"/>
      <c r="E718"/>
    </row>
    <row r="719" spans="2:5" x14ac:dyDescent="0.2">
      <c r="B719"/>
      <c r="E719"/>
    </row>
    <row r="720" spans="2:5" x14ac:dyDescent="0.2">
      <c r="B720"/>
      <c r="E720"/>
    </row>
    <row r="721" spans="2:5" x14ac:dyDescent="0.2">
      <c r="B721"/>
      <c r="E721"/>
    </row>
    <row r="722" spans="2:5" x14ac:dyDescent="0.2">
      <c r="B722"/>
      <c r="E722"/>
    </row>
    <row r="723" spans="2:5" x14ac:dyDescent="0.2">
      <c r="B723"/>
      <c r="E723"/>
    </row>
    <row r="724" spans="2:5" x14ac:dyDescent="0.2">
      <c r="B724"/>
      <c r="E724"/>
    </row>
    <row r="725" spans="2:5" x14ac:dyDescent="0.2">
      <c r="B725"/>
      <c r="E725"/>
    </row>
    <row r="726" spans="2:5" x14ac:dyDescent="0.2">
      <c r="B726"/>
      <c r="E726"/>
    </row>
    <row r="727" spans="2:5" x14ac:dyDescent="0.2">
      <c r="B727"/>
      <c r="E727"/>
    </row>
    <row r="728" spans="2:5" x14ac:dyDescent="0.2">
      <c r="B728"/>
      <c r="E728"/>
    </row>
    <row r="729" spans="2:5" x14ac:dyDescent="0.2">
      <c r="B729"/>
      <c r="E729"/>
    </row>
    <row r="730" spans="2:5" x14ac:dyDescent="0.2">
      <c r="B730"/>
      <c r="E730"/>
    </row>
    <row r="731" spans="2:5" x14ac:dyDescent="0.2">
      <c r="B731"/>
      <c r="E731"/>
    </row>
    <row r="732" spans="2:5" x14ac:dyDescent="0.2">
      <c r="B732"/>
      <c r="E732"/>
    </row>
    <row r="733" spans="2:5" x14ac:dyDescent="0.2">
      <c r="B733"/>
      <c r="E733"/>
    </row>
    <row r="734" spans="2:5" x14ac:dyDescent="0.2">
      <c r="B734"/>
      <c r="E734"/>
    </row>
    <row r="735" spans="2:5" x14ac:dyDescent="0.2">
      <c r="B735"/>
      <c r="E735"/>
    </row>
    <row r="736" spans="2:5" x14ac:dyDescent="0.2">
      <c r="B736"/>
      <c r="E736"/>
    </row>
    <row r="737" spans="2:5" x14ac:dyDescent="0.2">
      <c r="B737"/>
      <c r="E737"/>
    </row>
    <row r="738" spans="2:5" x14ac:dyDescent="0.2">
      <c r="B738"/>
      <c r="E738"/>
    </row>
    <row r="739" spans="2:5" x14ac:dyDescent="0.2">
      <c r="B739"/>
      <c r="E739"/>
    </row>
    <row r="740" spans="2:5" x14ac:dyDescent="0.2">
      <c r="B740"/>
      <c r="E740"/>
    </row>
    <row r="741" spans="2:5" x14ac:dyDescent="0.2">
      <c r="B741"/>
      <c r="E741"/>
    </row>
    <row r="742" spans="2:5" x14ac:dyDescent="0.2">
      <c r="B742"/>
      <c r="E742"/>
    </row>
    <row r="743" spans="2:5" x14ac:dyDescent="0.2">
      <c r="B743"/>
      <c r="E743"/>
    </row>
    <row r="744" spans="2:5" x14ac:dyDescent="0.2">
      <c r="B744"/>
      <c r="E744"/>
    </row>
    <row r="745" spans="2:5" x14ac:dyDescent="0.2">
      <c r="B745"/>
      <c r="E745"/>
    </row>
    <row r="746" spans="2:5" x14ac:dyDescent="0.2">
      <c r="B746"/>
      <c r="E746"/>
    </row>
    <row r="747" spans="2:5" x14ac:dyDescent="0.2">
      <c r="B747"/>
      <c r="E747"/>
    </row>
    <row r="748" spans="2:5" x14ac:dyDescent="0.2">
      <c r="B748"/>
      <c r="E748"/>
    </row>
    <row r="749" spans="2:5" x14ac:dyDescent="0.2">
      <c r="B749"/>
      <c r="E749"/>
    </row>
    <row r="750" spans="2:5" x14ac:dyDescent="0.2">
      <c r="B750"/>
      <c r="E750"/>
    </row>
    <row r="751" spans="2:5" x14ac:dyDescent="0.2">
      <c r="B751"/>
      <c r="E751"/>
    </row>
    <row r="752" spans="2:5" x14ac:dyDescent="0.2">
      <c r="B752"/>
      <c r="E752"/>
    </row>
    <row r="753" spans="2:5" x14ac:dyDescent="0.2">
      <c r="B753"/>
      <c r="E753"/>
    </row>
    <row r="754" spans="2:5" x14ac:dyDescent="0.2">
      <c r="B754"/>
      <c r="E754"/>
    </row>
    <row r="755" spans="2:5" x14ac:dyDescent="0.2">
      <c r="B755"/>
      <c r="E755"/>
    </row>
    <row r="756" spans="2:5" x14ac:dyDescent="0.2">
      <c r="B756"/>
      <c r="E756"/>
    </row>
    <row r="757" spans="2:5" x14ac:dyDescent="0.2">
      <c r="B757"/>
      <c r="E757"/>
    </row>
    <row r="758" spans="2:5" x14ac:dyDescent="0.2">
      <c r="B758"/>
      <c r="E758"/>
    </row>
    <row r="759" spans="2:5" x14ac:dyDescent="0.2">
      <c r="B759"/>
      <c r="E759"/>
    </row>
    <row r="760" spans="2:5" x14ac:dyDescent="0.2">
      <c r="B760"/>
      <c r="E760"/>
    </row>
    <row r="761" spans="2:5" x14ac:dyDescent="0.2">
      <c r="B761"/>
      <c r="E761"/>
    </row>
    <row r="762" spans="2:5" x14ac:dyDescent="0.2">
      <c r="B762"/>
      <c r="E762"/>
    </row>
    <row r="763" spans="2:5" x14ac:dyDescent="0.2">
      <c r="B763"/>
      <c r="E763"/>
    </row>
    <row r="764" spans="2:5" x14ac:dyDescent="0.2">
      <c r="B764"/>
      <c r="E764"/>
    </row>
    <row r="765" spans="2:5" x14ac:dyDescent="0.2">
      <c r="B765"/>
      <c r="E765"/>
    </row>
    <row r="766" spans="2:5" x14ac:dyDescent="0.2">
      <c r="B766"/>
      <c r="E766"/>
    </row>
    <row r="767" spans="2:5" x14ac:dyDescent="0.2">
      <c r="B767"/>
      <c r="E767"/>
    </row>
    <row r="768" spans="2:5" x14ac:dyDescent="0.2">
      <c r="B768"/>
      <c r="E768"/>
    </row>
    <row r="769" spans="2:5" x14ac:dyDescent="0.2">
      <c r="B769"/>
      <c r="E769"/>
    </row>
    <row r="770" spans="2:5" x14ac:dyDescent="0.2">
      <c r="B770"/>
      <c r="E770"/>
    </row>
    <row r="771" spans="2:5" x14ac:dyDescent="0.2">
      <c r="B771"/>
      <c r="E771"/>
    </row>
    <row r="772" spans="2:5" x14ac:dyDescent="0.2">
      <c r="B772"/>
      <c r="E772"/>
    </row>
    <row r="773" spans="2:5" x14ac:dyDescent="0.2">
      <c r="B773"/>
      <c r="E773"/>
    </row>
    <row r="774" spans="2:5" x14ac:dyDescent="0.2">
      <c r="B774"/>
      <c r="E774"/>
    </row>
    <row r="775" spans="2:5" x14ac:dyDescent="0.2">
      <c r="B775"/>
      <c r="E775"/>
    </row>
    <row r="776" spans="2:5" x14ac:dyDescent="0.2">
      <c r="B776"/>
      <c r="E776"/>
    </row>
    <row r="777" spans="2:5" x14ac:dyDescent="0.2">
      <c r="B777"/>
      <c r="E777"/>
    </row>
    <row r="778" spans="2:5" x14ac:dyDescent="0.2">
      <c r="B778"/>
      <c r="E778"/>
    </row>
    <row r="779" spans="2:5" x14ac:dyDescent="0.2">
      <c r="B779"/>
      <c r="E779"/>
    </row>
    <row r="780" spans="2:5" x14ac:dyDescent="0.2">
      <c r="B780"/>
      <c r="E780"/>
    </row>
    <row r="781" spans="2:5" x14ac:dyDescent="0.2">
      <c r="B781"/>
      <c r="E781"/>
    </row>
    <row r="782" spans="2:5" x14ac:dyDescent="0.2">
      <c r="B782"/>
      <c r="E782"/>
    </row>
    <row r="783" spans="2:5" x14ac:dyDescent="0.2">
      <c r="B783"/>
      <c r="E783"/>
    </row>
    <row r="784" spans="2:5" x14ac:dyDescent="0.2">
      <c r="B784"/>
      <c r="E784"/>
    </row>
    <row r="785" spans="2:5" x14ac:dyDescent="0.2">
      <c r="B785"/>
      <c r="E785"/>
    </row>
    <row r="786" spans="2:5" x14ac:dyDescent="0.2">
      <c r="B786"/>
      <c r="E786"/>
    </row>
    <row r="787" spans="2:5" x14ac:dyDescent="0.2">
      <c r="B787"/>
      <c r="E787"/>
    </row>
    <row r="788" spans="2:5" x14ac:dyDescent="0.2">
      <c r="B788"/>
      <c r="E788"/>
    </row>
    <row r="789" spans="2:5" x14ac:dyDescent="0.2">
      <c r="B789"/>
      <c r="E789"/>
    </row>
    <row r="790" spans="2:5" x14ac:dyDescent="0.2">
      <c r="B790"/>
      <c r="E790"/>
    </row>
    <row r="791" spans="2:5" x14ac:dyDescent="0.2">
      <c r="B791"/>
      <c r="E791"/>
    </row>
    <row r="792" spans="2:5" x14ac:dyDescent="0.2">
      <c r="B792"/>
      <c r="E792"/>
    </row>
    <row r="793" spans="2:5" x14ac:dyDescent="0.2">
      <c r="B793"/>
      <c r="E793"/>
    </row>
    <row r="794" spans="2:5" x14ac:dyDescent="0.2">
      <c r="B794"/>
      <c r="E794"/>
    </row>
    <row r="795" spans="2:5" x14ac:dyDescent="0.2">
      <c r="B795"/>
      <c r="E795"/>
    </row>
    <row r="796" spans="2:5" x14ac:dyDescent="0.2">
      <c r="B796"/>
      <c r="E796"/>
    </row>
    <row r="797" spans="2:5" x14ac:dyDescent="0.2">
      <c r="B797"/>
      <c r="E797"/>
    </row>
    <row r="798" spans="2:5" x14ac:dyDescent="0.2">
      <c r="B798"/>
      <c r="E798"/>
    </row>
    <row r="799" spans="2:5" x14ac:dyDescent="0.2">
      <c r="B799"/>
      <c r="E799"/>
    </row>
    <row r="800" spans="2:5" x14ac:dyDescent="0.2">
      <c r="B800"/>
      <c r="E800"/>
    </row>
    <row r="801" spans="2:5" x14ac:dyDescent="0.2">
      <c r="B801"/>
      <c r="E801"/>
    </row>
    <row r="802" spans="2:5" x14ac:dyDescent="0.2">
      <c r="B802"/>
      <c r="E802"/>
    </row>
    <row r="803" spans="2:5" x14ac:dyDescent="0.2">
      <c r="B803"/>
      <c r="E803"/>
    </row>
    <row r="804" spans="2:5" x14ac:dyDescent="0.2">
      <c r="B804"/>
      <c r="E804"/>
    </row>
    <row r="805" spans="2:5" x14ac:dyDescent="0.2">
      <c r="B805"/>
      <c r="E805"/>
    </row>
    <row r="806" spans="2:5" x14ac:dyDescent="0.2">
      <c r="B806"/>
      <c r="E806"/>
    </row>
    <row r="807" spans="2:5" x14ac:dyDescent="0.2">
      <c r="B807"/>
      <c r="E807"/>
    </row>
    <row r="808" spans="2:5" x14ac:dyDescent="0.2">
      <c r="B808"/>
      <c r="E808"/>
    </row>
    <row r="809" spans="2:5" x14ac:dyDescent="0.2">
      <c r="B809"/>
      <c r="E809"/>
    </row>
    <row r="810" spans="2:5" x14ac:dyDescent="0.2">
      <c r="B810"/>
      <c r="E810"/>
    </row>
    <row r="811" spans="2:5" x14ac:dyDescent="0.2">
      <c r="B811"/>
      <c r="E811"/>
    </row>
    <row r="812" spans="2:5" x14ac:dyDescent="0.2">
      <c r="B812"/>
      <c r="E812"/>
    </row>
    <row r="813" spans="2:5" x14ac:dyDescent="0.2">
      <c r="B813"/>
      <c r="E813"/>
    </row>
    <row r="814" spans="2:5" x14ac:dyDescent="0.2">
      <c r="B814"/>
      <c r="E814"/>
    </row>
    <row r="815" spans="2:5" x14ac:dyDescent="0.2">
      <c r="B815"/>
      <c r="E815"/>
    </row>
    <row r="816" spans="2:5" x14ac:dyDescent="0.2">
      <c r="B816"/>
      <c r="E816"/>
    </row>
    <row r="817" spans="2:5" x14ac:dyDescent="0.2">
      <c r="B817"/>
      <c r="E817"/>
    </row>
    <row r="818" spans="2:5" x14ac:dyDescent="0.2">
      <c r="B818"/>
      <c r="E818"/>
    </row>
    <row r="819" spans="2:5" x14ac:dyDescent="0.2">
      <c r="B819"/>
      <c r="E819"/>
    </row>
    <row r="820" spans="2:5" x14ac:dyDescent="0.2">
      <c r="B820"/>
      <c r="E820"/>
    </row>
    <row r="821" spans="2:5" x14ac:dyDescent="0.2">
      <c r="B821"/>
      <c r="E821"/>
    </row>
    <row r="822" spans="2:5" x14ac:dyDescent="0.2">
      <c r="B822"/>
      <c r="E822"/>
    </row>
    <row r="823" spans="2:5" x14ac:dyDescent="0.2">
      <c r="B823"/>
      <c r="E823"/>
    </row>
    <row r="824" spans="2:5" x14ac:dyDescent="0.2">
      <c r="B824"/>
      <c r="E824"/>
    </row>
    <row r="825" spans="2:5" x14ac:dyDescent="0.2">
      <c r="B825"/>
      <c r="E825"/>
    </row>
    <row r="826" spans="2:5" x14ac:dyDescent="0.2">
      <c r="B826"/>
      <c r="E826"/>
    </row>
    <row r="827" spans="2:5" x14ac:dyDescent="0.2">
      <c r="B827"/>
      <c r="E827"/>
    </row>
    <row r="828" spans="2:5" x14ac:dyDescent="0.2">
      <c r="B828"/>
      <c r="E828"/>
    </row>
    <row r="829" spans="2:5" x14ac:dyDescent="0.2">
      <c r="B829"/>
      <c r="E829"/>
    </row>
    <row r="830" spans="2:5" x14ac:dyDescent="0.2">
      <c r="B830"/>
      <c r="E830"/>
    </row>
    <row r="831" spans="2:5" x14ac:dyDescent="0.2">
      <c r="B831"/>
      <c r="E831"/>
    </row>
    <row r="832" spans="2:5" x14ac:dyDescent="0.2">
      <c r="B832"/>
      <c r="E832"/>
    </row>
    <row r="833" spans="2:5" x14ac:dyDescent="0.2">
      <c r="B833"/>
      <c r="E833"/>
    </row>
    <row r="834" spans="2:5" x14ac:dyDescent="0.2">
      <c r="B834"/>
      <c r="E834"/>
    </row>
    <row r="835" spans="2:5" x14ac:dyDescent="0.2">
      <c r="B835"/>
      <c r="E835"/>
    </row>
    <row r="836" spans="2:5" x14ac:dyDescent="0.2">
      <c r="B836"/>
      <c r="E836"/>
    </row>
    <row r="837" spans="2:5" x14ac:dyDescent="0.2">
      <c r="B837"/>
      <c r="E837"/>
    </row>
    <row r="838" spans="2:5" x14ac:dyDescent="0.2">
      <c r="B838"/>
      <c r="E838"/>
    </row>
    <row r="839" spans="2:5" x14ac:dyDescent="0.2">
      <c r="B839"/>
      <c r="E839"/>
    </row>
    <row r="840" spans="2:5" x14ac:dyDescent="0.2">
      <c r="B840"/>
      <c r="E840"/>
    </row>
    <row r="841" spans="2:5" x14ac:dyDescent="0.2">
      <c r="B841"/>
      <c r="E841"/>
    </row>
    <row r="842" spans="2:5" x14ac:dyDescent="0.2">
      <c r="B842"/>
      <c r="E842"/>
    </row>
    <row r="843" spans="2:5" x14ac:dyDescent="0.2">
      <c r="B843"/>
      <c r="E843"/>
    </row>
    <row r="844" spans="2:5" x14ac:dyDescent="0.2">
      <c r="B844"/>
      <c r="E844"/>
    </row>
    <row r="845" spans="2:5" x14ac:dyDescent="0.2">
      <c r="B845"/>
      <c r="E845"/>
    </row>
    <row r="846" spans="2:5" x14ac:dyDescent="0.2">
      <c r="B846"/>
      <c r="E846"/>
    </row>
    <row r="847" spans="2:5" x14ac:dyDescent="0.2">
      <c r="B847"/>
      <c r="E847"/>
    </row>
    <row r="848" spans="2:5" x14ac:dyDescent="0.2">
      <c r="B848"/>
      <c r="E848"/>
    </row>
    <row r="849" spans="2:5" x14ac:dyDescent="0.2">
      <c r="B849"/>
      <c r="E849"/>
    </row>
    <row r="850" spans="2:5" x14ac:dyDescent="0.2">
      <c r="B850"/>
      <c r="E850"/>
    </row>
    <row r="851" spans="2:5" x14ac:dyDescent="0.2">
      <c r="B851"/>
      <c r="E851"/>
    </row>
    <row r="852" spans="2:5" x14ac:dyDescent="0.2">
      <c r="B852"/>
      <c r="E852"/>
    </row>
    <row r="853" spans="2:5" x14ac:dyDescent="0.2">
      <c r="B853"/>
      <c r="E853"/>
    </row>
    <row r="854" spans="2:5" x14ac:dyDescent="0.2">
      <c r="B854"/>
      <c r="E854"/>
    </row>
    <row r="855" spans="2:5" x14ac:dyDescent="0.2">
      <c r="B855"/>
      <c r="E855"/>
    </row>
    <row r="856" spans="2:5" x14ac:dyDescent="0.2">
      <c r="B856"/>
      <c r="E856"/>
    </row>
    <row r="857" spans="2:5" x14ac:dyDescent="0.2">
      <c r="B857"/>
      <c r="E857"/>
    </row>
    <row r="858" spans="2:5" x14ac:dyDescent="0.2">
      <c r="B858"/>
      <c r="E858"/>
    </row>
    <row r="859" spans="2:5" x14ac:dyDescent="0.2">
      <c r="B859"/>
      <c r="E859"/>
    </row>
    <row r="860" spans="2:5" x14ac:dyDescent="0.2">
      <c r="B860"/>
      <c r="E860"/>
    </row>
    <row r="861" spans="2:5" x14ac:dyDescent="0.2">
      <c r="B861"/>
      <c r="E861"/>
    </row>
    <row r="862" spans="2:5" x14ac:dyDescent="0.2">
      <c r="B862"/>
      <c r="E862"/>
    </row>
    <row r="863" spans="2:5" x14ac:dyDescent="0.2">
      <c r="B863"/>
      <c r="E863"/>
    </row>
    <row r="864" spans="2:5" x14ac:dyDescent="0.2">
      <c r="B864"/>
      <c r="E864"/>
    </row>
    <row r="865" spans="2:5" x14ac:dyDescent="0.2">
      <c r="B865"/>
      <c r="E865"/>
    </row>
    <row r="866" spans="2:5" x14ac:dyDescent="0.2">
      <c r="B866"/>
      <c r="E866"/>
    </row>
    <row r="867" spans="2:5" x14ac:dyDescent="0.2">
      <c r="B867"/>
      <c r="E867"/>
    </row>
    <row r="868" spans="2:5" x14ac:dyDescent="0.2">
      <c r="B868"/>
      <c r="E868"/>
    </row>
    <row r="869" spans="2:5" x14ac:dyDescent="0.2">
      <c r="B869"/>
      <c r="E869"/>
    </row>
    <row r="870" spans="2:5" x14ac:dyDescent="0.2">
      <c r="B870"/>
      <c r="E870"/>
    </row>
    <row r="871" spans="2:5" x14ac:dyDescent="0.2">
      <c r="B871"/>
      <c r="E871"/>
    </row>
    <row r="872" spans="2:5" x14ac:dyDescent="0.2">
      <c r="B872"/>
      <c r="E872"/>
    </row>
    <row r="873" spans="2:5" x14ac:dyDescent="0.2">
      <c r="B873"/>
      <c r="E873"/>
    </row>
    <row r="874" spans="2:5" x14ac:dyDescent="0.2">
      <c r="B874"/>
      <c r="E874"/>
    </row>
    <row r="875" spans="2:5" x14ac:dyDescent="0.2">
      <c r="B875"/>
      <c r="E875"/>
    </row>
    <row r="876" spans="2:5" x14ac:dyDescent="0.2">
      <c r="B876"/>
      <c r="E876"/>
    </row>
    <row r="877" spans="2:5" x14ac:dyDescent="0.2">
      <c r="B877"/>
      <c r="E877"/>
    </row>
    <row r="878" spans="2:5" x14ac:dyDescent="0.2">
      <c r="B878"/>
      <c r="E878"/>
    </row>
    <row r="879" spans="2:5" x14ac:dyDescent="0.2">
      <c r="B879"/>
      <c r="E879"/>
    </row>
    <row r="880" spans="2:5" x14ac:dyDescent="0.2">
      <c r="B880"/>
      <c r="E880"/>
    </row>
    <row r="881" spans="2:5" x14ac:dyDescent="0.2">
      <c r="B881"/>
      <c r="E881"/>
    </row>
    <row r="882" spans="2:5" x14ac:dyDescent="0.2">
      <c r="B882"/>
      <c r="E882"/>
    </row>
    <row r="883" spans="2:5" x14ac:dyDescent="0.2">
      <c r="B883"/>
      <c r="E883"/>
    </row>
    <row r="884" spans="2:5" x14ac:dyDescent="0.2">
      <c r="B884"/>
      <c r="E884"/>
    </row>
    <row r="885" spans="2:5" x14ac:dyDescent="0.2">
      <c r="B885"/>
      <c r="E885"/>
    </row>
    <row r="886" spans="2:5" x14ac:dyDescent="0.2">
      <c r="B886"/>
      <c r="E886"/>
    </row>
    <row r="887" spans="2:5" x14ac:dyDescent="0.2">
      <c r="B887"/>
      <c r="E887"/>
    </row>
    <row r="888" spans="2:5" x14ac:dyDescent="0.2">
      <c r="B888"/>
      <c r="E888"/>
    </row>
    <row r="889" spans="2:5" x14ac:dyDescent="0.2">
      <c r="B889"/>
      <c r="E889"/>
    </row>
    <row r="890" spans="2:5" x14ac:dyDescent="0.2">
      <c r="B890"/>
      <c r="E890"/>
    </row>
    <row r="891" spans="2:5" x14ac:dyDescent="0.2">
      <c r="B891"/>
      <c r="E891"/>
    </row>
    <row r="892" spans="2:5" x14ac:dyDescent="0.2">
      <c r="B892"/>
      <c r="E892"/>
    </row>
    <row r="893" spans="2:5" x14ac:dyDescent="0.2">
      <c r="B893"/>
      <c r="E893"/>
    </row>
    <row r="894" spans="2:5" x14ac:dyDescent="0.2">
      <c r="B894"/>
      <c r="E894"/>
    </row>
    <row r="895" spans="2:5" x14ac:dyDescent="0.2">
      <c r="B895"/>
      <c r="E895"/>
    </row>
    <row r="896" spans="2:5" x14ac:dyDescent="0.2">
      <c r="B896"/>
      <c r="E896"/>
    </row>
    <row r="897" spans="2:5" x14ac:dyDescent="0.2">
      <c r="B897"/>
      <c r="E897"/>
    </row>
    <row r="898" spans="2:5" x14ac:dyDescent="0.2">
      <c r="B898"/>
      <c r="E898"/>
    </row>
    <row r="899" spans="2:5" x14ac:dyDescent="0.2">
      <c r="B899"/>
      <c r="E899"/>
    </row>
    <row r="900" spans="2:5" x14ac:dyDescent="0.2">
      <c r="B900"/>
      <c r="E900"/>
    </row>
    <row r="901" spans="2:5" x14ac:dyDescent="0.2">
      <c r="B901"/>
      <c r="E901"/>
    </row>
    <row r="902" spans="2:5" x14ac:dyDescent="0.2">
      <c r="B902"/>
      <c r="E902"/>
    </row>
    <row r="903" spans="2:5" x14ac:dyDescent="0.2">
      <c r="B903"/>
      <c r="E903"/>
    </row>
    <row r="904" spans="2:5" x14ac:dyDescent="0.2">
      <c r="B904"/>
      <c r="E904"/>
    </row>
    <row r="905" spans="2:5" x14ac:dyDescent="0.2">
      <c r="B905"/>
      <c r="E905"/>
    </row>
    <row r="906" spans="2:5" x14ac:dyDescent="0.2">
      <c r="B906"/>
      <c r="E906"/>
    </row>
    <row r="907" spans="2:5" x14ac:dyDescent="0.2">
      <c r="B907"/>
      <c r="E907"/>
    </row>
    <row r="908" spans="2:5" x14ac:dyDescent="0.2">
      <c r="B908"/>
      <c r="E908"/>
    </row>
    <row r="909" spans="2:5" x14ac:dyDescent="0.2">
      <c r="B909"/>
      <c r="E909"/>
    </row>
    <row r="910" spans="2:5" x14ac:dyDescent="0.2">
      <c r="B910"/>
      <c r="E910"/>
    </row>
    <row r="911" spans="2:5" x14ac:dyDescent="0.2">
      <c r="B911"/>
      <c r="E911"/>
    </row>
    <row r="912" spans="2:5" x14ac:dyDescent="0.2">
      <c r="B912"/>
      <c r="E912"/>
    </row>
    <row r="913" spans="2:5" x14ac:dyDescent="0.2">
      <c r="B913"/>
      <c r="E913"/>
    </row>
    <row r="914" spans="2:5" x14ac:dyDescent="0.2">
      <c r="B914"/>
      <c r="E914"/>
    </row>
    <row r="915" spans="2:5" x14ac:dyDescent="0.2">
      <c r="B915"/>
      <c r="E915"/>
    </row>
    <row r="916" spans="2:5" x14ac:dyDescent="0.2">
      <c r="B916"/>
      <c r="E916"/>
    </row>
    <row r="917" spans="2:5" x14ac:dyDescent="0.2">
      <c r="B917"/>
      <c r="E917"/>
    </row>
    <row r="918" spans="2:5" x14ac:dyDescent="0.2">
      <c r="B918"/>
      <c r="E918"/>
    </row>
    <row r="919" spans="2:5" x14ac:dyDescent="0.2">
      <c r="B919"/>
      <c r="E919"/>
    </row>
    <row r="920" spans="2:5" x14ac:dyDescent="0.2">
      <c r="B920"/>
      <c r="E920"/>
    </row>
    <row r="921" spans="2:5" x14ac:dyDescent="0.2">
      <c r="B921"/>
      <c r="E921"/>
    </row>
    <row r="922" spans="2:5" x14ac:dyDescent="0.2">
      <c r="B922"/>
      <c r="E922"/>
    </row>
    <row r="923" spans="2:5" x14ac:dyDescent="0.2">
      <c r="B923"/>
      <c r="E923"/>
    </row>
    <row r="924" spans="2:5" x14ac:dyDescent="0.2">
      <c r="B924"/>
      <c r="E924"/>
    </row>
    <row r="925" spans="2:5" x14ac:dyDescent="0.2">
      <c r="B925"/>
      <c r="E925"/>
    </row>
    <row r="926" spans="2:5" x14ac:dyDescent="0.2">
      <c r="B926"/>
      <c r="E926"/>
    </row>
    <row r="927" spans="2:5" x14ac:dyDescent="0.2">
      <c r="B927"/>
      <c r="E927"/>
    </row>
    <row r="928" spans="2:5" x14ac:dyDescent="0.2">
      <c r="B928"/>
      <c r="E928"/>
    </row>
    <row r="929" spans="2:5" x14ac:dyDescent="0.2">
      <c r="B929"/>
      <c r="E929"/>
    </row>
    <row r="930" spans="2:5" x14ac:dyDescent="0.2">
      <c r="B930"/>
      <c r="E930"/>
    </row>
    <row r="931" spans="2:5" x14ac:dyDescent="0.2">
      <c r="B931"/>
      <c r="E931"/>
    </row>
    <row r="932" spans="2:5" x14ac:dyDescent="0.2">
      <c r="B932"/>
      <c r="E932"/>
    </row>
    <row r="933" spans="2:5" x14ac:dyDescent="0.2">
      <c r="B933"/>
      <c r="E933"/>
    </row>
    <row r="934" spans="2:5" x14ac:dyDescent="0.2">
      <c r="B934"/>
      <c r="E934"/>
    </row>
    <row r="935" spans="2:5" x14ac:dyDescent="0.2">
      <c r="B935"/>
      <c r="E935"/>
    </row>
    <row r="936" spans="2:5" x14ac:dyDescent="0.2">
      <c r="B936"/>
      <c r="E936"/>
    </row>
    <row r="937" spans="2:5" x14ac:dyDescent="0.2">
      <c r="B937"/>
      <c r="E937"/>
    </row>
    <row r="938" spans="2:5" x14ac:dyDescent="0.2">
      <c r="B938"/>
      <c r="E938"/>
    </row>
    <row r="939" spans="2:5" x14ac:dyDescent="0.2">
      <c r="B939"/>
      <c r="E939"/>
    </row>
    <row r="940" spans="2:5" x14ac:dyDescent="0.2">
      <c r="B940"/>
      <c r="E940"/>
    </row>
    <row r="941" spans="2:5" x14ac:dyDescent="0.2">
      <c r="B941"/>
      <c r="E941"/>
    </row>
    <row r="942" spans="2:5" x14ac:dyDescent="0.2">
      <c r="B942"/>
      <c r="E942"/>
    </row>
    <row r="943" spans="2:5" x14ac:dyDescent="0.2">
      <c r="B943"/>
      <c r="E943"/>
    </row>
    <row r="944" spans="2:5" x14ac:dyDescent="0.2">
      <c r="B944"/>
      <c r="E944"/>
    </row>
    <row r="945" spans="2:5" x14ac:dyDescent="0.2">
      <c r="B945"/>
      <c r="E945"/>
    </row>
    <row r="946" spans="2:5" x14ac:dyDescent="0.2">
      <c r="B946"/>
      <c r="E946"/>
    </row>
    <row r="947" spans="2:5" x14ac:dyDescent="0.2">
      <c r="B947"/>
      <c r="E947"/>
    </row>
    <row r="948" spans="2:5" x14ac:dyDescent="0.2">
      <c r="B948"/>
      <c r="E948"/>
    </row>
    <row r="949" spans="2:5" x14ac:dyDescent="0.2">
      <c r="B949"/>
      <c r="E949"/>
    </row>
    <row r="950" spans="2:5" x14ac:dyDescent="0.2">
      <c r="B950"/>
      <c r="E950"/>
    </row>
    <row r="951" spans="2:5" x14ac:dyDescent="0.2">
      <c r="B951"/>
      <c r="E951"/>
    </row>
    <row r="952" spans="2:5" x14ac:dyDescent="0.2">
      <c r="B952"/>
      <c r="E952"/>
    </row>
    <row r="953" spans="2:5" x14ac:dyDescent="0.2">
      <c r="B953"/>
      <c r="E953"/>
    </row>
    <row r="954" spans="2:5" x14ac:dyDescent="0.2">
      <c r="B954"/>
      <c r="E954"/>
    </row>
    <row r="955" spans="2:5" x14ac:dyDescent="0.2">
      <c r="B955"/>
      <c r="E955"/>
    </row>
    <row r="956" spans="2:5" x14ac:dyDescent="0.2">
      <c r="B956"/>
      <c r="E956"/>
    </row>
    <row r="957" spans="2:5" x14ac:dyDescent="0.2">
      <c r="B957"/>
      <c r="E957"/>
    </row>
    <row r="958" spans="2:5" x14ac:dyDescent="0.2">
      <c r="B958"/>
      <c r="E958"/>
    </row>
    <row r="959" spans="2:5" x14ac:dyDescent="0.2">
      <c r="B959"/>
      <c r="E959"/>
    </row>
    <row r="960" spans="2:5" x14ac:dyDescent="0.2">
      <c r="B960"/>
      <c r="E960"/>
    </row>
    <row r="961" spans="2:5" x14ac:dyDescent="0.2">
      <c r="B961"/>
      <c r="E961"/>
    </row>
    <row r="962" spans="2:5" x14ac:dyDescent="0.2">
      <c r="B962"/>
      <c r="E962"/>
    </row>
    <row r="963" spans="2:5" x14ac:dyDescent="0.2">
      <c r="B963"/>
      <c r="E963"/>
    </row>
    <row r="964" spans="2:5" x14ac:dyDescent="0.2">
      <c r="B964"/>
      <c r="E964"/>
    </row>
    <row r="965" spans="2:5" x14ac:dyDescent="0.2">
      <c r="B965"/>
      <c r="E965"/>
    </row>
    <row r="966" spans="2:5" x14ac:dyDescent="0.2">
      <c r="B966"/>
      <c r="E966"/>
    </row>
    <row r="967" spans="2:5" x14ac:dyDescent="0.2">
      <c r="B967"/>
      <c r="E967"/>
    </row>
    <row r="968" spans="2:5" x14ac:dyDescent="0.2">
      <c r="B968"/>
      <c r="E968"/>
    </row>
    <row r="969" spans="2:5" x14ac:dyDescent="0.2">
      <c r="B969"/>
      <c r="E969"/>
    </row>
    <row r="970" spans="2:5" x14ac:dyDescent="0.2">
      <c r="B970"/>
      <c r="E970"/>
    </row>
    <row r="971" spans="2:5" x14ac:dyDescent="0.2">
      <c r="B971"/>
      <c r="E971"/>
    </row>
    <row r="972" spans="2:5" x14ac:dyDescent="0.2">
      <c r="B972"/>
      <c r="E972"/>
    </row>
    <row r="973" spans="2:5" x14ac:dyDescent="0.2">
      <c r="B973"/>
      <c r="E973"/>
    </row>
    <row r="974" spans="2:5" x14ac:dyDescent="0.2">
      <c r="B974"/>
      <c r="E974"/>
    </row>
    <row r="975" spans="2:5" x14ac:dyDescent="0.2">
      <c r="B975"/>
      <c r="E975"/>
    </row>
    <row r="976" spans="2:5" x14ac:dyDescent="0.2">
      <c r="B976"/>
      <c r="E976"/>
    </row>
    <row r="977" spans="2:5" x14ac:dyDescent="0.2">
      <c r="B977"/>
      <c r="E977"/>
    </row>
    <row r="978" spans="2:5" x14ac:dyDescent="0.2">
      <c r="B978"/>
      <c r="E978"/>
    </row>
    <row r="979" spans="2:5" x14ac:dyDescent="0.2">
      <c r="B979"/>
      <c r="E979"/>
    </row>
    <row r="980" spans="2:5" x14ac:dyDescent="0.2">
      <c r="B980"/>
      <c r="E980"/>
    </row>
    <row r="981" spans="2:5" x14ac:dyDescent="0.2">
      <c r="B981"/>
      <c r="E981"/>
    </row>
    <row r="982" spans="2:5" x14ac:dyDescent="0.2">
      <c r="B982"/>
      <c r="E982"/>
    </row>
    <row r="983" spans="2:5" x14ac:dyDescent="0.2">
      <c r="B983"/>
      <c r="E983"/>
    </row>
    <row r="984" spans="2:5" x14ac:dyDescent="0.2">
      <c r="B984"/>
      <c r="E984"/>
    </row>
    <row r="985" spans="2:5" x14ac:dyDescent="0.2">
      <c r="B985"/>
      <c r="E985"/>
    </row>
    <row r="986" spans="2:5" x14ac:dyDescent="0.2">
      <c r="B986"/>
      <c r="E986"/>
    </row>
    <row r="987" spans="2:5" x14ac:dyDescent="0.2">
      <c r="B987"/>
      <c r="E987"/>
    </row>
    <row r="988" spans="2:5" x14ac:dyDescent="0.2">
      <c r="B988"/>
      <c r="E988"/>
    </row>
    <row r="989" spans="2:5" x14ac:dyDescent="0.2">
      <c r="B989"/>
      <c r="E989"/>
    </row>
    <row r="990" spans="2:5" x14ac:dyDescent="0.2">
      <c r="B990"/>
      <c r="E990"/>
    </row>
    <row r="991" spans="2:5" x14ac:dyDescent="0.2">
      <c r="B991"/>
      <c r="E991"/>
    </row>
    <row r="992" spans="2:5" x14ac:dyDescent="0.2">
      <c r="B992"/>
      <c r="E992"/>
    </row>
    <row r="993" spans="2:5" x14ac:dyDescent="0.2">
      <c r="B993"/>
      <c r="E993"/>
    </row>
    <row r="994" spans="2:5" x14ac:dyDescent="0.2">
      <c r="B994"/>
      <c r="E994"/>
    </row>
    <row r="995" spans="2:5" x14ac:dyDescent="0.2">
      <c r="B995"/>
      <c r="E995"/>
    </row>
    <row r="996" spans="2:5" x14ac:dyDescent="0.2">
      <c r="B996"/>
      <c r="E996"/>
    </row>
    <row r="997" spans="2:5" x14ac:dyDescent="0.2">
      <c r="B997"/>
      <c r="E997"/>
    </row>
    <row r="998" spans="2:5" x14ac:dyDescent="0.2">
      <c r="B998"/>
      <c r="E998"/>
    </row>
    <row r="999" spans="2:5" x14ac:dyDescent="0.2">
      <c r="B999"/>
      <c r="E999"/>
    </row>
    <row r="1000" spans="2:5" x14ac:dyDescent="0.2">
      <c r="B1000"/>
      <c r="E1000"/>
    </row>
    <row r="1001" spans="2:5" x14ac:dyDescent="0.2">
      <c r="B1001"/>
      <c r="E1001"/>
    </row>
    <row r="1002" spans="2:5" x14ac:dyDescent="0.2">
      <c r="B1002"/>
      <c r="E1002"/>
    </row>
    <row r="1003" spans="2:5" x14ac:dyDescent="0.2">
      <c r="B1003"/>
      <c r="E1003"/>
    </row>
    <row r="1004" spans="2:5" x14ac:dyDescent="0.2">
      <c r="B1004"/>
      <c r="E1004"/>
    </row>
    <row r="1005" spans="2:5" x14ac:dyDescent="0.2">
      <c r="B1005"/>
      <c r="E1005"/>
    </row>
    <row r="1006" spans="2:5" x14ac:dyDescent="0.2">
      <c r="B1006"/>
      <c r="E1006"/>
    </row>
    <row r="1007" spans="2:5" x14ac:dyDescent="0.2">
      <c r="B1007"/>
      <c r="E1007"/>
    </row>
    <row r="1008" spans="2:5" x14ac:dyDescent="0.2">
      <c r="B1008"/>
      <c r="E1008"/>
    </row>
    <row r="1009" spans="2:5" x14ac:dyDescent="0.2">
      <c r="B1009"/>
      <c r="E1009"/>
    </row>
    <row r="1010" spans="2:5" x14ac:dyDescent="0.2">
      <c r="B1010"/>
      <c r="E1010"/>
    </row>
    <row r="1011" spans="2:5" x14ac:dyDescent="0.2">
      <c r="B1011"/>
      <c r="E1011"/>
    </row>
    <row r="1012" spans="2:5" x14ac:dyDescent="0.2">
      <c r="B1012"/>
      <c r="E1012"/>
    </row>
    <row r="1013" spans="2:5" x14ac:dyDescent="0.2">
      <c r="B1013"/>
      <c r="E1013"/>
    </row>
    <row r="1014" spans="2:5" x14ac:dyDescent="0.2">
      <c r="B1014"/>
      <c r="E1014"/>
    </row>
    <row r="1015" spans="2:5" x14ac:dyDescent="0.2">
      <c r="B1015"/>
      <c r="E1015"/>
    </row>
    <row r="1016" spans="2:5" x14ac:dyDescent="0.2">
      <c r="B1016"/>
      <c r="E1016"/>
    </row>
    <row r="1017" spans="2:5" x14ac:dyDescent="0.2">
      <c r="B1017"/>
      <c r="E1017"/>
    </row>
    <row r="1018" spans="2:5" x14ac:dyDescent="0.2">
      <c r="B1018"/>
      <c r="E1018"/>
    </row>
    <row r="1019" spans="2:5" x14ac:dyDescent="0.2">
      <c r="B1019"/>
      <c r="E1019"/>
    </row>
    <row r="1020" spans="2:5" x14ac:dyDescent="0.2">
      <c r="B1020"/>
      <c r="E1020"/>
    </row>
    <row r="1021" spans="2:5" x14ac:dyDescent="0.2">
      <c r="B1021"/>
      <c r="E1021"/>
    </row>
    <row r="1022" spans="2:5" x14ac:dyDescent="0.2">
      <c r="B1022"/>
      <c r="E1022"/>
    </row>
    <row r="1023" spans="2:5" x14ac:dyDescent="0.2">
      <c r="B1023"/>
      <c r="E1023"/>
    </row>
    <row r="1024" spans="2:5" x14ac:dyDescent="0.2">
      <c r="B1024"/>
      <c r="E1024"/>
    </row>
    <row r="1025" spans="2:5" x14ac:dyDescent="0.2">
      <c r="B1025"/>
      <c r="E1025"/>
    </row>
    <row r="1026" spans="2:5" x14ac:dyDescent="0.2">
      <c r="B1026"/>
      <c r="E1026"/>
    </row>
    <row r="1027" spans="2:5" x14ac:dyDescent="0.2">
      <c r="B1027"/>
      <c r="E1027"/>
    </row>
    <row r="1028" spans="2:5" x14ac:dyDescent="0.2">
      <c r="B1028"/>
      <c r="E1028"/>
    </row>
    <row r="1029" spans="2:5" x14ac:dyDescent="0.2">
      <c r="B1029"/>
      <c r="E1029"/>
    </row>
    <row r="1030" spans="2:5" x14ac:dyDescent="0.2">
      <c r="B1030"/>
      <c r="E1030"/>
    </row>
    <row r="1031" spans="2:5" x14ac:dyDescent="0.2">
      <c r="B1031"/>
      <c r="E1031"/>
    </row>
    <row r="1032" spans="2:5" x14ac:dyDescent="0.2">
      <c r="B1032"/>
      <c r="E1032"/>
    </row>
    <row r="1033" spans="2:5" x14ac:dyDescent="0.2">
      <c r="B1033"/>
      <c r="E1033"/>
    </row>
    <row r="1034" spans="2:5" x14ac:dyDescent="0.2">
      <c r="B1034"/>
      <c r="E1034"/>
    </row>
    <row r="1035" spans="2:5" x14ac:dyDescent="0.2">
      <c r="B1035"/>
      <c r="E1035"/>
    </row>
    <row r="1036" spans="2:5" x14ac:dyDescent="0.2">
      <c r="B1036"/>
      <c r="E1036"/>
    </row>
    <row r="1037" spans="2:5" x14ac:dyDescent="0.2">
      <c r="B1037"/>
      <c r="E1037"/>
    </row>
    <row r="1038" spans="2:5" x14ac:dyDescent="0.2">
      <c r="B1038"/>
      <c r="E1038"/>
    </row>
    <row r="1039" spans="2:5" x14ac:dyDescent="0.2">
      <c r="B1039"/>
      <c r="E1039"/>
    </row>
    <row r="1040" spans="2:5" x14ac:dyDescent="0.2">
      <c r="B1040"/>
      <c r="E1040"/>
    </row>
    <row r="1041" spans="2:5" x14ac:dyDescent="0.2">
      <c r="B1041"/>
      <c r="E1041"/>
    </row>
    <row r="1042" spans="2:5" x14ac:dyDescent="0.2">
      <c r="B1042"/>
      <c r="E1042"/>
    </row>
    <row r="1043" spans="2:5" x14ac:dyDescent="0.2">
      <c r="B1043"/>
      <c r="E1043"/>
    </row>
    <row r="1044" spans="2:5" x14ac:dyDescent="0.2">
      <c r="B1044"/>
      <c r="E1044"/>
    </row>
    <row r="1045" spans="2:5" x14ac:dyDescent="0.2">
      <c r="B1045"/>
      <c r="E1045"/>
    </row>
    <row r="1046" spans="2:5" x14ac:dyDescent="0.2">
      <c r="B1046"/>
      <c r="E1046"/>
    </row>
    <row r="1047" spans="2:5" x14ac:dyDescent="0.2">
      <c r="B1047"/>
      <c r="E1047"/>
    </row>
    <row r="1048" spans="2:5" x14ac:dyDescent="0.2">
      <c r="B1048"/>
      <c r="E1048"/>
    </row>
    <row r="1049" spans="2:5" x14ac:dyDescent="0.2">
      <c r="B1049"/>
      <c r="E1049"/>
    </row>
    <row r="1050" spans="2:5" x14ac:dyDescent="0.2">
      <c r="B1050"/>
      <c r="E1050"/>
    </row>
    <row r="1051" spans="2:5" x14ac:dyDescent="0.2">
      <c r="B1051"/>
      <c r="E1051"/>
    </row>
    <row r="1052" spans="2:5" x14ac:dyDescent="0.2">
      <c r="B1052"/>
      <c r="E1052"/>
    </row>
    <row r="1053" spans="2:5" x14ac:dyDescent="0.2">
      <c r="B1053"/>
      <c r="E1053"/>
    </row>
    <row r="1054" spans="2:5" x14ac:dyDescent="0.2">
      <c r="B1054"/>
      <c r="E1054"/>
    </row>
    <row r="1055" spans="2:5" x14ac:dyDescent="0.2">
      <c r="B1055"/>
      <c r="E1055"/>
    </row>
    <row r="1056" spans="2:5" x14ac:dyDescent="0.2">
      <c r="B1056"/>
      <c r="E1056"/>
    </row>
    <row r="1057" spans="2:5" x14ac:dyDescent="0.2">
      <c r="B1057"/>
      <c r="E1057"/>
    </row>
    <row r="1058" spans="2:5" x14ac:dyDescent="0.2">
      <c r="B1058"/>
      <c r="E1058"/>
    </row>
    <row r="1059" spans="2:5" x14ac:dyDescent="0.2">
      <c r="B1059"/>
      <c r="E1059"/>
    </row>
    <row r="1060" spans="2:5" x14ac:dyDescent="0.2">
      <c r="B1060"/>
      <c r="E1060"/>
    </row>
    <row r="1061" spans="2:5" x14ac:dyDescent="0.2">
      <c r="B1061"/>
      <c r="E1061"/>
    </row>
    <row r="1062" spans="2:5" x14ac:dyDescent="0.2">
      <c r="B1062"/>
      <c r="E1062"/>
    </row>
    <row r="1063" spans="2:5" x14ac:dyDescent="0.2">
      <c r="B1063"/>
      <c r="E1063"/>
    </row>
    <row r="1064" spans="2:5" x14ac:dyDescent="0.2">
      <c r="B1064"/>
      <c r="E1064"/>
    </row>
    <row r="1065" spans="2:5" x14ac:dyDescent="0.2">
      <c r="B1065"/>
      <c r="E1065"/>
    </row>
    <row r="1066" spans="2:5" x14ac:dyDescent="0.2">
      <c r="B1066"/>
      <c r="E1066"/>
    </row>
    <row r="1067" spans="2:5" x14ac:dyDescent="0.2">
      <c r="B1067"/>
      <c r="E1067"/>
    </row>
    <row r="1068" spans="2:5" x14ac:dyDescent="0.2">
      <c r="B1068"/>
      <c r="E1068"/>
    </row>
    <row r="1069" spans="2:5" x14ac:dyDescent="0.2">
      <c r="B1069"/>
      <c r="E1069"/>
    </row>
    <row r="1070" spans="2:5" x14ac:dyDescent="0.2">
      <c r="B1070"/>
      <c r="E1070"/>
    </row>
    <row r="1071" spans="2:5" x14ac:dyDescent="0.2">
      <c r="B1071"/>
      <c r="E1071"/>
    </row>
    <row r="1072" spans="2:5" x14ac:dyDescent="0.2">
      <c r="B1072"/>
      <c r="E1072"/>
    </row>
    <row r="1073" spans="2:5" x14ac:dyDescent="0.2">
      <c r="B1073"/>
      <c r="E1073"/>
    </row>
    <row r="1074" spans="2:5" x14ac:dyDescent="0.2">
      <c r="B1074"/>
      <c r="E1074"/>
    </row>
    <row r="1075" spans="2:5" x14ac:dyDescent="0.2">
      <c r="B1075"/>
      <c r="E1075"/>
    </row>
    <row r="1076" spans="2:5" x14ac:dyDescent="0.2">
      <c r="B1076"/>
      <c r="E1076"/>
    </row>
    <row r="1077" spans="2:5" x14ac:dyDescent="0.2">
      <c r="B1077"/>
      <c r="E1077"/>
    </row>
    <row r="1078" spans="2:5" x14ac:dyDescent="0.2">
      <c r="B1078"/>
      <c r="E1078"/>
    </row>
    <row r="1079" spans="2:5" x14ac:dyDescent="0.2">
      <c r="B1079"/>
      <c r="E1079"/>
    </row>
    <row r="1080" spans="2:5" x14ac:dyDescent="0.2">
      <c r="B1080"/>
      <c r="E1080"/>
    </row>
    <row r="1081" spans="2:5" x14ac:dyDescent="0.2">
      <c r="B1081"/>
      <c r="E1081"/>
    </row>
    <row r="1082" spans="2:5" x14ac:dyDescent="0.2">
      <c r="B1082"/>
      <c r="E1082"/>
    </row>
    <row r="1083" spans="2:5" x14ac:dyDescent="0.2">
      <c r="B1083"/>
      <c r="E1083"/>
    </row>
    <row r="1084" spans="2:5" x14ac:dyDescent="0.2">
      <c r="B1084"/>
      <c r="E1084"/>
    </row>
    <row r="1085" spans="2:5" x14ac:dyDescent="0.2">
      <c r="B1085"/>
      <c r="E1085"/>
    </row>
    <row r="1086" spans="2:5" x14ac:dyDescent="0.2">
      <c r="B1086"/>
      <c r="E1086"/>
    </row>
    <row r="1087" spans="2:5" x14ac:dyDescent="0.2">
      <c r="B1087"/>
      <c r="E1087"/>
    </row>
    <row r="1088" spans="2:5" x14ac:dyDescent="0.2">
      <c r="B1088"/>
      <c r="E1088"/>
    </row>
    <row r="1089" spans="2:5" x14ac:dyDescent="0.2">
      <c r="B1089"/>
      <c r="E1089"/>
    </row>
    <row r="1090" spans="2:5" x14ac:dyDescent="0.2">
      <c r="B1090"/>
      <c r="E1090"/>
    </row>
    <row r="1091" spans="2:5" x14ac:dyDescent="0.2">
      <c r="B1091"/>
      <c r="E1091"/>
    </row>
    <row r="1092" spans="2:5" x14ac:dyDescent="0.2">
      <c r="B1092"/>
      <c r="E1092"/>
    </row>
    <row r="1093" spans="2:5" x14ac:dyDescent="0.2">
      <c r="B1093"/>
      <c r="E1093"/>
    </row>
    <row r="1094" spans="2:5" x14ac:dyDescent="0.2">
      <c r="B1094"/>
      <c r="E1094"/>
    </row>
    <row r="1095" spans="2:5" x14ac:dyDescent="0.2">
      <c r="B1095"/>
      <c r="E1095"/>
    </row>
    <row r="1096" spans="2:5" x14ac:dyDescent="0.2">
      <c r="B1096"/>
      <c r="E1096"/>
    </row>
    <row r="1097" spans="2:5" x14ac:dyDescent="0.2">
      <c r="B1097"/>
      <c r="E1097"/>
    </row>
    <row r="1098" spans="2:5" x14ac:dyDescent="0.2">
      <c r="B1098"/>
      <c r="E1098"/>
    </row>
    <row r="1099" spans="2:5" x14ac:dyDescent="0.2">
      <c r="B1099"/>
      <c r="E1099"/>
    </row>
    <row r="1100" spans="2:5" x14ac:dyDescent="0.2">
      <c r="B1100"/>
      <c r="E1100"/>
    </row>
    <row r="1101" spans="2:5" x14ac:dyDescent="0.2">
      <c r="B1101"/>
      <c r="E1101"/>
    </row>
    <row r="1102" spans="2:5" x14ac:dyDescent="0.2">
      <c r="B1102"/>
      <c r="E1102"/>
    </row>
    <row r="1103" spans="2:5" x14ac:dyDescent="0.2">
      <c r="B1103"/>
      <c r="E1103"/>
    </row>
    <row r="1104" spans="2:5" x14ac:dyDescent="0.2">
      <c r="B1104"/>
      <c r="E1104"/>
    </row>
    <row r="1105" spans="2:5" x14ac:dyDescent="0.2">
      <c r="B1105"/>
      <c r="E1105"/>
    </row>
    <row r="1106" spans="2:5" x14ac:dyDescent="0.2">
      <c r="B1106"/>
      <c r="E1106"/>
    </row>
    <row r="1107" spans="2:5" x14ac:dyDescent="0.2">
      <c r="B1107"/>
      <c r="E1107"/>
    </row>
    <row r="1108" spans="2:5" x14ac:dyDescent="0.2">
      <c r="B1108"/>
      <c r="E1108"/>
    </row>
    <row r="1109" spans="2:5" x14ac:dyDescent="0.2">
      <c r="B1109"/>
      <c r="E1109"/>
    </row>
    <row r="1110" spans="2:5" x14ac:dyDescent="0.2">
      <c r="B1110"/>
      <c r="E1110"/>
    </row>
    <row r="1111" spans="2:5" x14ac:dyDescent="0.2">
      <c r="B1111"/>
      <c r="E1111"/>
    </row>
    <row r="1112" spans="2:5" x14ac:dyDescent="0.2">
      <c r="B1112"/>
      <c r="E1112"/>
    </row>
    <row r="1113" spans="2:5" x14ac:dyDescent="0.2">
      <c r="B1113"/>
      <c r="E1113"/>
    </row>
    <row r="1114" spans="2:5" x14ac:dyDescent="0.2">
      <c r="B1114"/>
      <c r="E1114"/>
    </row>
    <row r="1115" spans="2:5" x14ac:dyDescent="0.2">
      <c r="B1115"/>
      <c r="E1115"/>
    </row>
    <row r="1116" spans="2:5" x14ac:dyDescent="0.2">
      <c r="B1116"/>
      <c r="E1116"/>
    </row>
    <row r="1117" spans="2:5" x14ac:dyDescent="0.2">
      <c r="B1117"/>
      <c r="E1117"/>
    </row>
    <row r="1118" spans="2:5" x14ac:dyDescent="0.2">
      <c r="B1118"/>
      <c r="E1118"/>
    </row>
    <row r="1119" spans="2:5" x14ac:dyDescent="0.2">
      <c r="B1119"/>
      <c r="E1119"/>
    </row>
    <row r="1120" spans="2:5" x14ac:dyDescent="0.2">
      <c r="B1120"/>
      <c r="E1120"/>
    </row>
    <row r="1121" spans="2:5" x14ac:dyDescent="0.2">
      <c r="B1121"/>
      <c r="E1121"/>
    </row>
    <row r="1122" spans="2:5" x14ac:dyDescent="0.2">
      <c r="B1122"/>
      <c r="E1122"/>
    </row>
    <row r="1123" spans="2:5" x14ac:dyDescent="0.2">
      <c r="B1123"/>
      <c r="E1123"/>
    </row>
    <row r="1124" spans="2:5" x14ac:dyDescent="0.2">
      <c r="B1124"/>
      <c r="E1124"/>
    </row>
    <row r="1125" spans="2:5" x14ac:dyDescent="0.2">
      <c r="B1125"/>
      <c r="E1125"/>
    </row>
    <row r="1126" spans="2:5" x14ac:dyDescent="0.2">
      <c r="B1126"/>
      <c r="E1126"/>
    </row>
    <row r="1127" spans="2:5" x14ac:dyDescent="0.2">
      <c r="B1127"/>
      <c r="E1127"/>
    </row>
    <row r="1128" spans="2:5" x14ac:dyDescent="0.2">
      <c r="B1128"/>
      <c r="E1128"/>
    </row>
    <row r="1129" spans="2:5" x14ac:dyDescent="0.2">
      <c r="B1129"/>
      <c r="E1129"/>
    </row>
    <row r="1130" spans="2:5" x14ac:dyDescent="0.2">
      <c r="B1130"/>
      <c r="E1130"/>
    </row>
    <row r="1131" spans="2:5" x14ac:dyDescent="0.2">
      <c r="B1131"/>
      <c r="E1131"/>
    </row>
    <row r="1132" spans="2:5" x14ac:dyDescent="0.2">
      <c r="B1132"/>
      <c r="E1132"/>
    </row>
    <row r="1133" spans="2:5" x14ac:dyDescent="0.2">
      <c r="B1133"/>
      <c r="E1133"/>
    </row>
    <row r="1134" spans="2:5" x14ac:dyDescent="0.2">
      <c r="B1134"/>
      <c r="E1134"/>
    </row>
    <row r="1135" spans="2:5" x14ac:dyDescent="0.2">
      <c r="B1135"/>
      <c r="E1135"/>
    </row>
    <row r="1136" spans="2:5" x14ac:dyDescent="0.2">
      <c r="B1136"/>
      <c r="E1136"/>
    </row>
    <row r="1137" spans="2:5" x14ac:dyDescent="0.2">
      <c r="B1137"/>
      <c r="E1137"/>
    </row>
    <row r="1138" spans="2:5" x14ac:dyDescent="0.2">
      <c r="B1138"/>
      <c r="E1138"/>
    </row>
    <row r="1139" spans="2:5" x14ac:dyDescent="0.2">
      <c r="B1139"/>
      <c r="E1139"/>
    </row>
    <row r="1140" spans="2:5" x14ac:dyDescent="0.2">
      <c r="B1140"/>
      <c r="E1140"/>
    </row>
    <row r="1141" spans="2:5" x14ac:dyDescent="0.2">
      <c r="B1141"/>
      <c r="E1141"/>
    </row>
    <row r="1142" spans="2:5" x14ac:dyDescent="0.2">
      <c r="B1142"/>
      <c r="E1142"/>
    </row>
    <row r="1143" spans="2:5" x14ac:dyDescent="0.2">
      <c r="B1143"/>
      <c r="E1143"/>
    </row>
    <row r="1144" spans="2:5" x14ac:dyDescent="0.2">
      <c r="B1144"/>
      <c r="E1144"/>
    </row>
    <row r="1145" spans="2:5" x14ac:dyDescent="0.2">
      <c r="B1145"/>
      <c r="E1145"/>
    </row>
    <row r="1146" spans="2:5" x14ac:dyDescent="0.2">
      <c r="B1146"/>
      <c r="E1146"/>
    </row>
    <row r="1147" spans="2:5" x14ac:dyDescent="0.2">
      <c r="B1147"/>
      <c r="E1147"/>
    </row>
    <row r="1148" spans="2:5" x14ac:dyDescent="0.2">
      <c r="B1148"/>
      <c r="E1148"/>
    </row>
    <row r="1149" spans="2:5" x14ac:dyDescent="0.2">
      <c r="B1149"/>
      <c r="E1149"/>
    </row>
    <row r="1150" spans="2:5" x14ac:dyDescent="0.2">
      <c r="B1150"/>
      <c r="E1150"/>
    </row>
    <row r="1151" spans="2:5" x14ac:dyDescent="0.2">
      <c r="B1151"/>
      <c r="E1151"/>
    </row>
    <row r="1152" spans="2:5" x14ac:dyDescent="0.2">
      <c r="B1152"/>
      <c r="E1152"/>
    </row>
    <row r="1153" spans="2:5" x14ac:dyDescent="0.2">
      <c r="B1153"/>
      <c r="E1153"/>
    </row>
    <row r="1154" spans="2:5" x14ac:dyDescent="0.2">
      <c r="B1154"/>
      <c r="E1154"/>
    </row>
    <row r="1155" spans="2:5" x14ac:dyDescent="0.2">
      <c r="B1155"/>
      <c r="E1155"/>
    </row>
    <row r="1156" spans="2:5" x14ac:dyDescent="0.2">
      <c r="B1156"/>
      <c r="E1156"/>
    </row>
    <row r="1157" spans="2:5" x14ac:dyDescent="0.2">
      <c r="B1157"/>
      <c r="E1157"/>
    </row>
    <row r="1158" spans="2:5" x14ac:dyDescent="0.2">
      <c r="B1158"/>
      <c r="E1158"/>
    </row>
    <row r="1159" spans="2:5" x14ac:dyDescent="0.2">
      <c r="B1159"/>
      <c r="E1159"/>
    </row>
    <row r="1160" spans="2:5" x14ac:dyDescent="0.2">
      <c r="B1160"/>
      <c r="E1160"/>
    </row>
    <row r="1161" spans="2:5" x14ac:dyDescent="0.2">
      <c r="B1161"/>
      <c r="E1161"/>
    </row>
    <row r="1162" spans="2:5" x14ac:dyDescent="0.2">
      <c r="B1162"/>
      <c r="E1162"/>
    </row>
    <row r="1163" spans="2:5" x14ac:dyDescent="0.2">
      <c r="B1163"/>
      <c r="E1163"/>
    </row>
    <row r="1164" spans="2:5" x14ac:dyDescent="0.2">
      <c r="B1164"/>
      <c r="E1164"/>
    </row>
    <row r="1165" spans="2:5" x14ac:dyDescent="0.2">
      <c r="B1165"/>
      <c r="E1165"/>
    </row>
    <row r="1166" spans="2:5" x14ac:dyDescent="0.2">
      <c r="B1166"/>
      <c r="E1166"/>
    </row>
    <row r="1167" spans="2:5" x14ac:dyDescent="0.2">
      <c r="B1167"/>
      <c r="E1167"/>
    </row>
    <row r="1168" spans="2:5" x14ac:dyDescent="0.2">
      <c r="B1168"/>
      <c r="E1168"/>
    </row>
    <row r="1169" spans="2:5" x14ac:dyDescent="0.2">
      <c r="B1169"/>
      <c r="E1169"/>
    </row>
    <row r="1170" spans="2:5" x14ac:dyDescent="0.2">
      <c r="B1170"/>
      <c r="E1170"/>
    </row>
    <row r="1171" spans="2:5" x14ac:dyDescent="0.2">
      <c r="B1171"/>
      <c r="E1171"/>
    </row>
    <row r="1172" spans="2:5" x14ac:dyDescent="0.2">
      <c r="B1172"/>
      <c r="E1172"/>
    </row>
    <row r="1173" spans="2:5" x14ac:dyDescent="0.2">
      <c r="B1173"/>
      <c r="E1173"/>
    </row>
    <row r="1174" spans="2:5" x14ac:dyDescent="0.2">
      <c r="B1174"/>
      <c r="E1174"/>
    </row>
    <row r="1175" spans="2:5" x14ac:dyDescent="0.2">
      <c r="B1175"/>
      <c r="E1175"/>
    </row>
    <row r="1176" spans="2:5" x14ac:dyDescent="0.2">
      <c r="B1176"/>
      <c r="E1176"/>
    </row>
    <row r="1177" spans="2:5" x14ac:dyDescent="0.2">
      <c r="B1177"/>
      <c r="E1177"/>
    </row>
    <row r="1178" spans="2:5" x14ac:dyDescent="0.2">
      <c r="B1178"/>
      <c r="E1178"/>
    </row>
    <row r="1179" spans="2:5" x14ac:dyDescent="0.2">
      <c r="B1179"/>
      <c r="E1179"/>
    </row>
    <row r="1180" spans="2:5" x14ac:dyDescent="0.2">
      <c r="B1180"/>
      <c r="E1180"/>
    </row>
    <row r="1181" spans="2:5" x14ac:dyDescent="0.2">
      <c r="B1181"/>
      <c r="E1181"/>
    </row>
    <row r="1182" spans="2:5" x14ac:dyDescent="0.2">
      <c r="B1182"/>
      <c r="E1182"/>
    </row>
    <row r="1183" spans="2:5" x14ac:dyDescent="0.2">
      <c r="B1183"/>
      <c r="E1183"/>
    </row>
    <row r="1184" spans="2:5" x14ac:dyDescent="0.2">
      <c r="B1184"/>
      <c r="E1184"/>
    </row>
    <row r="1185" spans="2:5" x14ac:dyDescent="0.2">
      <c r="B1185"/>
      <c r="E1185"/>
    </row>
    <row r="1186" spans="2:5" x14ac:dyDescent="0.2">
      <c r="B1186"/>
      <c r="E1186"/>
    </row>
    <row r="1187" spans="2:5" x14ac:dyDescent="0.2">
      <c r="B1187"/>
      <c r="E1187"/>
    </row>
    <row r="1188" spans="2:5" x14ac:dyDescent="0.2">
      <c r="B1188"/>
      <c r="E1188"/>
    </row>
    <row r="1189" spans="2:5" x14ac:dyDescent="0.2">
      <c r="B1189"/>
      <c r="E1189"/>
    </row>
    <row r="1190" spans="2:5" x14ac:dyDescent="0.2">
      <c r="B1190"/>
      <c r="E1190"/>
    </row>
    <row r="1191" spans="2:5" x14ac:dyDescent="0.2">
      <c r="B1191"/>
      <c r="E1191"/>
    </row>
    <row r="1192" spans="2:5" x14ac:dyDescent="0.2">
      <c r="B1192"/>
      <c r="E1192"/>
    </row>
    <row r="1193" spans="2:5" x14ac:dyDescent="0.2">
      <c r="B1193"/>
      <c r="E1193"/>
    </row>
    <row r="1194" spans="2:5" x14ac:dyDescent="0.2">
      <c r="B1194"/>
      <c r="E1194"/>
    </row>
    <row r="1195" spans="2:5" x14ac:dyDescent="0.2">
      <c r="B1195"/>
      <c r="E1195"/>
    </row>
    <row r="1196" spans="2:5" x14ac:dyDescent="0.2">
      <c r="B1196"/>
      <c r="E1196"/>
    </row>
    <row r="1197" spans="2:5" x14ac:dyDescent="0.2">
      <c r="B1197"/>
      <c r="E1197"/>
    </row>
    <row r="1198" spans="2:5" x14ac:dyDescent="0.2">
      <c r="B1198"/>
      <c r="E1198"/>
    </row>
    <row r="1199" spans="2:5" x14ac:dyDescent="0.2">
      <c r="B1199"/>
      <c r="E1199"/>
    </row>
    <row r="1200" spans="2:5" x14ac:dyDescent="0.2">
      <c r="B1200"/>
      <c r="E1200"/>
    </row>
    <row r="1201" spans="2:5" x14ac:dyDescent="0.2">
      <c r="B1201"/>
      <c r="E1201"/>
    </row>
    <row r="1202" spans="2:5" x14ac:dyDescent="0.2">
      <c r="B1202"/>
      <c r="E1202"/>
    </row>
    <row r="1203" spans="2:5" x14ac:dyDescent="0.2">
      <c r="B1203"/>
      <c r="E1203"/>
    </row>
    <row r="1204" spans="2:5" x14ac:dyDescent="0.2">
      <c r="B1204"/>
      <c r="E1204"/>
    </row>
    <row r="1205" spans="2:5" x14ac:dyDescent="0.2">
      <c r="B1205"/>
      <c r="E1205"/>
    </row>
    <row r="1206" spans="2:5" x14ac:dyDescent="0.2">
      <c r="B1206"/>
      <c r="E1206"/>
    </row>
    <row r="1207" spans="2:5" x14ac:dyDescent="0.2">
      <c r="B1207"/>
      <c r="E1207"/>
    </row>
    <row r="1208" spans="2:5" x14ac:dyDescent="0.2">
      <c r="B1208"/>
      <c r="E1208"/>
    </row>
    <row r="1209" spans="2:5" x14ac:dyDescent="0.2">
      <c r="B1209"/>
      <c r="E1209"/>
    </row>
    <row r="1210" spans="2:5" x14ac:dyDescent="0.2">
      <c r="B1210"/>
      <c r="E1210"/>
    </row>
    <row r="1211" spans="2:5" x14ac:dyDescent="0.2">
      <c r="B1211"/>
      <c r="E1211"/>
    </row>
    <row r="1212" spans="2:5" x14ac:dyDescent="0.2">
      <c r="B1212"/>
      <c r="E1212"/>
    </row>
    <row r="1213" spans="2:5" x14ac:dyDescent="0.2">
      <c r="B1213"/>
      <c r="E1213"/>
    </row>
    <row r="1214" spans="2:5" x14ac:dyDescent="0.2">
      <c r="B1214"/>
      <c r="E1214"/>
    </row>
    <row r="1215" spans="2:5" x14ac:dyDescent="0.2">
      <c r="B1215"/>
      <c r="E1215"/>
    </row>
    <row r="1216" spans="2:5" x14ac:dyDescent="0.2">
      <c r="B1216"/>
      <c r="E1216"/>
    </row>
    <row r="1217" spans="2:5" x14ac:dyDescent="0.2">
      <c r="B1217"/>
      <c r="E1217"/>
    </row>
    <row r="1218" spans="2:5" x14ac:dyDescent="0.2">
      <c r="B1218"/>
      <c r="E1218"/>
    </row>
    <row r="1219" spans="2:5" x14ac:dyDescent="0.2">
      <c r="B1219"/>
      <c r="E1219"/>
    </row>
    <row r="1220" spans="2:5" x14ac:dyDescent="0.2">
      <c r="B1220"/>
      <c r="E1220"/>
    </row>
    <row r="1221" spans="2:5" x14ac:dyDescent="0.2">
      <c r="B1221"/>
      <c r="E1221"/>
    </row>
    <row r="1222" spans="2:5" x14ac:dyDescent="0.2">
      <c r="B1222"/>
      <c r="E1222"/>
    </row>
    <row r="1223" spans="2:5" x14ac:dyDescent="0.2">
      <c r="B1223"/>
      <c r="E1223"/>
    </row>
    <row r="1224" spans="2:5" x14ac:dyDescent="0.2">
      <c r="B1224"/>
      <c r="E1224"/>
    </row>
    <row r="1225" spans="2:5" x14ac:dyDescent="0.2">
      <c r="B1225"/>
      <c r="E1225"/>
    </row>
    <row r="1226" spans="2:5" x14ac:dyDescent="0.2">
      <c r="B1226"/>
      <c r="E1226"/>
    </row>
    <row r="1227" spans="2:5" x14ac:dyDescent="0.2">
      <c r="B1227"/>
      <c r="E1227"/>
    </row>
    <row r="1228" spans="2:5" x14ac:dyDescent="0.2">
      <c r="B1228"/>
      <c r="E1228"/>
    </row>
    <row r="1229" spans="2:5" x14ac:dyDescent="0.2">
      <c r="B1229"/>
      <c r="E1229"/>
    </row>
    <row r="1230" spans="2:5" x14ac:dyDescent="0.2">
      <c r="B1230"/>
      <c r="E1230"/>
    </row>
    <row r="1231" spans="2:5" x14ac:dyDescent="0.2">
      <c r="B1231"/>
      <c r="E1231"/>
    </row>
    <row r="1232" spans="2:5" x14ac:dyDescent="0.2">
      <c r="B1232"/>
      <c r="E1232"/>
    </row>
    <row r="1233" spans="2:5" x14ac:dyDescent="0.2">
      <c r="B1233"/>
      <c r="E1233"/>
    </row>
    <row r="1234" spans="2:5" x14ac:dyDescent="0.2">
      <c r="B1234"/>
      <c r="E1234"/>
    </row>
    <row r="1235" spans="2:5" x14ac:dyDescent="0.2">
      <c r="B1235"/>
      <c r="E1235"/>
    </row>
    <row r="1236" spans="2:5" x14ac:dyDescent="0.2">
      <c r="B1236"/>
      <c r="E1236"/>
    </row>
    <row r="1237" spans="2:5" x14ac:dyDescent="0.2">
      <c r="B1237"/>
      <c r="E1237"/>
    </row>
    <row r="1238" spans="2:5" x14ac:dyDescent="0.2">
      <c r="B1238"/>
      <c r="E1238"/>
    </row>
    <row r="1239" spans="2:5" x14ac:dyDescent="0.2">
      <c r="B1239"/>
      <c r="E1239"/>
    </row>
    <row r="1240" spans="2:5" x14ac:dyDescent="0.2">
      <c r="B1240"/>
      <c r="E1240"/>
    </row>
    <row r="1241" spans="2:5" x14ac:dyDescent="0.2">
      <c r="B1241"/>
      <c r="E1241"/>
    </row>
    <row r="1242" spans="2:5" x14ac:dyDescent="0.2">
      <c r="B1242"/>
      <c r="E1242"/>
    </row>
    <row r="1243" spans="2:5" x14ac:dyDescent="0.2">
      <c r="B1243"/>
      <c r="E1243"/>
    </row>
    <row r="1244" spans="2:5" x14ac:dyDescent="0.2">
      <c r="B1244"/>
      <c r="E1244"/>
    </row>
    <row r="1245" spans="2:5" x14ac:dyDescent="0.2">
      <c r="B1245"/>
      <c r="E1245"/>
    </row>
    <row r="1246" spans="2:5" x14ac:dyDescent="0.2">
      <c r="B1246"/>
      <c r="E1246"/>
    </row>
    <row r="1247" spans="2:5" x14ac:dyDescent="0.2">
      <c r="B1247"/>
      <c r="E1247"/>
    </row>
    <row r="1248" spans="2:5" x14ac:dyDescent="0.2">
      <c r="B1248"/>
      <c r="E1248"/>
    </row>
    <row r="1249" spans="2:5" x14ac:dyDescent="0.2">
      <c r="B1249"/>
      <c r="E1249"/>
    </row>
    <row r="1250" spans="2:5" x14ac:dyDescent="0.2">
      <c r="B1250"/>
      <c r="E1250"/>
    </row>
    <row r="1251" spans="2:5" x14ac:dyDescent="0.2">
      <c r="B1251"/>
      <c r="E1251"/>
    </row>
    <row r="1252" spans="2:5" x14ac:dyDescent="0.2">
      <c r="B1252"/>
      <c r="E1252"/>
    </row>
    <row r="1253" spans="2:5" x14ac:dyDescent="0.2">
      <c r="B1253"/>
      <c r="E1253"/>
    </row>
    <row r="1254" spans="2:5" x14ac:dyDescent="0.2">
      <c r="B1254"/>
      <c r="E1254"/>
    </row>
    <row r="1255" spans="2:5" x14ac:dyDescent="0.2">
      <c r="B1255"/>
      <c r="E1255"/>
    </row>
    <row r="1256" spans="2:5" x14ac:dyDescent="0.2">
      <c r="B1256"/>
      <c r="E1256"/>
    </row>
    <row r="1257" spans="2:5" x14ac:dyDescent="0.2">
      <c r="B1257"/>
      <c r="E1257"/>
    </row>
    <row r="1258" spans="2:5" x14ac:dyDescent="0.2">
      <c r="B1258"/>
      <c r="E1258"/>
    </row>
    <row r="1259" spans="2:5" x14ac:dyDescent="0.2">
      <c r="B1259"/>
      <c r="E1259"/>
    </row>
    <row r="1260" spans="2:5" x14ac:dyDescent="0.2">
      <c r="B1260"/>
      <c r="E1260"/>
    </row>
    <row r="1261" spans="2:5" x14ac:dyDescent="0.2">
      <c r="B1261"/>
      <c r="E1261"/>
    </row>
    <row r="1262" spans="2:5" x14ac:dyDescent="0.2">
      <c r="B1262"/>
      <c r="E1262"/>
    </row>
    <row r="1263" spans="2:5" x14ac:dyDescent="0.2">
      <c r="B1263"/>
      <c r="E1263"/>
    </row>
    <row r="1264" spans="2:5" x14ac:dyDescent="0.2">
      <c r="B1264"/>
      <c r="E1264"/>
    </row>
    <row r="1265" spans="2:5" x14ac:dyDescent="0.2">
      <c r="B1265"/>
      <c r="E1265"/>
    </row>
    <row r="1266" spans="2:5" x14ac:dyDescent="0.2">
      <c r="B1266"/>
      <c r="E1266"/>
    </row>
    <row r="1267" spans="2:5" x14ac:dyDescent="0.2">
      <c r="B1267"/>
      <c r="E1267"/>
    </row>
    <row r="1268" spans="2:5" x14ac:dyDescent="0.2">
      <c r="B1268"/>
      <c r="E1268"/>
    </row>
    <row r="1269" spans="2:5" x14ac:dyDescent="0.2">
      <c r="B1269"/>
      <c r="E1269"/>
    </row>
    <row r="1270" spans="2:5" x14ac:dyDescent="0.2">
      <c r="B1270"/>
      <c r="E1270"/>
    </row>
    <row r="1271" spans="2:5" x14ac:dyDescent="0.2">
      <c r="B1271"/>
      <c r="E1271"/>
    </row>
    <row r="1272" spans="2:5" x14ac:dyDescent="0.2">
      <c r="B1272"/>
      <c r="E1272"/>
    </row>
    <row r="1273" spans="2:5" x14ac:dyDescent="0.2">
      <c r="B1273"/>
      <c r="E1273"/>
    </row>
    <row r="1274" spans="2:5" x14ac:dyDescent="0.2">
      <c r="B1274"/>
      <c r="E1274"/>
    </row>
    <row r="1275" spans="2:5" x14ac:dyDescent="0.2">
      <c r="B1275"/>
      <c r="E1275"/>
    </row>
    <row r="1276" spans="2:5" x14ac:dyDescent="0.2">
      <c r="B1276"/>
      <c r="E1276"/>
    </row>
    <row r="1277" spans="2:5" x14ac:dyDescent="0.2">
      <c r="B1277"/>
      <c r="E1277"/>
    </row>
    <row r="1278" spans="2:5" x14ac:dyDescent="0.2">
      <c r="B1278"/>
      <c r="E1278"/>
    </row>
    <row r="1279" spans="2:5" x14ac:dyDescent="0.2">
      <c r="B1279"/>
      <c r="E1279"/>
    </row>
    <row r="1280" spans="2:5" x14ac:dyDescent="0.2">
      <c r="B1280"/>
      <c r="E1280"/>
    </row>
    <row r="1281" spans="2:5" x14ac:dyDescent="0.2">
      <c r="B1281"/>
      <c r="E1281"/>
    </row>
    <row r="1282" spans="2:5" x14ac:dyDescent="0.2">
      <c r="B1282"/>
      <c r="E1282"/>
    </row>
    <row r="1283" spans="2:5" x14ac:dyDescent="0.2">
      <c r="B1283"/>
      <c r="E1283"/>
    </row>
    <row r="1284" spans="2:5" x14ac:dyDescent="0.2">
      <c r="B1284"/>
      <c r="E1284"/>
    </row>
    <row r="1285" spans="2:5" x14ac:dyDescent="0.2">
      <c r="B1285"/>
      <c r="E1285"/>
    </row>
    <row r="1286" spans="2:5" x14ac:dyDescent="0.2">
      <c r="B1286"/>
      <c r="E1286"/>
    </row>
    <row r="1287" spans="2:5" x14ac:dyDescent="0.2">
      <c r="B1287"/>
      <c r="E1287"/>
    </row>
    <row r="1288" spans="2:5" x14ac:dyDescent="0.2">
      <c r="B1288"/>
      <c r="E1288"/>
    </row>
    <row r="1289" spans="2:5" x14ac:dyDescent="0.2">
      <c r="B1289"/>
      <c r="E1289"/>
    </row>
    <row r="1290" spans="2:5" x14ac:dyDescent="0.2">
      <c r="B1290"/>
      <c r="E1290"/>
    </row>
    <row r="1291" spans="2:5" x14ac:dyDescent="0.2">
      <c r="B1291"/>
      <c r="E1291"/>
    </row>
    <row r="1292" spans="2:5" x14ac:dyDescent="0.2">
      <c r="B1292"/>
      <c r="E1292"/>
    </row>
    <row r="1293" spans="2:5" x14ac:dyDescent="0.2">
      <c r="B1293"/>
      <c r="E1293"/>
    </row>
    <row r="1294" spans="2:5" x14ac:dyDescent="0.2">
      <c r="B1294"/>
      <c r="E1294"/>
    </row>
    <row r="1295" spans="2:5" x14ac:dyDescent="0.2">
      <c r="B1295"/>
      <c r="E1295"/>
    </row>
    <row r="1296" spans="2:5" x14ac:dyDescent="0.2">
      <c r="B1296"/>
      <c r="E1296"/>
    </row>
    <row r="1297" spans="2:5" x14ac:dyDescent="0.2">
      <c r="B1297"/>
      <c r="E1297"/>
    </row>
    <row r="1298" spans="2:5" x14ac:dyDescent="0.2">
      <c r="B1298"/>
      <c r="E1298"/>
    </row>
    <row r="1299" spans="2:5" x14ac:dyDescent="0.2">
      <c r="B1299"/>
      <c r="E1299"/>
    </row>
    <row r="1300" spans="2:5" x14ac:dyDescent="0.2">
      <c r="B1300"/>
      <c r="E1300"/>
    </row>
    <row r="1301" spans="2:5" x14ac:dyDescent="0.2">
      <c r="B1301"/>
      <c r="E1301"/>
    </row>
    <row r="1302" spans="2:5" x14ac:dyDescent="0.2">
      <c r="B1302"/>
      <c r="E1302"/>
    </row>
    <row r="1303" spans="2:5" x14ac:dyDescent="0.2">
      <c r="B1303"/>
      <c r="E1303"/>
    </row>
    <row r="1304" spans="2:5" x14ac:dyDescent="0.2">
      <c r="B1304"/>
      <c r="E1304"/>
    </row>
    <row r="1305" spans="2:5" x14ac:dyDescent="0.2">
      <c r="B1305"/>
      <c r="E1305"/>
    </row>
    <row r="1306" spans="2:5" x14ac:dyDescent="0.2">
      <c r="B1306"/>
      <c r="E1306"/>
    </row>
    <row r="1307" spans="2:5" x14ac:dyDescent="0.2">
      <c r="B1307"/>
      <c r="E1307"/>
    </row>
    <row r="1308" spans="2:5" x14ac:dyDescent="0.2">
      <c r="B1308"/>
      <c r="E1308"/>
    </row>
    <row r="1309" spans="2:5" x14ac:dyDescent="0.2">
      <c r="B1309"/>
      <c r="E1309"/>
    </row>
    <row r="1310" spans="2:5" x14ac:dyDescent="0.2">
      <c r="B1310"/>
      <c r="E1310"/>
    </row>
    <row r="1311" spans="2:5" x14ac:dyDescent="0.2">
      <c r="B1311"/>
      <c r="E1311"/>
    </row>
    <row r="1312" spans="2:5" x14ac:dyDescent="0.2">
      <c r="B1312"/>
      <c r="E1312"/>
    </row>
    <row r="1313" spans="2:5" x14ac:dyDescent="0.2">
      <c r="B1313"/>
      <c r="E1313"/>
    </row>
    <row r="1314" spans="2:5" x14ac:dyDescent="0.2">
      <c r="B1314"/>
      <c r="E1314"/>
    </row>
    <row r="1315" spans="2:5" x14ac:dyDescent="0.2">
      <c r="B1315"/>
      <c r="E1315"/>
    </row>
    <row r="1316" spans="2:5" x14ac:dyDescent="0.2">
      <c r="B1316"/>
      <c r="E1316"/>
    </row>
    <row r="1317" spans="2:5" x14ac:dyDescent="0.2">
      <c r="B1317"/>
      <c r="E1317"/>
    </row>
    <row r="1318" spans="2:5" x14ac:dyDescent="0.2">
      <c r="B1318"/>
      <c r="E1318"/>
    </row>
    <row r="1319" spans="2:5" x14ac:dyDescent="0.2">
      <c r="B1319"/>
      <c r="E1319"/>
    </row>
    <row r="1320" spans="2:5" x14ac:dyDescent="0.2">
      <c r="B1320"/>
      <c r="E1320"/>
    </row>
    <row r="1321" spans="2:5" x14ac:dyDescent="0.2">
      <c r="B1321"/>
      <c r="E1321"/>
    </row>
    <row r="1322" spans="2:5" x14ac:dyDescent="0.2">
      <c r="B1322"/>
      <c r="E1322"/>
    </row>
    <row r="1323" spans="2:5" x14ac:dyDescent="0.2">
      <c r="B1323"/>
      <c r="E1323"/>
    </row>
    <row r="1324" spans="2:5" x14ac:dyDescent="0.2">
      <c r="B1324"/>
      <c r="E1324"/>
    </row>
    <row r="1325" spans="2:5" x14ac:dyDescent="0.2">
      <c r="B1325"/>
      <c r="E1325"/>
    </row>
    <row r="1326" spans="2:5" x14ac:dyDescent="0.2">
      <c r="B1326"/>
      <c r="E1326"/>
    </row>
    <row r="1327" spans="2:5" x14ac:dyDescent="0.2">
      <c r="B1327"/>
      <c r="E1327"/>
    </row>
    <row r="1328" spans="2:5" x14ac:dyDescent="0.2">
      <c r="B1328"/>
      <c r="E1328"/>
    </row>
    <row r="1329" spans="2:5" x14ac:dyDescent="0.2">
      <c r="B1329"/>
      <c r="E1329"/>
    </row>
    <row r="1330" spans="2:5" x14ac:dyDescent="0.2">
      <c r="B1330"/>
      <c r="E1330"/>
    </row>
    <row r="1331" spans="2:5" x14ac:dyDescent="0.2">
      <c r="B1331"/>
      <c r="E1331"/>
    </row>
    <row r="1332" spans="2:5" x14ac:dyDescent="0.2">
      <c r="B1332"/>
      <c r="E1332"/>
    </row>
    <row r="1333" spans="2:5" x14ac:dyDescent="0.2">
      <c r="B1333"/>
      <c r="E1333"/>
    </row>
    <row r="1334" spans="2:5" x14ac:dyDescent="0.2">
      <c r="B1334"/>
      <c r="E1334"/>
    </row>
    <row r="1335" spans="2:5" x14ac:dyDescent="0.2">
      <c r="B1335"/>
      <c r="E1335"/>
    </row>
    <row r="1336" spans="2:5" x14ac:dyDescent="0.2">
      <c r="B1336"/>
      <c r="E1336"/>
    </row>
    <row r="1337" spans="2:5" x14ac:dyDescent="0.2">
      <c r="B1337"/>
      <c r="E1337"/>
    </row>
    <row r="1338" spans="2:5" x14ac:dyDescent="0.2">
      <c r="B1338"/>
      <c r="E1338"/>
    </row>
    <row r="1339" spans="2:5" x14ac:dyDescent="0.2">
      <c r="B1339"/>
      <c r="E1339"/>
    </row>
    <row r="1340" spans="2:5" x14ac:dyDescent="0.2">
      <c r="B1340"/>
      <c r="E1340"/>
    </row>
    <row r="1341" spans="2:5" x14ac:dyDescent="0.2">
      <c r="B1341"/>
      <c r="E1341"/>
    </row>
    <row r="1342" spans="2:5" x14ac:dyDescent="0.2">
      <c r="B1342"/>
      <c r="E1342"/>
    </row>
    <row r="1343" spans="2:5" x14ac:dyDescent="0.2">
      <c r="B1343"/>
      <c r="E1343"/>
    </row>
    <row r="1344" spans="2:5" x14ac:dyDescent="0.2">
      <c r="B1344"/>
      <c r="E1344"/>
    </row>
    <row r="1345" spans="2:5" x14ac:dyDescent="0.2">
      <c r="B1345"/>
      <c r="E1345"/>
    </row>
    <row r="1346" spans="2:5" x14ac:dyDescent="0.2">
      <c r="B1346"/>
      <c r="E1346"/>
    </row>
    <row r="1347" spans="2:5" x14ac:dyDescent="0.2">
      <c r="B1347"/>
      <c r="E1347"/>
    </row>
    <row r="1348" spans="2:5" x14ac:dyDescent="0.2">
      <c r="B1348"/>
      <c r="E1348"/>
    </row>
    <row r="1349" spans="2:5" x14ac:dyDescent="0.2">
      <c r="B1349"/>
      <c r="E1349"/>
    </row>
    <row r="1350" spans="2:5" x14ac:dyDescent="0.2">
      <c r="B1350"/>
      <c r="E1350"/>
    </row>
    <row r="1351" spans="2:5" x14ac:dyDescent="0.2">
      <c r="B1351"/>
      <c r="E1351"/>
    </row>
    <row r="1352" spans="2:5" x14ac:dyDescent="0.2">
      <c r="B1352"/>
      <c r="E1352"/>
    </row>
    <row r="1353" spans="2:5" x14ac:dyDescent="0.2">
      <c r="B1353"/>
      <c r="E1353"/>
    </row>
    <row r="1354" spans="2:5" x14ac:dyDescent="0.2">
      <c r="B1354"/>
      <c r="E1354"/>
    </row>
    <row r="1355" spans="2:5" x14ac:dyDescent="0.2">
      <c r="B1355"/>
      <c r="E1355"/>
    </row>
    <row r="1356" spans="2:5" x14ac:dyDescent="0.2">
      <c r="B1356"/>
      <c r="E1356"/>
    </row>
    <row r="1357" spans="2:5" x14ac:dyDescent="0.2">
      <c r="B1357"/>
      <c r="E1357"/>
    </row>
    <row r="1358" spans="2:5" x14ac:dyDescent="0.2">
      <c r="B1358"/>
      <c r="E1358"/>
    </row>
    <row r="1359" spans="2:5" x14ac:dyDescent="0.2">
      <c r="B1359"/>
      <c r="E1359"/>
    </row>
    <row r="1360" spans="2:5" x14ac:dyDescent="0.2">
      <c r="B1360"/>
      <c r="E1360"/>
    </row>
    <row r="1361" spans="2:5" x14ac:dyDescent="0.2">
      <c r="B1361"/>
      <c r="E1361"/>
    </row>
    <row r="1362" spans="2:5" x14ac:dyDescent="0.2">
      <c r="B1362"/>
      <c r="E1362"/>
    </row>
    <row r="1363" spans="2:5" x14ac:dyDescent="0.2">
      <c r="B1363"/>
      <c r="E1363"/>
    </row>
    <row r="1364" spans="2:5" x14ac:dyDescent="0.2">
      <c r="B1364"/>
      <c r="E1364"/>
    </row>
    <row r="1365" spans="2:5" x14ac:dyDescent="0.2">
      <c r="B1365"/>
      <c r="E1365"/>
    </row>
    <row r="1366" spans="2:5" x14ac:dyDescent="0.2">
      <c r="B1366"/>
      <c r="E1366"/>
    </row>
    <row r="1367" spans="2:5" x14ac:dyDescent="0.2">
      <c r="B1367"/>
      <c r="E1367"/>
    </row>
    <row r="1368" spans="2:5" x14ac:dyDescent="0.2">
      <c r="B1368"/>
      <c r="E1368"/>
    </row>
    <row r="1369" spans="2:5" x14ac:dyDescent="0.2">
      <c r="B1369"/>
      <c r="E1369"/>
    </row>
    <row r="1370" spans="2:5" x14ac:dyDescent="0.2">
      <c r="B1370"/>
      <c r="E1370"/>
    </row>
    <row r="1371" spans="2:5" x14ac:dyDescent="0.2">
      <c r="B1371"/>
      <c r="E1371"/>
    </row>
    <row r="1372" spans="2:5" x14ac:dyDescent="0.2">
      <c r="B1372"/>
      <c r="E1372"/>
    </row>
    <row r="1373" spans="2:5" x14ac:dyDescent="0.2">
      <c r="B1373"/>
      <c r="E1373"/>
    </row>
    <row r="1374" spans="2:5" x14ac:dyDescent="0.2">
      <c r="B1374"/>
      <c r="E1374"/>
    </row>
    <row r="1375" spans="2:5" x14ac:dyDescent="0.2">
      <c r="B1375"/>
      <c r="E1375"/>
    </row>
    <row r="1376" spans="2:5" x14ac:dyDescent="0.2">
      <c r="B1376"/>
      <c r="E1376"/>
    </row>
    <row r="1377" spans="2:5" x14ac:dyDescent="0.2">
      <c r="B1377"/>
      <c r="E1377"/>
    </row>
    <row r="1378" spans="2:5" x14ac:dyDescent="0.2">
      <c r="B1378"/>
      <c r="E1378"/>
    </row>
    <row r="1379" spans="2:5" x14ac:dyDescent="0.2">
      <c r="B1379"/>
      <c r="E1379"/>
    </row>
    <row r="1380" spans="2:5" x14ac:dyDescent="0.2">
      <c r="B1380"/>
      <c r="E1380"/>
    </row>
    <row r="1381" spans="2:5" x14ac:dyDescent="0.2">
      <c r="B1381"/>
      <c r="E1381"/>
    </row>
    <row r="1382" spans="2:5" x14ac:dyDescent="0.2">
      <c r="B1382"/>
      <c r="E1382"/>
    </row>
    <row r="1383" spans="2:5" x14ac:dyDescent="0.2">
      <c r="B1383"/>
      <c r="E1383"/>
    </row>
    <row r="1384" spans="2:5" x14ac:dyDescent="0.2">
      <c r="B1384"/>
      <c r="E1384"/>
    </row>
    <row r="1385" spans="2:5" x14ac:dyDescent="0.2">
      <c r="B1385"/>
      <c r="E1385"/>
    </row>
    <row r="1386" spans="2:5" x14ac:dyDescent="0.2">
      <c r="B1386"/>
      <c r="E1386"/>
    </row>
    <row r="1387" spans="2:5" x14ac:dyDescent="0.2">
      <c r="B1387"/>
      <c r="E1387"/>
    </row>
    <row r="1388" spans="2:5" x14ac:dyDescent="0.2">
      <c r="B1388"/>
      <c r="E1388"/>
    </row>
    <row r="1389" spans="2:5" x14ac:dyDescent="0.2">
      <c r="B1389"/>
      <c r="E1389"/>
    </row>
    <row r="1390" spans="2:5" x14ac:dyDescent="0.2">
      <c r="B1390"/>
      <c r="E1390"/>
    </row>
    <row r="1391" spans="2:5" x14ac:dyDescent="0.2">
      <c r="B1391"/>
      <c r="E1391"/>
    </row>
    <row r="1392" spans="2:5" x14ac:dyDescent="0.2">
      <c r="B1392"/>
      <c r="E1392"/>
    </row>
    <row r="1393" spans="2:5" x14ac:dyDescent="0.2">
      <c r="B1393"/>
      <c r="E1393"/>
    </row>
    <row r="1394" spans="2:5" x14ac:dyDescent="0.2">
      <c r="B1394"/>
      <c r="E1394"/>
    </row>
    <row r="1395" spans="2:5" x14ac:dyDescent="0.2">
      <c r="B1395"/>
      <c r="E1395"/>
    </row>
    <row r="1396" spans="2:5" x14ac:dyDescent="0.2">
      <c r="B1396"/>
      <c r="E1396"/>
    </row>
    <row r="1397" spans="2:5" x14ac:dyDescent="0.2">
      <c r="B1397"/>
      <c r="E1397"/>
    </row>
    <row r="1398" spans="2:5" x14ac:dyDescent="0.2">
      <c r="B1398"/>
      <c r="E1398"/>
    </row>
    <row r="1399" spans="2:5" x14ac:dyDescent="0.2">
      <c r="B1399"/>
      <c r="E1399"/>
    </row>
    <row r="1400" spans="2:5" x14ac:dyDescent="0.2">
      <c r="B1400"/>
      <c r="E1400"/>
    </row>
    <row r="1401" spans="2:5" x14ac:dyDescent="0.2">
      <c r="B1401"/>
      <c r="E1401"/>
    </row>
    <row r="1402" spans="2:5" x14ac:dyDescent="0.2">
      <c r="B1402"/>
      <c r="E1402"/>
    </row>
    <row r="1403" spans="2:5" x14ac:dyDescent="0.2">
      <c r="B1403"/>
      <c r="E1403"/>
    </row>
    <row r="1404" spans="2:5" x14ac:dyDescent="0.2">
      <c r="B1404"/>
      <c r="E1404"/>
    </row>
    <row r="1405" spans="2:5" x14ac:dyDescent="0.2">
      <c r="B1405"/>
      <c r="E1405"/>
    </row>
    <row r="1406" spans="2:5" x14ac:dyDescent="0.2">
      <c r="B1406"/>
      <c r="E1406"/>
    </row>
    <row r="1407" spans="2:5" x14ac:dyDescent="0.2">
      <c r="B1407"/>
      <c r="E1407"/>
    </row>
    <row r="1408" spans="2:5" x14ac:dyDescent="0.2">
      <c r="B1408"/>
      <c r="E1408"/>
    </row>
    <row r="1409" spans="2:5" x14ac:dyDescent="0.2">
      <c r="B1409"/>
      <c r="E1409"/>
    </row>
    <row r="1410" spans="2:5" x14ac:dyDescent="0.2">
      <c r="B1410"/>
      <c r="E1410"/>
    </row>
    <row r="1411" spans="2:5" x14ac:dyDescent="0.2">
      <c r="B1411"/>
      <c r="E1411"/>
    </row>
    <row r="1412" spans="2:5" x14ac:dyDescent="0.2">
      <c r="B1412"/>
      <c r="E1412"/>
    </row>
    <row r="1413" spans="2:5" x14ac:dyDescent="0.2">
      <c r="B1413"/>
      <c r="E1413"/>
    </row>
    <row r="1414" spans="2:5" x14ac:dyDescent="0.2">
      <c r="B1414"/>
      <c r="E1414"/>
    </row>
    <row r="1415" spans="2:5" x14ac:dyDescent="0.2">
      <c r="B1415"/>
      <c r="E1415"/>
    </row>
    <row r="1416" spans="2:5" x14ac:dyDescent="0.2">
      <c r="B1416"/>
      <c r="E1416"/>
    </row>
    <row r="1417" spans="2:5" x14ac:dyDescent="0.2">
      <c r="B1417"/>
      <c r="E1417"/>
    </row>
    <row r="1418" spans="2:5" x14ac:dyDescent="0.2">
      <c r="B1418"/>
      <c r="E1418"/>
    </row>
    <row r="1419" spans="2:5" x14ac:dyDescent="0.2">
      <c r="B1419"/>
      <c r="E1419"/>
    </row>
    <row r="1420" spans="2:5" x14ac:dyDescent="0.2">
      <c r="B1420"/>
      <c r="E1420"/>
    </row>
    <row r="1421" spans="2:5" x14ac:dyDescent="0.2">
      <c r="B1421"/>
      <c r="E1421"/>
    </row>
    <row r="1422" spans="2:5" x14ac:dyDescent="0.2">
      <c r="B1422"/>
      <c r="E1422"/>
    </row>
    <row r="1423" spans="2:5" x14ac:dyDescent="0.2">
      <c r="B1423"/>
      <c r="E1423"/>
    </row>
    <row r="1424" spans="2:5" x14ac:dyDescent="0.2">
      <c r="B1424"/>
      <c r="E1424"/>
    </row>
    <row r="1425" spans="2:5" x14ac:dyDescent="0.2">
      <c r="B1425"/>
      <c r="E1425"/>
    </row>
    <row r="1426" spans="2:5" x14ac:dyDescent="0.2">
      <c r="B1426"/>
      <c r="E1426"/>
    </row>
    <row r="1427" spans="2:5" x14ac:dyDescent="0.2">
      <c r="B1427"/>
      <c r="E1427"/>
    </row>
    <row r="1428" spans="2:5" x14ac:dyDescent="0.2">
      <c r="B1428"/>
      <c r="E1428"/>
    </row>
    <row r="1429" spans="2:5" x14ac:dyDescent="0.2">
      <c r="B1429"/>
      <c r="E1429"/>
    </row>
    <row r="1430" spans="2:5" x14ac:dyDescent="0.2">
      <c r="B1430"/>
      <c r="E1430"/>
    </row>
    <row r="1431" spans="2:5" x14ac:dyDescent="0.2">
      <c r="B1431"/>
      <c r="E1431"/>
    </row>
    <row r="1432" spans="2:5" x14ac:dyDescent="0.2">
      <c r="B1432"/>
      <c r="E1432"/>
    </row>
    <row r="1433" spans="2:5" x14ac:dyDescent="0.2">
      <c r="B1433"/>
      <c r="E1433"/>
    </row>
    <row r="1434" spans="2:5" x14ac:dyDescent="0.2">
      <c r="B1434"/>
      <c r="E1434"/>
    </row>
    <row r="1435" spans="2:5" x14ac:dyDescent="0.2">
      <c r="B1435"/>
      <c r="E1435"/>
    </row>
    <row r="1436" spans="2:5" x14ac:dyDescent="0.2">
      <c r="B1436"/>
      <c r="E1436"/>
    </row>
    <row r="1437" spans="2:5" x14ac:dyDescent="0.2">
      <c r="B1437"/>
      <c r="E1437"/>
    </row>
    <row r="1438" spans="2:5" x14ac:dyDescent="0.2">
      <c r="B1438"/>
      <c r="E1438"/>
    </row>
    <row r="1439" spans="2:5" x14ac:dyDescent="0.2">
      <c r="B1439"/>
      <c r="E1439"/>
    </row>
    <row r="1440" spans="2:5" x14ac:dyDescent="0.2">
      <c r="B1440"/>
      <c r="E1440"/>
    </row>
    <row r="1441" spans="2:5" x14ac:dyDescent="0.2">
      <c r="B1441"/>
      <c r="E1441"/>
    </row>
    <row r="1442" spans="2:5" x14ac:dyDescent="0.2">
      <c r="B1442"/>
      <c r="E1442"/>
    </row>
    <row r="1443" spans="2:5" x14ac:dyDescent="0.2">
      <c r="B1443"/>
      <c r="E1443"/>
    </row>
    <row r="1444" spans="2:5" x14ac:dyDescent="0.2">
      <c r="B1444"/>
      <c r="E1444"/>
    </row>
    <row r="1445" spans="2:5" x14ac:dyDescent="0.2">
      <c r="B1445"/>
      <c r="E1445"/>
    </row>
    <row r="1446" spans="2:5" x14ac:dyDescent="0.2">
      <c r="B1446"/>
      <c r="E1446"/>
    </row>
    <row r="1447" spans="2:5" x14ac:dyDescent="0.2">
      <c r="B1447"/>
      <c r="E1447"/>
    </row>
    <row r="1448" spans="2:5" x14ac:dyDescent="0.2">
      <c r="B1448"/>
      <c r="E1448"/>
    </row>
    <row r="1449" spans="2:5" x14ac:dyDescent="0.2">
      <c r="B1449"/>
      <c r="E1449"/>
    </row>
    <row r="1450" spans="2:5" x14ac:dyDescent="0.2">
      <c r="B1450"/>
      <c r="E1450"/>
    </row>
    <row r="1451" spans="2:5" x14ac:dyDescent="0.2">
      <c r="B1451"/>
      <c r="E1451"/>
    </row>
    <row r="1452" spans="2:5" x14ac:dyDescent="0.2">
      <c r="B1452"/>
      <c r="E1452"/>
    </row>
    <row r="1453" spans="2:5" x14ac:dyDescent="0.2">
      <c r="B1453"/>
      <c r="E1453"/>
    </row>
    <row r="1454" spans="2:5" x14ac:dyDescent="0.2">
      <c r="B1454"/>
      <c r="E1454"/>
    </row>
    <row r="1455" spans="2:5" x14ac:dyDescent="0.2">
      <c r="B1455"/>
      <c r="E1455"/>
    </row>
    <row r="1456" spans="2:5" x14ac:dyDescent="0.2">
      <c r="B1456"/>
      <c r="E1456"/>
    </row>
    <row r="1457" spans="2:5" x14ac:dyDescent="0.2">
      <c r="B1457"/>
      <c r="E1457"/>
    </row>
    <row r="1458" spans="2:5" x14ac:dyDescent="0.2">
      <c r="B1458"/>
      <c r="E1458"/>
    </row>
    <row r="1459" spans="2:5" x14ac:dyDescent="0.2">
      <c r="B1459"/>
      <c r="E1459"/>
    </row>
    <row r="1460" spans="2:5" x14ac:dyDescent="0.2">
      <c r="B1460"/>
      <c r="E1460"/>
    </row>
    <row r="1461" spans="2:5" x14ac:dyDescent="0.2">
      <c r="B1461"/>
      <c r="E1461"/>
    </row>
    <row r="1462" spans="2:5" x14ac:dyDescent="0.2">
      <c r="B1462"/>
      <c r="E1462"/>
    </row>
    <row r="1463" spans="2:5" x14ac:dyDescent="0.2">
      <c r="B1463"/>
      <c r="E1463"/>
    </row>
    <row r="1464" spans="2:5" x14ac:dyDescent="0.2">
      <c r="B1464"/>
      <c r="E1464"/>
    </row>
    <row r="1465" spans="2:5" x14ac:dyDescent="0.2">
      <c r="B1465"/>
      <c r="E1465"/>
    </row>
    <row r="1466" spans="2:5" x14ac:dyDescent="0.2">
      <c r="B1466"/>
      <c r="E1466"/>
    </row>
    <row r="1467" spans="2:5" x14ac:dyDescent="0.2">
      <c r="B1467"/>
      <c r="E1467"/>
    </row>
    <row r="1468" spans="2:5" x14ac:dyDescent="0.2">
      <c r="B1468"/>
      <c r="E1468"/>
    </row>
    <row r="1469" spans="2:5" x14ac:dyDescent="0.2">
      <c r="B1469"/>
      <c r="E1469"/>
    </row>
    <row r="1470" spans="2:5" x14ac:dyDescent="0.2">
      <c r="B1470"/>
      <c r="E1470"/>
    </row>
    <row r="1471" spans="2:5" x14ac:dyDescent="0.2">
      <c r="B1471"/>
      <c r="E1471"/>
    </row>
    <row r="1472" spans="2:5" x14ac:dyDescent="0.2">
      <c r="B1472"/>
      <c r="E1472"/>
    </row>
    <row r="1473" spans="2:5" x14ac:dyDescent="0.2">
      <c r="B1473"/>
      <c r="E1473"/>
    </row>
    <row r="1474" spans="2:5" x14ac:dyDescent="0.2">
      <c r="B1474"/>
      <c r="E1474"/>
    </row>
    <row r="1475" spans="2:5" x14ac:dyDescent="0.2">
      <c r="B1475"/>
      <c r="E1475"/>
    </row>
    <row r="1476" spans="2:5" x14ac:dyDescent="0.2">
      <c r="B1476"/>
      <c r="E1476"/>
    </row>
    <row r="1477" spans="2:5" x14ac:dyDescent="0.2">
      <c r="B1477"/>
      <c r="E1477"/>
    </row>
    <row r="1478" spans="2:5" x14ac:dyDescent="0.2">
      <c r="B1478"/>
      <c r="E1478"/>
    </row>
    <row r="1479" spans="2:5" x14ac:dyDescent="0.2">
      <c r="B1479"/>
      <c r="E1479"/>
    </row>
    <row r="1480" spans="2:5" x14ac:dyDescent="0.2">
      <c r="B1480"/>
      <c r="E1480"/>
    </row>
    <row r="1481" spans="2:5" x14ac:dyDescent="0.2">
      <c r="B1481"/>
      <c r="E1481"/>
    </row>
    <row r="1482" spans="2:5" x14ac:dyDescent="0.2">
      <c r="B1482"/>
      <c r="E1482"/>
    </row>
    <row r="1483" spans="2:5" x14ac:dyDescent="0.2">
      <c r="B1483"/>
      <c r="E1483"/>
    </row>
    <row r="1484" spans="2:5" x14ac:dyDescent="0.2">
      <c r="B1484"/>
      <c r="E1484"/>
    </row>
    <row r="1485" spans="2:5" x14ac:dyDescent="0.2">
      <c r="B1485"/>
      <c r="E1485"/>
    </row>
    <row r="1486" spans="2:5" x14ac:dyDescent="0.2">
      <c r="B1486"/>
      <c r="E1486"/>
    </row>
    <row r="1487" spans="2:5" x14ac:dyDescent="0.2">
      <c r="B1487"/>
      <c r="E1487"/>
    </row>
    <row r="1488" spans="2:5" x14ac:dyDescent="0.2">
      <c r="B1488"/>
      <c r="E1488"/>
    </row>
    <row r="1489" spans="2:5" x14ac:dyDescent="0.2">
      <c r="B1489"/>
      <c r="E1489"/>
    </row>
    <row r="1490" spans="2:5" x14ac:dyDescent="0.2">
      <c r="B1490"/>
      <c r="E1490"/>
    </row>
    <row r="1491" spans="2:5" x14ac:dyDescent="0.2">
      <c r="B1491"/>
      <c r="E1491"/>
    </row>
    <row r="1492" spans="2:5" x14ac:dyDescent="0.2">
      <c r="B1492"/>
      <c r="E1492"/>
    </row>
    <row r="1493" spans="2:5" x14ac:dyDescent="0.2">
      <c r="B1493"/>
      <c r="E1493"/>
    </row>
    <row r="1494" spans="2:5" x14ac:dyDescent="0.2">
      <c r="B1494"/>
      <c r="E1494"/>
    </row>
    <row r="1495" spans="2:5" x14ac:dyDescent="0.2">
      <c r="B1495"/>
      <c r="E1495"/>
    </row>
    <row r="1496" spans="2:5" x14ac:dyDescent="0.2">
      <c r="B1496"/>
      <c r="E1496"/>
    </row>
    <row r="1497" spans="2:5" x14ac:dyDescent="0.2">
      <c r="B1497"/>
      <c r="E1497"/>
    </row>
    <row r="1498" spans="2:5" x14ac:dyDescent="0.2">
      <c r="B1498"/>
      <c r="E1498"/>
    </row>
    <row r="1499" spans="2:5" x14ac:dyDescent="0.2">
      <c r="B1499"/>
      <c r="E1499"/>
    </row>
    <row r="1500" spans="2:5" x14ac:dyDescent="0.2">
      <c r="B1500"/>
      <c r="E1500"/>
    </row>
    <row r="1501" spans="2:5" x14ac:dyDescent="0.2">
      <c r="B1501"/>
      <c r="E1501"/>
    </row>
    <row r="1502" spans="2:5" x14ac:dyDescent="0.2">
      <c r="B1502"/>
      <c r="E1502"/>
    </row>
    <row r="1503" spans="2:5" x14ac:dyDescent="0.2">
      <c r="B1503"/>
      <c r="E1503"/>
    </row>
    <row r="1504" spans="2:5" x14ac:dyDescent="0.2">
      <c r="B1504"/>
      <c r="E1504"/>
    </row>
    <row r="1505" spans="2:5" x14ac:dyDescent="0.2">
      <c r="B1505"/>
      <c r="E1505"/>
    </row>
    <row r="1506" spans="2:5" x14ac:dyDescent="0.2">
      <c r="B1506"/>
      <c r="E1506"/>
    </row>
    <row r="1507" spans="2:5" x14ac:dyDescent="0.2">
      <c r="B1507"/>
      <c r="E1507"/>
    </row>
    <row r="1508" spans="2:5" x14ac:dyDescent="0.2">
      <c r="B1508"/>
      <c r="E1508"/>
    </row>
    <row r="1509" spans="2:5" x14ac:dyDescent="0.2">
      <c r="B1509"/>
      <c r="E1509"/>
    </row>
    <row r="1510" spans="2:5" x14ac:dyDescent="0.2">
      <c r="B1510"/>
      <c r="E1510"/>
    </row>
    <row r="1511" spans="2:5" x14ac:dyDescent="0.2">
      <c r="B1511"/>
      <c r="E1511"/>
    </row>
    <row r="1512" spans="2:5" x14ac:dyDescent="0.2">
      <c r="B1512"/>
      <c r="E1512"/>
    </row>
    <row r="1513" spans="2:5" x14ac:dyDescent="0.2">
      <c r="B1513"/>
      <c r="E1513"/>
    </row>
    <row r="1514" spans="2:5" x14ac:dyDescent="0.2">
      <c r="B1514"/>
      <c r="E1514"/>
    </row>
    <row r="1515" spans="2:5" x14ac:dyDescent="0.2">
      <c r="B1515"/>
      <c r="E1515"/>
    </row>
    <row r="1516" spans="2:5" x14ac:dyDescent="0.2">
      <c r="B1516"/>
      <c r="E1516"/>
    </row>
    <row r="1517" spans="2:5" x14ac:dyDescent="0.2">
      <c r="B1517"/>
      <c r="E1517"/>
    </row>
    <row r="1518" spans="2:5" x14ac:dyDescent="0.2">
      <c r="B1518"/>
      <c r="E1518"/>
    </row>
    <row r="1519" spans="2:5" x14ac:dyDescent="0.2">
      <c r="B1519"/>
      <c r="E1519"/>
    </row>
    <row r="1520" spans="2:5" x14ac:dyDescent="0.2">
      <c r="B1520"/>
      <c r="E1520"/>
    </row>
    <row r="1521" spans="2:5" x14ac:dyDescent="0.2">
      <c r="B1521"/>
      <c r="E1521"/>
    </row>
    <row r="1522" spans="2:5" x14ac:dyDescent="0.2">
      <c r="B1522"/>
      <c r="E1522"/>
    </row>
    <row r="1523" spans="2:5" x14ac:dyDescent="0.2">
      <c r="B1523"/>
      <c r="E1523"/>
    </row>
    <row r="1524" spans="2:5" x14ac:dyDescent="0.2">
      <c r="B1524"/>
      <c r="E1524"/>
    </row>
    <row r="1525" spans="2:5" x14ac:dyDescent="0.2">
      <c r="B1525"/>
      <c r="E1525"/>
    </row>
    <row r="1526" spans="2:5" x14ac:dyDescent="0.2">
      <c r="B1526"/>
      <c r="E1526"/>
    </row>
    <row r="1527" spans="2:5" x14ac:dyDescent="0.2">
      <c r="B1527"/>
      <c r="E1527"/>
    </row>
    <row r="1528" spans="2:5" x14ac:dyDescent="0.2">
      <c r="B1528"/>
      <c r="E1528"/>
    </row>
    <row r="1529" spans="2:5" x14ac:dyDescent="0.2">
      <c r="B1529"/>
      <c r="E1529"/>
    </row>
    <row r="1530" spans="2:5" x14ac:dyDescent="0.2">
      <c r="B1530"/>
      <c r="E1530"/>
    </row>
    <row r="1531" spans="2:5" x14ac:dyDescent="0.2">
      <c r="B1531"/>
      <c r="E1531"/>
    </row>
    <row r="1532" spans="2:5" x14ac:dyDescent="0.2">
      <c r="B1532"/>
      <c r="E1532"/>
    </row>
    <row r="1533" spans="2:5" x14ac:dyDescent="0.2">
      <c r="B1533"/>
      <c r="E1533"/>
    </row>
    <row r="1534" spans="2:5" x14ac:dyDescent="0.2">
      <c r="B1534"/>
      <c r="E1534"/>
    </row>
    <row r="1535" spans="2:5" x14ac:dyDescent="0.2">
      <c r="B1535"/>
      <c r="E1535"/>
    </row>
    <row r="1536" spans="2:5" x14ac:dyDescent="0.2">
      <c r="B1536"/>
      <c r="E1536"/>
    </row>
    <row r="1537" spans="2:5" x14ac:dyDescent="0.2">
      <c r="B1537"/>
      <c r="E1537"/>
    </row>
    <row r="1538" spans="2:5" x14ac:dyDescent="0.2">
      <c r="B1538"/>
      <c r="E1538"/>
    </row>
    <row r="1539" spans="2:5" x14ac:dyDescent="0.2">
      <c r="B1539"/>
      <c r="E1539"/>
    </row>
    <row r="1540" spans="2:5" x14ac:dyDescent="0.2">
      <c r="B1540"/>
      <c r="E1540"/>
    </row>
    <row r="1541" spans="2:5" x14ac:dyDescent="0.2">
      <c r="B1541"/>
      <c r="E1541"/>
    </row>
    <row r="1542" spans="2:5" x14ac:dyDescent="0.2">
      <c r="B1542"/>
      <c r="E1542"/>
    </row>
    <row r="1543" spans="2:5" x14ac:dyDescent="0.2">
      <c r="B1543"/>
      <c r="E1543"/>
    </row>
    <row r="1544" spans="2:5" x14ac:dyDescent="0.2">
      <c r="B1544"/>
      <c r="E1544"/>
    </row>
    <row r="1545" spans="2:5" x14ac:dyDescent="0.2">
      <c r="B1545"/>
      <c r="E1545"/>
    </row>
    <row r="1546" spans="2:5" x14ac:dyDescent="0.2">
      <c r="B1546"/>
      <c r="E1546"/>
    </row>
    <row r="1547" spans="2:5" x14ac:dyDescent="0.2">
      <c r="B1547"/>
      <c r="E1547"/>
    </row>
    <row r="1548" spans="2:5" x14ac:dyDescent="0.2">
      <c r="B1548"/>
      <c r="E1548"/>
    </row>
    <row r="1549" spans="2:5" x14ac:dyDescent="0.2">
      <c r="B1549"/>
      <c r="E1549"/>
    </row>
    <row r="1550" spans="2:5" x14ac:dyDescent="0.2">
      <c r="B1550"/>
      <c r="E1550"/>
    </row>
    <row r="1551" spans="2:5" x14ac:dyDescent="0.2">
      <c r="B1551"/>
      <c r="E1551"/>
    </row>
    <row r="1552" spans="2:5" x14ac:dyDescent="0.2">
      <c r="B1552"/>
      <c r="E1552"/>
    </row>
    <row r="1553" spans="2:5" x14ac:dyDescent="0.2">
      <c r="B1553"/>
      <c r="E1553"/>
    </row>
    <row r="1554" spans="2:5" x14ac:dyDescent="0.2">
      <c r="B1554"/>
      <c r="E1554"/>
    </row>
    <row r="1555" spans="2:5" x14ac:dyDescent="0.2">
      <c r="B1555"/>
      <c r="E1555"/>
    </row>
    <row r="1556" spans="2:5" x14ac:dyDescent="0.2">
      <c r="B1556"/>
      <c r="E1556"/>
    </row>
    <row r="1557" spans="2:5" x14ac:dyDescent="0.2">
      <c r="B1557"/>
      <c r="E1557"/>
    </row>
    <row r="1558" spans="2:5" x14ac:dyDescent="0.2">
      <c r="B1558"/>
      <c r="E1558"/>
    </row>
    <row r="1559" spans="2:5" x14ac:dyDescent="0.2">
      <c r="B1559"/>
      <c r="E1559"/>
    </row>
    <row r="1560" spans="2:5" x14ac:dyDescent="0.2">
      <c r="B1560"/>
      <c r="E1560"/>
    </row>
    <row r="1561" spans="2:5" x14ac:dyDescent="0.2">
      <c r="B1561"/>
      <c r="E1561"/>
    </row>
    <row r="1562" spans="2:5" x14ac:dyDescent="0.2">
      <c r="B1562"/>
      <c r="E1562"/>
    </row>
    <row r="1563" spans="2:5" x14ac:dyDescent="0.2">
      <c r="B1563"/>
      <c r="E1563"/>
    </row>
    <row r="1564" spans="2:5" x14ac:dyDescent="0.2">
      <c r="B1564"/>
      <c r="E1564"/>
    </row>
    <row r="1565" spans="2:5" x14ac:dyDescent="0.2">
      <c r="B1565"/>
      <c r="E1565"/>
    </row>
    <row r="1566" spans="2:5" x14ac:dyDescent="0.2">
      <c r="B1566"/>
      <c r="E1566"/>
    </row>
    <row r="1567" spans="2:5" x14ac:dyDescent="0.2">
      <c r="B1567"/>
      <c r="E1567"/>
    </row>
    <row r="1568" spans="2:5" x14ac:dyDescent="0.2">
      <c r="B1568"/>
      <c r="E1568"/>
    </row>
    <row r="1569" spans="2:5" x14ac:dyDescent="0.2">
      <c r="B1569"/>
      <c r="E1569"/>
    </row>
    <row r="1570" spans="2:5" x14ac:dyDescent="0.2">
      <c r="B1570"/>
      <c r="E1570"/>
    </row>
    <row r="1571" spans="2:5" x14ac:dyDescent="0.2">
      <c r="B1571"/>
      <c r="E1571"/>
    </row>
    <row r="1572" spans="2:5" x14ac:dyDescent="0.2">
      <c r="B1572"/>
      <c r="E1572"/>
    </row>
    <row r="1573" spans="2:5" x14ac:dyDescent="0.2">
      <c r="B1573"/>
      <c r="E1573"/>
    </row>
    <row r="1574" spans="2:5" x14ac:dyDescent="0.2">
      <c r="B1574"/>
      <c r="E1574"/>
    </row>
    <row r="1575" spans="2:5" x14ac:dyDescent="0.2">
      <c r="B1575"/>
      <c r="E1575"/>
    </row>
    <row r="1576" spans="2:5" x14ac:dyDescent="0.2">
      <c r="B1576"/>
      <c r="E1576"/>
    </row>
    <row r="1577" spans="2:5" x14ac:dyDescent="0.2">
      <c r="B1577"/>
      <c r="E1577"/>
    </row>
    <row r="1578" spans="2:5" x14ac:dyDescent="0.2">
      <c r="B1578"/>
      <c r="E1578"/>
    </row>
    <row r="1579" spans="2:5" x14ac:dyDescent="0.2">
      <c r="B1579"/>
      <c r="E1579"/>
    </row>
    <row r="1580" spans="2:5" x14ac:dyDescent="0.2">
      <c r="B1580"/>
      <c r="E1580"/>
    </row>
    <row r="1581" spans="2:5" x14ac:dyDescent="0.2">
      <c r="B1581"/>
      <c r="E1581"/>
    </row>
    <row r="1582" spans="2:5" x14ac:dyDescent="0.2">
      <c r="B1582"/>
      <c r="E1582"/>
    </row>
    <row r="1583" spans="2:5" x14ac:dyDescent="0.2">
      <c r="B1583"/>
      <c r="E1583"/>
    </row>
    <row r="1584" spans="2:5" x14ac:dyDescent="0.2">
      <c r="B1584"/>
      <c r="E1584"/>
    </row>
    <row r="1585" spans="2:5" x14ac:dyDescent="0.2">
      <c r="B1585"/>
      <c r="E1585"/>
    </row>
    <row r="1586" spans="2:5" x14ac:dyDescent="0.2">
      <c r="B1586"/>
      <c r="E1586"/>
    </row>
    <row r="1587" spans="2:5" x14ac:dyDescent="0.2">
      <c r="B1587"/>
      <c r="E1587"/>
    </row>
    <row r="1588" spans="2:5" x14ac:dyDescent="0.2">
      <c r="B1588"/>
      <c r="E1588"/>
    </row>
    <row r="1589" spans="2:5" x14ac:dyDescent="0.2">
      <c r="B1589"/>
      <c r="E1589"/>
    </row>
    <row r="1590" spans="2:5" x14ac:dyDescent="0.2">
      <c r="B1590"/>
      <c r="E1590"/>
    </row>
    <row r="1591" spans="2:5" x14ac:dyDescent="0.2">
      <c r="B1591"/>
      <c r="E1591"/>
    </row>
    <row r="1592" spans="2:5" x14ac:dyDescent="0.2">
      <c r="B1592"/>
      <c r="E1592"/>
    </row>
    <row r="1593" spans="2:5" x14ac:dyDescent="0.2">
      <c r="B1593"/>
      <c r="E1593"/>
    </row>
    <row r="1594" spans="2:5" x14ac:dyDescent="0.2">
      <c r="B1594"/>
      <c r="E1594"/>
    </row>
    <row r="1595" spans="2:5" x14ac:dyDescent="0.2">
      <c r="B1595"/>
      <c r="E1595"/>
    </row>
    <row r="1596" spans="2:5" x14ac:dyDescent="0.2">
      <c r="B1596"/>
      <c r="E1596"/>
    </row>
    <row r="1597" spans="2:5" x14ac:dyDescent="0.2">
      <c r="B1597"/>
      <c r="E1597"/>
    </row>
    <row r="1598" spans="2:5" x14ac:dyDescent="0.2">
      <c r="B1598"/>
      <c r="E1598"/>
    </row>
    <row r="1599" spans="2:5" x14ac:dyDescent="0.2">
      <c r="B1599"/>
      <c r="E1599"/>
    </row>
    <row r="1600" spans="2:5" x14ac:dyDescent="0.2">
      <c r="B1600"/>
      <c r="E1600"/>
    </row>
    <row r="1601" spans="2:5" x14ac:dyDescent="0.2">
      <c r="B1601"/>
      <c r="E1601"/>
    </row>
    <row r="1602" spans="2:5" x14ac:dyDescent="0.2">
      <c r="B1602"/>
      <c r="E1602"/>
    </row>
    <row r="1603" spans="2:5" x14ac:dyDescent="0.2">
      <c r="B1603"/>
      <c r="E1603"/>
    </row>
    <row r="1604" spans="2:5" x14ac:dyDescent="0.2">
      <c r="B1604"/>
      <c r="E1604"/>
    </row>
    <row r="1605" spans="2:5" x14ac:dyDescent="0.2">
      <c r="B1605"/>
      <c r="E1605"/>
    </row>
    <row r="1606" spans="2:5" x14ac:dyDescent="0.2">
      <c r="B1606"/>
      <c r="E1606"/>
    </row>
    <row r="1607" spans="2:5" x14ac:dyDescent="0.2">
      <c r="B1607"/>
      <c r="E1607"/>
    </row>
    <row r="1608" spans="2:5" x14ac:dyDescent="0.2">
      <c r="B1608"/>
      <c r="E1608"/>
    </row>
    <row r="1609" spans="2:5" x14ac:dyDescent="0.2">
      <c r="B1609"/>
      <c r="E1609"/>
    </row>
    <row r="1610" spans="2:5" x14ac:dyDescent="0.2">
      <c r="B1610"/>
      <c r="E1610"/>
    </row>
    <row r="1611" spans="2:5" x14ac:dyDescent="0.2">
      <c r="B1611"/>
      <c r="E1611"/>
    </row>
    <row r="1612" spans="2:5" x14ac:dyDescent="0.2">
      <c r="B1612"/>
      <c r="E1612"/>
    </row>
    <row r="1613" spans="2:5" x14ac:dyDescent="0.2">
      <c r="B1613"/>
      <c r="E1613"/>
    </row>
    <row r="1614" spans="2:5" x14ac:dyDescent="0.2">
      <c r="B1614"/>
      <c r="E1614"/>
    </row>
    <row r="1615" spans="2:5" x14ac:dyDescent="0.2">
      <c r="B1615"/>
      <c r="E1615"/>
    </row>
    <row r="1616" spans="2:5" x14ac:dyDescent="0.2">
      <c r="B1616"/>
      <c r="E1616"/>
    </row>
    <row r="1617" spans="2:5" x14ac:dyDescent="0.2">
      <c r="B1617"/>
      <c r="E1617"/>
    </row>
    <row r="1618" spans="2:5" x14ac:dyDescent="0.2">
      <c r="B1618"/>
      <c r="E1618"/>
    </row>
    <row r="1619" spans="2:5" x14ac:dyDescent="0.2">
      <c r="B1619"/>
      <c r="E1619"/>
    </row>
    <row r="1620" spans="2:5" x14ac:dyDescent="0.2">
      <c r="B1620"/>
      <c r="E1620"/>
    </row>
    <row r="1621" spans="2:5" x14ac:dyDescent="0.2">
      <c r="B1621"/>
      <c r="E1621"/>
    </row>
    <row r="1622" spans="2:5" x14ac:dyDescent="0.2">
      <c r="B1622"/>
      <c r="E1622"/>
    </row>
    <row r="1623" spans="2:5" x14ac:dyDescent="0.2">
      <c r="B1623"/>
      <c r="E1623"/>
    </row>
    <row r="1624" spans="2:5" x14ac:dyDescent="0.2">
      <c r="B1624"/>
      <c r="E1624"/>
    </row>
    <row r="1625" spans="2:5" x14ac:dyDescent="0.2">
      <c r="B1625"/>
      <c r="E1625"/>
    </row>
    <row r="1626" spans="2:5" x14ac:dyDescent="0.2">
      <c r="B1626"/>
      <c r="E1626"/>
    </row>
    <row r="1627" spans="2:5" x14ac:dyDescent="0.2">
      <c r="B1627"/>
      <c r="E1627"/>
    </row>
    <row r="1628" spans="2:5" x14ac:dyDescent="0.2">
      <c r="B1628"/>
      <c r="E1628"/>
    </row>
    <row r="1629" spans="2:5" x14ac:dyDescent="0.2">
      <c r="B1629"/>
      <c r="E1629"/>
    </row>
    <row r="1630" spans="2:5" x14ac:dyDescent="0.2">
      <c r="B1630"/>
      <c r="E1630"/>
    </row>
    <row r="1631" spans="2:5" x14ac:dyDescent="0.2">
      <c r="B1631"/>
      <c r="E1631"/>
    </row>
    <row r="1632" spans="2:5" x14ac:dyDescent="0.2">
      <c r="B1632"/>
      <c r="E1632"/>
    </row>
    <row r="1633" spans="2:5" x14ac:dyDescent="0.2">
      <c r="B1633"/>
      <c r="E1633"/>
    </row>
    <row r="1634" spans="2:5" x14ac:dyDescent="0.2">
      <c r="B1634"/>
      <c r="E1634"/>
    </row>
    <row r="1635" spans="2:5" x14ac:dyDescent="0.2">
      <c r="B1635"/>
      <c r="E1635"/>
    </row>
    <row r="1636" spans="2:5" x14ac:dyDescent="0.2">
      <c r="B1636"/>
      <c r="E1636"/>
    </row>
    <row r="1637" spans="2:5" x14ac:dyDescent="0.2">
      <c r="B1637"/>
      <c r="E1637"/>
    </row>
    <row r="1638" spans="2:5" x14ac:dyDescent="0.2">
      <c r="B1638"/>
      <c r="E1638"/>
    </row>
    <row r="1639" spans="2:5" x14ac:dyDescent="0.2">
      <c r="B1639"/>
      <c r="E1639"/>
    </row>
    <row r="1640" spans="2:5" x14ac:dyDescent="0.2">
      <c r="B1640"/>
      <c r="E1640"/>
    </row>
    <row r="1641" spans="2:5" x14ac:dyDescent="0.2">
      <c r="B1641"/>
      <c r="E1641"/>
    </row>
    <row r="1642" spans="2:5" x14ac:dyDescent="0.2">
      <c r="B1642"/>
      <c r="E1642"/>
    </row>
    <row r="1643" spans="2:5" x14ac:dyDescent="0.2">
      <c r="B1643"/>
      <c r="E1643"/>
    </row>
    <row r="1644" spans="2:5" x14ac:dyDescent="0.2">
      <c r="B1644"/>
      <c r="E1644"/>
    </row>
    <row r="1645" spans="2:5" x14ac:dyDescent="0.2">
      <c r="B1645"/>
      <c r="E1645"/>
    </row>
    <row r="1646" spans="2:5" x14ac:dyDescent="0.2">
      <c r="B1646"/>
      <c r="E1646"/>
    </row>
    <row r="1647" spans="2:5" x14ac:dyDescent="0.2">
      <c r="B1647"/>
      <c r="E1647"/>
    </row>
    <row r="1648" spans="2:5" x14ac:dyDescent="0.2">
      <c r="B1648"/>
      <c r="E1648"/>
    </row>
    <row r="1649" spans="2:5" x14ac:dyDescent="0.2">
      <c r="B1649"/>
      <c r="E1649"/>
    </row>
    <row r="1650" spans="2:5" x14ac:dyDescent="0.2">
      <c r="B1650"/>
      <c r="E1650"/>
    </row>
    <row r="1651" spans="2:5" x14ac:dyDescent="0.2">
      <c r="B1651"/>
      <c r="E1651"/>
    </row>
    <row r="1652" spans="2:5" x14ac:dyDescent="0.2">
      <c r="B1652"/>
      <c r="E1652"/>
    </row>
    <row r="1653" spans="2:5" x14ac:dyDescent="0.2">
      <c r="B1653"/>
      <c r="E1653"/>
    </row>
    <row r="1654" spans="2:5" x14ac:dyDescent="0.2">
      <c r="B1654"/>
      <c r="E1654"/>
    </row>
    <row r="1655" spans="2:5" x14ac:dyDescent="0.2">
      <c r="B1655"/>
      <c r="E1655"/>
    </row>
    <row r="1656" spans="2:5" x14ac:dyDescent="0.2">
      <c r="B1656"/>
      <c r="E1656"/>
    </row>
    <row r="1657" spans="2:5" x14ac:dyDescent="0.2">
      <c r="B1657"/>
      <c r="E1657"/>
    </row>
    <row r="1658" spans="2:5" x14ac:dyDescent="0.2">
      <c r="B1658"/>
      <c r="E1658"/>
    </row>
    <row r="1659" spans="2:5" x14ac:dyDescent="0.2">
      <c r="B1659"/>
      <c r="E1659"/>
    </row>
    <row r="1660" spans="2:5" x14ac:dyDescent="0.2">
      <c r="B1660"/>
      <c r="E1660"/>
    </row>
    <row r="1661" spans="2:5" x14ac:dyDescent="0.2">
      <c r="B1661"/>
      <c r="E1661"/>
    </row>
    <row r="1662" spans="2:5" x14ac:dyDescent="0.2">
      <c r="B1662"/>
      <c r="E1662"/>
    </row>
    <row r="1663" spans="2:5" x14ac:dyDescent="0.2">
      <c r="B1663"/>
      <c r="E1663"/>
    </row>
    <row r="1664" spans="2:5" x14ac:dyDescent="0.2">
      <c r="B1664"/>
      <c r="E1664"/>
    </row>
    <row r="1665" spans="2:5" x14ac:dyDescent="0.2">
      <c r="B1665"/>
      <c r="E1665"/>
    </row>
    <row r="1666" spans="2:5" x14ac:dyDescent="0.2">
      <c r="B1666"/>
      <c r="E1666"/>
    </row>
    <row r="1667" spans="2:5" x14ac:dyDescent="0.2">
      <c r="B1667"/>
      <c r="E1667"/>
    </row>
    <row r="1668" spans="2:5" x14ac:dyDescent="0.2">
      <c r="B1668"/>
      <c r="E1668"/>
    </row>
    <row r="1669" spans="2:5" x14ac:dyDescent="0.2">
      <c r="B1669"/>
      <c r="E1669"/>
    </row>
    <row r="1670" spans="2:5" x14ac:dyDescent="0.2">
      <c r="B1670"/>
      <c r="E1670"/>
    </row>
    <row r="1671" spans="2:5" x14ac:dyDescent="0.2">
      <c r="B1671"/>
      <c r="E1671"/>
    </row>
    <row r="1672" spans="2:5" x14ac:dyDescent="0.2">
      <c r="B1672"/>
      <c r="E1672"/>
    </row>
    <row r="1673" spans="2:5" x14ac:dyDescent="0.2">
      <c r="B1673"/>
      <c r="E1673"/>
    </row>
    <row r="1674" spans="2:5" x14ac:dyDescent="0.2">
      <c r="B1674"/>
      <c r="E1674"/>
    </row>
    <row r="1675" spans="2:5" x14ac:dyDescent="0.2">
      <c r="B1675"/>
      <c r="E1675"/>
    </row>
    <row r="1676" spans="2:5" x14ac:dyDescent="0.2">
      <c r="B1676"/>
      <c r="E1676"/>
    </row>
    <row r="1677" spans="2:5" x14ac:dyDescent="0.2">
      <c r="B1677"/>
      <c r="E1677"/>
    </row>
    <row r="1678" spans="2:5" x14ac:dyDescent="0.2">
      <c r="B1678"/>
      <c r="E1678"/>
    </row>
    <row r="1679" spans="2:5" x14ac:dyDescent="0.2">
      <c r="B1679"/>
      <c r="E1679"/>
    </row>
    <row r="1680" spans="2:5" x14ac:dyDescent="0.2">
      <c r="B1680"/>
      <c r="E1680"/>
    </row>
    <row r="1681" spans="2:5" x14ac:dyDescent="0.2">
      <c r="B1681"/>
      <c r="E1681"/>
    </row>
    <row r="1682" spans="2:5" x14ac:dyDescent="0.2">
      <c r="B1682"/>
      <c r="E1682"/>
    </row>
    <row r="1683" spans="2:5" x14ac:dyDescent="0.2">
      <c r="B1683"/>
      <c r="E1683"/>
    </row>
    <row r="1684" spans="2:5" x14ac:dyDescent="0.2">
      <c r="B1684"/>
      <c r="E1684"/>
    </row>
    <row r="1685" spans="2:5" x14ac:dyDescent="0.2">
      <c r="B1685"/>
      <c r="E1685"/>
    </row>
    <row r="1686" spans="2:5" x14ac:dyDescent="0.2">
      <c r="B1686"/>
      <c r="E1686"/>
    </row>
    <row r="1687" spans="2:5" x14ac:dyDescent="0.2">
      <c r="B1687"/>
      <c r="E1687"/>
    </row>
    <row r="1688" spans="2:5" x14ac:dyDescent="0.2">
      <c r="B1688"/>
      <c r="E1688"/>
    </row>
    <row r="1689" spans="2:5" x14ac:dyDescent="0.2">
      <c r="B1689"/>
      <c r="E1689"/>
    </row>
    <row r="1690" spans="2:5" x14ac:dyDescent="0.2">
      <c r="B1690"/>
      <c r="E1690"/>
    </row>
    <row r="1691" spans="2:5" x14ac:dyDescent="0.2">
      <c r="B1691"/>
      <c r="E1691"/>
    </row>
    <row r="1692" spans="2:5" x14ac:dyDescent="0.2">
      <c r="B1692"/>
      <c r="E1692"/>
    </row>
    <row r="1693" spans="2:5" x14ac:dyDescent="0.2">
      <c r="B1693"/>
      <c r="E1693"/>
    </row>
    <row r="1694" spans="2:5" x14ac:dyDescent="0.2">
      <c r="B1694"/>
      <c r="E1694"/>
    </row>
    <row r="1695" spans="2:5" x14ac:dyDescent="0.2">
      <c r="B1695"/>
      <c r="E1695"/>
    </row>
    <row r="1696" spans="2:5" x14ac:dyDescent="0.2">
      <c r="B1696"/>
      <c r="E1696"/>
    </row>
    <row r="1697" spans="2:5" x14ac:dyDescent="0.2">
      <c r="B1697"/>
      <c r="E1697"/>
    </row>
    <row r="1698" spans="2:5" x14ac:dyDescent="0.2">
      <c r="B1698"/>
      <c r="E1698"/>
    </row>
    <row r="1699" spans="2:5" x14ac:dyDescent="0.2">
      <c r="B1699"/>
      <c r="E1699"/>
    </row>
    <row r="1700" spans="2:5" x14ac:dyDescent="0.2">
      <c r="B1700"/>
      <c r="E1700"/>
    </row>
    <row r="1701" spans="2:5" x14ac:dyDescent="0.2">
      <c r="B1701"/>
      <c r="E1701"/>
    </row>
    <row r="1702" spans="2:5" x14ac:dyDescent="0.2">
      <c r="B1702"/>
      <c r="E1702"/>
    </row>
    <row r="1703" spans="2:5" x14ac:dyDescent="0.2">
      <c r="B1703"/>
      <c r="E1703"/>
    </row>
    <row r="1704" spans="2:5" x14ac:dyDescent="0.2">
      <c r="B1704"/>
      <c r="E1704"/>
    </row>
    <row r="1705" spans="2:5" x14ac:dyDescent="0.2">
      <c r="B1705"/>
      <c r="E1705"/>
    </row>
    <row r="1706" spans="2:5" x14ac:dyDescent="0.2">
      <c r="B1706"/>
      <c r="E1706"/>
    </row>
    <row r="1707" spans="2:5" x14ac:dyDescent="0.2">
      <c r="B1707"/>
      <c r="E1707"/>
    </row>
    <row r="1708" spans="2:5" x14ac:dyDescent="0.2">
      <c r="B1708"/>
      <c r="E1708"/>
    </row>
    <row r="1709" spans="2:5" x14ac:dyDescent="0.2">
      <c r="B1709"/>
      <c r="E1709"/>
    </row>
    <row r="1710" spans="2:5" x14ac:dyDescent="0.2">
      <c r="B1710"/>
      <c r="E1710"/>
    </row>
    <row r="1711" spans="2:5" x14ac:dyDescent="0.2">
      <c r="B1711"/>
      <c r="E1711"/>
    </row>
    <row r="1712" spans="2:5" x14ac:dyDescent="0.2">
      <c r="B1712"/>
      <c r="E1712"/>
    </row>
    <row r="1713" spans="2:5" x14ac:dyDescent="0.2">
      <c r="B1713"/>
      <c r="E1713"/>
    </row>
    <row r="1714" spans="2:5" x14ac:dyDescent="0.2">
      <c r="B1714"/>
      <c r="E1714"/>
    </row>
    <row r="1715" spans="2:5" x14ac:dyDescent="0.2">
      <c r="B1715"/>
      <c r="E1715"/>
    </row>
    <row r="1716" spans="2:5" x14ac:dyDescent="0.2">
      <c r="B1716"/>
      <c r="E1716"/>
    </row>
    <row r="1717" spans="2:5" x14ac:dyDescent="0.2">
      <c r="B1717"/>
      <c r="E1717"/>
    </row>
    <row r="1718" spans="2:5" x14ac:dyDescent="0.2">
      <c r="B1718"/>
      <c r="E1718"/>
    </row>
    <row r="1719" spans="2:5" x14ac:dyDescent="0.2">
      <c r="B1719"/>
      <c r="E1719"/>
    </row>
    <row r="1720" spans="2:5" x14ac:dyDescent="0.2">
      <c r="B1720"/>
      <c r="E1720"/>
    </row>
    <row r="1721" spans="2:5" x14ac:dyDescent="0.2">
      <c r="B1721"/>
      <c r="E1721"/>
    </row>
    <row r="1722" spans="2:5" x14ac:dyDescent="0.2">
      <c r="B1722"/>
      <c r="E1722"/>
    </row>
    <row r="1723" spans="2:5" x14ac:dyDescent="0.2">
      <c r="B1723"/>
      <c r="E1723"/>
    </row>
    <row r="1724" spans="2:5" x14ac:dyDescent="0.2">
      <c r="B1724"/>
      <c r="E1724"/>
    </row>
    <row r="1725" spans="2:5" x14ac:dyDescent="0.2">
      <c r="B1725"/>
      <c r="E1725"/>
    </row>
    <row r="1726" spans="2:5" x14ac:dyDescent="0.2">
      <c r="B1726"/>
      <c r="E1726"/>
    </row>
    <row r="1727" spans="2:5" x14ac:dyDescent="0.2">
      <c r="B1727"/>
      <c r="E1727"/>
    </row>
    <row r="1728" spans="2:5" x14ac:dyDescent="0.2">
      <c r="B1728"/>
      <c r="E1728"/>
    </row>
    <row r="1729" spans="2:5" x14ac:dyDescent="0.2">
      <c r="B1729"/>
      <c r="E1729"/>
    </row>
    <row r="1730" spans="2:5" x14ac:dyDescent="0.2">
      <c r="B1730"/>
      <c r="E1730"/>
    </row>
    <row r="1731" spans="2:5" x14ac:dyDescent="0.2">
      <c r="B1731"/>
      <c r="E1731"/>
    </row>
    <row r="1732" spans="2:5" x14ac:dyDescent="0.2">
      <c r="B1732"/>
      <c r="E1732"/>
    </row>
    <row r="1733" spans="2:5" x14ac:dyDescent="0.2">
      <c r="B1733"/>
      <c r="E1733"/>
    </row>
    <row r="1734" spans="2:5" x14ac:dyDescent="0.2">
      <c r="B1734"/>
      <c r="E1734"/>
    </row>
    <row r="1735" spans="2:5" x14ac:dyDescent="0.2">
      <c r="B1735"/>
      <c r="E1735"/>
    </row>
    <row r="1736" spans="2:5" x14ac:dyDescent="0.2">
      <c r="B1736"/>
      <c r="E1736"/>
    </row>
    <row r="1737" spans="2:5" x14ac:dyDescent="0.2">
      <c r="B1737"/>
      <c r="E1737"/>
    </row>
    <row r="1738" spans="2:5" x14ac:dyDescent="0.2">
      <c r="B1738"/>
      <c r="E1738"/>
    </row>
    <row r="1739" spans="2:5" x14ac:dyDescent="0.2">
      <c r="B1739"/>
      <c r="E1739"/>
    </row>
    <row r="1740" spans="2:5" x14ac:dyDescent="0.2">
      <c r="B1740"/>
      <c r="E1740"/>
    </row>
    <row r="1741" spans="2:5" x14ac:dyDescent="0.2">
      <c r="B1741"/>
      <c r="E1741"/>
    </row>
    <row r="1742" spans="2:5" x14ac:dyDescent="0.2">
      <c r="B1742"/>
      <c r="E1742"/>
    </row>
    <row r="1743" spans="2:5" x14ac:dyDescent="0.2">
      <c r="B1743"/>
      <c r="E1743"/>
    </row>
    <row r="1744" spans="2:5" x14ac:dyDescent="0.2">
      <c r="B1744"/>
      <c r="E1744"/>
    </row>
    <row r="1745" spans="2:5" x14ac:dyDescent="0.2">
      <c r="B1745"/>
      <c r="E1745"/>
    </row>
    <row r="1746" spans="2:5" x14ac:dyDescent="0.2">
      <c r="B1746"/>
      <c r="E1746"/>
    </row>
    <row r="1747" spans="2:5" x14ac:dyDescent="0.2">
      <c r="B1747"/>
      <c r="E1747"/>
    </row>
    <row r="1748" spans="2:5" x14ac:dyDescent="0.2">
      <c r="B1748"/>
      <c r="E1748"/>
    </row>
    <row r="1749" spans="2:5" x14ac:dyDescent="0.2">
      <c r="B1749"/>
      <c r="E1749"/>
    </row>
    <row r="1750" spans="2:5" x14ac:dyDescent="0.2">
      <c r="B1750"/>
      <c r="E1750"/>
    </row>
    <row r="1751" spans="2:5" x14ac:dyDescent="0.2">
      <c r="B1751"/>
      <c r="E1751"/>
    </row>
    <row r="1752" spans="2:5" x14ac:dyDescent="0.2">
      <c r="B1752"/>
      <c r="E1752"/>
    </row>
    <row r="1753" spans="2:5" x14ac:dyDescent="0.2">
      <c r="B1753"/>
      <c r="E1753"/>
    </row>
    <row r="1754" spans="2:5" x14ac:dyDescent="0.2">
      <c r="B1754"/>
      <c r="E1754"/>
    </row>
    <row r="1755" spans="2:5" x14ac:dyDescent="0.2">
      <c r="B1755"/>
      <c r="E1755"/>
    </row>
    <row r="1756" spans="2:5" x14ac:dyDescent="0.2">
      <c r="B1756"/>
      <c r="E1756"/>
    </row>
    <row r="1757" spans="2:5" x14ac:dyDescent="0.2">
      <c r="B1757"/>
      <c r="E1757"/>
    </row>
    <row r="1758" spans="2:5" x14ac:dyDescent="0.2">
      <c r="B1758"/>
      <c r="E1758"/>
    </row>
    <row r="1759" spans="2:5" x14ac:dyDescent="0.2">
      <c r="B1759"/>
      <c r="E1759"/>
    </row>
    <row r="1760" spans="2:5" x14ac:dyDescent="0.2">
      <c r="B1760"/>
      <c r="E1760"/>
    </row>
    <row r="1761" spans="2:5" x14ac:dyDescent="0.2">
      <c r="B1761"/>
      <c r="E1761"/>
    </row>
    <row r="1762" spans="2:5" x14ac:dyDescent="0.2">
      <c r="B1762"/>
      <c r="E1762"/>
    </row>
    <row r="1763" spans="2:5" x14ac:dyDescent="0.2">
      <c r="B1763"/>
      <c r="E1763"/>
    </row>
    <row r="1764" spans="2:5" x14ac:dyDescent="0.2">
      <c r="B1764"/>
      <c r="E1764"/>
    </row>
    <row r="1765" spans="2:5" x14ac:dyDescent="0.2">
      <c r="B1765"/>
      <c r="E1765"/>
    </row>
    <row r="1766" spans="2:5" x14ac:dyDescent="0.2">
      <c r="B1766"/>
      <c r="E1766"/>
    </row>
    <row r="1767" spans="2:5" x14ac:dyDescent="0.2">
      <c r="B1767"/>
      <c r="E1767"/>
    </row>
    <row r="1768" spans="2:5" x14ac:dyDescent="0.2">
      <c r="B1768"/>
      <c r="E1768"/>
    </row>
    <row r="1769" spans="2:5" x14ac:dyDescent="0.2">
      <c r="B1769"/>
      <c r="E1769"/>
    </row>
    <row r="1770" spans="2:5" x14ac:dyDescent="0.2">
      <c r="B1770"/>
      <c r="E1770"/>
    </row>
    <row r="1771" spans="2:5" x14ac:dyDescent="0.2">
      <c r="B1771"/>
      <c r="E1771"/>
    </row>
    <row r="1772" spans="2:5" x14ac:dyDescent="0.2">
      <c r="B1772"/>
      <c r="E1772"/>
    </row>
    <row r="1773" spans="2:5" x14ac:dyDescent="0.2">
      <c r="B1773"/>
      <c r="E1773"/>
    </row>
    <row r="1774" spans="2:5" x14ac:dyDescent="0.2">
      <c r="B1774"/>
      <c r="E1774"/>
    </row>
    <row r="1775" spans="2:5" x14ac:dyDescent="0.2">
      <c r="B1775"/>
      <c r="E1775"/>
    </row>
    <row r="1776" spans="2:5" x14ac:dyDescent="0.2">
      <c r="B1776"/>
      <c r="E1776"/>
    </row>
    <row r="1777" spans="2:5" x14ac:dyDescent="0.2">
      <c r="B1777"/>
      <c r="E1777"/>
    </row>
    <row r="1778" spans="2:5" x14ac:dyDescent="0.2">
      <c r="B1778"/>
      <c r="E1778"/>
    </row>
    <row r="1779" spans="2:5" x14ac:dyDescent="0.2">
      <c r="B1779"/>
      <c r="E1779"/>
    </row>
    <row r="1780" spans="2:5" x14ac:dyDescent="0.2">
      <c r="B1780"/>
      <c r="E1780"/>
    </row>
    <row r="1781" spans="2:5" x14ac:dyDescent="0.2">
      <c r="B1781"/>
      <c r="E1781"/>
    </row>
    <row r="1782" spans="2:5" x14ac:dyDescent="0.2">
      <c r="B1782"/>
      <c r="E1782"/>
    </row>
    <row r="1783" spans="2:5" x14ac:dyDescent="0.2">
      <c r="B1783"/>
      <c r="E1783"/>
    </row>
    <row r="1784" spans="2:5" x14ac:dyDescent="0.2">
      <c r="B1784"/>
      <c r="E1784"/>
    </row>
    <row r="1785" spans="2:5" x14ac:dyDescent="0.2">
      <c r="B1785"/>
      <c r="E1785"/>
    </row>
    <row r="1786" spans="2:5" x14ac:dyDescent="0.2">
      <c r="B1786"/>
      <c r="E1786"/>
    </row>
    <row r="1787" spans="2:5" x14ac:dyDescent="0.2">
      <c r="B1787"/>
      <c r="E1787"/>
    </row>
    <row r="1788" spans="2:5" x14ac:dyDescent="0.2">
      <c r="B1788"/>
      <c r="E1788"/>
    </row>
    <row r="1789" spans="2:5" x14ac:dyDescent="0.2">
      <c r="B1789"/>
      <c r="E1789"/>
    </row>
    <row r="1790" spans="2:5" x14ac:dyDescent="0.2">
      <c r="B1790"/>
      <c r="E1790"/>
    </row>
    <row r="1791" spans="2:5" x14ac:dyDescent="0.2">
      <c r="B1791"/>
      <c r="E1791"/>
    </row>
    <row r="1792" spans="2:5" x14ac:dyDescent="0.2">
      <c r="B1792"/>
      <c r="E1792"/>
    </row>
    <row r="1793" spans="2:5" x14ac:dyDescent="0.2">
      <c r="B1793"/>
      <c r="E1793"/>
    </row>
    <row r="1794" spans="2:5" x14ac:dyDescent="0.2">
      <c r="B1794"/>
      <c r="E1794"/>
    </row>
    <row r="1795" spans="2:5" x14ac:dyDescent="0.2">
      <c r="B1795"/>
      <c r="E1795"/>
    </row>
    <row r="1796" spans="2:5" x14ac:dyDescent="0.2">
      <c r="B1796"/>
      <c r="E1796"/>
    </row>
    <row r="1797" spans="2:5" x14ac:dyDescent="0.2">
      <c r="B1797"/>
      <c r="E1797"/>
    </row>
    <row r="1798" spans="2:5" x14ac:dyDescent="0.2">
      <c r="B1798"/>
      <c r="E1798"/>
    </row>
    <row r="1799" spans="2:5" x14ac:dyDescent="0.2">
      <c r="B1799"/>
      <c r="E1799"/>
    </row>
    <row r="1800" spans="2:5" x14ac:dyDescent="0.2">
      <c r="B1800"/>
      <c r="E1800"/>
    </row>
    <row r="1801" spans="2:5" x14ac:dyDescent="0.2">
      <c r="B1801"/>
      <c r="E1801"/>
    </row>
    <row r="1802" spans="2:5" x14ac:dyDescent="0.2">
      <c r="B1802"/>
      <c r="E1802"/>
    </row>
    <row r="1803" spans="2:5" x14ac:dyDescent="0.2">
      <c r="B1803"/>
      <c r="E1803"/>
    </row>
    <row r="1804" spans="2:5" x14ac:dyDescent="0.2">
      <c r="B1804"/>
      <c r="E1804"/>
    </row>
    <row r="1805" spans="2:5" x14ac:dyDescent="0.2">
      <c r="B1805"/>
      <c r="E1805"/>
    </row>
    <row r="1806" spans="2:5" x14ac:dyDescent="0.2">
      <c r="B1806"/>
      <c r="E1806"/>
    </row>
    <row r="1807" spans="2:5" x14ac:dyDescent="0.2">
      <c r="B1807"/>
      <c r="E1807"/>
    </row>
    <row r="1808" spans="2:5" x14ac:dyDescent="0.2">
      <c r="B1808"/>
      <c r="E1808"/>
    </row>
    <row r="1809" spans="2:5" x14ac:dyDescent="0.2">
      <c r="B1809"/>
      <c r="E1809"/>
    </row>
    <row r="1810" spans="2:5" x14ac:dyDescent="0.2">
      <c r="B1810"/>
      <c r="E1810"/>
    </row>
    <row r="1811" spans="2:5" x14ac:dyDescent="0.2">
      <c r="B1811"/>
      <c r="E1811"/>
    </row>
    <row r="1812" spans="2:5" x14ac:dyDescent="0.2">
      <c r="B1812"/>
      <c r="E1812"/>
    </row>
    <row r="1813" spans="2:5" x14ac:dyDescent="0.2">
      <c r="B1813"/>
      <c r="E1813"/>
    </row>
    <row r="1814" spans="2:5" x14ac:dyDescent="0.2">
      <c r="B1814"/>
      <c r="E1814"/>
    </row>
    <row r="1815" spans="2:5" x14ac:dyDescent="0.2">
      <c r="B1815"/>
      <c r="E1815"/>
    </row>
    <row r="1816" spans="2:5" x14ac:dyDescent="0.2">
      <c r="B1816"/>
      <c r="E1816"/>
    </row>
    <row r="1817" spans="2:5" x14ac:dyDescent="0.2">
      <c r="B1817"/>
      <c r="E1817"/>
    </row>
    <row r="1818" spans="2:5" x14ac:dyDescent="0.2">
      <c r="B1818"/>
      <c r="E1818"/>
    </row>
    <row r="1819" spans="2:5" x14ac:dyDescent="0.2">
      <c r="B1819"/>
      <c r="E1819"/>
    </row>
    <row r="1820" spans="2:5" x14ac:dyDescent="0.2">
      <c r="B1820"/>
      <c r="E1820"/>
    </row>
    <row r="1821" spans="2:5" x14ac:dyDescent="0.2">
      <c r="B1821"/>
      <c r="E1821"/>
    </row>
    <row r="1822" spans="2:5" x14ac:dyDescent="0.2">
      <c r="B1822"/>
      <c r="E1822"/>
    </row>
    <row r="1823" spans="2:5" x14ac:dyDescent="0.2">
      <c r="B1823"/>
      <c r="E1823"/>
    </row>
    <row r="1824" spans="2:5" x14ac:dyDescent="0.2">
      <c r="B1824"/>
      <c r="E1824"/>
    </row>
    <row r="1825" spans="2:5" x14ac:dyDescent="0.2">
      <c r="B1825"/>
      <c r="E1825"/>
    </row>
    <row r="1826" spans="2:5" x14ac:dyDescent="0.2">
      <c r="B1826"/>
      <c r="E1826"/>
    </row>
    <row r="1827" spans="2:5" x14ac:dyDescent="0.2">
      <c r="B1827"/>
      <c r="E1827"/>
    </row>
    <row r="1828" spans="2:5" x14ac:dyDescent="0.2">
      <c r="B1828"/>
      <c r="E1828"/>
    </row>
    <row r="1829" spans="2:5" x14ac:dyDescent="0.2">
      <c r="B1829"/>
      <c r="E1829"/>
    </row>
    <row r="1830" spans="2:5" x14ac:dyDescent="0.2">
      <c r="B1830"/>
      <c r="E1830"/>
    </row>
    <row r="1831" spans="2:5" x14ac:dyDescent="0.2">
      <c r="B1831"/>
      <c r="E1831"/>
    </row>
    <row r="1832" spans="2:5" x14ac:dyDescent="0.2">
      <c r="B1832"/>
      <c r="E1832"/>
    </row>
    <row r="1833" spans="2:5" x14ac:dyDescent="0.2">
      <c r="B1833"/>
      <c r="E1833"/>
    </row>
    <row r="1834" spans="2:5" x14ac:dyDescent="0.2">
      <c r="B1834"/>
      <c r="E1834"/>
    </row>
    <row r="1835" spans="2:5" x14ac:dyDescent="0.2">
      <c r="B1835"/>
      <c r="E1835"/>
    </row>
    <row r="1836" spans="2:5" x14ac:dyDescent="0.2">
      <c r="B1836"/>
      <c r="E1836"/>
    </row>
    <row r="1837" spans="2:5" x14ac:dyDescent="0.2">
      <c r="B1837"/>
      <c r="E1837"/>
    </row>
    <row r="1838" spans="2:5" x14ac:dyDescent="0.2">
      <c r="B1838"/>
      <c r="E1838"/>
    </row>
    <row r="1839" spans="2:5" x14ac:dyDescent="0.2">
      <c r="B1839"/>
      <c r="E1839"/>
    </row>
    <row r="1840" spans="2:5" x14ac:dyDescent="0.2">
      <c r="B1840"/>
      <c r="E1840"/>
    </row>
    <row r="1841" spans="2:5" x14ac:dyDescent="0.2">
      <c r="B1841"/>
      <c r="E1841"/>
    </row>
    <row r="1842" spans="2:5" x14ac:dyDescent="0.2">
      <c r="B1842"/>
      <c r="E1842"/>
    </row>
    <row r="1843" spans="2:5" x14ac:dyDescent="0.2">
      <c r="B1843"/>
      <c r="E1843"/>
    </row>
    <row r="1844" spans="2:5" x14ac:dyDescent="0.2">
      <c r="B1844"/>
      <c r="E1844"/>
    </row>
    <row r="1845" spans="2:5" x14ac:dyDescent="0.2">
      <c r="B1845"/>
      <c r="E1845"/>
    </row>
    <row r="1846" spans="2:5" x14ac:dyDescent="0.2">
      <c r="B1846"/>
      <c r="E1846"/>
    </row>
    <row r="1847" spans="2:5" x14ac:dyDescent="0.2">
      <c r="B1847"/>
      <c r="E1847"/>
    </row>
    <row r="1848" spans="2:5" x14ac:dyDescent="0.2">
      <c r="B1848"/>
      <c r="E1848"/>
    </row>
    <row r="1849" spans="2:5" x14ac:dyDescent="0.2">
      <c r="B1849"/>
      <c r="E1849"/>
    </row>
    <row r="1850" spans="2:5" x14ac:dyDescent="0.2">
      <c r="B1850"/>
      <c r="E1850"/>
    </row>
    <row r="1851" spans="2:5" x14ac:dyDescent="0.2">
      <c r="B1851"/>
      <c r="E1851"/>
    </row>
    <row r="1852" spans="2:5" x14ac:dyDescent="0.2">
      <c r="B1852"/>
      <c r="E1852"/>
    </row>
    <row r="1853" spans="2:5" x14ac:dyDescent="0.2">
      <c r="B1853"/>
      <c r="E1853"/>
    </row>
    <row r="1854" spans="2:5" x14ac:dyDescent="0.2">
      <c r="B1854"/>
      <c r="E1854"/>
    </row>
    <row r="1855" spans="2:5" x14ac:dyDescent="0.2">
      <c r="B1855"/>
      <c r="E1855"/>
    </row>
    <row r="1856" spans="2:5" x14ac:dyDescent="0.2">
      <c r="B1856"/>
      <c r="E1856"/>
    </row>
    <row r="1857" spans="2:5" x14ac:dyDescent="0.2">
      <c r="B1857"/>
      <c r="E1857"/>
    </row>
    <row r="1858" spans="2:5" x14ac:dyDescent="0.2">
      <c r="B1858"/>
      <c r="E1858"/>
    </row>
    <row r="1859" spans="2:5" x14ac:dyDescent="0.2">
      <c r="B1859"/>
      <c r="E1859"/>
    </row>
    <row r="1860" spans="2:5" x14ac:dyDescent="0.2">
      <c r="B1860"/>
      <c r="E1860"/>
    </row>
    <row r="1861" spans="2:5" x14ac:dyDescent="0.2">
      <c r="B1861"/>
      <c r="E1861"/>
    </row>
    <row r="1862" spans="2:5" x14ac:dyDescent="0.2">
      <c r="B1862"/>
      <c r="E1862"/>
    </row>
    <row r="1863" spans="2:5" x14ac:dyDescent="0.2">
      <c r="B1863"/>
      <c r="E1863"/>
    </row>
    <row r="1864" spans="2:5" x14ac:dyDescent="0.2">
      <c r="B1864"/>
      <c r="E1864"/>
    </row>
    <row r="1865" spans="2:5" x14ac:dyDescent="0.2">
      <c r="B1865"/>
      <c r="E1865"/>
    </row>
    <row r="1866" spans="2:5" x14ac:dyDescent="0.2">
      <c r="B1866"/>
      <c r="E1866"/>
    </row>
    <row r="1867" spans="2:5" x14ac:dyDescent="0.2">
      <c r="B1867"/>
      <c r="E1867"/>
    </row>
    <row r="1868" spans="2:5" x14ac:dyDescent="0.2">
      <c r="B1868"/>
      <c r="E1868"/>
    </row>
    <row r="1869" spans="2:5" x14ac:dyDescent="0.2">
      <c r="B1869"/>
      <c r="E1869"/>
    </row>
    <row r="1870" spans="2:5" x14ac:dyDescent="0.2">
      <c r="B1870"/>
      <c r="E1870"/>
    </row>
    <row r="1871" spans="2:5" x14ac:dyDescent="0.2">
      <c r="B1871"/>
      <c r="E1871"/>
    </row>
    <row r="1872" spans="2:5" x14ac:dyDescent="0.2">
      <c r="B1872"/>
      <c r="E1872"/>
    </row>
    <row r="1873" spans="2:5" x14ac:dyDescent="0.2">
      <c r="B1873"/>
      <c r="E1873"/>
    </row>
    <row r="1874" spans="2:5" x14ac:dyDescent="0.2">
      <c r="B1874"/>
      <c r="E1874"/>
    </row>
    <row r="1875" spans="2:5" x14ac:dyDescent="0.2">
      <c r="B1875"/>
      <c r="E1875"/>
    </row>
    <row r="1876" spans="2:5" x14ac:dyDescent="0.2">
      <c r="B1876"/>
      <c r="E1876"/>
    </row>
    <row r="1877" spans="2:5" x14ac:dyDescent="0.2">
      <c r="B1877"/>
      <c r="E1877"/>
    </row>
    <row r="1878" spans="2:5" x14ac:dyDescent="0.2">
      <c r="B1878"/>
      <c r="E1878"/>
    </row>
    <row r="1879" spans="2:5" x14ac:dyDescent="0.2">
      <c r="B1879"/>
      <c r="E1879"/>
    </row>
    <row r="1880" spans="2:5" x14ac:dyDescent="0.2">
      <c r="B1880"/>
      <c r="E1880"/>
    </row>
    <row r="1881" spans="2:5" x14ac:dyDescent="0.2">
      <c r="B1881"/>
      <c r="E1881"/>
    </row>
    <row r="1882" spans="2:5" x14ac:dyDescent="0.2">
      <c r="B1882"/>
      <c r="E1882"/>
    </row>
    <row r="1883" spans="2:5" x14ac:dyDescent="0.2">
      <c r="B1883"/>
      <c r="E1883"/>
    </row>
    <row r="1884" spans="2:5" x14ac:dyDescent="0.2">
      <c r="B1884"/>
      <c r="E1884"/>
    </row>
    <row r="1885" spans="2:5" x14ac:dyDescent="0.2">
      <c r="B1885"/>
      <c r="E1885"/>
    </row>
    <row r="1886" spans="2:5" x14ac:dyDescent="0.2">
      <c r="B1886"/>
      <c r="E1886"/>
    </row>
    <row r="1887" spans="2:5" x14ac:dyDescent="0.2">
      <c r="B1887"/>
      <c r="E1887"/>
    </row>
    <row r="1888" spans="2:5" x14ac:dyDescent="0.2">
      <c r="B1888"/>
      <c r="E1888"/>
    </row>
    <row r="1889" spans="2:5" x14ac:dyDescent="0.2">
      <c r="B1889"/>
      <c r="E1889"/>
    </row>
    <row r="1890" spans="2:5" x14ac:dyDescent="0.2">
      <c r="B1890"/>
      <c r="E1890"/>
    </row>
    <row r="1891" spans="2:5" x14ac:dyDescent="0.2">
      <c r="B1891"/>
      <c r="E1891"/>
    </row>
    <row r="1892" spans="2:5" x14ac:dyDescent="0.2">
      <c r="B1892"/>
      <c r="E1892"/>
    </row>
    <row r="1893" spans="2:5" x14ac:dyDescent="0.2">
      <c r="B1893"/>
      <c r="E1893"/>
    </row>
    <row r="1894" spans="2:5" x14ac:dyDescent="0.2">
      <c r="B1894"/>
      <c r="E1894"/>
    </row>
    <row r="1895" spans="2:5" x14ac:dyDescent="0.2">
      <c r="B1895"/>
      <c r="E1895"/>
    </row>
    <row r="1896" spans="2:5" x14ac:dyDescent="0.2">
      <c r="B1896"/>
      <c r="E1896"/>
    </row>
    <row r="1897" spans="2:5" x14ac:dyDescent="0.2">
      <c r="B1897"/>
      <c r="E1897"/>
    </row>
    <row r="1898" spans="2:5" x14ac:dyDescent="0.2">
      <c r="B1898"/>
      <c r="E1898"/>
    </row>
    <row r="1899" spans="2:5" x14ac:dyDescent="0.2">
      <c r="B1899"/>
      <c r="E1899"/>
    </row>
    <row r="1900" spans="2:5" x14ac:dyDescent="0.2">
      <c r="B1900"/>
      <c r="E1900"/>
    </row>
    <row r="1901" spans="2:5" x14ac:dyDescent="0.2">
      <c r="B1901"/>
      <c r="E1901"/>
    </row>
    <row r="1902" spans="2:5" x14ac:dyDescent="0.2">
      <c r="B1902"/>
      <c r="E1902"/>
    </row>
    <row r="1903" spans="2:5" x14ac:dyDescent="0.2">
      <c r="B1903"/>
      <c r="E1903"/>
    </row>
    <row r="1904" spans="2:5" x14ac:dyDescent="0.2">
      <c r="B1904"/>
      <c r="E1904"/>
    </row>
    <row r="1905" spans="2:5" x14ac:dyDescent="0.2">
      <c r="B1905"/>
      <c r="E1905"/>
    </row>
    <row r="1906" spans="2:5" x14ac:dyDescent="0.2">
      <c r="B1906"/>
      <c r="E1906"/>
    </row>
    <row r="1907" spans="2:5" x14ac:dyDescent="0.2">
      <c r="B1907"/>
      <c r="E1907"/>
    </row>
    <row r="1908" spans="2:5" x14ac:dyDescent="0.2">
      <c r="B1908"/>
      <c r="E1908"/>
    </row>
    <row r="1909" spans="2:5" x14ac:dyDescent="0.2">
      <c r="B1909"/>
      <c r="E1909"/>
    </row>
    <row r="1910" spans="2:5" x14ac:dyDescent="0.2">
      <c r="B1910"/>
      <c r="E1910"/>
    </row>
    <row r="1911" spans="2:5" x14ac:dyDescent="0.2">
      <c r="B1911"/>
      <c r="E1911"/>
    </row>
    <row r="1912" spans="2:5" x14ac:dyDescent="0.2">
      <c r="B1912"/>
      <c r="E1912"/>
    </row>
    <row r="1913" spans="2:5" x14ac:dyDescent="0.2">
      <c r="B1913"/>
      <c r="E1913"/>
    </row>
    <row r="1914" spans="2:5" x14ac:dyDescent="0.2">
      <c r="B1914"/>
      <c r="E1914"/>
    </row>
    <row r="1915" spans="2:5" x14ac:dyDescent="0.2">
      <c r="B1915"/>
      <c r="E1915"/>
    </row>
    <row r="1916" spans="2:5" x14ac:dyDescent="0.2">
      <c r="B1916"/>
      <c r="E1916"/>
    </row>
    <row r="1917" spans="2:5" x14ac:dyDescent="0.2">
      <c r="B1917"/>
      <c r="E1917"/>
    </row>
    <row r="1918" spans="2:5" x14ac:dyDescent="0.2">
      <c r="B1918"/>
      <c r="E1918"/>
    </row>
    <row r="1919" spans="2:5" x14ac:dyDescent="0.2">
      <c r="B1919"/>
      <c r="E1919"/>
    </row>
    <row r="1920" spans="2:5" x14ac:dyDescent="0.2">
      <c r="B1920"/>
      <c r="E1920"/>
    </row>
    <row r="1921" spans="2:5" x14ac:dyDescent="0.2">
      <c r="B1921"/>
      <c r="E1921"/>
    </row>
    <row r="1922" spans="2:5" x14ac:dyDescent="0.2">
      <c r="B1922"/>
      <c r="E1922"/>
    </row>
    <row r="1923" spans="2:5" x14ac:dyDescent="0.2">
      <c r="B1923"/>
      <c r="E1923"/>
    </row>
    <row r="1924" spans="2:5" x14ac:dyDescent="0.2">
      <c r="B1924"/>
      <c r="E1924"/>
    </row>
    <row r="1925" spans="2:5" x14ac:dyDescent="0.2">
      <c r="B1925"/>
      <c r="E1925"/>
    </row>
    <row r="1926" spans="2:5" x14ac:dyDescent="0.2">
      <c r="B1926"/>
      <c r="E1926"/>
    </row>
    <row r="1927" spans="2:5" x14ac:dyDescent="0.2">
      <c r="B1927"/>
      <c r="E1927"/>
    </row>
    <row r="1928" spans="2:5" x14ac:dyDescent="0.2">
      <c r="B1928"/>
      <c r="E1928"/>
    </row>
    <row r="1929" spans="2:5" x14ac:dyDescent="0.2">
      <c r="B1929"/>
      <c r="E1929"/>
    </row>
    <row r="1930" spans="2:5" x14ac:dyDescent="0.2">
      <c r="B1930"/>
      <c r="E1930"/>
    </row>
    <row r="1931" spans="2:5" x14ac:dyDescent="0.2">
      <c r="B1931"/>
      <c r="E1931"/>
    </row>
    <row r="1932" spans="2:5" x14ac:dyDescent="0.2">
      <c r="B1932"/>
      <c r="E1932"/>
    </row>
    <row r="1933" spans="2:5" x14ac:dyDescent="0.2">
      <c r="B1933"/>
      <c r="E1933"/>
    </row>
    <row r="1934" spans="2:5" x14ac:dyDescent="0.2">
      <c r="B1934"/>
      <c r="E1934"/>
    </row>
    <row r="1935" spans="2:5" x14ac:dyDescent="0.2">
      <c r="B1935"/>
      <c r="E1935"/>
    </row>
    <row r="1936" spans="2:5" x14ac:dyDescent="0.2">
      <c r="B1936"/>
      <c r="E1936"/>
    </row>
    <row r="1937" spans="2:5" x14ac:dyDescent="0.2">
      <c r="B1937"/>
      <c r="E1937"/>
    </row>
    <row r="1938" spans="2:5" x14ac:dyDescent="0.2">
      <c r="B1938"/>
      <c r="E1938"/>
    </row>
    <row r="1939" spans="2:5" x14ac:dyDescent="0.2">
      <c r="B1939"/>
      <c r="E1939"/>
    </row>
    <row r="1940" spans="2:5" x14ac:dyDescent="0.2">
      <c r="B1940"/>
      <c r="E1940"/>
    </row>
    <row r="1941" spans="2:5" x14ac:dyDescent="0.2">
      <c r="B1941"/>
      <c r="E1941"/>
    </row>
    <row r="1942" spans="2:5" x14ac:dyDescent="0.2">
      <c r="B1942"/>
      <c r="E1942"/>
    </row>
    <row r="1943" spans="2:5" x14ac:dyDescent="0.2">
      <c r="B1943"/>
      <c r="E1943"/>
    </row>
    <row r="1944" spans="2:5" x14ac:dyDescent="0.2">
      <c r="B1944"/>
      <c r="E1944"/>
    </row>
    <row r="1945" spans="2:5" x14ac:dyDescent="0.2">
      <c r="B1945"/>
      <c r="E1945"/>
    </row>
    <row r="1946" spans="2:5" x14ac:dyDescent="0.2">
      <c r="B1946"/>
      <c r="E1946"/>
    </row>
    <row r="1947" spans="2:5" x14ac:dyDescent="0.2">
      <c r="B1947"/>
      <c r="E1947"/>
    </row>
    <row r="1948" spans="2:5" x14ac:dyDescent="0.2">
      <c r="B1948"/>
      <c r="E1948"/>
    </row>
    <row r="1949" spans="2:5" x14ac:dyDescent="0.2">
      <c r="B1949"/>
      <c r="E1949"/>
    </row>
    <row r="1950" spans="2:5" x14ac:dyDescent="0.2">
      <c r="B1950"/>
      <c r="E1950"/>
    </row>
    <row r="1951" spans="2:5" x14ac:dyDescent="0.2">
      <c r="B1951"/>
      <c r="E1951"/>
    </row>
    <row r="1952" spans="2:5" x14ac:dyDescent="0.2">
      <c r="B1952"/>
      <c r="E1952"/>
    </row>
    <row r="1953" spans="2:5" x14ac:dyDescent="0.2">
      <c r="B1953"/>
      <c r="E1953"/>
    </row>
    <row r="1954" spans="2:5" x14ac:dyDescent="0.2">
      <c r="B1954"/>
      <c r="E1954"/>
    </row>
    <row r="1955" spans="2:5" x14ac:dyDescent="0.2">
      <c r="B1955"/>
      <c r="E1955"/>
    </row>
    <row r="1956" spans="2:5" x14ac:dyDescent="0.2">
      <c r="B1956"/>
      <c r="E1956"/>
    </row>
    <row r="1957" spans="2:5" x14ac:dyDescent="0.2">
      <c r="B1957"/>
      <c r="E1957"/>
    </row>
    <row r="1958" spans="2:5" x14ac:dyDescent="0.2">
      <c r="B1958"/>
      <c r="E1958"/>
    </row>
    <row r="1959" spans="2:5" x14ac:dyDescent="0.2">
      <c r="B1959"/>
      <c r="E1959"/>
    </row>
    <row r="1960" spans="2:5" x14ac:dyDescent="0.2">
      <c r="B1960"/>
      <c r="E1960"/>
    </row>
    <row r="1961" spans="2:5" x14ac:dyDescent="0.2">
      <c r="B1961"/>
      <c r="E1961"/>
    </row>
    <row r="1962" spans="2:5" x14ac:dyDescent="0.2">
      <c r="B1962"/>
      <c r="E1962"/>
    </row>
    <row r="1963" spans="2:5" x14ac:dyDescent="0.2">
      <c r="B1963"/>
      <c r="E1963"/>
    </row>
    <row r="1964" spans="2:5" x14ac:dyDescent="0.2">
      <c r="B1964"/>
      <c r="E1964"/>
    </row>
    <row r="1965" spans="2:5" x14ac:dyDescent="0.2">
      <c r="B1965"/>
      <c r="E1965"/>
    </row>
    <row r="1966" spans="2:5" x14ac:dyDescent="0.2">
      <c r="B1966"/>
      <c r="E1966"/>
    </row>
    <row r="1967" spans="2:5" x14ac:dyDescent="0.2">
      <c r="B1967"/>
      <c r="E1967"/>
    </row>
    <row r="1968" spans="2:5" x14ac:dyDescent="0.2">
      <c r="B1968"/>
      <c r="E1968"/>
    </row>
    <row r="1969" spans="2:5" x14ac:dyDescent="0.2">
      <c r="B1969"/>
      <c r="E1969"/>
    </row>
    <row r="1970" spans="2:5" x14ac:dyDescent="0.2">
      <c r="B1970"/>
      <c r="E1970"/>
    </row>
    <row r="1971" spans="2:5" x14ac:dyDescent="0.2">
      <c r="B1971"/>
      <c r="E1971"/>
    </row>
    <row r="1972" spans="2:5" x14ac:dyDescent="0.2">
      <c r="B1972"/>
      <c r="E1972"/>
    </row>
    <row r="1973" spans="2:5" x14ac:dyDescent="0.2">
      <c r="B1973"/>
      <c r="E1973"/>
    </row>
    <row r="1974" spans="2:5" x14ac:dyDescent="0.2">
      <c r="B1974"/>
      <c r="E1974"/>
    </row>
    <row r="1975" spans="2:5" x14ac:dyDescent="0.2">
      <c r="B1975"/>
      <c r="E1975"/>
    </row>
    <row r="1976" spans="2:5" x14ac:dyDescent="0.2">
      <c r="B1976"/>
      <c r="E1976"/>
    </row>
    <row r="1977" spans="2:5" x14ac:dyDescent="0.2">
      <c r="B1977"/>
      <c r="E1977"/>
    </row>
    <row r="1978" spans="2:5" x14ac:dyDescent="0.2">
      <c r="B1978"/>
      <c r="E1978"/>
    </row>
    <row r="1979" spans="2:5" x14ac:dyDescent="0.2">
      <c r="B1979"/>
      <c r="E1979"/>
    </row>
    <row r="1980" spans="2:5" x14ac:dyDescent="0.2">
      <c r="B1980"/>
      <c r="E1980"/>
    </row>
    <row r="1981" spans="2:5" x14ac:dyDescent="0.2">
      <c r="B1981"/>
      <c r="E1981"/>
    </row>
    <row r="1982" spans="2:5" x14ac:dyDescent="0.2">
      <c r="B1982"/>
      <c r="E1982"/>
    </row>
    <row r="1983" spans="2:5" x14ac:dyDescent="0.2">
      <c r="B1983"/>
      <c r="E1983"/>
    </row>
    <row r="1984" spans="2:5" x14ac:dyDescent="0.2">
      <c r="B1984"/>
      <c r="E1984"/>
    </row>
    <row r="1985" spans="2:5" x14ac:dyDescent="0.2">
      <c r="B1985"/>
      <c r="E1985"/>
    </row>
    <row r="1986" spans="2:5" x14ac:dyDescent="0.2">
      <c r="B1986"/>
      <c r="E1986"/>
    </row>
    <row r="1987" spans="2:5" x14ac:dyDescent="0.2">
      <c r="B1987"/>
      <c r="E1987"/>
    </row>
    <row r="1988" spans="2:5" x14ac:dyDescent="0.2">
      <c r="B1988"/>
      <c r="E1988"/>
    </row>
    <row r="1989" spans="2:5" x14ac:dyDescent="0.2">
      <c r="B1989"/>
      <c r="E1989"/>
    </row>
    <row r="1990" spans="2:5" x14ac:dyDescent="0.2">
      <c r="B1990"/>
      <c r="E1990"/>
    </row>
    <row r="1991" spans="2:5" x14ac:dyDescent="0.2">
      <c r="B1991"/>
      <c r="E1991"/>
    </row>
    <row r="1992" spans="2:5" x14ac:dyDescent="0.2">
      <c r="B1992"/>
      <c r="E1992"/>
    </row>
    <row r="1993" spans="2:5" x14ac:dyDescent="0.2">
      <c r="B1993"/>
      <c r="E1993"/>
    </row>
    <row r="1994" spans="2:5" x14ac:dyDescent="0.2">
      <c r="B1994"/>
      <c r="E1994"/>
    </row>
    <row r="1995" spans="2:5" x14ac:dyDescent="0.2">
      <c r="B1995"/>
      <c r="E1995"/>
    </row>
    <row r="1996" spans="2:5" x14ac:dyDescent="0.2">
      <c r="B1996"/>
      <c r="E1996"/>
    </row>
    <row r="1997" spans="2:5" x14ac:dyDescent="0.2">
      <c r="B1997"/>
      <c r="E1997"/>
    </row>
    <row r="1998" spans="2:5" x14ac:dyDescent="0.2">
      <c r="B1998"/>
      <c r="E1998"/>
    </row>
    <row r="1999" spans="2:5" x14ac:dyDescent="0.2">
      <c r="B1999"/>
      <c r="E1999"/>
    </row>
    <row r="2000" spans="2:5" x14ac:dyDescent="0.2">
      <c r="B2000"/>
      <c r="E2000"/>
    </row>
    <row r="2001" spans="2:5" x14ac:dyDescent="0.2">
      <c r="B2001"/>
      <c r="E2001"/>
    </row>
    <row r="2002" spans="2:5" x14ac:dyDescent="0.2">
      <c r="B2002"/>
      <c r="E2002"/>
    </row>
    <row r="2003" spans="2:5" x14ac:dyDescent="0.2">
      <c r="B2003"/>
      <c r="E2003"/>
    </row>
    <row r="2004" spans="2:5" x14ac:dyDescent="0.2">
      <c r="B2004"/>
      <c r="E2004"/>
    </row>
    <row r="2005" spans="2:5" x14ac:dyDescent="0.2">
      <c r="B2005"/>
      <c r="E2005"/>
    </row>
    <row r="2006" spans="2:5" x14ac:dyDescent="0.2">
      <c r="B2006"/>
      <c r="E2006"/>
    </row>
    <row r="2007" spans="2:5" x14ac:dyDescent="0.2">
      <c r="B2007"/>
      <c r="E2007"/>
    </row>
    <row r="2008" spans="2:5" x14ac:dyDescent="0.2">
      <c r="B2008"/>
      <c r="E2008"/>
    </row>
    <row r="2009" spans="2:5" x14ac:dyDescent="0.2">
      <c r="B2009"/>
      <c r="E2009"/>
    </row>
    <row r="2010" spans="2:5" x14ac:dyDescent="0.2">
      <c r="B2010"/>
      <c r="E2010"/>
    </row>
    <row r="2011" spans="2:5" x14ac:dyDescent="0.2">
      <c r="B2011"/>
      <c r="E2011"/>
    </row>
    <row r="2012" spans="2:5" x14ac:dyDescent="0.2">
      <c r="B2012"/>
      <c r="E2012"/>
    </row>
    <row r="2013" spans="2:5" x14ac:dyDescent="0.2">
      <c r="B2013"/>
      <c r="E2013"/>
    </row>
    <row r="2014" spans="2:5" x14ac:dyDescent="0.2">
      <c r="B2014"/>
      <c r="E2014"/>
    </row>
    <row r="2015" spans="2:5" x14ac:dyDescent="0.2">
      <c r="B2015"/>
      <c r="E2015"/>
    </row>
    <row r="2016" spans="2:5" x14ac:dyDescent="0.2">
      <c r="B2016"/>
      <c r="E2016"/>
    </row>
    <row r="2017" spans="2:5" x14ac:dyDescent="0.2">
      <c r="B2017"/>
      <c r="E2017"/>
    </row>
    <row r="2018" spans="2:5" x14ac:dyDescent="0.2">
      <c r="B2018"/>
      <c r="E2018"/>
    </row>
    <row r="2019" spans="2:5" x14ac:dyDescent="0.2">
      <c r="B2019"/>
      <c r="E2019"/>
    </row>
    <row r="2020" spans="2:5" x14ac:dyDescent="0.2">
      <c r="B2020"/>
      <c r="E2020"/>
    </row>
    <row r="2021" spans="2:5" x14ac:dyDescent="0.2">
      <c r="B2021"/>
      <c r="E2021"/>
    </row>
    <row r="2022" spans="2:5" x14ac:dyDescent="0.2">
      <c r="B2022"/>
      <c r="E2022"/>
    </row>
    <row r="2023" spans="2:5" x14ac:dyDescent="0.2">
      <c r="B2023"/>
      <c r="E2023"/>
    </row>
    <row r="2024" spans="2:5" x14ac:dyDescent="0.2">
      <c r="B2024"/>
      <c r="E2024"/>
    </row>
    <row r="2025" spans="2:5" x14ac:dyDescent="0.2">
      <c r="B2025"/>
      <c r="E2025"/>
    </row>
    <row r="2026" spans="2:5" x14ac:dyDescent="0.2">
      <c r="B2026"/>
      <c r="E2026"/>
    </row>
    <row r="2027" spans="2:5" x14ac:dyDescent="0.2">
      <c r="B2027"/>
      <c r="E2027"/>
    </row>
    <row r="2028" spans="2:5" x14ac:dyDescent="0.2">
      <c r="B2028"/>
      <c r="E2028"/>
    </row>
    <row r="2029" spans="2:5" x14ac:dyDescent="0.2">
      <c r="B2029"/>
      <c r="E2029"/>
    </row>
    <row r="2030" spans="2:5" x14ac:dyDescent="0.2">
      <c r="B2030"/>
      <c r="E2030"/>
    </row>
    <row r="2031" spans="2:5" x14ac:dyDescent="0.2">
      <c r="B2031"/>
      <c r="E2031"/>
    </row>
    <row r="2032" spans="2:5" x14ac:dyDescent="0.2">
      <c r="B2032"/>
      <c r="E2032"/>
    </row>
    <row r="2033" spans="2:5" x14ac:dyDescent="0.2">
      <c r="B2033"/>
      <c r="E2033"/>
    </row>
    <row r="2034" spans="2:5" x14ac:dyDescent="0.2">
      <c r="B2034"/>
      <c r="E2034"/>
    </row>
    <row r="2035" spans="2:5" x14ac:dyDescent="0.2">
      <c r="B2035"/>
      <c r="E2035"/>
    </row>
    <row r="2036" spans="2:5" x14ac:dyDescent="0.2">
      <c r="B2036"/>
      <c r="E2036"/>
    </row>
    <row r="2037" spans="2:5" x14ac:dyDescent="0.2">
      <c r="B2037"/>
      <c r="E2037"/>
    </row>
    <row r="2038" spans="2:5" x14ac:dyDescent="0.2">
      <c r="B2038"/>
      <c r="E2038"/>
    </row>
    <row r="2039" spans="2:5" x14ac:dyDescent="0.2">
      <c r="B2039"/>
      <c r="E2039"/>
    </row>
    <row r="2040" spans="2:5" x14ac:dyDescent="0.2">
      <c r="B2040"/>
      <c r="E2040"/>
    </row>
    <row r="2041" spans="2:5" x14ac:dyDescent="0.2">
      <c r="B2041"/>
      <c r="E2041"/>
    </row>
    <row r="2042" spans="2:5" x14ac:dyDescent="0.2">
      <c r="B2042"/>
      <c r="E2042"/>
    </row>
    <row r="2043" spans="2:5" x14ac:dyDescent="0.2">
      <c r="B2043"/>
      <c r="E2043"/>
    </row>
    <row r="2044" spans="2:5" x14ac:dyDescent="0.2">
      <c r="B2044"/>
      <c r="E2044"/>
    </row>
    <row r="2045" spans="2:5" x14ac:dyDescent="0.2">
      <c r="B2045"/>
      <c r="E2045"/>
    </row>
    <row r="2046" spans="2:5" x14ac:dyDescent="0.2">
      <c r="B2046"/>
      <c r="E2046"/>
    </row>
    <row r="2047" spans="2:5" x14ac:dyDescent="0.2">
      <c r="B2047"/>
      <c r="E2047"/>
    </row>
    <row r="2048" spans="2:5" x14ac:dyDescent="0.2">
      <c r="B2048"/>
      <c r="E2048"/>
    </row>
    <row r="2049" spans="2:5" x14ac:dyDescent="0.2">
      <c r="B2049"/>
      <c r="E2049"/>
    </row>
    <row r="2050" spans="2:5" x14ac:dyDescent="0.2">
      <c r="B2050"/>
      <c r="E2050"/>
    </row>
    <row r="2051" spans="2:5" x14ac:dyDescent="0.2">
      <c r="B2051"/>
      <c r="E2051"/>
    </row>
    <row r="2052" spans="2:5" x14ac:dyDescent="0.2">
      <c r="B2052"/>
      <c r="E2052"/>
    </row>
    <row r="2053" spans="2:5" x14ac:dyDescent="0.2">
      <c r="B2053"/>
      <c r="E2053"/>
    </row>
    <row r="2054" spans="2:5" x14ac:dyDescent="0.2">
      <c r="B2054"/>
      <c r="E2054"/>
    </row>
    <row r="2055" spans="2:5" x14ac:dyDescent="0.2">
      <c r="B2055"/>
      <c r="E2055"/>
    </row>
    <row r="2056" spans="2:5" x14ac:dyDescent="0.2">
      <c r="B2056"/>
      <c r="E2056"/>
    </row>
    <row r="2057" spans="2:5" x14ac:dyDescent="0.2">
      <c r="B2057"/>
      <c r="E2057"/>
    </row>
    <row r="2058" spans="2:5" x14ac:dyDescent="0.2">
      <c r="B2058"/>
      <c r="E2058"/>
    </row>
    <row r="2059" spans="2:5" x14ac:dyDescent="0.2">
      <c r="B2059"/>
      <c r="E2059"/>
    </row>
    <row r="2060" spans="2:5" x14ac:dyDescent="0.2">
      <c r="B2060"/>
      <c r="E2060"/>
    </row>
    <row r="2061" spans="2:5" x14ac:dyDescent="0.2">
      <c r="B2061"/>
      <c r="E2061"/>
    </row>
    <row r="2062" spans="2:5" x14ac:dyDescent="0.2">
      <c r="B2062"/>
      <c r="E2062"/>
    </row>
    <row r="2063" spans="2:5" x14ac:dyDescent="0.2">
      <c r="B2063"/>
      <c r="E2063"/>
    </row>
    <row r="2064" spans="2:5" x14ac:dyDescent="0.2">
      <c r="B2064"/>
      <c r="E2064"/>
    </row>
    <row r="2065" spans="2:5" x14ac:dyDescent="0.2">
      <c r="B2065"/>
      <c r="E2065"/>
    </row>
    <row r="2066" spans="2:5" x14ac:dyDescent="0.2">
      <c r="B2066"/>
      <c r="E2066"/>
    </row>
    <row r="2067" spans="2:5" x14ac:dyDescent="0.2">
      <c r="B2067"/>
      <c r="E2067"/>
    </row>
    <row r="2068" spans="2:5" x14ac:dyDescent="0.2">
      <c r="B2068"/>
      <c r="E2068"/>
    </row>
    <row r="2069" spans="2:5" x14ac:dyDescent="0.2">
      <c r="B2069"/>
      <c r="E2069"/>
    </row>
    <row r="2070" spans="2:5" x14ac:dyDescent="0.2">
      <c r="B2070"/>
      <c r="E2070"/>
    </row>
    <row r="2071" spans="2:5" x14ac:dyDescent="0.2">
      <c r="B2071"/>
      <c r="E2071"/>
    </row>
    <row r="2072" spans="2:5" x14ac:dyDescent="0.2">
      <c r="B2072"/>
      <c r="E2072"/>
    </row>
    <row r="2073" spans="2:5" x14ac:dyDescent="0.2">
      <c r="B2073"/>
      <c r="E2073"/>
    </row>
    <row r="2074" spans="2:5" x14ac:dyDescent="0.2">
      <c r="B2074"/>
      <c r="E2074"/>
    </row>
    <row r="2075" spans="2:5" x14ac:dyDescent="0.2">
      <c r="B2075"/>
      <c r="E2075"/>
    </row>
    <row r="2076" spans="2:5" x14ac:dyDescent="0.2">
      <c r="B2076"/>
      <c r="E2076"/>
    </row>
    <row r="2077" spans="2:5" x14ac:dyDescent="0.2">
      <c r="B2077"/>
      <c r="E2077"/>
    </row>
    <row r="2078" spans="2:5" x14ac:dyDescent="0.2">
      <c r="B2078"/>
      <c r="E2078"/>
    </row>
    <row r="2079" spans="2:5" x14ac:dyDescent="0.2">
      <c r="B2079"/>
      <c r="E2079"/>
    </row>
    <row r="2080" spans="2:5" x14ac:dyDescent="0.2">
      <c r="B2080"/>
      <c r="E2080"/>
    </row>
    <row r="2081" spans="2:5" x14ac:dyDescent="0.2">
      <c r="B2081"/>
      <c r="E2081"/>
    </row>
    <row r="2082" spans="2:5" x14ac:dyDescent="0.2">
      <c r="B2082"/>
      <c r="E2082"/>
    </row>
    <row r="2083" spans="2:5" x14ac:dyDescent="0.2">
      <c r="B2083"/>
      <c r="E2083"/>
    </row>
    <row r="2084" spans="2:5" x14ac:dyDescent="0.2">
      <c r="B2084"/>
      <c r="E2084"/>
    </row>
    <row r="2085" spans="2:5" x14ac:dyDescent="0.2">
      <c r="B2085"/>
      <c r="E2085"/>
    </row>
    <row r="2086" spans="2:5" x14ac:dyDescent="0.2">
      <c r="B2086"/>
      <c r="E2086"/>
    </row>
    <row r="2087" spans="2:5" x14ac:dyDescent="0.2">
      <c r="B2087"/>
      <c r="E2087"/>
    </row>
    <row r="2088" spans="2:5" x14ac:dyDescent="0.2">
      <c r="B2088"/>
      <c r="E2088"/>
    </row>
    <row r="2089" spans="2:5" x14ac:dyDescent="0.2">
      <c r="B2089"/>
      <c r="E2089"/>
    </row>
    <row r="2090" spans="2:5" x14ac:dyDescent="0.2">
      <c r="B2090"/>
      <c r="E2090"/>
    </row>
    <row r="2091" spans="2:5" x14ac:dyDescent="0.2">
      <c r="B2091"/>
      <c r="E2091"/>
    </row>
    <row r="2092" spans="2:5" x14ac:dyDescent="0.2">
      <c r="B2092"/>
      <c r="E2092"/>
    </row>
    <row r="2093" spans="2:5" x14ac:dyDescent="0.2">
      <c r="B2093"/>
      <c r="E2093"/>
    </row>
    <row r="2094" spans="2:5" x14ac:dyDescent="0.2">
      <c r="B2094"/>
      <c r="E2094"/>
    </row>
    <row r="2095" spans="2:5" x14ac:dyDescent="0.2">
      <c r="B2095"/>
      <c r="E2095"/>
    </row>
    <row r="2096" spans="2:5" x14ac:dyDescent="0.2">
      <c r="B2096"/>
      <c r="E2096"/>
    </row>
    <row r="2097" spans="2:5" x14ac:dyDescent="0.2">
      <c r="B2097"/>
      <c r="E2097"/>
    </row>
    <row r="2098" spans="2:5" x14ac:dyDescent="0.2">
      <c r="B2098"/>
      <c r="E2098"/>
    </row>
    <row r="2099" spans="2:5" x14ac:dyDescent="0.2">
      <c r="B2099"/>
      <c r="E2099"/>
    </row>
    <row r="2100" spans="2:5" x14ac:dyDescent="0.2">
      <c r="B2100"/>
      <c r="E2100"/>
    </row>
    <row r="2101" spans="2:5" x14ac:dyDescent="0.2">
      <c r="B2101"/>
      <c r="E2101"/>
    </row>
    <row r="2102" spans="2:5" x14ac:dyDescent="0.2">
      <c r="B2102"/>
      <c r="E2102"/>
    </row>
    <row r="2103" spans="2:5" x14ac:dyDescent="0.2">
      <c r="B2103"/>
      <c r="E2103"/>
    </row>
    <row r="2104" spans="2:5" x14ac:dyDescent="0.2">
      <c r="B2104"/>
      <c r="E2104"/>
    </row>
    <row r="2105" spans="2:5" x14ac:dyDescent="0.2">
      <c r="B2105"/>
      <c r="E2105"/>
    </row>
    <row r="2106" spans="2:5" x14ac:dyDescent="0.2">
      <c r="B2106"/>
      <c r="E2106"/>
    </row>
    <row r="2107" spans="2:5" x14ac:dyDescent="0.2">
      <c r="B2107"/>
      <c r="E2107"/>
    </row>
    <row r="2108" spans="2:5" x14ac:dyDescent="0.2">
      <c r="B2108"/>
      <c r="E2108"/>
    </row>
    <row r="2109" spans="2:5" x14ac:dyDescent="0.2">
      <c r="B2109"/>
      <c r="E2109"/>
    </row>
    <row r="2110" spans="2:5" x14ac:dyDescent="0.2">
      <c r="B2110"/>
      <c r="E2110"/>
    </row>
    <row r="2111" spans="2:5" x14ac:dyDescent="0.2">
      <c r="B2111"/>
      <c r="E2111"/>
    </row>
    <row r="2112" spans="2:5" x14ac:dyDescent="0.2">
      <c r="B2112"/>
      <c r="E2112"/>
    </row>
    <row r="2113" spans="2:5" x14ac:dyDescent="0.2">
      <c r="B2113"/>
      <c r="E2113"/>
    </row>
    <row r="2114" spans="2:5" x14ac:dyDescent="0.2">
      <c r="B2114"/>
      <c r="E2114"/>
    </row>
    <row r="2115" spans="2:5" x14ac:dyDescent="0.2">
      <c r="B2115"/>
      <c r="E2115"/>
    </row>
    <row r="2116" spans="2:5" x14ac:dyDescent="0.2">
      <c r="B2116"/>
      <c r="E2116"/>
    </row>
    <row r="2117" spans="2:5" x14ac:dyDescent="0.2">
      <c r="B2117"/>
      <c r="E2117"/>
    </row>
    <row r="2118" spans="2:5" x14ac:dyDescent="0.2">
      <c r="B2118"/>
      <c r="E2118"/>
    </row>
    <row r="2119" spans="2:5" x14ac:dyDescent="0.2">
      <c r="B2119"/>
      <c r="E2119"/>
    </row>
    <row r="2120" spans="2:5" x14ac:dyDescent="0.2">
      <c r="B2120"/>
      <c r="E2120"/>
    </row>
    <row r="2121" spans="2:5" x14ac:dyDescent="0.2">
      <c r="B2121"/>
      <c r="E2121"/>
    </row>
    <row r="2122" spans="2:5" x14ac:dyDescent="0.2">
      <c r="B2122"/>
      <c r="E2122"/>
    </row>
    <row r="2123" spans="2:5" x14ac:dyDescent="0.2">
      <c r="B2123"/>
      <c r="E2123"/>
    </row>
    <row r="2124" spans="2:5" x14ac:dyDescent="0.2">
      <c r="B2124"/>
      <c r="E2124"/>
    </row>
    <row r="2125" spans="2:5" x14ac:dyDescent="0.2">
      <c r="B2125"/>
      <c r="E2125"/>
    </row>
    <row r="2126" spans="2:5" x14ac:dyDescent="0.2">
      <c r="B2126"/>
      <c r="E2126"/>
    </row>
    <row r="2127" spans="2:5" x14ac:dyDescent="0.2">
      <c r="B2127"/>
      <c r="E2127"/>
    </row>
    <row r="2128" spans="2:5" x14ac:dyDescent="0.2">
      <c r="B2128"/>
      <c r="E2128"/>
    </row>
    <row r="2129" spans="2:5" x14ac:dyDescent="0.2">
      <c r="B2129"/>
      <c r="E2129"/>
    </row>
    <row r="2130" spans="2:5" x14ac:dyDescent="0.2">
      <c r="B2130"/>
      <c r="E2130"/>
    </row>
    <row r="2131" spans="2:5" x14ac:dyDescent="0.2">
      <c r="B2131"/>
      <c r="E2131"/>
    </row>
    <row r="2132" spans="2:5" x14ac:dyDescent="0.2">
      <c r="B2132"/>
      <c r="E2132"/>
    </row>
    <row r="2133" spans="2:5" x14ac:dyDescent="0.2">
      <c r="B2133"/>
      <c r="E2133"/>
    </row>
    <row r="2134" spans="2:5" x14ac:dyDescent="0.2">
      <c r="B2134"/>
      <c r="E2134"/>
    </row>
    <row r="2135" spans="2:5" x14ac:dyDescent="0.2">
      <c r="B2135"/>
      <c r="E2135"/>
    </row>
    <row r="2136" spans="2:5" x14ac:dyDescent="0.2">
      <c r="B2136"/>
      <c r="E2136"/>
    </row>
    <row r="2137" spans="2:5" x14ac:dyDescent="0.2">
      <c r="B2137"/>
      <c r="E2137"/>
    </row>
    <row r="2138" spans="2:5" x14ac:dyDescent="0.2">
      <c r="B2138"/>
      <c r="E2138"/>
    </row>
    <row r="2139" spans="2:5" x14ac:dyDescent="0.2">
      <c r="B2139"/>
      <c r="E2139"/>
    </row>
    <row r="2140" spans="2:5" x14ac:dyDescent="0.2">
      <c r="B2140"/>
      <c r="E2140"/>
    </row>
    <row r="2141" spans="2:5" x14ac:dyDescent="0.2">
      <c r="B2141"/>
      <c r="E2141"/>
    </row>
    <row r="2142" spans="2:5" x14ac:dyDescent="0.2">
      <c r="B2142"/>
      <c r="E2142"/>
    </row>
    <row r="2143" spans="2:5" x14ac:dyDescent="0.2">
      <c r="B2143"/>
      <c r="E2143"/>
    </row>
    <row r="2144" spans="2:5" x14ac:dyDescent="0.2">
      <c r="B2144"/>
      <c r="E2144"/>
    </row>
    <row r="2145" spans="2:5" x14ac:dyDescent="0.2">
      <c r="B2145"/>
      <c r="E2145"/>
    </row>
    <row r="2146" spans="2:5" x14ac:dyDescent="0.2">
      <c r="B2146"/>
      <c r="E2146"/>
    </row>
    <row r="2147" spans="2:5" x14ac:dyDescent="0.2">
      <c r="B2147"/>
      <c r="E2147"/>
    </row>
    <row r="2148" spans="2:5" x14ac:dyDescent="0.2">
      <c r="B2148"/>
      <c r="E2148"/>
    </row>
    <row r="2149" spans="2:5" x14ac:dyDescent="0.2">
      <c r="B2149"/>
      <c r="E2149"/>
    </row>
    <row r="2150" spans="2:5" x14ac:dyDescent="0.2">
      <c r="B2150"/>
      <c r="E2150"/>
    </row>
    <row r="2151" spans="2:5" x14ac:dyDescent="0.2">
      <c r="B2151"/>
      <c r="E2151"/>
    </row>
    <row r="2152" spans="2:5" x14ac:dyDescent="0.2">
      <c r="B2152"/>
      <c r="E2152"/>
    </row>
    <row r="2153" spans="2:5" x14ac:dyDescent="0.2">
      <c r="B2153"/>
      <c r="E2153"/>
    </row>
    <row r="2154" spans="2:5" x14ac:dyDescent="0.2">
      <c r="B2154"/>
      <c r="E2154"/>
    </row>
    <row r="2155" spans="2:5" x14ac:dyDescent="0.2">
      <c r="B2155"/>
      <c r="E2155"/>
    </row>
    <row r="2156" spans="2:5" x14ac:dyDescent="0.2">
      <c r="B2156"/>
      <c r="E2156"/>
    </row>
    <row r="2157" spans="2:5" x14ac:dyDescent="0.2">
      <c r="B2157"/>
      <c r="E2157"/>
    </row>
    <row r="2158" spans="2:5" x14ac:dyDescent="0.2">
      <c r="B2158"/>
      <c r="E2158"/>
    </row>
    <row r="2159" spans="2:5" x14ac:dyDescent="0.2">
      <c r="B2159"/>
      <c r="E2159"/>
    </row>
    <row r="2160" spans="2:5" x14ac:dyDescent="0.2">
      <c r="B2160"/>
      <c r="E2160"/>
    </row>
    <row r="2161" spans="2:5" x14ac:dyDescent="0.2">
      <c r="B2161"/>
      <c r="E2161"/>
    </row>
    <row r="2162" spans="2:5" x14ac:dyDescent="0.2">
      <c r="B2162"/>
      <c r="E2162"/>
    </row>
    <row r="2163" spans="2:5" x14ac:dyDescent="0.2">
      <c r="B2163"/>
      <c r="E2163"/>
    </row>
    <row r="2164" spans="2:5" x14ac:dyDescent="0.2">
      <c r="B2164"/>
      <c r="E2164"/>
    </row>
    <row r="2165" spans="2:5" x14ac:dyDescent="0.2">
      <c r="B2165"/>
      <c r="E2165"/>
    </row>
    <row r="2166" spans="2:5" x14ac:dyDescent="0.2">
      <c r="B2166"/>
      <c r="E2166"/>
    </row>
    <row r="2167" spans="2:5" x14ac:dyDescent="0.2">
      <c r="B2167"/>
      <c r="E2167"/>
    </row>
    <row r="2168" spans="2:5" x14ac:dyDescent="0.2">
      <c r="B2168"/>
      <c r="E2168"/>
    </row>
    <row r="2169" spans="2:5" x14ac:dyDescent="0.2">
      <c r="B2169"/>
      <c r="E2169"/>
    </row>
    <row r="2170" spans="2:5" x14ac:dyDescent="0.2">
      <c r="B2170"/>
      <c r="E2170"/>
    </row>
    <row r="2171" spans="2:5" x14ac:dyDescent="0.2">
      <c r="B2171"/>
      <c r="E2171"/>
    </row>
    <row r="2172" spans="2:5" x14ac:dyDescent="0.2">
      <c r="B2172"/>
      <c r="E2172"/>
    </row>
    <row r="2173" spans="2:5" x14ac:dyDescent="0.2">
      <c r="B2173"/>
      <c r="E2173"/>
    </row>
    <row r="2174" spans="2:5" x14ac:dyDescent="0.2">
      <c r="B2174"/>
      <c r="E2174"/>
    </row>
    <row r="2175" spans="2:5" x14ac:dyDescent="0.2">
      <c r="B2175"/>
      <c r="E2175"/>
    </row>
    <row r="2176" spans="2:5" x14ac:dyDescent="0.2">
      <c r="B2176"/>
      <c r="E2176"/>
    </row>
    <row r="2177" spans="2:5" x14ac:dyDescent="0.2">
      <c r="B2177"/>
      <c r="E2177"/>
    </row>
    <row r="2178" spans="2:5" x14ac:dyDescent="0.2">
      <c r="B2178"/>
      <c r="E2178"/>
    </row>
    <row r="2179" spans="2:5" x14ac:dyDescent="0.2">
      <c r="B2179"/>
      <c r="E2179"/>
    </row>
    <row r="2180" spans="2:5" x14ac:dyDescent="0.2">
      <c r="B2180"/>
      <c r="E2180"/>
    </row>
    <row r="2181" spans="2:5" x14ac:dyDescent="0.2">
      <c r="B2181"/>
      <c r="E2181"/>
    </row>
    <row r="2182" spans="2:5" x14ac:dyDescent="0.2">
      <c r="B2182"/>
      <c r="E2182"/>
    </row>
    <row r="2183" spans="2:5" x14ac:dyDescent="0.2">
      <c r="B2183"/>
      <c r="E2183"/>
    </row>
    <row r="2184" spans="2:5" x14ac:dyDescent="0.2">
      <c r="B2184"/>
      <c r="E2184"/>
    </row>
    <row r="2185" spans="2:5" x14ac:dyDescent="0.2">
      <c r="B2185"/>
      <c r="E2185"/>
    </row>
    <row r="2186" spans="2:5" x14ac:dyDescent="0.2">
      <c r="B2186"/>
      <c r="E2186"/>
    </row>
    <row r="2187" spans="2:5" x14ac:dyDescent="0.2">
      <c r="B2187"/>
      <c r="E2187"/>
    </row>
    <row r="2188" spans="2:5" x14ac:dyDescent="0.2">
      <c r="B2188"/>
      <c r="E2188"/>
    </row>
    <row r="2189" spans="2:5" x14ac:dyDescent="0.2">
      <c r="B2189"/>
      <c r="E2189"/>
    </row>
    <row r="2190" spans="2:5" x14ac:dyDescent="0.2">
      <c r="B2190"/>
      <c r="E2190"/>
    </row>
    <row r="2191" spans="2:5" x14ac:dyDescent="0.2">
      <c r="B2191"/>
      <c r="E2191"/>
    </row>
    <row r="2192" spans="2:5" x14ac:dyDescent="0.2">
      <c r="B2192"/>
      <c r="E2192"/>
    </row>
    <row r="2193" spans="2:5" x14ac:dyDescent="0.2">
      <c r="B2193"/>
      <c r="E2193"/>
    </row>
    <row r="2194" spans="2:5" x14ac:dyDescent="0.2">
      <c r="B2194"/>
      <c r="E2194"/>
    </row>
    <row r="2195" spans="2:5" x14ac:dyDescent="0.2">
      <c r="B2195"/>
      <c r="E2195"/>
    </row>
    <row r="2196" spans="2:5" x14ac:dyDescent="0.2">
      <c r="B2196"/>
      <c r="E2196"/>
    </row>
    <row r="2197" spans="2:5" x14ac:dyDescent="0.2">
      <c r="B2197"/>
      <c r="E2197"/>
    </row>
    <row r="2198" spans="2:5" x14ac:dyDescent="0.2">
      <c r="B2198"/>
      <c r="E2198"/>
    </row>
    <row r="2199" spans="2:5" x14ac:dyDescent="0.2">
      <c r="B2199"/>
      <c r="E2199"/>
    </row>
    <row r="2200" spans="2:5" x14ac:dyDescent="0.2">
      <c r="B2200"/>
      <c r="E2200"/>
    </row>
    <row r="2201" spans="2:5" x14ac:dyDescent="0.2">
      <c r="B2201"/>
      <c r="E2201"/>
    </row>
    <row r="2202" spans="2:5" x14ac:dyDescent="0.2">
      <c r="B2202"/>
      <c r="E2202"/>
    </row>
    <row r="2203" spans="2:5" x14ac:dyDescent="0.2">
      <c r="B2203"/>
      <c r="E2203"/>
    </row>
    <row r="2204" spans="2:5" x14ac:dyDescent="0.2">
      <c r="B2204"/>
      <c r="E2204"/>
    </row>
    <row r="2205" spans="2:5" x14ac:dyDescent="0.2">
      <c r="B2205"/>
      <c r="E2205"/>
    </row>
    <row r="2206" spans="2:5" x14ac:dyDescent="0.2">
      <c r="B2206"/>
      <c r="E2206"/>
    </row>
    <row r="2207" spans="2:5" x14ac:dyDescent="0.2">
      <c r="B2207"/>
      <c r="E2207"/>
    </row>
    <row r="2208" spans="2:5" x14ac:dyDescent="0.2">
      <c r="B2208"/>
      <c r="E2208"/>
    </row>
    <row r="2209" spans="2:5" x14ac:dyDescent="0.2">
      <c r="B2209"/>
      <c r="E2209"/>
    </row>
    <row r="2210" spans="2:5" x14ac:dyDescent="0.2">
      <c r="B2210"/>
      <c r="E2210"/>
    </row>
    <row r="2211" spans="2:5" x14ac:dyDescent="0.2">
      <c r="B2211"/>
      <c r="E2211"/>
    </row>
    <row r="2212" spans="2:5" x14ac:dyDescent="0.2">
      <c r="B2212"/>
      <c r="E2212"/>
    </row>
    <row r="2213" spans="2:5" x14ac:dyDescent="0.2">
      <c r="B2213"/>
      <c r="E2213"/>
    </row>
    <row r="2214" spans="2:5" x14ac:dyDescent="0.2">
      <c r="B2214"/>
      <c r="E2214"/>
    </row>
    <row r="2215" spans="2:5" x14ac:dyDescent="0.2">
      <c r="B2215"/>
      <c r="E2215"/>
    </row>
    <row r="2216" spans="2:5" x14ac:dyDescent="0.2">
      <c r="B2216"/>
      <c r="E2216"/>
    </row>
    <row r="2217" spans="2:5" x14ac:dyDescent="0.2">
      <c r="B2217"/>
      <c r="E2217"/>
    </row>
    <row r="2218" spans="2:5" x14ac:dyDescent="0.2">
      <c r="B2218"/>
      <c r="E2218"/>
    </row>
    <row r="2219" spans="2:5" x14ac:dyDescent="0.2">
      <c r="B2219"/>
      <c r="E2219"/>
    </row>
    <row r="2220" spans="2:5" x14ac:dyDescent="0.2">
      <c r="B2220"/>
      <c r="E2220"/>
    </row>
    <row r="2221" spans="2:5" x14ac:dyDescent="0.2">
      <c r="B2221"/>
      <c r="E2221"/>
    </row>
    <row r="2222" spans="2:5" x14ac:dyDescent="0.2">
      <c r="B2222"/>
      <c r="E2222"/>
    </row>
    <row r="2223" spans="2:5" x14ac:dyDescent="0.2">
      <c r="B2223"/>
      <c r="E2223"/>
    </row>
    <row r="2224" spans="2:5" x14ac:dyDescent="0.2">
      <c r="B2224"/>
      <c r="E2224"/>
    </row>
    <row r="2225" spans="2:5" x14ac:dyDescent="0.2">
      <c r="B2225"/>
      <c r="E2225"/>
    </row>
    <row r="2226" spans="2:5" x14ac:dyDescent="0.2">
      <c r="B2226"/>
      <c r="E2226"/>
    </row>
    <row r="2227" spans="2:5" x14ac:dyDescent="0.2">
      <c r="B2227"/>
      <c r="E2227"/>
    </row>
    <row r="2228" spans="2:5" x14ac:dyDescent="0.2">
      <c r="B2228"/>
      <c r="E2228"/>
    </row>
    <row r="2229" spans="2:5" x14ac:dyDescent="0.2">
      <c r="B2229"/>
      <c r="E2229"/>
    </row>
    <row r="2230" spans="2:5" x14ac:dyDescent="0.2">
      <c r="B2230"/>
      <c r="E2230"/>
    </row>
    <row r="2231" spans="2:5" x14ac:dyDescent="0.2">
      <c r="B2231"/>
      <c r="E2231"/>
    </row>
    <row r="2232" spans="2:5" x14ac:dyDescent="0.2">
      <c r="B2232"/>
      <c r="E2232"/>
    </row>
    <row r="2233" spans="2:5" x14ac:dyDescent="0.2">
      <c r="B2233"/>
      <c r="E2233"/>
    </row>
    <row r="2234" spans="2:5" x14ac:dyDescent="0.2">
      <c r="B2234"/>
      <c r="E2234"/>
    </row>
    <row r="2235" spans="2:5" x14ac:dyDescent="0.2">
      <c r="B2235"/>
      <c r="E2235"/>
    </row>
    <row r="2236" spans="2:5" x14ac:dyDescent="0.2">
      <c r="B2236"/>
      <c r="E2236"/>
    </row>
    <row r="2237" spans="2:5" x14ac:dyDescent="0.2">
      <c r="B2237"/>
      <c r="E2237"/>
    </row>
    <row r="2238" spans="2:5" x14ac:dyDescent="0.2">
      <c r="B2238"/>
      <c r="E2238"/>
    </row>
    <row r="2239" spans="2:5" x14ac:dyDescent="0.2">
      <c r="B2239"/>
      <c r="E2239"/>
    </row>
    <row r="2240" spans="2:5" x14ac:dyDescent="0.2">
      <c r="B2240"/>
      <c r="E2240"/>
    </row>
    <row r="2241" spans="2:5" x14ac:dyDescent="0.2">
      <c r="B2241"/>
      <c r="E2241"/>
    </row>
    <row r="2242" spans="2:5" x14ac:dyDescent="0.2">
      <c r="B2242"/>
      <c r="E2242"/>
    </row>
    <row r="2243" spans="2:5" x14ac:dyDescent="0.2">
      <c r="B2243"/>
      <c r="E2243"/>
    </row>
    <row r="2244" spans="2:5" x14ac:dyDescent="0.2">
      <c r="B2244"/>
      <c r="E2244"/>
    </row>
    <row r="2245" spans="2:5" x14ac:dyDescent="0.2">
      <c r="B2245"/>
      <c r="E2245"/>
    </row>
    <row r="2246" spans="2:5" x14ac:dyDescent="0.2">
      <c r="B2246"/>
      <c r="E2246"/>
    </row>
    <row r="2247" spans="2:5" x14ac:dyDescent="0.2">
      <c r="B2247"/>
      <c r="E2247"/>
    </row>
    <row r="2248" spans="2:5" x14ac:dyDescent="0.2">
      <c r="B2248"/>
      <c r="E2248"/>
    </row>
    <row r="2249" spans="2:5" x14ac:dyDescent="0.2">
      <c r="B2249"/>
      <c r="E2249"/>
    </row>
    <row r="2250" spans="2:5" x14ac:dyDescent="0.2">
      <c r="B2250"/>
      <c r="E2250"/>
    </row>
    <row r="2251" spans="2:5" x14ac:dyDescent="0.2">
      <c r="B2251"/>
      <c r="E2251"/>
    </row>
    <row r="2252" spans="2:5" x14ac:dyDescent="0.2">
      <c r="B2252"/>
      <c r="E2252"/>
    </row>
    <row r="2253" spans="2:5" x14ac:dyDescent="0.2">
      <c r="B2253"/>
      <c r="E2253"/>
    </row>
    <row r="2254" spans="2:5" x14ac:dyDescent="0.2">
      <c r="B2254"/>
      <c r="E2254"/>
    </row>
    <row r="2255" spans="2:5" x14ac:dyDescent="0.2">
      <c r="B2255"/>
      <c r="E2255"/>
    </row>
    <row r="2256" spans="2:5" x14ac:dyDescent="0.2">
      <c r="B2256"/>
      <c r="E2256"/>
    </row>
    <row r="2257" spans="2:5" x14ac:dyDescent="0.2">
      <c r="B2257"/>
      <c r="E2257"/>
    </row>
    <row r="2258" spans="2:5" x14ac:dyDescent="0.2">
      <c r="B2258"/>
      <c r="E2258"/>
    </row>
    <row r="2259" spans="2:5" x14ac:dyDescent="0.2">
      <c r="B2259"/>
      <c r="E2259"/>
    </row>
    <row r="2260" spans="2:5" x14ac:dyDescent="0.2">
      <c r="B2260"/>
      <c r="E2260"/>
    </row>
    <row r="2261" spans="2:5" x14ac:dyDescent="0.2">
      <c r="B2261"/>
      <c r="E2261"/>
    </row>
    <row r="2262" spans="2:5" x14ac:dyDescent="0.2">
      <c r="B2262"/>
      <c r="E2262"/>
    </row>
    <row r="2263" spans="2:5" x14ac:dyDescent="0.2">
      <c r="B2263"/>
      <c r="E2263"/>
    </row>
    <row r="2264" spans="2:5" x14ac:dyDescent="0.2">
      <c r="B2264"/>
      <c r="E2264"/>
    </row>
    <row r="2265" spans="2:5" x14ac:dyDescent="0.2">
      <c r="B2265"/>
      <c r="E2265"/>
    </row>
    <row r="2266" spans="2:5" x14ac:dyDescent="0.2">
      <c r="B2266"/>
      <c r="E2266"/>
    </row>
    <row r="2267" spans="2:5" x14ac:dyDescent="0.2">
      <c r="B2267"/>
      <c r="E2267"/>
    </row>
    <row r="2268" spans="2:5" x14ac:dyDescent="0.2">
      <c r="B2268"/>
      <c r="E2268"/>
    </row>
    <row r="2269" spans="2:5" x14ac:dyDescent="0.2">
      <c r="B2269"/>
      <c r="E2269"/>
    </row>
    <row r="2270" spans="2:5" x14ac:dyDescent="0.2">
      <c r="B2270"/>
      <c r="E2270"/>
    </row>
    <row r="2271" spans="2:5" x14ac:dyDescent="0.2">
      <c r="B2271"/>
      <c r="E2271"/>
    </row>
    <row r="2272" spans="2:5" x14ac:dyDescent="0.2">
      <c r="B2272"/>
      <c r="E2272"/>
    </row>
    <row r="2273" spans="2:5" x14ac:dyDescent="0.2">
      <c r="B2273"/>
      <c r="E2273"/>
    </row>
    <row r="2274" spans="2:5" x14ac:dyDescent="0.2">
      <c r="B2274"/>
      <c r="E2274"/>
    </row>
    <row r="2275" spans="2:5" x14ac:dyDescent="0.2">
      <c r="B2275"/>
      <c r="E2275"/>
    </row>
    <row r="2276" spans="2:5" x14ac:dyDescent="0.2">
      <c r="B2276"/>
      <c r="E2276"/>
    </row>
    <row r="2277" spans="2:5" x14ac:dyDescent="0.2">
      <c r="B2277"/>
      <c r="E2277"/>
    </row>
    <row r="2278" spans="2:5" x14ac:dyDescent="0.2">
      <c r="B2278"/>
      <c r="E2278"/>
    </row>
    <row r="2279" spans="2:5" x14ac:dyDescent="0.2">
      <c r="B2279"/>
      <c r="E2279"/>
    </row>
    <row r="2280" spans="2:5" x14ac:dyDescent="0.2">
      <c r="B2280"/>
      <c r="E2280"/>
    </row>
    <row r="2281" spans="2:5" x14ac:dyDescent="0.2">
      <c r="B2281"/>
      <c r="E2281"/>
    </row>
    <row r="2282" spans="2:5" x14ac:dyDescent="0.2">
      <c r="B2282"/>
      <c r="E2282"/>
    </row>
    <row r="2283" spans="2:5" x14ac:dyDescent="0.2">
      <c r="B2283"/>
      <c r="E2283"/>
    </row>
    <row r="2284" spans="2:5" x14ac:dyDescent="0.2">
      <c r="B2284"/>
      <c r="E2284"/>
    </row>
    <row r="2285" spans="2:5" x14ac:dyDescent="0.2">
      <c r="B2285"/>
      <c r="E2285"/>
    </row>
    <row r="2286" spans="2:5" x14ac:dyDescent="0.2">
      <c r="B2286"/>
      <c r="E2286"/>
    </row>
    <row r="2287" spans="2:5" x14ac:dyDescent="0.2">
      <c r="B2287"/>
      <c r="E2287"/>
    </row>
    <row r="2288" spans="2:5" x14ac:dyDescent="0.2">
      <c r="B2288"/>
      <c r="E2288"/>
    </row>
    <row r="2289" spans="2:5" x14ac:dyDescent="0.2">
      <c r="B2289"/>
      <c r="E2289"/>
    </row>
    <row r="2290" spans="2:5" x14ac:dyDescent="0.2">
      <c r="B2290"/>
      <c r="E2290"/>
    </row>
    <row r="2291" spans="2:5" x14ac:dyDescent="0.2">
      <c r="B2291"/>
      <c r="E2291"/>
    </row>
    <row r="2292" spans="2:5" x14ac:dyDescent="0.2">
      <c r="B2292"/>
      <c r="E2292"/>
    </row>
    <row r="2293" spans="2:5" x14ac:dyDescent="0.2">
      <c r="B2293"/>
      <c r="E2293"/>
    </row>
    <row r="2294" spans="2:5" x14ac:dyDescent="0.2">
      <c r="B2294"/>
      <c r="E2294"/>
    </row>
    <row r="2295" spans="2:5" x14ac:dyDescent="0.2">
      <c r="B2295"/>
      <c r="E2295"/>
    </row>
    <row r="2296" spans="2:5" x14ac:dyDescent="0.2">
      <c r="B2296"/>
      <c r="E2296"/>
    </row>
    <row r="2297" spans="2:5" x14ac:dyDescent="0.2">
      <c r="B2297"/>
      <c r="E2297"/>
    </row>
    <row r="2298" spans="2:5" x14ac:dyDescent="0.2">
      <c r="B2298"/>
      <c r="E2298"/>
    </row>
    <row r="2299" spans="2:5" x14ac:dyDescent="0.2">
      <c r="B2299"/>
      <c r="E2299"/>
    </row>
    <row r="2300" spans="2:5" x14ac:dyDescent="0.2">
      <c r="B2300"/>
      <c r="E2300"/>
    </row>
    <row r="2301" spans="2:5" x14ac:dyDescent="0.2">
      <c r="B2301"/>
      <c r="E2301"/>
    </row>
    <row r="2302" spans="2:5" x14ac:dyDescent="0.2">
      <c r="B2302"/>
      <c r="E2302"/>
    </row>
    <row r="2303" spans="2:5" x14ac:dyDescent="0.2">
      <c r="B2303"/>
      <c r="E2303"/>
    </row>
    <row r="2304" spans="2:5" x14ac:dyDescent="0.2">
      <c r="B2304"/>
      <c r="E2304"/>
    </row>
    <row r="2305" spans="2:5" x14ac:dyDescent="0.2">
      <c r="B2305"/>
      <c r="E2305"/>
    </row>
    <row r="2306" spans="2:5" x14ac:dyDescent="0.2">
      <c r="B2306"/>
      <c r="E2306"/>
    </row>
    <row r="2307" spans="2:5" x14ac:dyDescent="0.2">
      <c r="B2307"/>
      <c r="E2307"/>
    </row>
    <row r="2308" spans="2:5" x14ac:dyDescent="0.2">
      <c r="B2308"/>
      <c r="E2308"/>
    </row>
    <row r="2309" spans="2:5" x14ac:dyDescent="0.2">
      <c r="B2309"/>
      <c r="E2309"/>
    </row>
    <row r="2310" spans="2:5" x14ac:dyDescent="0.2">
      <c r="B2310"/>
      <c r="E2310"/>
    </row>
    <row r="2311" spans="2:5" x14ac:dyDescent="0.2">
      <c r="B2311"/>
      <c r="E2311"/>
    </row>
    <row r="2312" spans="2:5" x14ac:dyDescent="0.2">
      <c r="B2312"/>
      <c r="E2312"/>
    </row>
    <row r="2313" spans="2:5" x14ac:dyDescent="0.2">
      <c r="B2313"/>
      <c r="E2313"/>
    </row>
    <row r="2314" spans="2:5" x14ac:dyDescent="0.2">
      <c r="B2314"/>
      <c r="E2314"/>
    </row>
    <row r="2315" spans="2:5" x14ac:dyDescent="0.2">
      <c r="B2315"/>
      <c r="E2315"/>
    </row>
    <row r="2316" spans="2:5" x14ac:dyDescent="0.2">
      <c r="B2316"/>
      <c r="E2316"/>
    </row>
    <row r="2317" spans="2:5" x14ac:dyDescent="0.2">
      <c r="B2317"/>
      <c r="E2317"/>
    </row>
    <row r="2318" spans="2:5" x14ac:dyDescent="0.2">
      <c r="B2318"/>
      <c r="E2318"/>
    </row>
    <row r="2319" spans="2:5" x14ac:dyDescent="0.2">
      <c r="B2319"/>
      <c r="E2319"/>
    </row>
    <row r="2320" spans="2:5" x14ac:dyDescent="0.2">
      <c r="B2320"/>
      <c r="E2320"/>
    </row>
    <row r="2321" spans="2:5" x14ac:dyDescent="0.2">
      <c r="B2321"/>
      <c r="E2321"/>
    </row>
    <row r="2322" spans="2:5" x14ac:dyDescent="0.2">
      <c r="B2322"/>
      <c r="E2322"/>
    </row>
    <row r="2323" spans="2:5" x14ac:dyDescent="0.2">
      <c r="B2323"/>
      <c r="E2323"/>
    </row>
    <row r="2324" spans="2:5" x14ac:dyDescent="0.2">
      <c r="B2324"/>
      <c r="E2324"/>
    </row>
    <row r="2325" spans="2:5" x14ac:dyDescent="0.2">
      <c r="B2325"/>
      <c r="E2325"/>
    </row>
    <row r="2326" spans="2:5" x14ac:dyDescent="0.2">
      <c r="B2326"/>
      <c r="E2326"/>
    </row>
    <row r="2327" spans="2:5" x14ac:dyDescent="0.2">
      <c r="B2327"/>
      <c r="E2327"/>
    </row>
    <row r="2328" spans="2:5" x14ac:dyDescent="0.2">
      <c r="B2328"/>
      <c r="E2328"/>
    </row>
    <row r="2329" spans="2:5" x14ac:dyDescent="0.2">
      <c r="B2329"/>
      <c r="E2329"/>
    </row>
    <row r="2330" spans="2:5" x14ac:dyDescent="0.2">
      <c r="B2330"/>
      <c r="E2330"/>
    </row>
    <row r="2331" spans="2:5" x14ac:dyDescent="0.2">
      <c r="B2331"/>
      <c r="E2331"/>
    </row>
    <row r="2332" spans="2:5" x14ac:dyDescent="0.2">
      <c r="B2332"/>
      <c r="E2332"/>
    </row>
    <row r="2333" spans="2:5" x14ac:dyDescent="0.2">
      <c r="B2333"/>
      <c r="E2333"/>
    </row>
    <row r="2334" spans="2:5" x14ac:dyDescent="0.2">
      <c r="B2334"/>
      <c r="E2334"/>
    </row>
    <row r="2335" spans="2:5" x14ac:dyDescent="0.2">
      <c r="B2335"/>
      <c r="E2335"/>
    </row>
    <row r="2336" spans="2:5" x14ac:dyDescent="0.2">
      <c r="B2336"/>
      <c r="E2336"/>
    </row>
    <row r="2337" spans="2:5" x14ac:dyDescent="0.2">
      <c r="B2337"/>
      <c r="E2337"/>
    </row>
    <row r="2338" spans="2:5" x14ac:dyDescent="0.2">
      <c r="B2338"/>
      <c r="E2338"/>
    </row>
    <row r="2339" spans="2:5" x14ac:dyDescent="0.2">
      <c r="B2339"/>
      <c r="E2339"/>
    </row>
    <row r="2340" spans="2:5" x14ac:dyDescent="0.2">
      <c r="B2340"/>
      <c r="E2340"/>
    </row>
    <row r="2341" spans="2:5" x14ac:dyDescent="0.2">
      <c r="B2341"/>
      <c r="E2341"/>
    </row>
    <row r="2342" spans="2:5" x14ac:dyDescent="0.2">
      <c r="B2342"/>
      <c r="E2342"/>
    </row>
    <row r="2343" spans="2:5" x14ac:dyDescent="0.2">
      <c r="B2343"/>
      <c r="E2343"/>
    </row>
    <row r="2344" spans="2:5" x14ac:dyDescent="0.2">
      <c r="B2344"/>
      <c r="E2344"/>
    </row>
    <row r="2345" spans="2:5" x14ac:dyDescent="0.2">
      <c r="B2345"/>
      <c r="E2345"/>
    </row>
    <row r="2346" spans="2:5" x14ac:dyDescent="0.2">
      <c r="B2346"/>
      <c r="E2346"/>
    </row>
    <row r="2347" spans="2:5" x14ac:dyDescent="0.2">
      <c r="B2347"/>
      <c r="E2347"/>
    </row>
    <row r="2348" spans="2:5" x14ac:dyDescent="0.2">
      <c r="B2348"/>
      <c r="E2348"/>
    </row>
    <row r="2349" spans="2:5" x14ac:dyDescent="0.2">
      <c r="B2349"/>
      <c r="E2349"/>
    </row>
    <row r="2350" spans="2:5" x14ac:dyDescent="0.2">
      <c r="B2350"/>
      <c r="E2350"/>
    </row>
    <row r="2351" spans="2:5" x14ac:dyDescent="0.2">
      <c r="B2351"/>
      <c r="E2351"/>
    </row>
    <row r="2352" spans="2:5" x14ac:dyDescent="0.2">
      <c r="B2352"/>
      <c r="E2352"/>
    </row>
    <row r="2353" spans="2:5" x14ac:dyDescent="0.2">
      <c r="B2353"/>
      <c r="E2353"/>
    </row>
    <row r="2354" spans="2:5" x14ac:dyDescent="0.2">
      <c r="B2354"/>
      <c r="E2354"/>
    </row>
    <row r="2355" spans="2:5" x14ac:dyDescent="0.2">
      <c r="B2355"/>
      <c r="E2355"/>
    </row>
    <row r="2356" spans="2:5" x14ac:dyDescent="0.2">
      <c r="B2356"/>
      <c r="E2356"/>
    </row>
    <row r="2357" spans="2:5" x14ac:dyDescent="0.2">
      <c r="B2357"/>
      <c r="E2357"/>
    </row>
    <row r="2358" spans="2:5" x14ac:dyDescent="0.2">
      <c r="B2358"/>
      <c r="E2358"/>
    </row>
    <row r="2359" spans="2:5" x14ac:dyDescent="0.2">
      <c r="B2359"/>
      <c r="E2359"/>
    </row>
    <row r="2360" spans="2:5" x14ac:dyDescent="0.2">
      <c r="B2360"/>
      <c r="E2360"/>
    </row>
    <row r="2361" spans="2:5" x14ac:dyDescent="0.2">
      <c r="B2361"/>
      <c r="E2361"/>
    </row>
    <row r="2362" spans="2:5" x14ac:dyDescent="0.2">
      <c r="B2362"/>
      <c r="E2362"/>
    </row>
    <row r="2363" spans="2:5" x14ac:dyDescent="0.2">
      <c r="B2363"/>
      <c r="E2363"/>
    </row>
    <row r="2364" spans="2:5" x14ac:dyDescent="0.2">
      <c r="B2364"/>
      <c r="E2364"/>
    </row>
    <row r="2365" spans="2:5" x14ac:dyDescent="0.2">
      <c r="B2365"/>
      <c r="E2365"/>
    </row>
    <row r="2366" spans="2:5" x14ac:dyDescent="0.2">
      <c r="B2366"/>
      <c r="E2366"/>
    </row>
    <row r="2367" spans="2:5" x14ac:dyDescent="0.2">
      <c r="B2367"/>
      <c r="E2367"/>
    </row>
    <row r="2368" spans="2:5" x14ac:dyDescent="0.2">
      <c r="B2368"/>
      <c r="E2368"/>
    </row>
    <row r="2369" spans="2:5" x14ac:dyDescent="0.2">
      <c r="B2369"/>
      <c r="E2369"/>
    </row>
    <row r="2370" spans="2:5" x14ac:dyDescent="0.2">
      <c r="B2370"/>
      <c r="E2370"/>
    </row>
    <row r="2371" spans="2:5" x14ac:dyDescent="0.2">
      <c r="B2371"/>
      <c r="E2371"/>
    </row>
    <row r="2372" spans="2:5" x14ac:dyDescent="0.2">
      <c r="B2372"/>
      <c r="E2372"/>
    </row>
    <row r="2373" spans="2:5" x14ac:dyDescent="0.2">
      <c r="B2373"/>
      <c r="E2373"/>
    </row>
    <row r="2374" spans="2:5" x14ac:dyDescent="0.2">
      <c r="B2374"/>
      <c r="E2374"/>
    </row>
    <row r="2375" spans="2:5" x14ac:dyDescent="0.2">
      <c r="B2375"/>
      <c r="E2375"/>
    </row>
    <row r="2376" spans="2:5" x14ac:dyDescent="0.2">
      <c r="B2376"/>
      <c r="E2376"/>
    </row>
    <row r="2377" spans="2:5" x14ac:dyDescent="0.2">
      <c r="B2377"/>
      <c r="E2377"/>
    </row>
    <row r="2378" spans="2:5" x14ac:dyDescent="0.2">
      <c r="B2378"/>
      <c r="E2378"/>
    </row>
    <row r="2379" spans="2:5" x14ac:dyDescent="0.2">
      <c r="B2379"/>
      <c r="E2379"/>
    </row>
    <row r="2380" spans="2:5" x14ac:dyDescent="0.2">
      <c r="B2380"/>
      <c r="E2380"/>
    </row>
    <row r="2381" spans="2:5" x14ac:dyDescent="0.2">
      <c r="B2381"/>
      <c r="E2381"/>
    </row>
    <row r="2382" spans="2:5" x14ac:dyDescent="0.2">
      <c r="B2382"/>
      <c r="E2382"/>
    </row>
    <row r="2383" spans="2:5" x14ac:dyDescent="0.2">
      <c r="B2383"/>
      <c r="E2383"/>
    </row>
    <row r="2384" spans="2:5" x14ac:dyDescent="0.2">
      <c r="B2384"/>
      <c r="E2384"/>
    </row>
    <row r="2385" spans="2:5" x14ac:dyDescent="0.2">
      <c r="B2385"/>
      <c r="E2385"/>
    </row>
    <row r="2386" spans="2:5" x14ac:dyDescent="0.2">
      <c r="B2386"/>
      <c r="E2386"/>
    </row>
    <row r="2387" spans="2:5" x14ac:dyDescent="0.2">
      <c r="B2387"/>
      <c r="E2387"/>
    </row>
    <row r="2388" spans="2:5" x14ac:dyDescent="0.2">
      <c r="B2388"/>
      <c r="E2388"/>
    </row>
    <row r="2389" spans="2:5" x14ac:dyDescent="0.2">
      <c r="B2389"/>
      <c r="E2389"/>
    </row>
    <row r="2390" spans="2:5" x14ac:dyDescent="0.2">
      <c r="B2390"/>
      <c r="E2390"/>
    </row>
    <row r="2391" spans="2:5" x14ac:dyDescent="0.2">
      <c r="B2391"/>
      <c r="E2391"/>
    </row>
    <row r="2392" spans="2:5" x14ac:dyDescent="0.2">
      <c r="B2392"/>
      <c r="E2392"/>
    </row>
    <row r="2393" spans="2:5" x14ac:dyDescent="0.2">
      <c r="B2393"/>
      <c r="E2393"/>
    </row>
    <row r="2394" spans="2:5" x14ac:dyDescent="0.2">
      <c r="B2394"/>
      <c r="E2394"/>
    </row>
    <row r="2395" spans="2:5" x14ac:dyDescent="0.2">
      <c r="B2395"/>
      <c r="E2395"/>
    </row>
    <row r="2396" spans="2:5" x14ac:dyDescent="0.2">
      <c r="B2396"/>
      <c r="E2396"/>
    </row>
    <row r="2397" spans="2:5" x14ac:dyDescent="0.2">
      <c r="B2397"/>
      <c r="E2397"/>
    </row>
    <row r="2398" spans="2:5" x14ac:dyDescent="0.2">
      <c r="B2398"/>
      <c r="E2398"/>
    </row>
    <row r="2399" spans="2:5" x14ac:dyDescent="0.2">
      <c r="B2399"/>
      <c r="E2399"/>
    </row>
    <row r="2400" spans="2:5" x14ac:dyDescent="0.2">
      <c r="B2400"/>
      <c r="E2400"/>
    </row>
    <row r="2401" spans="2:5" x14ac:dyDescent="0.2">
      <c r="B2401"/>
      <c r="E2401"/>
    </row>
    <row r="2402" spans="2:5" x14ac:dyDescent="0.2">
      <c r="B2402"/>
      <c r="E2402"/>
    </row>
    <row r="2403" spans="2:5" x14ac:dyDescent="0.2">
      <c r="B2403"/>
      <c r="E2403"/>
    </row>
    <row r="2404" spans="2:5" x14ac:dyDescent="0.2">
      <c r="B2404"/>
      <c r="E2404"/>
    </row>
    <row r="2405" spans="2:5" x14ac:dyDescent="0.2">
      <c r="B2405"/>
      <c r="E2405"/>
    </row>
    <row r="2406" spans="2:5" x14ac:dyDescent="0.2">
      <c r="B2406"/>
      <c r="E2406"/>
    </row>
    <row r="2407" spans="2:5" x14ac:dyDescent="0.2">
      <c r="B2407"/>
      <c r="E2407"/>
    </row>
    <row r="2408" spans="2:5" x14ac:dyDescent="0.2">
      <c r="B2408"/>
      <c r="E2408"/>
    </row>
    <row r="2409" spans="2:5" x14ac:dyDescent="0.2">
      <c r="B2409"/>
      <c r="E2409"/>
    </row>
    <row r="2410" spans="2:5" x14ac:dyDescent="0.2">
      <c r="B2410"/>
      <c r="E2410"/>
    </row>
    <row r="2411" spans="2:5" x14ac:dyDescent="0.2">
      <c r="B2411"/>
      <c r="E2411"/>
    </row>
    <row r="2412" spans="2:5" x14ac:dyDescent="0.2">
      <c r="B2412"/>
      <c r="E2412"/>
    </row>
    <row r="2413" spans="2:5" x14ac:dyDescent="0.2">
      <c r="B2413"/>
      <c r="E2413"/>
    </row>
    <row r="2414" spans="2:5" x14ac:dyDescent="0.2">
      <c r="B2414"/>
      <c r="E2414"/>
    </row>
    <row r="2415" spans="2:5" x14ac:dyDescent="0.2">
      <c r="B2415"/>
      <c r="E2415"/>
    </row>
    <row r="2416" spans="2:5" x14ac:dyDescent="0.2">
      <c r="B2416"/>
      <c r="E2416"/>
    </row>
    <row r="2417" spans="2:5" x14ac:dyDescent="0.2">
      <c r="B2417"/>
      <c r="E2417"/>
    </row>
    <row r="2418" spans="2:5" x14ac:dyDescent="0.2">
      <c r="B2418"/>
      <c r="E2418"/>
    </row>
    <row r="2419" spans="2:5" x14ac:dyDescent="0.2">
      <c r="B2419"/>
      <c r="E2419"/>
    </row>
    <row r="2420" spans="2:5" x14ac:dyDescent="0.2">
      <c r="B2420"/>
      <c r="E2420"/>
    </row>
    <row r="2421" spans="2:5" x14ac:dyDescent="0.2">
      <c r="B2421"/>
      <c r="E2421"/>
    </row>
    <row r="2422" spans="2:5" x14ac:dyDescent="0.2">
      <c r="B2422"/>
      <c r="E2422"/>
    </row>
    <row r="2423" spans="2:5" x14ac:dyDescent="0.2">
      <c r="B2423"/>
      <c r="E2423"/>
    </row>
    <row r="2424" spans="2:5" x14ac:dyDescent="0.2">
      <c r="B2424"/>
      <c r="E2424"/>
    </row>
    <row r="2425" spans="2:5" x14ac:dyDescent="0.2">
      <c r="B2425"/>
      <c r="E2425"/>
    </row>
    <row r="2426" spans="2:5" x14ac:dyDescent="0.2">
      <c r="B2426"/>
      <c r="E2426"/>
    </row>
    <row r="2427" spans="2:5" x14ac:dyDescent="0.2">
      <c r="B2427"/>
      <c r="E2427"/>
    </row>
    <row r="2428" spans="2:5" x14ac:dyDescent="0.2">
      <c r="B2428"/>
      <c r="E2428"/>
    </row>
    <row r="2429" spans="2:5" x14ac:dyDescent="0.2">
      <c r="B2429"/>
      <c r="E2429"/>
    </row>
    <row r="2430" spans="2:5" x14ac:dyDescent="0.2">
      <c r="B2430"/>
      <c r="E2430"/>
    </row>
    <row r="2431" spans="2:5" x14ac:dyDescent="0.2">
      <c r="B2431"/>
      <c r="E2431"/>
    </row>
    <row r="2432" spans="2:5" x14ac:dyDescent="0.2">
      <c r="B2432"/>
      <c r="E2432"/>
    </row>
    <row r="2433" spans="2:5" x14ac:dyDescent="0.2">
      <c r="B2433"/>
      <c r="E2433"/>
    </row>
    <row r="2434" spans="2:5" x14ac:dyDescent="0.2">
      <c r="B2434"/>
      <c r="E2434"/>
    </row>
    <row r="2435" spans="2:5" x14ac:dyDescent="0.2">
      <c r="B2435"/>
      <c r="E2435"/>
    </row>
    <row r="2436" spans="2:5" x14ac:dyDescent="0.2">
      <c r="B2436"/>
      <c r="E2436"/>
    </row>
    <row r="2437" spans="2:5" x14ac:dyDescent="0.2">
      <c r="B2437"/>
      <c r="E2437"/>
    </row>
    <row r="2438" spans="2:5" x14ac:dyDescent="0.2">
      <c r="B2438"/>
      <c r="E2438"/>
    </row>
    <row r="2439" spans="2:5" x14ac:dyDescent="0.2">
      <c r="B2439"/>
      <c r="E2439"/>
    </row>
    <row r="2440" spans="2:5" x14ac:dyDescent="0.2">
      <c r="B2440"/>
      <c r="E2440"/>
    </row>
    <row r="2441" spans="2:5" x14ac:dyDescent="0.2">
      <c r="B2441"/>
      <c r="E2441"/>
    </row>
    <row r="2442" spans="2:5" x14ac:dyDescent="0.2">
      <c r="B2442"/>
      <c r="E2442"/>
    </row>
    <row r="2443" spans="2:5" x14ac:dyDescent="0.2">
      <c r="B2443"/>
      <c r="E2443"/>
    </row>
    <row r="2444" spans="2:5" x14ac:dyDescent="0.2">
      <c r="B2444"/>
      <c r="E2444"/>
    </row>
    <row r="2445" spans="2:5" x14ac:dyDescent="0.2">
      <c r="B2445"/>
      <c r="E2445"/>
    </row>
    <row r="2446" spans="2:5" x14ac:dyDescent="0.2">
      <c r="B2446"/>
      <c r="E2446"/>
    </row>
    <row r="2447" spans="2:5" x14ac:dyDescent="0.2">
      <c r="B2447"/>
      <c r="E2447"/>
    </row>
    <row r="2448" spans="2:5" x14ac:dyDescent="0.2">
      <c r="B2448"/>
      <c r="E2448"/>
    </row>
    <row r="2449" spans="2:5" x14ac:dyDescent="0.2">
      <c r="B2449"/>
      <c r="E2449"/>
    </row>
    <row r="2450" spans="2:5" x14ac:dyDescent="0.2">
      <c r="B2450"/>
      <c r="E2450"/>
    </row>
    <row r="2451" spans="2:5" x14ac:dyDescent="0.2">
      <c r="B2451"/>
      <c r="E2451"/>
    </row>
    <row r="2452" spans="2:5" x14ac:dyDescent="0.2">
      <c r="B2452"/>
      <c r="E2452"/>
    </row>
    <row r="2453" spans="2:5" x14ac:dyDescent="0.2">
      <c r="B2453"/>
      <c r="E2453"/>
    </row>
    <row r="2454" spans="2:5" x14ac:dyDescent="0.2">
      <c r="B2454"/>
      <c r="E2454"/>
    </row>
    <row r="2455" spans="2:5" x14ac:dyDescent="0.2">
      <c r="B2455"/>
      <c r="E2455"/>
    </row>
    <row r="2456" spans="2:5" x14ac:dyDescent="0.2">
      <c r="B2456"/>
      <c r="E2456"/>
    </row>
    <row r="2457" spans="2:5" x14ac:dyDescent="0.2">
      <c r="B2457"/>
      <c r="E2457"/>
    </row>
    <row r="2458" spans="2:5" x14ac:dyDescent="0.2">
      <c r="B2458"/>
      <c r="E2458"/>
    </row>
    <row r="2459" spans="2:5" x14ac:dyDescent="0.2">
      <c r="B2459"/>
      <c r="E2459"/>
    </row>
    <row r="2460" spans="2:5" x14ac:dyDescent="0.2">
      <c r="B2460"/>
      <c r="E2460"/>
    </row>
    <row r="2461" spans="2:5" x14ac:dyDescent="0.2">
      <c r="B2461"/>
      <c r="E2461"/>
    </row>
    <row r="2462" spans="2:5" x14ac:dyDescent="0.2">
      <c r="B2462"/>
      <c r="E2462"/>
    </row>
    <row r="2463" spans="2:5" x14ac:dyDescent="0.2">
      <c r="B2463"/>
      <c r="E2463"/>
    </row>
    <row r="2464" spans="2:5" x14ac:dyDescent="0.2">
      <c r="B2464"/>
      <c r="E2464"/>
    </row>
    <row r="2465" spans="2:5" x14ac:dyDescent="0.2">
      <c r="B2465"/>
      <c r="E2465"/>
    </row>
    <row r="2466" spans="2:5" x14ac:dyDescent="0.2">
      <c r="B2466"/>
      <c r="E2466"/>
    </row>
    <row r="2467" spans="2:5" x14ac:dyDescent="0.2">
      <c r="B2467"/>
      <c r="E2467"/>
    </row>
    <row r="2468" spans="2:5" x14ac:dyDescent="0.2">
      <c r="B2468"/>
      <c r="E2468"/>
    </row>
    <row r="2469" spans="2:5" x14ac:dyDescent="0.2">
      <c r="B2469"/>
      <c r="E2469"/>
    </row>
    <row r="2470" spans="2:5" x14ac:dyDescent="0.2">
      <c r="B2470"/>
      <c r="E2470"/>
    </row>
    <row r="2471" spans="2:5" x14ac:dyDescent="0.2">
      <c r="B2471"/>
      <c r="E2471"/>
    </row>
    <row r="2472" spans="2:5" x14ac:dyDescent="0.2">
      <c r="B2472"/>
      <c r="E2472"/>
    </row>
    <row r="2473" spans="2:5" x14ac:dyDescent="0.2">
      <c r="B2473"/>
      <c r="E2473"/>
    </row>
    <row r="2474" spans="2:5" x14ac:dyDescent="0.2">
      <c r="B2474"/>
      <c r="E2474"/>
    </row>
    <row r="2475" spans="2:5" x14ac:dyDescent="0.2">
      <c r="B2475"/>
      <c r="E2475"/>
    </row>
    <row r="2476" spans="2:5" x14ac:dyDescent="0.2">
      <c r="B2476"/>
      <c r="E2476"/>
    </row>
    <row r="2477" spans="2:5" x14ac:dyDescent="0.2">
      <c r="B2477"/>
      <c r="E2477"/>
    </row>
    <row r="2478" spans="2:5" x14ac:dyDescent="0.2">
      <c r="B2478"/>
      <c r="E2478"/>
    </row>
    <row r="2479" spans="2:5" x14ac:dyDescent="0.2">
      <c r="B2479"/>
      <c r="E2479"/>
    </row>
    <row r="2480" spans="2:5" x14ac:dyDescent="0.2">
      <c r="B2480"/>
      <c r="E2480"/>
    </row>
    <row r="2481" spans="2:5" x14ac:dyDescent="0.2">
      <c r="B2481"/>
      <c r="E2481"/>
    </row>
    <row r="2482" spans="2:5" x14ac:dyDescent="0.2">
      <c r="B2482"/>
      <c r="E2482"/>
    </row>
    <row r="2483" spans="2:5" x14ac:dyDescent="0.2">
      <c r="B2483"/>
      <c r="E2483"/>
    </row>
    <row r="2484" spans="2:5" x14ac:dyDescent="0.2">
      <c r="B2484"/>
      <c r="E2484"/>
    </row>
    <row r="2485" spans="2:5" x14ac:dyDescent="0.2">
      <c r="B2485"/>
      <c r="E2485"/>
    </row>
    <row r="2486" spans="2:5" x14ac:dyDescent="0.2">
      <c r="B2486"/>
      <c r="E2486"/>
    </row>
    <row r="2487" spans="2:5" x14ac:dyDescent="0.2">
      <c r="B2487"/>
      <c r="E2487"/>
    </row>
    <row r="2488" spans="2:5" x14ac:dyDescent="0.2">
      <c r="B2488"/>
      <c r="E2488"/>
    </row>
    <row r="2489" spans="2:5" x14ac:dyDescent="0.2">
      <c r="B2489"/>
      <c r="E2489"/>
    </row>
    <row r="2490" spans="2:5" x14ac:dyDescent="0.2">
      <c r="B2490"/>
      <c r="E2490"/>
    </row>
    <row r="2491" spans="2:5" x14ac:dyDescent="0.2">
      <c r="B2491"/>
      <c r="E2491"/>
    </row>
    <row r="2492" spans="2:5" x14ac:dyDescent="0.2">
      <c r="B2492"/>
      <c r="E2492"/>
    </row>
    <row r="2493" spans="2:5" x14ac:dyDescent="0.2">
      <c r="B2493"/>
      <c r="E2493"/>
    </row>
    <row r="2494" spans="2:5" x14ac:dyDescent="0.2">
      <c r="B2494"/>
      <c r="E2494"/>
    </row>
    <row r="2495" spans="2:5" x14ac:dyDescent="0.2">
      <c r="B2495"/>
      <c r="E2495"/>
    </row>
    <row r="2496" spans="2:5" x14ac:dyDescent="0.2">
      <c r="B2496"/>
      <c r="E2496"/>
    </row>
    <row r="2497" spans="2:5" x14ac:dyDescent="0.2">
      <c r="B2497"/>
      <c r="E2497"/>
    </row>
    <row r="2498" spans="2:5" x14ac:dyDescent="0.2">
      <c r="B2498"/>
      <c r="E2498"/>
    </row>
    <row r="2499" spans="2:5" x14ac:dyDescent="0.2">
      <c r="B2499"/>
      <c r="E2499"/>
    </row>
    <row r="2500" spans="2:5" x14ac:dyDescent="0.2">
      <c r="B2500"/>
      <c r="E2500"/>
    </row>
    <row r="2501" spans="2:5" x14ac:dyDescent="0.2">
      <c r="B2501"/>
      <c r="E2501"/>
    </row>
    <row r="2502" spans="2:5" x14ac:dyDescent="0.2">
      <c r="B2502"/>
      <c r="E2502"/>
    </row>
    <row r="2503" spans="2:5" x14ac:dyDescent="0.2">
      <c r="B2503"/>
      <c r="E2503"/>
    </row>
    <row r="2504" spans="2:5" x14ac:dyDescent="0.2">
      <c r="B2504"/>
      <c r="E2504"/>
    </row>
    <row r="2505" spans="2:5" x14ac:dyDescent="0.2">
      <c r="B2505"/>
      <c r="E2505"/>
    </row>
    <row r="2506" spans="2:5" x14ac:dyDescent="0.2">
      <c r="B2506"/>
      <c r="E2506"/>
    </row>
    <row r="2507" spans="2:5" x14ac:dyDescent="0.2">
      <c r="B2507"/>
      <c r="E2507"/>
    </row>
    <row r="2508" spans="2:5" x14ac:dyDescent="0.2">
      <c r="B2508"/>
      <c r="E2508"/>
    </row>
    <row r="2509" spans="2:5" x14ac:dyDescent="0.2">
      <c r="B2509"/>
      <c r="E2509"/>
    </row>
    <row r="2510" spans="2:5" x14ac:dyDescent="0.2">
      <c r="B2510"/>
      <c r="E2510"/>
    </row>
    <row r="2511" spans="2:5" x14ac:dyDescent="0.2">
      <c r="B2511"/>
      <c r="E2511"/>
    </row>
    <row r="2512" spans="2:5" x14ac:dyDescent="0.2">
      <c r="B2512"/>
      <c r="E2512"/>
    </row>
    <row r="2513" spans="2:5" x14ac:dyDescent="0.2">
      <c r="B2513"/>
      <c r="E2513"/>
    </row>
    <row r="2514" spans="2:5" x14ac:dyDescent="0.2">
      <c r="B2514"/>
      <c r="E2514"/>
    </row>
    <row r="2515" spans="2:5" x14ac:dyDescent="0.2">
      <c r="B2515"/>
      <c r="E2515"/>
    </row>
    <row r="2516" spans="2:5" x14ac:dyDescent="0.2">
      <c r="B2516"/>
      <c r="E2516"/>
    </row>
    <row r="2517" spans="2:5" x14ac:dyDescent="0.2">
      <c r="B2517"/>
      <c r="E2517"/>
    </row>
    <row r="2518" spans="2:5" x14ac:dyDescent="0.2">
      <c r="B2518"/>
      <c r="E2518"/>
    </row>
    <row r="2519" spans="2:5" x14ac:dyDescent="0.2">
      <c r="B2519"/>
      <c r="E2519"/>
    </row>
    <row r="2520" spans="2:5" x14ac:dyDescent="0.2">
      <c r="B2520"/>
      <c r="E2520"/>
    </row>
    <row r="2521" spans="2:5" x14ac:dyDescent="0.2">
      <c r="B2521"/>
      <c r="E2521"/>
    </row>
    <row r="2522" spans="2:5" x14ac:dyDescent="0.2">
      <c r="B2522"/>
      <c r="E2522"/>
    </row>
    <row r="2523" spans="2:5" x14ac:dyDescent="0.2">
      <c r="B2523"/>
      <c r="E2523"/>
    </row>
    <row r="2524" spans="2:5" x14ac:dyDescent="0.2">
      <c r="B2524"/>
      <c r="E2524"/>
    </row>
    <row r="2525" spans="2:5" x14ac:dyDescent="0.2">
      <c r="B2525"/>
      <c r="E2525"/>
    </row>
    <row r="2526" spans="2:5" x14ac:dyDescent="0.2">
      <c r="B2526"/>
      <c r="E2526"/>
    </row>
    <row r="2527" spans="2:5" x14ac:dyDescent="0.2">
      <c r="B2527"/>
      <c r="E2527"/>
    </row>
    <row r="2528" spans="2:5" x14ac:dyDescent="0.2">
      <c r="B2528"/>
      <c r="E2528"/>
    </row>
    <row r="2529" spans="2:5" x14ac:dyDescent="0.2">
      <c r="B2529"/>
      <c r="E2529"/>
    </row>
    <row r="2530" spans="2:5" x14ac:dyDescent="0.2">
      <c r="B2530"/>
      <c r="E2530"/>
    </row>
    <row r="2531" spans="2:5" x14ac:dyDescent="0.2">
      <c r="B2531"/>
      <c r="E2531"/>
    </row>
    <row r="2532" spans="2:5" x14ac:dyDescent="0.2">
      <c r="B2532"/>
      <c r="E2532"/>
    </row>
    <row r="2533" spans="2:5" x14ac:dyDescent="0.2">
      <c r="B2533"/>
      <c r="E2533"/>
    </row>
    <row r="2534" spans="2:5" x14ac:dyDescent="0.2">
      <c r="B2534"/>
      <c r="E2534"/>
    </row>
    <row r="2535" spans="2:5" x14ac:dyDescent="0.2">
      <c r="B2535"/>
      <c r="E2535"/>
    </row>
    <row r="2536" spans="2:5" x14ac:dyDescent="0.2">
      <c r="B2536"/>
      <c r="E2536"/>
    </row>
    <row r="2537" spans="2:5" x14ac:dyDescent="0.2">
      <c r="B2537"/>
      <c r="E2537"/>
    </row>
    <row r="2538" spans="2:5" x14ac:dyDescent="0.2">
      <c r="B2538"/>
      <c r="E2538"/>
    </row>
    <row r="2539" spans="2:5" x14ac:dyDescent="0.2">
      <c r="B2539"/>
      <c r="E2539"/>
    </row>
    <row r="2540" spans="2:5" x14ac:dyDescent="0.2">
      <c r="B2540"/>
      <c r="E2540"/>
    </row>
    <row r="2541" spans="2:5" x14ac:dyDescent="0.2">
      <c r="B2541"/>
      <c r="E2541"/>
    </row>
    <row r="2542" spans="2:5" x14ac:dyDescent="0.2">
      <c r="B2542"/>
      <c r="E2542"/>
    </row>
    <row r="2543" spans="2:5" x14ac:dyDescent="0.2">
      <c r="B2543"/>
      <c r="E2543"/>
    </row>
    <row r="2544" spans="2:5" x14ac:dyDescent="0.2">
      <c r="B2544"/>
      <c r="E2544"/>
    </row>
    <row r="2545" spans="2:5" x14ac:dyDescent="0.2">
      <c r="B2545"/>
      <c r="E2545"/>
    </row>
    <row r="2546" spans="2:5" x14ac:dyDescent="0.2">
      <c r="B2546"/>
      <c r="E2546"/>
    </row>
    <row r="2547" spans="2:5" x14ac:dyDescent="0.2">
      <c r="B2547"/>
      <c r="E2547"/>
    </row>
    <row r="2548" spans="2:5" x14ac:dyDescent="0.2">
      <c r="B2548"/>
      <c r="E2548"/>
    </row>
    <row r="2549" spans="2:5" x14ac:dyDescent="0.2">
      <c r="B2549"/>
      <c r="E2549"/>
    </row>
    <row r="2550" spans="2:5" x14ac:dyDescent="0.2">
      <c r="B2550"/>
      <c r="E2550"/>
    </row>
    <row r="2551" spans="2:5" x14ac:dyDescent="0.2">
      <c r="B2551"/>
      <c r="E2551"/>
    </row>
    <row r="2552" spans="2:5" x14ac:dyDescent="0.2">
      <c r="B2552"/>
      <c r="E2552"/>
    </row>
    <row r="2553" spans="2:5" x14ac:dyDescent="0.2">
      <c r="B2553"/>
      <c r="E2553"/>
    </row>
    <row r="2554" spans="2:5" x14ac:dyDescent="0.2">
      <c r="B2554"/>
      <c r="E2554"/>
    </row>
    <row r="2555" spans="2:5" x14ac:dyDescent="0.2">
      <c r="B2555"/>
      <c r="E2555"/>
    </row>
    <row r="2556" spans="2:5" x14ac:dyDescent="0.2">
      <c r="B2556"/>
      <c r="E2556"/>
    </row>
    <row r="2557" spans="2:5" x14ac:dyDescent="0.2">
      <c r="B2557"/>
      <c r="E2557"/>
    </row>
    <row r="2558" spans="2:5" x14ac:dyDescent="0.2">
      <c r="B2558"/>
      <c r="E2558"/>
    </row>
    <row r="2559" spans="2:5" x14ac:dyDescent="0.2">
      <c r="B2559"/>
      <c r="E2559"/>
    </row>
    <row r="2560" spans="2:5" x14ac:dyDescent="0.2">
      <c r="B2560"/>
      <c r="E2560"/>
    </row>
    <row r="2561" spans="2:5" x14ac:dyDescent="0.2">
      <c r="B2561"/>
      <c r="E2561"/>
    </row>
    <row r="2562" spans="2:5" x14ac:dyDescent="0.2">
      <c r="B2562"/>
      <c r="E2562"/>
    </row>
    <row r="2563" spans="2:5" x14ac:dyDescent="0.2">
      <c r="B2563"/>
      <c r="E2563"/>
    </row>
    <row r="2564" spans="2:5" x14ac:dyDescent="0.2">
      <c r="B2564"/>
      <c r="E2564"/>
    </row>
    <row r="2565" spans="2:5" x14ac:dyDescent="0.2">
      <c r="B2565"/>
      <c r="E2565"/>
    </row>
    <row r="2566" spans="2:5" x14ac:dyDescent="0.2">
      <c r="B2566"/>
      <c r="E2566"/>
    </row>
    <row r="2567" spans="2:5" x14ac:dyDescent="0.2">
      <c r="B2567"/>
      <c r="E2567"/>
    </row>
    <row r="2568" spans="2:5" x14ac:dyDescent="0.2">
      <c r="B2568"/>
      <c r="E2568"/>
    </row>
    <row r="2569" spans="2:5" x14ac:dyDescent="0.2">
      <c r="B2569"/>
      <c r="E2569"/>
    </row>
    <row r="2570" spans="2:5" x14ac:dyDescent="0.2">
      <c r="B2570"/>
      <c r="E2570"/>
    </row>
    <row r="2571" spans="2:5" x14ac:dyDescent="0.2">
      <c r="B2571"/>
      <c r="E2571"/>
    </row>
    <row r="2572" spans="2:5" x14ac:dyDescent="0.2">
      <c r="B2572"/>
      <c r="E2572"/>
    </row>
    <row r="2573" spans="2:5" x14ac:dyDescent="0.2">
      <c r="B2573"/>
      <c r="E2573"/>
    </row>
    <row r="2574" spans="2:5" x14ac:dyDescent="0.2">
      <c r="B2574"/>
      <c r="E2574"/>
    </row>
    <row r="2575" spans="2:5" x14ac:dyDescent="0.2">
      <c r="B2575"/>
      <c r="E2575"/>
    </row>
    <row r="2576" spans="2:5" x14ac:dyDescent="0.2">
      <c r="B2576"/>
      <c r="E2576"/>
    </row>
    <row r="2577" spans="2:5" x14ac:dyDescent="0.2">
      <c r="B2577"/>
      <c r="E2577"/>
    </row>
    <row r="2578" spans="2:5" x14ac:dyDescent="0.2">
      <c r="B2578"/>
      <c r="E2578"/>
    </row>
    <row r="2579" spans="2:5" x14ac:dyDescent="0.2">
      <c r="B2579"/>
      <c r="E2579"/>
    </row>
    <row r="2580" spans="2:5" x14ac:dyDescent="0.2">
      <c r="B2580"/>
      <c r="E2580"/>
    </row>
    <row r="2581" spans="2:5" x14ac:dyDescent="0.2">
      <c r="B2581"/>
      <c r="E2581"/>
    </row>
    <row r="2582" spans="2:5" x14ac:dyDescent="0.2">
      <c r="B2582"/>
      <c r="E2582"/>
    </row>
    <row r="2583" spans="2:5" x14ac:dyDescent="0.2">
      <c r="B2583"/>
      <c r="E2583"/>
    </row>
    <row r="2584" spans="2:5" x14ac:dyDescent="0.2">
      <c r="B2584"/>
      <c r="E2584"/>
    </row>
    <row r="2585" spans="2:5" x14ac:dyDescent="0.2">
      <c r="B2585"/>
      <c r="E2585"/>
    </row>
    <row r="2586" spans="2:5" x14ac:dyDescent="0.2">
      <c r="B2586"/>
      <c r="E2586"/>
    </row>
    <row r="2587" spans="2:5" x14ac:dyDescent="0.2">
      <c r="B2587"/>
      <c r="E2587"/>
    </row>
    <row r="2588" spans="2:5" x14ac:dyDescent="0.2">
      <c r="B2588"/>
      <c r="E2588"/>
    </row>
    <row r="2589" spans="2:5" x14ac:dyDescent="0.2">
      <c r="B2589"/>
      <c r="E2589"/>
    </row>
    <row r="2590" spans="2:5" x14ac:dyDescent="0.2">
      <c r="B2590"/>
      <c r="E2590"/>
    </row>
    <row r="2591" spans="2:5" x14ac:dyDescent="0.2">
      <c r="B2591"/>
      <c r="E2591"/>
    </row>
    <row r="2592" spans="2:5" x14ac:dyDescent="0.2">
      <c r="B2592"/>
      <c r="E2592"/>
    </row>
    <row r="2593" spans="2:5" x14ac:dyDescent="0.2">
      <c r="B2593"/>
      <c r="E2593"/>
    </row>
    <row r="2594" spans="2:5" x14ac:dyDescent="0.2">
      <c r="B2594"/>
      <c r="E2594"/>
    </row>
    <row r="2595" spans="2:5" x14ac:dyDescent="0.2">
      <c r="B2595"/>
      <c r="E2595"/>
    </row>
    <row r="2596" spans="2:5" x14ac:dyDescent="0.2">
      <c r="B2596"/>
      <c r="E2596"/>
    </row>
    <row r="2597" spans="2:5" x14ac:dyDescent="0.2">
      <c r="B2597"/>
      <c r="E2597"/>
    </row>
    <row r="2598" spans="2:5" x14ac:dyDescent="0.2">
      <c r="B2598"/>
      <c r="E2598"/>
    </row>
    <row r="2599" spans="2:5" x14ac:dyDescent="0.2">
      <c r="B2599"/>
      <c r="E2599"/>
    </row>
    <row r="2600" spans="2:5" x14ac:dyDescent="0.2">
      <c r="B2600"/>
      <c r="E2600"/>
    </row>
    <row r="2601" spans="2:5" x14ac:dyDescent="0.2">
      <c r="B2601"/>
      <c r="E2601"/>
    </row>
    <row r="2602" spans="2:5" x14ac:dyDescent="0.2">
      <c r="B2602"/>
      <c r="E2602"/>
    </row>
    <row r="2603" spans="2:5" x14ac:dyDescent="0.2">
      <c r="B2603"/>
      <c r="E2603"/>
    </row>
    <row r="2604" spans="2:5" x14ac:dyDescent="0.2">
      <c r="B2604"/>
      <c r="E2604"/>
    </row>
    <row r="2605" spans="2:5" x14ac:dyDescent="0.2">
      <c r="B2605"/>
      <c r="E2605"/>
    </row>
    <row r="2606" spans="2:5" x14ac:dyDescent="0.2">
      <c r="B2606"/>
      <c r="E2606"/>
    </row>
    <row r="2607" spans="2:5" x14ac:dyDescent="0.2">
      <c r="B2607"/>
      <c r="E2607"/>
    </row>
    <row r="2608" spans="2:5" x14ac:dyDescent="0.2">
      <c r="B2608"/>
      <c r="E2608"/>
    </row>
    <row r="2609" spans="2:5" x14ac:dyDescent="0.2">
      <c r="B2609"/>
      <c r="E2609"/>
    </row>
    <row r="2610" spans="2:5" x14ac:dyDescent="0.2">
      <c r="B2610"/>
      <c r="E2610"/>
    </row>
    <row r="2611" spans="2:5" x14ac:dyDescent="0.2">
      <c r="B2611"/>
      <c r="E2611"/>
    </row>
    <row r="2612" spans="2:5" x14ac:dyDescent="0.2">
      <c r="B2612"/>
      <c r="E2612"/>
    </row>
    <row r="2613" spans="2:5" x14ac:dyDescent="0.2">
      <c r="B2613"/>
      <c r="E2613"/>
    </row>
    <row r="2614" spans="2:5" x14ac:dyDescent="0.2">
      <c r="B2614"/>
      <c r="E2614"/>
    </row>
    <row r="2615" spans="2:5" x14ac:dyDescent="0.2">
      <c r="B2615"/>
      <c r="E2615"/>
    </row>
    <row r="2616" spans="2:5" x14ac:dyDescent="0.2">
      <c r="B2616"/>
      <c r="E2616"/>
    </row>
    <row r="2617" spans="2:5" x14ac:dyDescent="0.2">
      <c r="B2617"/>
      <c r="E2617"/>
    </row>
    <row r="2618" spans="2:5" x14ac:dyDescent="0.2">
      <c r="B2618"/>
      <c r="E2618"/>
    </row>
    <row r="2619" spans="2:5" x14ac:dyDescent="0.2">
      <c r="B2619"/>
      <c r="E2619"/>
    </row>
    <row r="2620" spans="2:5" x14ac:dyDescent="0.2">
      <c r="B2620"/>
      <c r="E2620"/>
    </row>
    <row r="2621" spans="2:5" x14ac:dyDescent="0.2">
      <c r="B2621"/>
      <c r="E2621"/>
    </row>
    <row r="2622" spans="2:5" x14ac:dyDescent="0.2">
      <c r="B2622"/>
      <c r="E2622"/>
    </row>
    <row r="2623" spans="2:5" x14ac:dyDescent="0.2">
      <c r="B2623"/>
      <c r="E2623"/>
    </row>
    <row r="2624" spans="2:5" x14ac:dyDescent="0.2">
      <c r="B2624"/>
      <c r="E2624"/>
    </row>
    <row r="2625" spans="2:5" x14ac:dyDescent="0.2">
      <c r="B2625"/>
      <c r="E2625"/>
    </row>
    <row r="2626" spans="2:5" x14ac:dyDescent="0.2">
      <c r="B2626"/>
      <c r="E2626"/>
    </row>
    <row r="2627" spans="2:5" x14ac:dyDescent="0.2">
      <c r="B2627"/>
      <c r="E2627"/>
    </row>
    <row r="2628" spans="2:5" x14ac:dyDescent="0.2">
      <c r="B2628"/>
      <c r="E2628"/>
    </row>
    <row r="2629" spans="2:5" x14ac:dyDescent="0.2">
      <c r="B2629"/>
      <c r="E2629"/>
    </row>
    <row r="2630" spans="2:5" x14ac:dyDescent="0.2">
      <c r="B2630"/>
      <c r="E2630"/>
    </row>
    <row r="2631" spans="2:5" x14ac:dyDescent="0.2">
      <c r="B2631"/>
      <c r="E2631"/>
    </row>
    <row r="2632" spans="2:5" x14ac:dyDescent="0.2">
      <c r="B2632"/>
      <c r="E2632"/>
    </row>
    <row r="2633" spans="2:5" x14ac:dyDescent="0.2">
      <c r="B2633"/>
      <c r="E2633"/>
    </row>
    <row r="2634" spans="2:5" x14ac:dyDescent="0.2">
      <c r="B2634"/>
      <c r="E2634"/>
    </row>
    <row r="2635" spans="2:5" x14ac:dyDescent="0.2">
      <c r="B2635"/>
      <c r="E2635"/>
    </row>
    <row r="2636" spans="2:5" x14ac:dyDescent="0.2">
      <c r="B2636"/>
      <c r="E2636"/>
    </row>
    <row r="2637" spans="2:5" x14ac:dyDescent="0.2">
      <c r="B2637"/>
      <c r="E2637"/>
    </row>
    <row r="2638" spans="2:5" x14ac:dyDescent="0.2">
      <c r="B2638"/>
      <c r="E2638"/>
    </row>
    <row r="2639" spans="2:5" x14ac:dyDescent="0.2">
      <c r="B2639"/>
      <c r="E2639"/>
    </row>
    <row r="2640" spans="2:5" x14ac:dyDescent="0.2">
      <c r="B2640"/>
      <c r="E2640"/>
    </row>
    <row r="2641" spans="2:5" x14ac:dyDescent="0.2">
      <c r="B2641"/>
      <c r="E2641"/>
    </row>
    <row r="2642" spans="2:5" x14ac:dyDescent="0.2">
      <c r="B2642"/>
      <c r="E2642"/>
    </row>
    <row r="2643" spans="2:5" x14ac:dyDescent="0.2">
      <c r="B2643"/>
      <c r="E2643"/>
    </row>
    <row r="2644" spans="2:5" x14ac:dyDescent="0.2">
      <c r="B2644"/>
      <c r="E2644"/>
    </row>
    <row r="2645" spans="2:5" x14ac:dyDescent="0.2">
      <c r="B2645"/>
      <c r="E2645"/>
    </row>
    <row r="2646" spans="2:5" x14ac:dyDescent="0.2">
      <c r="B2646"/>
      <c r="E2646"/>
    </row>
    <row r="2647" spans="2:5" x14ac:dyDescent="0.2">
      <c r="B2647"/>
      <c r="E2647"/>
    </row>
    <row r="2648" spans="2:5" x14ac:dyDescent="0.2">
      <c r="B2648"/>
      <c r="E2648"/>
    </row>
    <row r="2649" spans="2:5" x14ac:dyDescent="0.2">
      <c r="B2649"/>
      <c r="E2649"/>
    </row>
    <row r="2650" spans="2:5" x14ac:dyDescent="0.2">
      <c r="B2650"/>
      <c r="E2650"/>
    </row>
    <row r="2651" spans="2:5" x14ac:dyDescent="0.2">
      <c r="B2651"/>
      <c r="E2651"/>
    </row>
    <row r="2652" spans="2:5" x14ac:dyDescent="0.2">
      <c r="B2652"/>
      <c r="E2652"/>
    </row>
    <row r="2653" spans="2:5" x14ac:dyDescent="0.2">
      <c r="B2653"/>
      <c r="E2653"/>
    </row>
    <row r="2654" spans="2:5" x14ac:dyDescent="0.2">
      <c r="B2654"/>
      <c r="E2654"/>
    </row>
    <row r="2655" spans="2:5" x14ac:dyDescent="0.2">
      <c r="B2655"/>
      <c r="E2655"/>
    </row>
    <row r="2656" spans="2:5" x14ac:dyDescent="0.2">
      <c r="B2656"/>
      <c r="E2656"/>
    </row>
    <row r="2657" spans="2:5" x14ac:dyDescent="0.2">
      <c r="B2657"/>
      <c r="E2657"/>
    </row>
    <row r="2658" spans="2:5" x14ac:dyDescent="0.2">
      <c r="B2658"/>
      <c r="E2658"/>
    </row>
    <row r="2659" spans="2:5" x14ac:dyDescent="0.2">
      <c r="B2659"/>
      <c r="E2659"/>
    </row>
    <row r="2660" spans="2:5" x14ac:dyDescent="0.2">
      <c r="B2660"/>
      <c r="E2660"/>
    </row>
    <row r="2661" spans="2:5" x14ac:dyDescent="0.2">
      <c r="B2661"/>
      <c r="E2661"/>
    </row>
    <row r="2662" spans="2:5" x14ac:dyDescent="0.2">
      <c r="B2662"/>
      <c r="E2662"/>
    </row>
    <row r="2663" spans="2:5" x14ac:dyDescent="0.2">
      <c r="B2663"/>
      <c r="E2663"/>
    </row>
    <row r="2664" spans="2:5" x14ac:dyDescent="0.2">
      <c r="B2664"/>
      <c r="E2664"/>
    </row>
    <row r="2665" spans="2:5" x14ac:dyDescent="0.2">
      <c r="B2665"/>
      <c r="E2665"/>
    </row>
    <row r="2666" spans="2:5" x14ac:dyDescent="0.2">
      <c r="B2666"/>
      <c r="E2666"/>
    </row>
    <row r="2667" spans="2:5" x14ac:dyDescent="0.2">
      <c r="B2667"/>
      <c r="E2667"/>
    </row>
    <row r="2668" spans="2:5" x14ac:dyDescent="0.2">
      <c r="B2668"/>
      <c r="E2668"/>
    </row>
    <row r="2669" spans="2:5" x14ac:dyDescent="0.2">
      <c r="B2669"/>
      <c r="E2669"/>
    </row>
    <row r="2670" spans="2:5" x14ac:dyDescent="0.2">
      <c r="B2670"/>
      <c r="E2670"/>
    </row>
    <row r="2671" spans="2:5" x14ac:dyDescent="0.2">
      <c r="B2671"/>
      <c r="E2671"/>
    </row>
    <row r="2672" spans="2:5" x14ac:dyDescent="0.2">
      <c r="B2672"/>
      <c r="E2672"/>
    </row>
    <row r="2673" spans="2:5" x14ac:dyDescent="0.2">
      <c r="B2673"/>
      <c r="E2673"/>
    </row>
    <row r="2674" spans="2:5" x14ac:dyDescent="0.2">
      <c r="B2674"/>
      <c r="E2674"/>
    </row>
    <row r="2675" spans="2:5" x14ac:dyDescent="0.2">
      <c r="B2675"/>
      <c r="E2675"/>
    </row>
    <row r="2676" spans="2:5" x14ac:dyDescent="0.2">
      <c r="B2676"/>
      <c r="E2676"/>
    </row>
    <row r="2677" spans="2:5" x14ac:dyDescent="0.2">
      <c r="B2677"/>
      <c r="E2677"/>
    </row>
    <row r="2678" spans="2:5" x14ac:dyDescent="0.2">
      <c r="B2678"/>
      <c r="E2678"/>
    </row>
    <row r="2679" spans="2:5" x14ac:dyDescent="0.2">
      <c r="B2679"/>
      <c r="E2679"/>
    </row>
    <row r="2680" spans="2:5" x14ac:dyDescent="0.2">
      <c r="B2680"/>
      <c r="E2680"/>
    </row>
    <row r="2681" spans="2:5" x14ac:dyDescent="0.2">
      <c r="B2681"/>
      <c r="E2681"/>
    </row>
    <row r="2682" spans="2:5" x14ac:dyDescent="0.2">
      <c r="B2682"/>
      <c r="E2682"/>
    </row>
    <row r="2683" spans="2:5" x14ac:dyDescent="0.2">
      <c r="B2683"/>
      <c r="E2683"/>
    </row>
    <row r="2684" spans="2:5" x14ac:dyDescent="0.2">
      <c r="B2684"/>
      <c r="E2684"/>
    </row>
    <row r="2685" spans="2:5" x14ac:dyDescent="0.2">
      <c r="B2685"/>
      <c r="E2685"/>
    </row>
    <row r="2686" spans="2:5" x14ac:dyDescent="0.2">
      <c r="B2686"/>
      <c r="E2686"/>
    </row>
    <row r="2687" spans="2:5" x14ac:dyDescent="0.2">
      <c r="B2687"/>
      <c r="E2687"/>
    </row>
    <row r="2688" spans="2:5" x14ac:dyDescent="0.2">
      <c r="B2688"/>
      <c r="E2688"/>
    </row>
    <row r="2689" spans="2:5" x14ac:dyDescent="0.2">
      <c r="B2689"/>
      <c r="E2689"/>
    </row>
    <row r="2690" spans="2:5" x14ac:dyDescent="0.2">
      <c r="B2690"/>
      <c r="E2690"/>
    </row>
    <row r="2691" spans="2:5" x14ac:dyDescent="0.2">
      <c r="B2691"/>
      <c r="E2691"/>
    </row>
    <row r="2692" spans="2:5" x14ac:dyDescent="0.2">
      <c r="B2692"/>
      <c r="E2692"/>
    </row>
    <row r="2693" spans="2:5" x14ac:dyDescent="0.2">
      <c r="B2693"/>
      <c r="E2693"/>
    </row>
    <row r="2694" spans="2:5" x14ac:dyDescent="0.2">
      <c r="B2694"/>
      <c r="E2694"/>
    </row>
    <row r="2695" spans="2:5" x14ac:dyDescent="0.2">
      <c r="B2695"/>
      <c r="E2695"/>
    </row>
    <row r="2696" spans="2:5" x14ac:dyDescent="0.2">
      <c r="B2696"/>
      <c r="E2696"/>
    </row>
    <row r="2697" spans="2:5" x14ac:dyDescent="0.2">
      <c r="B2697"/>
      <c r="E2697"/>
    </row>
    <row r="2698" spans="2:5" x14ac:dyDescent="0.2">
      <c r="B2698"/>
      <c r="E2698"/>
    </row>
    <row r="2699" spans="2:5" x14ac:dyDescent="0.2">
      <c r="B2699"/>
      <c r="E2699"/>
    </row>
    <row r="2700" spans="2:5" x14ac:dyDescent="0.2">
      <c r="B2700"/>
      <c r="E2700"/>
    </row>
    <row r="2701" spans="2:5" x14ac:dyDescent="0.2">
      <c r="B2701"/>
      <c r="E2701"/>
    </row>
    <row r="2702" spans="2:5" x14ac:dyDescent="0.2">
      <c r="B2702"/>
      <c r="E2702"/>
    </row>
    <row r="2703" spans="2:5" x14ac:dyDescent="0.2">
      <c r="B2703"/>
      <c r="E2703"/>
    </row>
    <row r="2704" spans="2:5" x14ac:dyDescent="0.2">
      <c r="B2704"/>
      <c r="E2704"/>
    </row>
    <row r="2705" spans="2:5" x14ac:dyDescent="0.2">
      <c r="B2705"/>
      <c r="E2705"/>
    </row>
    <row r="2706" spans="2:5" x14ac:dyDescent="0.2">
      <c r="B2706"/>
      <c r="E2706"/>
    </row>
    <row r="2707" spans="2:5" x14ac:dyDescent="0.2">
      <c r="B2707"/>
      <c r="E2707"/>
    </row>
    <row r="2708" spans="2:5" x14ac:dyDescent="0.2">
      <c r="B2708"/>
      <c r="E2708"/>
    </row>
    <row r="2709" spans="2:5" x14ac:dyDescent="0.2">
      <c r="B2709"/>
      <c r="E2709"/>
    </row>
    <row r="2710" spans="2:5" x14ac:dyDescent="0.2">
      <c r="B2710"/>
      <c r="E2710"/>
    </row>
    <row r="2711" spans="2:5" x14ac:dyDescent="0.2">
      <c r="B2711"/>
      <c r="E2711"/>
    </row>
    <row r="2712" spans="2:5" x14ac:dyDescent="0.2">
      <c r="B2712"/>
      <c r="E2712"/>
    </row>
    <row r="2713" spans="2:5" x14ac:dyDescent="0.2">
      <c r="B2713"/>
      <c r="E2713"/>
    </row>
    <row r="2714" spans="2:5" x14ac:dyDescent="0.2">
      <c r="B2714"/>
      <c r="E2714"/>
    </row>
    <row r="2715" spans="2:5" x14ac:dyDescent="0.2">
      <c r="B2715"/>
      <c r="E2715"/>
    </row>
    <row r="2716" spans="2:5" x14ac:dyDescent="0.2">
      <c r="B2716"/>
      <c r="E2716"/>
    </row>
    <row r="2717" spans="2:5" x14ac:dyDescent="0.2">
      <c r="B2717"/>
      <c r="E2717"/>
    </row>
    <row r="2718" spans="2:5" x14ac:dyDescent="0.2">
      <c r="B2718"/>
      <c r="E2718"/>
    </row>
    <row r="2719" spans="2:5" x14ac:dyDescent="0.2">
      <c r="B2719"/>
      <c r="E2719"/>
    </row>
    <row r="2720" spans="2:5" x14ac:dyDescent="0.2">
      <c r="B2720"/>
      <c r="E2720"/>
    </row>
    <row r="2721" spans="2:5" x14ac:dyDescent="0.2">
      <c r="B2721"/>
      <c r="E2721"/>
    </row>
    <row r="2722" spans="2:5" x14ac:dyDescent="0.2">
      <c r="B2722"/>
      <c r="E2722"/>
    </row>
    <row r="2723" spans="2:5" x14ac:dyDescent="0.2">
      <c r="B2723"/>
      <c r="E2723"/>
    </row>
    <row r="2724" spans="2:5" x14ac:dyDescent="0.2">
      <c r="B2724"/>
      <c r="E2724"/>
    </row>
    <row r="2725" spans="2:5" x14ac:dyDescent="0.2">
      <c r="B2725"/>
      <c r="E2725"/>
    </row>
    <row r="2726" spans="2:5" x14ac:dyDescent="0.2">
      <c r="B2726"/>
      <c r="E2726"/>
    </row>
    <row r="2727" spans="2:5" x14ac:dyDescent="0.2">
      <c r="B2727"/>
      <c r="E2727"/>
    </row>
    <row r="2728" spans="2:5" x14ac:dyDescent="0.2">
      <c r="B2728"/>
      <c r="E2728"/>
    </row>
    <row r="2729" spans="2:5" x14ac:dyDescent="0.2">
      <c r="B2729"/>
      <c r="E2729"/>
    </row>
    <row r="2730" spans="2:5" x14ac:dyDescent="0.2">
      <c r="B2730"/>
      <c r="E2730"/>
    </row>
    <row r="2731" spans="2:5" x14ac:dyDescent="0.2">
      <c r="B2731"/>
      <c r="E2731"/>
    </row>
    <row r="2732" spans="2:5" x14ac:dyDescent="0.2">
      <c r="B2732"/>
      <c r="E2732"/>
    </row>
    <row r="2733" spans="2:5" x14ac:dyDescent="0.2">
      <c r="B2733"/>
      <c r="E2733"/>
    </row>
    <row r="2734" spans="2:5" x14ac:dyDescent="0.2">
      <c r="B2734"/>
      <c r="E2734"/>
    </row>
    <row r="2735" spans="2:5" x14ac:dyDescent="0.2">
      <c r="B2735"/>
      <c r="E2735"/>
    </row>
    <row r="2736" spans="2:5" x14ac:dyDescent="0.2">
      <c r="B2736"/>
      <c r="E2736"/>
    </row>
    <row r="2737" spans="2:5" x14ac:dyDescent="0.2">
      <c r="B2737"/>
      <c r="E2737"/>
    </row>
    <row r="2738" spans="2:5" x14ac:dyDescent="0.2">
      <c r="B2738"/>
      <c r="E2738"/>
    </row>
    <row r="2739" spans="2:5" x14ac:dyDescent="0.2">
      <c r="B2739"/>
      <c r="E2739"/>
    </row>
    <row r="2740" spans="2:5" x14ac:dyDescent="0.2">
      <c r="B2740"/>
      <c r="E2740"/>
    </row>
    <row r="2741" spans="2:5" x14ac:dyDescent="0.2">
      <c r="B2741"/>
      <c r="E2741"/>
    </row>
    <row r="2742" spans="2:5" x14ac:dyDescent="0.2">
      <c r="B2742"/>
      <c r="E2742"/>
    </row>
    <row r="2743" spans="2:5" x14ac:dyDescent="0.2">
      <c r="B2743"/>
      <c r="E2743"/>
    </row>
    <row r="2744" spans="2:5" x14ac:dyDescent="0.2">
      <c r="B2744"/>
      <c r="E2744"/>
    </row>
    <row r="2745" spans="2:5" x14ac:dyDescent="0.2">
      <c r="B2745"/>
      <c r="E2745"/>
    </row>
    <row r="2746" spans="2:5" x14ac:dyDescent="0.2">
      <c r="B2746"/>
      <c r="E2746"/>
    </row>
    <row r="2747" spans="2:5" x14ac:dyDescent="0.2">
      <c r="B2747"/>
      <c r="E2747"/>
    </row>
    <row r="2748" spans="2:5" x14ac:dyDescent="0.2">
      <c r="B2748"/>
      <c r="E2748"/>
    </row>
    <row r="2749" spans="2:5" x14ac:dyDescent="0.2">
      <c r="B2749"/>
      <c r="E2749"/>
    </row>
    <row r="2750" spans="2:5" x14ac:dyDescent="0.2">
      <c r="B2750"/>
      <c r="E2750"/>
    </row>
    <row r="2751" spans="2:5" x14ac:dyDescent="0.2">
      <c r="B2751"/>
      <c r="E2751"/>
    </row>
    <row r="2752" spans="2:5" x14ac:dyDescent="0.2">
      <c r="B2752"/>
      <c r="E2752"/>
    </row>
    <row r="2753" spans="2:5" x14ac:dyDescent="0.2">
      <c r="B2753"/>
      <c r="E2753"/>
    </row>
    <row r="2754" spans="2:5" x14ac:dyDescent="0.2">
      <c r="B2754"/>
      <c r="E2754"/>
    </row>
    <row r="2755" spans="2:5" x14ac:dyDescent="0.2">
      <c r="B2755"/>
      <c r="E2755"/>
    </row>
    <row r="2756" spans="2:5" x14ac:dyDescent="0.2">
      <c r="B2756"/>
      <c r="E2756"/>
    </row>
    <row r="2757" spans="2:5" x14ac:dyDescent="0.2">
      <c r="B2757"/>
      <c r="E2757"/>
    </row>
    <row r="2758" spans="2:5" x14ac:dyDescent="0.2">
      <c r="B2758"/>
      <c r="E2758"/>
    </row>
    <row r="2759" spans="2:5" x14ac:dyDescent="0.2">
      <c r="B2759"/>
      <c r="E2759"/>
    </row>
    <row r="2760" spans="2:5" x14ac:dyDescent="0.2">
      <c r="B2760"/>
      <c r="E2760"/>
    </row>
    <row r="2761" spans="2:5" x14ac:dyDescent="0.2">
      <c r="B2761"/>
      <c r="E2761"/>
    </row>
    <row r="2762" spans="2:5" x14ac:dyDescent="0.2">
      <c r="B2762"/>
      <c r="E2762"/>
    </row>
    <row r="2763" spans="2:5" x14ac:dyDescent="0.2">
      <c r="B2763"/>
      <c r="E2763"/>
    </row>
    <row r="2764" spans="2:5" x14ac:dyDescent="0.2">
      <c r="B2764"/>
      <c r="E2764"/>
    </row>
    <row r="2765" spans="2:5" x14ac:dyDescent="0.2">
      <c r="B2765"/>
      <c r="E2765"/>
    </row>
    <row r="2766" spans="2:5" x14ac:dyDescent="0.2">
      <c r="B2766"/>
      <c r="E2766"/>
    </row>
    <row r="2767" spans="2:5" x14ac:dyDescent="0.2">
      <c r="B2767"/>
      <c r="E2767"/>
    </row>
    <row r="2768" spans="2:5" x14ac:dyDescent="0.2">
      <c r="B2768"/>
      <c r="E2768"/>
    </row>
    <row r="2769" spans="2:5" x14ac:dyDescent="0.2">
      <c r="B2769"/>
      <c r="E2769"/>
    </row>
    <row r="2770" spans="2:5" x14ac:dyDescent="0.2">
      <c r="B2770"/>
      <c r="E2770"/>
    </row>
    <row r="2771" spans="2:5" x14ac:dyDescent="0.2">
      <c r="B2771"/>
      <c r="E2771"/>
    </row>
    <row r="2772" spans="2:5" x14ac:dyDescent="0.2">
      <c r="B2772"/>
      <c r="E2772"/>
    </row>
    <row r="2773" spans="2:5" x14ac:dyDescent="0.2">
      <c r="B2773"/>
      <c r="E2773"/>
    </row>
    <row r="2774" spans="2:5" x14ac:dyDescent="0.2">
      <c r="B2774"/>
      <c r="E2774"/>
    </row>
    <row r="2775" spans="2:5" x14ac:dyDescent="0.2">
      <c r="B2775"/>
      <c r="E2775"/>
    </row>
    <row r="2776" spans="2:5" x14ac:dyDescent="0.2">
      <c r="B2776"/>
      <c r="E2776"/>
    </row>
    <row r="2777" spans="2:5" x14ac:dyDescent="0.2">
      <c r="B2777"/>
      <c r="E2777"/>
    </row>
    <row r="2778" spans="2:5" x14ac:dyDescent="0.2">
      <c r="B2778"/>
      <c r="E2778"/>
    </row>
    <row r="2779" spans="2:5" x14ac:dyDescent="0.2">
      <c r="B2779"/>
      <c r="E2779"/>
    </row>
    <row r="2780" spans="2:5" x14ac:dyDescent="0.2">
      <c r="B2780"/>
      <c r="E2780"/>
    </row>
    <row r="2781" spans="2:5" x14ac:dyDescent="0.2">
      <c r="B2781"/>
      <c r="E2781"/>
    </row>
    <row r="2782" spans="2:5" x14ac:dyDescent="0.2">
      <c r="B2782"/>
      <c r="E2782"/>
    </row>
    <row r="2783" spans="2:5" x14ac:dyDescent="0.2">
      <c r="B2783"/>
      <c r="E2783"/>
    </row>
    <row r="2784" spans="2:5" x14ac:dyDescent="0.2">
      <c r="B2784"/>
      <c r="E2784"/>
    </row>
    <row r="2785" spans="2:5" x14ac:dyDescent="0.2">
      <c r="B2785"/>
      <c r="E2785"/>
    </row>
    <row r="2786" spans="2:5" x14ac:dyDescent="0.2">
      <c r="B2786"/>
      <c r="E2786"/>
    </row>
    <row r="2787" spans="2:5" x14ac:dyDescent="0.2">
      <c r="B2787"/>
      <c r="E2787"/>
    </row>
    <row r="2788" spans="2:5" x14ac:dyDescent="0.2">
      <c r="B2788"/>
      <c r="E2788"/>
    </row>
    <row r="2789" spans="2:5" x14ac:dyDescent="0.2">
      <c r="B2789"/>
      <c r="E2789"/>
    </row>
    <row r="2790" spans="2:5" x14ac:dyDescent="0.2">
      <c r="B2790"/>
      <c r="E2790"/>
    </row>
    <row r="2791" spans="2:5" x14ac:dyDescent="0.2">
      <c r="B2791"/>
      <c r="E2791"/>
    </row>
    <row r="2792" spans="2:5" x14ac:dyDescent="0.2">
      <c r="B2792"/>
      <c r="E2792"/>
    </row>
    <row r="2793" spans="2:5" x14ac:dyDescent="0.2">
      <c r="B2793"/>
      <c r="E2793"/>
    </row>
    <row r="2794" spans="2:5" x14ac:dyDescent="0.2">
      <c r="B2794"/>
      <c r="E2794"/>
    </row>
    <row r="2795" spans="2:5" x14ac:dyDescent="0.2">
      <c r="B2795"/>
      <c r="E2795"/>
    </row>
    <row r="2796" spans="2:5" x14ac:dyDescent="0.2">
      <c r="B2796"/>
      <c r="E2796"/>
    </row>
    <row r="2797" spans="2:5" x14ac:dyDescent="0.2">
      <c r="B2797"/>
      <c r="E2797"/>
    </row>
    <row r="2798" spans="2:5" x14ac:dyDescent="0.2">
      <c r="B2798"/>
      <c r="E2798"/>
    </row>
    <row r="2799" spans="2:5" x14ac:dyDescent="0.2">
      <c r="B2799"/>
      <c r="E2799"/>
    </row>
    <row r="2800" spans="2:5" x14ac:dyDescent="0.2">
      <c r="B2800"/>
      <c r="E2800"/>
    </row>
    <row r="2801" spans="2:5" x14ac:dyDescent="0.2">
      <c r="B2801"/>
      <c r="E2801"/>
    </row>
    <row r="2802" spans="2:5" x14ac:dyDescent="0.2">
      <c r="B2802"/>
      <c r="E2802"/>
    </row>
    <row r="2803" spans="2:5" x14ac:dyDescent="0.2">
      <c r="B2803"/>
      <c r="E2803"/>
    </row>
    <row r="2804" spans="2:5" x14ac:dyDescent="0.2">
      <c r="B2804"/>
      <c r="E2804"/>
    </row>
    <row r="2805" spans="2:5" x14ac:dyDescent="0.2">
      <c r="B2805"/>
      <c r="E2805"/>
    </row>
    <row r="2806" spans="2:5" x14ac:dyDescent="0.2">
      <c r="B2806"/>
      <c r="E2806"/>
    </row>
    <row r="2807" spans="2:5" x14ac:dyDescent="0.2">
      <c r="B2807"/>
      <c r="E2807"/>
    </row>
    <row r="2808" spans="2:5" x14ac:dyDescent="0.2">
      <c r="B2808"/>
      <c r="E2808"/>
    </row>
    <row r="2809" spans="2:5" x14ac:dyDescent="0.2">
      <c r="B2809"/>
      <c r="E2809"/>
    </row>
    <row r="2810" spans="2:5" x14ac:dyDescent="0.2">
      <c r="B2810"/>
      <c r="E2810"/>
    </row>
    <row r="2811" spans="2:5" x14ac:dyDescent="0.2">
      <c r="B2811"/>
      <c r="E2811"/>
    </row>
    <row r="2812" spans="2:5" x14ac:dyDescent="0.2">
      <c r="B2812"/>
      <c r="E2812"/>
    </row>
    <row r="2813" spans="2:5" x14ac:dyDescent="0.2">
      <c r="B2813"/>
      <c r="E2813"/>
    </row>
    <row r="2814" spans="2:5" x14ac:dyDescent="0.2">
      <c r="B2814"/>
      <c r="E2814"/>
    </row>
    <row r="2815" spans="2:5" x14ac:dyDescent="0.2">
      <c r="B2815"/>
      <c r="E2815"/>
    </row>
    <row r="2816" spans="2:5" x14ac:dyDescent="0.2">
      <c r="B2816"/>
      <c r="E2816"/>
    </row>
    <row r="2817" spans="2:5" x14ac:dyDescent="0.2">
      <c r="B2817"/>
      <c r="E2817"/>
    </row>
    <row r="2818" spans="2:5" x14ac:dyDescent="0.2">
      <c r="B2818"/>
      <c r="E2818"/>
    </row>
    <row r="2819" spans="2:5" x14ac:dyDescent="0.2">
      <c r="B2819"/>
      <c r="E2819"/>
    </row>
    <row r="2820" spans="2:5" x14ac:dyDescent="0.2">
      <c r="B2820"/>
      <c r="E2820"/>
    </row>
    <row r="2821" spans="2:5" x14ac:dyDescent="0.2">
      <c r="B2821"/>
      <c r="E2821"/>
    </row>
    <row r="2822" spans="2:5" x14ac:dyDescent="0.2">
      <c r="B2822"/>
      <c r="E2822"/>
    </row>
    <row r="2823" spans="2:5" x14ac:dyDescent="0.2">
      <c r="B2823"/>
      <c r="E2823"/>
    </row>
    <row r="2824" spans="2:5" x14ac:dyDescent="0.2">
      <c r="B2824"/>
      <c r="E2824"/>
    </row>
    <row r="2825" spans="2:5" x14ac:dyDescent="0.2">
      <c r="B2825"/>
      <c r="E2825"/>
    </row>
    <row r="2826" spans="2:5" x14ac:dyDescent="0.2">
      <c r="B2826"/>
      <c r="E2826"/>
    </row>
    <row r="2827" spans="2:5" x14ac:dyDescent="0.2">
      <c r="B2827"/>
      <c r="E2827"/>
    </row>
    <row r="2828" spans="2:5" x14ac:dyDescent="0.2">
      <c r="B2828"/>
      <c r="E2828"/>
    </row>
    <row r="2829" spans="2:5" x14ac:dyDescent="0.2">
      <c r="B2829"/>
      <c r="E2829"/>
    </row>
    <row r="2830" spans="2:5" x14ac:dyDescent="0.2">
      <c r="B2830"/>
      <c r="E2830"/>
    </row>
    <row r="2831" spans="2:5" x14ac:dyDescent="0.2">
      <c r="B2831"/>
      <c r="E2831"/>
    </row>
    <row r="2832" spans="2:5" x14ac:dyDescent="0.2">
      <c r="B2832"/>
      <c r="E2832"/>
    </row>
    <row r="2833" spans="2:5" x14ac:dyDescent="0.2">
      <c r="B2833"/>
      <c r="E2833"/>
    </row>
    <row r="2834" spans="2:5" x14ac:dyDescent="0.2">
      <c r="B2834"/>
      <c r="E2834"/>
    </row>
    <row r="2835" spans="2:5" x14ac:dyDescent="0.2">
      <c r="B2835"/>
      <c r="E2835"/>
    </row>
    <row r="2836" spans="2:5" x14ac:dyDescent="0.2">
      <c r="B2836"/>
      <c r="E2836"/>
    </row>
    <row r="2837" spans="2:5" x14ac:dyDescent="0.2">
      <c r="B2837"/>
      <c r="E2837"/>
    </row>
    <row r="2838" spans="2:5" x14ac:dyDescent="0.2">
      <c r="B2838"/>
      <c r="E2838"/>
    </row>
    <row r="2839" spans="2:5" x14ac:dyDescent="0.2">
      <c r="B2839"/>
      <c r="E2839"/>
    </row>
    <row r="2840" spans="2:5" x14ac:dyDescent="0.2">
      <c r="B2840"/>
      <c r="E2840"/>
    </row>
    <row r="2841" spans="2:5" x14ac:dyDescent="0.2">
      <c r="B2841"/>
      <c r="E2841"/>
    </row>
    <row r="2842" spans="2:5" x14ac:dyDescent="0.2">
      <c r="B2842"/>
      <c r="E2842"/>
    </row>
    <row r="2843" spans="2:5" x14ac:dyDescent="0.2">
      <c r="B2843"/>
      <c r="E2843"/>
    </row>
    <row r="2844" spans="2:5" x14ac:dyDescent="0.2">
      <c r="B2844"/>
      <c r="E2844"/>
    </row>
    <row r="2845" spans="2:5" x14ac:dyDescent="0.2">
      <c r="B2845"/>
      <c r="E2845"/>
    </row>
    <row r="2846" spans="2:5" x14ac:dyDescent="0.2">
      <c r="B2846"/>
      <c r="E2846"/>
    </row>
    <row r="2847" spans="2:5" x14ac:dyDescent="0.2">
      <c r="B2847"/>
      <c r="E2847"/>
    </row>
    <row r="2848" spans="2:5" x14ac:dyDescent="0.2">
      <c r="B2848"/>
      <c r="E2848"/>
    </row>
    <row r="2849" spans="2:5" x14ac:dyDescent="0.2">
      <c r="B2849"/>
      <c r="E2849"/>
    </row>
    <row r="2850" spans="2:5" x14ac:dyDescent="0.2">
      <c r="B2850"/>
      <c r="E2850"/>
    </row>
    <row r="2851" spans="2:5" x14ac:dyDescent="0.2">
      <c r="B2851"/>
      <c r="E2851"/>
    </row>
    <row r="2852" spans="2:5" x14ac:dyDescent="0.2">
      <c r="B2852"/>
      <c r="E2852"/>
    </row>
    <row r="2853" spans="2:5" x14ac:dyDescent="0.2">
      <c r="B2853"/>
      <c r="E2853"/>
    </row>
    <row r="2854" spans="2:5" x14ac:dyDescent="0.2">
      <c r="B2854"/>
      <c r="E2854"/>
    </row>
    <row r="2855" spans="2:5" x14ac:dyDescent="0.2">
      <c r="B2855"/>
      <c r="E2855"/>
    </row>
    <row r="2856" spans="2:5" x14ac:dyDescent="0.2">
      <c r="B2856"/>
      <c r="E2856"/>
    </row>
    <row r="2857" spans="2:5" x14ac:dyDescent="0.2">
      <c r="B2857"/>
      <c r="E2857"/>
    </row>
    <row r="2858" spans="2:5" x14ac:dyDescent="0.2">
      <c r="B2858"/>
      <c r="E2858"/>
    </row>
    <row r="2859" spans="2:5" x14ac:dyDescent="0.2">
      <c r="B2859"/>
      <c r="E2859"/>
    </row>
    <row r="2860" spans="2:5" x14ac:dyDescent="0.2">
      <c r="B2860"/>
      <c r="E2860"/>
    </row>
    <row r="2861" spans="2:5" x14ac:dyDescent="0.2">
      <c r="B2861"/>
      <c r="E2861"/>
    </row>
    <row r="2862" spans="2:5" x14ac:dyDescent="0.2">
      <c r="B2862"/>
      <c r="E2862"/>
    </row>
    <row r="2863" spans="2:5" x14ac:dyDescent="0.2">
      <c r="B2863"/>
      <c r="E2863"/>
    </row>
    <row r="2864" spans="2:5" x14ac:dyDescent="0.2">
      <c r="B2864"/>
      <c r="E2864"/>
    </row>
    <row r="2865" spans="2:5" x14ac:dyDescent="0.2">
      <c r="B2865"/>
      <c r="E2865"/>
    </row>
    <row r="2866" spans="2:5" x14ac:dyDescent="0.2">
      <c r="B2866"/>
      <c r="E2866"/>
    </row>
    <row r="2867" spans="2:5" x14ac:dyDescent="0.2">
      <c r="B2867"/>
      <c r="E2867"/>
    </row>
    <row r="2868" spans="2:5" x14ac:dyDescent="0.2">
      <c r="B2868"/>
      <c r="E2868"/>
    </row>
    <row r="2869" spans="2:5" x14ac:dyDescent="0.2">
      <c r="B2869"/>
      <c r="E2869"/>
    </row>
    <row r="2870" spans="2:5" x14ac:dyDescent="0.2">
      <c r="B2870"/>
      <c r="E2870"/>
    </row>
    <row r="2871" spans="2:5" x14ac:dyDescent="0.2">
      <c r="B2871"/>
      <c r="E2871"/>
    </row>
    <row r="2872" spans="2:5" x14ac:dyDescent="0.2">
      <c r="B2872"/>
      <c r="E2872"/>
    </row>
    <row r="2873" spans="2:5" x14ac:dyDescent="0.2">
      <c r="B2873"/>
      <c r="E2873"/>
    </row>
    <row r="2874" spans="2:5" x14ac:dyDescent="0.2">
      <c r="B2874"/>
      <c r="E2874"/>
    </row>
    <row r="2875" spans="2:5" x14ac:dyDescent="0.2">
      <c r="B2875"/>
      <c r="E2875"/>
    </row>
    <row r="2876" spans="2:5" x14ac:dyDescent="0.2">
      <c r="B2876"/>
      <c r="E2876"/>
    </row>
    <row r="2877" spans="2:5" x14ac:dyDescent="0.2">
      <c r="B2877"/>
      <c r="E2877"/>
    </row>
    <row r="2878" spans="2:5" x14ac:dyDescent="0.2">
      <c r="B2878"/>
      <c r="E2878"/>
    </row>
    <row r="2879" spans="2:5" x14ac:dyDescent="0.2">
      <c r="B2879"/>
      <c r="E2879"/>
    </row>
    <row r="2880" spans="2:5" x14ac:dyDescent="0.2">
      <c r="B2880"/>
      <c r="E2880"/>
    </row>
    <row r="2881" spans="2:5" x14ac:dyDescent="0.2">
      <c r="B2881"/>
      <c r="E2881"/>
    </row>
    <row r="2882" spans="2:5" x14ac:dyDescent="0.2">
      <c r="B2882"/>
      <c r="E2882"/>
    </row>
    <row r="2883" spans="2:5" x14ac:dyDescent="0.2">
      <c r="B2883"/>
      <c r="E2883"/>
    </row>
    <row r="2884" spans="2:5" x14ac:dyDescent="0.2">
      <c r="B2884"/>
      <c r="E2884"/>
    </row>
    <row r="2885" spans="2:5" x14ac:dyDescent="0.2">
      <c r="B2885"/>
      <c r="E2885"/>
    </row>
    <row r="2886" spans="2:5" x14ac:dyDescent="0.2">
      <c r="B2886"/>
      <c r="E2886"/>
    </row>
    <row r="2887" spans="2:5" x14ac:dyDescent="0.2">
      <c r="B2887"/>
      <c r="E2887"/>
    </row>
    <row r="2888" spans="2:5" x14ac:dyDescent="0.2">
      <c r="B2888"/>
      <c r="E2888"/>
    </row>
    <row r="2889" spans="2:5" x14ac:dyDescent="0.2">
      <c r="B2889"/>
      <c r="E2889"/>
    </row>
    <row r="2890" spans="2:5" x14ac:dyDescent="0.2">
      <c r="B2890"/>
      <c r="E2890"/>
    </row>
    <row r="2891" spans="2:5" x14ac:dyDescent="0.2">
      <c r="B2891"/>
      <c r="E2891"/>
    </row>
    <row r="2892" spans="2:5" x14ac:dyDescent="0.2">
      <c r="B2892"/>
      <c r="E2892"/>
    </row>
    <row r="2893" spans="2:5" x14ac:dyDescent="0.2">
      <c r="B2893"/>
      <c r="E2893"/>
    </row>
    <row r="2894" spans="2:5" x14ac:dyDescent="0.2">
      <c r="B2894"/>
      <c r="E2894"/>
    </row>
    <row r="2895" spans="2:5" x14ac:dyDescent="0.2">
      <c r="B2895"/>
      <c r="E2895"/>
    </row>
    <row r="2896" spans="2:5" x14ac:dyDescent="0.2">
      <c r="B2896"/>
      <c r="E2896"/>
    </row>
    <row r="2897" spans="2:5" x14ac:dyDescent="0.2">
      <c r="B2897"/>
      <c r="E2897"/>
    </row>
    <row r="2898" spans="2:5" x14ac:dyDescent="0.2">
      <c r="B2898"/>
      <c r="E2898"/>
    </row>
    <row r="2899" spans="2:5" x14ac:dyDescent="0.2">
      <c r="B2899"/>
      <c r="E2899"/>
    </row>
    <row r="2900" spans="2:5" x14ac:dyDescent="0.2">
      <c r="B2900"/>
      <c r="E2900"/>
    </row>
    <row r="2901" spans="2:5" x14ac:dyDescent="0.2">
      <c r="B2901"/>
      <c r="E2901"/>
    </row>
    <row r="2902" spans="2:5" x14ac:dyDescent="0.2">
      <c r="B2902"/>
      <c r="E2902"/>
    </row>
    <row r="2903" spans="2:5" x14ac:dyDescent="0.2">
      <c r="B2903"/>
      <c r="E2903"/>
    </row>
    <row r="2904" spans="2:5" x14ac:dyDescent="0.2">
      <c r="B2904"/>
      <c r="E2904"/>
    </row>
    <row r="2905" spans="2:5" x14ac:dyDescent="0.2">
      <c r="B2905"/>
      <c r="E2905"/>
    </row>
    <row r="2906" spans="2:5" x14ac:dyDescent="0.2">
      <c r="B2906"/>
      <c r="E2906"/>
    </row>
    <row r="2907" spans="2:5" x14ac:dyDescent="0.2">
      <c r="B2907"/>
      <c r="E2907"/>
    </row>
    <row r="2908" spans="2:5" x14ac:dyDescent="0.2">
      <c r="B2908"/>
      <c r="E2908"/>
    </row>
    <row r="2909" spans="2:5" x14ac:dyDescent="0.2">
      <c r="B2909"/>
      <c r="E2909"/>
    </row>
    <row r="2910" spans="2:5" x14ac:dyDescent="0.2">
      <c r="B2910"/>
      <c r="E2910"/>
    </row>
    <row r="2911" spans="2:5" x14ac:dyDescent="0.2">
      <c r="B2911"/>
      <c r="E2911"/>
    </row>
    <row r="2912" spans="2:5" x14ac:dyDescent="0.2">
      <c r="B2912"/>
      <c r="E2912"/>
    </row>
    <row r="2913" spans="2:5" x14ac:dyDescent="0.2">
      <c r="B2913"/>
      <c r="E2913"/>
    </row>
    <row r="2914" spans="2:5" x14ac:dyDescent="0.2">
      <c r="B2914"/>
      <c r="E2914"/>
    </row>
    <row r="2915" spans="2:5" x14ac:dyDescent="0.2">
      <c r="B2915"/>
      <c r="E2915"/>
    </row>
    <row r="2916" spans="2:5" x14ac:dyDescent="0.2">
      <c r="B2916"/>
      <c r="E2916"/>
    </row>
    <row r="2917" spans="2:5" x14ac:dyDescent="0.2">
      <c r="B2917"/>
      <c r="E2917"/>
    </row>
    <row r="2918" spans="2:5" x14ac:dyDescent="0.2">
      <c r="B2918"/>
      <c r="E2918"/>
    </row>
    <row r="2919" spans="2:5" x14ac:dyDescent="0.2">
      <c r="B2919"/>
      <c r="E2919"/>
    </row>
    <row r="2920" spans="2:5" x14ac:dyDescent="0.2">
      <c r="B2920"/>
      <c r="E2920"/>
    </row>
    <row r="2921" spans="2:5" x14ac:dyDescent="0.2">
      <c r="B2921"/>
      <c r="E2921"/>
    </row>
    <row r="2922" spans="2:5" x14ac:dyDescent="0.2">
      <c r="B2922"/>
      <c r="E2922"/>
    </row>
    <row r="2923" spans="2:5" x14ac:dyDescent="0.2">
      <c r="B2923"/>
      <c r="E2923"/>
    </row>
    <row r="2924" spans="2:5" x14ac:dyDescent="0.2">
      <c r="B2924"/>
      <c r="E2924"/>
    </row>
    <row r="2925" spans="2:5" x14ac:dyDescent="0.2">
      <c r="B2925"/>
      <c r="E2925"/>
    </row>
    <row r="2926" spans="2:5" x14ac:dyDescent="0.2">
      <c r="B2926"/>
      <c r="E2926"/>
    </row>
    <row r="2927" spans="2:5" x14ac:dyDescent="0.2">
      <c r="B2927"/>
      <c r="E2927"/>
    </row>
    <row r="2928" spans="2:5" x14ac:dyDescent="0.2">
      <c r="B2928"/>
      <c r="E2928"/>
    </row>
    <row r="2929" spans="2:5" x14ac:dyDescent="0.2">
      <c r="B2929"/>
      <c r="E2929"/>
    </row>
    <row r="2930" spans="2:5" x14ac:dyDescent="0.2">
      <c r="B2930"/>
      <c r="E2930"/>
    </row>
    <row r="2931" spans="2:5" x14ac:dyDescent="0.2">
      <c r="B2931"/>
      <c r="E2931"/>
    </row>
    <row r="2932" spans="2:5" x14ac:dyDescent="0.2">
      <c r="B2932"/>
      <c r="E2932"/>
    </row>
    <row r="2933" spans="2:5" x14ac:dyDescent="0.2">
      <c r="B2933"/>
      <c r="E2933"/>
    </row>
    <row r="2934" spans="2:5" x14ac:dyDescent="0.2">
      <c r="B2934"/>
      <c r="E2934"/>
    </row>
    <row r="2935" spans="2:5" x14ac:dyDescent="0.2">
      <c r="B2935"/>
      <c r="E2935"/>
    </row>
    <row r="2936" spans="2:5" x14ac:dyDescent="0.2">
      <c r="B2936"/>
      <c r="E2936"/>
    </row>
    <row r="2937" spans="2:5" x14ac:dyDescent="0.2">
      <c r="B2937"/>
      <c r="E2937"/>
    </row>
    <row r="2938" spans="2:5" x14ac:dyDescent="0.2">
      <c r="B2938"/>
      <c r="E2938"/>
    </row>
    <row r="2939" spans="2:5" x14ac:dyDescent="0.2">
      <c r="B2939"/>
      <c r="E2939"/>
    </row>
    <row r="2940" spans="2:5" x14ac:dyDescent="0.2">
      <c r="B2940"/>
      <c r="E2940"/>
    </row>
    <row r="2941" spans="2:5" x14ac:dyDescent="0.2">
      <c r="B2941"/>
      <c r="E2941"/>
    </row>
    <row r="2942" spans="2:5" x14ac:dyDescent="0.2">
      <c r="B2942"/>
      <c r="E2942"/>
    </row>
    <row r="2943" spans="2:5" x14ac:dyDescent="0.2">
      <c r="B2943"/>
      <c r="E2943"/>
    </row>
    <row r="2944" spans="2:5" x14ac:dyDescent="0.2">
      <c r="B2944"/>
      <c r="E2944"/>
    </row>
    <row r="2945" spans="2:5" x14ac:dyDescent="0.2">
      <c r="B2945"/>
      <c r="E2945"/>
    </row>
    <row r="2946" spans="2:5" x14ac:dyDescent="0.2">
      <c r="B2946"/>
      <c r="E2946"/>
    </row>
    <row r="2947" spans="2:5" x14ac:dyDescent="0.2">
      <c r="B2947"/>
      <c r="E2947"/>
    </row>
    <row r="2948" spans="2:5" x14ac:dyDescent="0.2">
      <c r="B2948"/>
      <c r="E2948"/>
    </row>
    <row r="2949" spans="2:5" x14ac:dyDescent="0.2">
      <c r="B2949"/>
      <c r="E2949"/>
    </row>
    <row r="2950" spans="2:5" x14ac:dyDescent="0.2">
      <c r="B2950"/>
      <c r="E2950"/>
    </row>
    <row r="2951" spans="2:5" x14ac:dyDescent="0.2">
      <c r="B2951"/>
      <c r="E2951"/>
    </row>
    <row r="2952" spans="2:5" x14ac:dyDescent="0.2">
      <c r="B2952"/>
      <c r="E2952"/>
    </row>
    <row r="2953" spans="2:5" x14ac:dyDescent="0.2">
      <c r="B2953"/>
      <c r="E2953"/>
    </row>
    <row r="2954" spans="2:5" x14ac:dyDescent="0.2">
      <c r="B2954"/>
      <c r="E2954"/>
    </row>
    <row r="2955" spans="2:5" x14ac:dyDescent="0.2">
      <c r="B2955"/>
      <c r="E2955"/>
    </row>
    <row r="2956" spans="2:5" x14ac:dyDescent="0.2">
      <c r="B2956"/>
      <c r="E2956"/>
    </row>
    <row r="2957" spans="2:5" x14ac:dyDescent="0.2">
      <c r="B2957"/>
      <c r="E2957"/>
    </row>
    <row r="2958" spans="2:5" x14ac:dyDescent="0.2">
      <c r="B2958"/>
      <c r="E2958"/>
    </row>
    <row r="2959" spans="2:5" x14ac:dyDescent="0.2">
      <c r="B2959"/>
      <c r="E2959"/>
    </row>
    <row r="2960" spans="2:5" x14ac:dyDescent="0.2">
      <c r="B2960"/>
      <c r="E2960"/>
    </row>
    <row r="2961" spans="2:5" x14ac:dyDescent="0.2">
      <c r="B2961"/>
      <c r="E2961"/>
    </row>
    <row r="2962" spans="2:5" x14ac:dyDescent="0.2">
      <c r="B2962"/>
      <c r="E2962"/>
    </row>
    <row r="2963" spans="2:5" x14ac:dyDescent="0.2">
      <c r="B2963"/>
      <c r="E2963"/>
    </row>
    <row r="2964" spans="2:5" x14ac:dyDescent="0.2">
      <c r="B2964"/>
      <c r="E2964"/>
    </row>
    <row r="2965" spans="2:5" x14ac:dyDescent="0.2">
      <c r="B2965"/>
      <c r="E2965"/>
    </row>
    <row r="2966" spans="2:5" x14ac:dyDescent="0.2">
      <c r="B2966"/>
      <c r="E2966"/>
    </row>
    <row r="2967" spans="2:5" x14ac:dyDescent="0.2">
      <c r="B2967"/>
      <c r="E2967"/>
    </row>
    <row r="2968" spans="2:5" x14ac:dyDescent="0.2">
      <c r="B2968"/>
      <c r="E2968"/>
    </row>
    <row r="2969" spans="2:5" x14ac:dyDescent="0.2">
      <c r="B2969"/>
      <c r="E2969"/>
    </row>
    <row r="2970" spans="2:5" x14ac:dyDescent="0.2">
      <c r="B2970"/>
      <c r="E2970"/>
    </row>
    <row r="2971" spans="2:5" x14ac:dyDescent="0.2">
      <c r="B2971"/>
      <c r="E2971"/>
    </row>
    <row r="2972" spans="2:5" x14ac:dyDescent="0.2">
      <c r="B2972"/>
      <c r="E2972"/>
    </row>
    <row r="2973" spans="2:5" x14ac:dyDescent="0.2">
      <c r="B2973"/>
      <c r="E2973"/>
    </row>
    <row r="2974" spans="2:5" x14ac:dyDescent="0.2">
      <c r="B2974"/>
      <c r="E2974"/>
    </row>
    <row r="2975" spans="2:5" x14ac:dyDescent="0.2">
      <c r="B2975"/>
      <c r="E2975"/>
    </row>
    <row r="2976" spans="2:5" x14ac:dyDescent="0.2">
      <c r="B2976"/>
      <c r="E2976"/>
    </row>
    <row r="2977" spans="2:5" x14ac:dyDescent="0.2">
      <c r="B2977"/>
      <c r="E2977"/>
    </row>
    <row r="2978" spans="2:5" x14ac:dyDescent="0.2">
      <c r="B2978"/>
      <c r="E2978"/>
    </row>
    <row r="2979" spans="2:5" x14ac:dyDescent="0.2">
      <c r="B2979"/>
      <c r="E2979"/>
    </row>
    <row r="2980" spans="2:5" x14ac:dyDescent="0.2">
      <c r="B2980"/>
      <c r="E2980"/>
    </row>
    <row r="2981" spans="2:5" x14ac:dyDescent="0.2">
      <c r="B2981"/>
      <c r="E2981"/>
    </row>
    <row r="2982" spans="2:5" x14ac:dyDescent="0.2">
      <c r="B2982"/>
      <c r="E2982"/>
    </row>
    <row r="2983" spans="2:5" x14ac:dyDescent="0.2">
      <c r="B2983"/>
      <c r="E2983"/>
    </row>
    <row r="2984" spans="2:5" x14ac:dyDescent="0.2">
      <c r="B2984"/>
      <c r="E2984"/>
    </row>
    <row r="2985" spans="2:5" x14ac:dyDescent="0.2">
      <c r="B2985"/>
      <c r="E2985"/>
    </row>
    <row r="2986" spans="2:5" x14ac:dyDescent="0.2">
      <c r="B2986"/>
      <c r="E2986"/>
    </row>
    <row r="2987" spans="2:5" x14ac:dyDescent="0.2">
      <c r="B2987"/>
      <c r="E2987"/>
    </row>
    <row r="2988" spans="2:5" x14ac:dyDescent="0.2">
      <c r="B2988"/>
      <c r="E2988"/>
    </row>
    <row r="2989" spans="2:5" x14ac:dyDescent="0.2">
      <c r="B2989"/>
      <c r="E2989"/>
    </row>
    <row r="2990" spans="2:5" x14ac:dyDescent="0.2">
      <c r="B2990"/>
      <c r="E2990"/>
    </row>
    <row r="2991" spans="2:5" x14ac:dyDescent="0.2">
      <c r="B2991"/>
      <c r="E2991"/>
    </row>
    <row r="2992" spans="2:5" x14ac:dyDescent="0.2">
      <c r="B2992"/>
      <c r="E2992"/>
    </row>
    <row r="2993" spans="2:5" x14ac:dyDescent="0.2">
      <c r="B2993"/>
      <c r="E2993"/>
    </row>
    <row r="2994" spans="2:5" x14ac:dyDescent="0.2">
      <c r="B2994"/>
      <c r="E2994"/>
    </row>
    <row r="2995" spans="2:5" x14ac:dyDescent="0.2">
      <c r="B2995"/>
      <c r="E2995"/>
    </row>
    <row r="2996" spans="2:5" x14ac:dyDescent="0.2">
      <c r="B2996"/>
      <c r="E2996"/>
    </row>
    <row r="2997" spans="2:5" x14ac:dyDescent="0.2">
      <c r="B2997"/>
      <c r="E2997"/>
    </row>
    <row r="2998" spans="2:5" x14ac:dyDescent="0.2">
      <c r="B2998"/>
      <c r="E2998"/>
    </row>
    <row r="2999" spans="2:5" x14ac:dyDescent="0.2">
      <c r="B2999"/>
      <c r="E2999"/>
    </row>
    <row r="3000" spans="2:5" x14ac:dyDescent="0.2">
      <c r="B3000"/>
      <c r="E3000"/>
    </row>
    <row r="3001" spans="2:5" x14ac:dyDescent="0.2">
      <c r="B3001"/>
      <c r="E3001"/>
    </row>
    <row r="3002" spans="2:5" x14ac:dyDescent="0.2">
      <c r="B3002"/>
      <c r="E3002"/>
    </row>
    <row r="3003" spans="2:5" x14ac:dyDescent="0.2">
      <c r="B3003"/>
      <c r="E3003"/>
    </row>
    <row r="3004" spans="2:5" x14ac:dyDescent="0.2">
      <c r="B3004"/>
      <c r="E3004"/>
    </row>
    <row r="3005" spans="2:5" x14ac:dyDescent="0.2">
      <c r="B3005"/>
      <c r="E3005"/>
    </row>
    <row r="3006" spans="2:5" x14ac:dyDescent="0.2">
      <c r="B3006"/>
      <c r="E3006"/>
    </row>
    <row r="3007" spans="2:5" x14ac:dyDescent="0.2">
      <c r="B3007"/>
      <c r="E3007"/>
    </row>
    <row r="3008" spans="2:5" x14ac:dyDescent="0.2">
      <c r="B3008"/>
      <c r="E3008"/>
    </row>
    <row r="3009" spans="2:5" x14ac:dyDescent="0.2">
      <c r="B3009"/>
      <c r="E3009"/>
    </row>
    <row r="3010" spans="2:5" x14ac:dyDescent="0.2">
      <c r="B3010"/>
      <c r="E3010"/>
    </row>
    <row r="3011" spans="2:5" x14ac:dyDescent="0.2">
      <c r="B3011"/>
      <c r="E3011"/>
    </row>
    <row r="3012" spans="2:5" x14ac:dyDescent="0.2">
      <c r="B3012"/>
      <c r="E3012"/>
    </row>
    <row r="3013" spans="2:5" x14ac:dyDescent="0.2">
      <c r="B3013"/>
      <c r="E3013"/>
    </row>
    <row r="3014" spans="2:5" x14ac:dyDescent="0.2">
      <c r="B3014"/>
      <c r="E3014"/>
    </row>
    <row r="3015" spans="2:5" x14ac:dyDescent="0.2">
      <c r="B3015"/>
      <c r="E3015"/>
    </row>
    <row r="3016" spans="2:5" x14ac:dyDescent="0.2">
      <c r="B3016"/>
      <c r="E3016"/>
    </row>
    <row r="3017" spans="2:5" x14ac:dyDescent="0.2">
      <c r="B3017"/>
      <c r="E3017"/>
    </row>
    <row r="3018" spans="2:5" x14ac:dyDescent="0.2">
      <c r="B3018"/>
      <c r="E3018"/>
    </row>
    <row r="3019" spans="2:5" x14ac:dyDescent="0.2">
      <c r="B3019"/>
      <c r="E3019"/>
    </row>
    <row r="3020" spans="2:5" x14ac:dyDescent="0.2">
      <c r="B3020"/>
      <c r="E3020"/>
    </row>
    <row r="3021" spans="2:5" x14ac:dyDescent="0.2">
      <c r="B3021"/>
      <c r="E3021"/>
    </row>
    <row r="3022" spans="2:5" x14ac:dyDescent="0.2">
      <c r="B3022"/>
      <c r="E3022"/>
    </row>
    <row r="3023" spans="2:5" x14ac:dyDescent="0.2">
      <c r="B3023"/>
      <c r="E3023"/>
    </row>
    <row r="3024" spans="2:5" x14ac:dyDescent="0.2">
      <c r="B3024"/>
      <c r="E3024"/>
    </row>
    <row r="3025" spans="2:5" x14ac:dyDescent="0.2">
      <c r="B3025"/>
      <c r="E3025"/>
    </row>
    <row r="3026" spans="2:5" x14ac:dyDescent="0.2">
      <c r="B3026"/>
      <c r="E3026"/>
    </row>
    <row r="3027" spans="2:5" x14ac:dyDescent="0.2">
      <c r="B3027"/>
      <c r="E3027"/>
    </row>
    <row r="3028" spans="2:5" x14ac:dyDescent="0.2">
      <c r="B3028"/>
      <c r="E3028"/>
    </row>
    <row r="3029" spans="2:5" x14ac:dyDescent="0.2">
      <c r="B3029"/>
      <c r="E3029"/>
    </row>
    <row r="3030" spans="2:5" x14ac:dyDescent="0.2">
      <c r="B3030"/>
      <c r="E3030"/>
    </row>
    <row r="3031" spans="2:5" x14ac:dyDescent="0.2">
      <c r="B3031"/>
      <c r="E3031"/>
    </row>
    <row r="3032" spans="2:5" x14ac:dyDescent="0.2">
      <c r="B3032"/>
      <c r="E3032"/>
    </row>
    <row r="3033" spans="2:5" x14ac:dyDescent="0.2">
      <c r="B3033"/>
      <c r="E3033"/>
    </row>
    <row r="3034" spans="2:5" x14ac:dyDescent="0.2">
      <c r="B3034"/>
      <c r="E3034"/>
    </row>
    <row r="3035" spans="2:5" x14ac:dyDescent="0.2">
      <c r="B3035"/>
      <c r="E3035"/>
    </row>
    <row r="3036" spans="2:5" x14ac:dyDescent="0.2">
      <c r="B3036"/>
      <c r="E3036"/>
    </row>
    <row r="3037" spans="2:5" x14ac:dyDescent="0.2">
      <c r="B3037"/>
      <c r="E3037"/>
    </row>
    <row r="3038" spans="2:5" x14ac:dyDescent="0.2">
      <c r="B3038"/>
      <c r="E3038"/>
    </row>
    <row r="3039" spans="2:5" x14ac:dyDescent="0.2">
      <c r="B3039"/>
      <c r="E3039"/>
    </row>
    <row r="3040" spans="2:5" x14ac:dyDescent="0.2">
      <c r="B3040"/>
      <c r="E3040"/>
    </row>
    <row r="3041" spans="2:5" x14ac:dyDescent="0.2">
      <c r="B3041"/>
      <c r="E3041"/>
    </row>
    <row r="3042" spans="2:5" x14ac:dyDescent="0.2">
      <c r="B3042"/>
      <c r="E3042"/>
    </row>
    <row r="3043" spans="2:5" x14ac:dyDescent="0.2">
      <c r="B3043"/>
      <c r="E3043"/>
    </row>
    <row r="3044" spans="2:5" x14ac:dyDescent="0.2">
      <c r="B3044"/>
      <c r="E3044"/>
    </row>
    <row r="3045" spans="2:5" x14ac:dyDescent="0.2">
      <c r="B3045"/>
      <c r="E3045"/>
    </row>
    <row r="3046" spans="2:5" x14ac:dyDescent="0.2">
      <c r="B3046"/>
      <c r="E3046"/>
    </row>
    <row r="3047" spans="2:5" x14ac:dyDescent="0.2">
      <c r="B3047"/>
      <c r="E3047"/>
    </row>
    <row r="3048" spans="2:5" x14ac:dyDescent="0.2">
      <c r="B3048"/>
      <c r="E3048"/>
    </row>
    <row r="3049" spans="2:5" x14ac:dyDescent="0.2">
      <c r="B3049"/>
      <c r="E3049"/>
    </row>
    <row r="3050" spans="2:5" x14ac:dyDescent="0.2">
      <c r="B3050"/>
      <c r="E3050"/>
    </row>
    <row r="3051" spans="2:5" x14ac:dyDescent="0.2">
      <c r="B3051"/>
      <c r="E3051"/>
    </row>
    <row r="3052" spans="2:5" x14ac:dyDescent="0.2">
      <c r="B3052"/>
      <c r="E3052"/>
    </row>
    <row r="3053" spans="2:5" x14ac:dyDescent="0.2">
      <c r="B3053"/>
      <c r="E3053"/>
    </row>
    <row r="3054" spans="2:5" x14ac:dyDescent="0.2">
      <c r="B3054"/>
      <c r="E3054"/>
    </row>
    <row r="3055" spans="2:5" x14ac:dyDescent="0.2">
      <c r="B3055"/>
      <c r="E3055"/>
    </row>
    <row r="3056" spans="2:5" x14ac:dyDescent="0.2">
      <c r="B3056"/>
      <c r="E3056"/>
    </row>
    <row r="3057" spans="2:5" x14ac:dyDescent="0.2">
      <c r="B3057"/>
      <c r="E3057"/>
    </row>
    <row r="3058" spans="2:5" x14ac:dyDescent="0.2">
      <c r="B3058"/>
      <c r="E3058"/>
    </row>
    <row r="3059" spans="2:5" x14ac:dyDescent="0.2">
      <c r="B3059"/>
      <c r="E3059"/>
    </row>
    <row r="3060" spans="2:5" x14ac:dyDescent="0.2">
      <c r="B3060"/>
      <c r="E3060"/>
    </row>
    <row r="3061" spans="2:5" x14ac:dyDescent="0.2">
      <c r="B3061"/>
      <c r="E3061"/>
    </row>
    <row r="3062" spans="2:5" x14ac:dyDescent="0.2">
      <c r="B3062"/>
      <c r="E3062"/>
    </row>
    <row r="3063" spans="2:5" x14ac:dyDescent="0.2">
      <c r="B3063"/>
      <c r="E3063"/>
    </row>
    <row r="3064" spans="2:5" x14ac:dyDescent="0.2">
      <c r="B3064"/>
      <c r="E3064"/>
    </row>
    <row r="3065" spans="2:5" x14ac:dyDescent="0.2">
      <c r="B3065"/>
      <c r="E3065"/>
    </row>
    <row r="3066" spans="2:5" x14ac:dyDescent="0.2">
      <c r="B3066"/>
      <c r="E3066"/>
    </row>
    <row r="3067" spans="2:5" x14ac:dyDescent="0.2">
      <c r="B3067"/>
      <c r="E3067"/>
    </row>
    <row r="3068" spans="2:5" x14ac:dyDescent="0.2">
      <c r="B3068"/>
      <c r="E3068"/>
    </row>
    <row r="3069" spans="2:5" x14ac:dyDescent="0.2">
      <c r="B3069"/>
      <c r="E3069"/>
    </row>
    <row r="3070" spans="2:5" x14ac:dyDescent="0.2">
      <c r="B3070"/>
      <c r="E3070"/>
    </row>
    <row r="3071" spans="2:5" x14ac:dyDescent="0.2">
      <c r="B3071"/>
      <c r="E3071"/>
    </row>
    <row r="3072" spans="2:5" x14ac:dyDescent="0.2">
      <c r="B3072"/>
      <c r="E3072"/>
    </row>
    <row r="3073" spans="2:5" x14ac:dyDescent="0.2">
      <c r="B3073"/>
      <c r="E3073"/>
    </row>
    <row r="3074" spans="2:5" x14ac:dyDescent="0.2">
      <c r="B3074"/>
      <c r="E3074"/>
    </row>
    <row r="3075" spans="2:5" x14ac:dyDescent="0.2">
      <c r="B3075"/>
      <c r="E3075"/>
    </row>
    <row r="3076" spans="2:5" x14ac:dyDescent="0.2">
      <c r="B3076"/>
      <c r="E3076"/>
    </row>
    <row r="3077" spans="2:5" x14ac:dyDescent="0.2">
      <c r="B3077"/>
      <c r="E3077"/>
    </row>
    <row r="3078" spans="2:5" x14ac:dyDescent="0.2">
      <c r="B3078"/>
      <c r="E3078"/>
    </row>
    <row r="3079" spans="2:5" x14ac:dyDescent="0.2">
      <c r="B3079"/>
      <c r="E3079"/>
    </row>
    <row r="3080" spans="2:5" x14ac:dyDescent="0.2">
      <c r="B3080"/>
      <c r="E3080"/>
    </row>
    <row r="3081" spans="2:5" x14ac:dyDescent="0.2">
      <c r="B3081"/>
      <c r="E3081"/>
    </row>
    <row r="3082" spans="2:5" x14ac:dyDescent="0.2">
      <c r="B3082"/>
      <c r="E3082"/>
    </row>
    <row r="3083" spans="2:5" x14ac:dyDescent="0.2">
      <c r="B3083"/>
      <c r="E3083"/>
    </row>
    <row r="3084" spans="2:5" x14ac:dyDescent="0.2">
      <c r="B3084"/>
      <c r="E3084"/>
    </row>
    <row r="3085" spans="2:5" x14ac:dyDescent="0.2">
      <c r="B3085"/>
      <c r="E3085"/>
    </row>
    <row r="3086" spans="2:5" x14ac:dyDescent="0.2">
      <c r="B3086"/>
      <c r="E3086"/>
    </row>
    <row r="3087" spans="2:5" x14ac:dyDescent="0.2">
      <c r="B3087"/>
      <c r="E3087"/>
    </row>
    <row r="3088" spans="2:5" x14ac:dyDescent="0.2">
      <c r="B3088"/>
      <c r="E3088"/>
    </row>
    <row r="3089" spans="2:5" x14ac:dyDescent="0.2">
      <c r="B3089"/>
      <c r="E3089"/>
    </row>
    <row r="3090" spans="2:5" x14ac:dyDescent="0.2">
      <c r="B3090"/>
      <c r="E3090"/>
    </row>
    <row r="3091" spans="2:5" x14ac:dyDescent="0.2">
      <c r="B3091"/>
      <c r="E3091"/>
    </row>
    <row r="3092" spans="2:5" x14ac:dyDescent="0.2">
      <c r="B3092"/>
      <c r="E3092"/>
    </row>
    <row r="3093" spans="2:5" x14ac:dyDescent="0.2">
      <c r="B3093"/>
      <c r="E3093"/>
    </row>
    <row r="3094" spans="2:5" x14ac:dyDescent="0.2">
      <c r="B3094"/>
      <c r="E3094"/>
    </row>
    <row r="3095" spans="2:5" x14ac:dyDescent="0.2">
      <c r="B3095"/>
      <c r="E3095"/>
    </row>
    <row r="3096" spans="2:5" x14ac:dyDescent="0.2">
      <c r="B3096"/>
      <c r="E3096"/>
    </row>
    <row r="3097" spans="2:5" x14ac:dyDescent="0.2">
      <c r="B3097"/>
      <c r="E3097"/>
    </row>
    <row r="3098" spans="2:5" x14ac:dyDescent="0.2">
      <c r="B3098"/>
      <c r="E3098"/>
    </row>
    <row r="3099" spans="2:5" x14ac:dyDescent="0.2">
      <c r="B3099"/>
      <c r="E3099"/>
    </row>
    <row r="3100" spans="2:5" x14ac:dyDescent="0.2">
      <c r="B3100"/>
      <c r="E3100"/>
    </row>
    <row r="3101" spans="2:5" x14ac:dyDescent="0.2">
      <c r="B3101"/>
      <c r="E3101"/>
    </row>
    <row r="3102" spans="2:5" x14ac:dyDescent="0.2">
      <c r="B3102"/>
      <c r="E3102"/>
    </row>
    <row r="3103" spans="2:5" x14ac:dyDescent="0.2">
      <c r="B3103"/>
      <c r="E3103"/>
    </row>
    <row r="3104" spans="2:5" x14ac:dyDescent="0.2">
      <c r="B3104"/>
      <c r="E3104"/>
    </row>
    <row r="3105" spans="2:5" x14ac:dyDescent="0.2">
      <c r="B3105"/>
      <c r="E3105"/>
    </row>
    <row r="3106" spans="2:5" x14ac:dyDescent="0.2">
      <c r="B3106"/>
      <c r="E3106"/>
    </row>
    <row r="3107" spans="2:5" x14ac:dyDescent="0.2">
      <c r="B3107"/>
      <c r="E3107"/>
    </row>
    <row r="3108" spans="2:5" x14ac:dyDescent="0.2">
      <c r="B3108"/>
      <c r="E3108"/>
    </row>
    <row r="3109" spans="2:5" x14ac:dyDescent="0.2">
      <c r="B3109"/>
      <c r="E3109"/>
    </row>
    <row r="3110" spans="2:5" x14ac:dyDescent="0.2">
      <c r="B3110"/>
      <c r="E3110"/>
    </row>
    <row r="3111" spans="2:5" x14ac:dyDescent="0.2">
      <c r="B3111"/>
      <c r="E3111"/>
    </row>
    <row r="3112" spans="2:5" x14ac:dyDescent="0.2">
      <c r="B3112"/>
      <c r="E3112"/>
    </row>
    <row r="3113" spans="2:5" x14ac:dyDescent="0.2">
      <c r="B3113"/>
      <c r="E3113"/>
    </row>
    <row r="3114" spans="2:5" x14ac:dyDescent="0.2">
      <c r="B3114"/>
      <c r="E3114"/>
    </row>
    <row r="3115" spans="2:5" x14ac:dyDescent="0.2">
      <c r="B3115"/>
      <c r="E3115"/>
    </row>
    <row r="3116" spans="2:5" x14ac:dyDescent="0.2">
      <c r="B3116"/>
      <c r="E3116"/>
    </row>
    <row r="3117" spans="2:5" x14ac:dyDescent="0.2">
      <c r="B3117"/>
      <c r="E3117"/>
    </row>
    <row r="3118" spans="2:5" x14ac:dyDescent="0.2">
      <c r="B3118"/>
      <c r="E3118"/>
    </row>
    <row r="3119" spans="2:5" x14ac:dyDescent="0.2">
      <c r="B3119"/>
      <c r="E3119"/>
    </row>
    <row r="3120" spans="2:5" x14ac:dyDescent="0.2">
      <c r="B3120"/>
      <c r="E3120"/>
    </row>
    <row r="3121" spans="2:5" x14ac:dyDescent="0.2">
      <c r="B3121"/>
      <c r="E3121"/>
    </row>
    <row r="3122" spans="2:5" x14ac:dyDescent="0.2">
      <c r="B3122"/>
      <c r="E3122"/>
    </row>
    <row r="3123" spans="2:5" x14ac:dyDescent="0.2">
      <c r="B3123"/>
      <c r="E3123"/>
    </row>
    <row r="3124" spans="2:5" x14ac:dyDescent="0.2">
      <c r="B3124"/>
      <c r="E3124"/>
    </row>
    <row r="3125" spans="2:5" x14ac:dyDescent="0.2">
      <c r="B3125"/>
      <c r="E3125"/>
    </row>
    <row r="3126" spans="2:5" x14ac:dyDescent="0.2">
      <c r="B3126"/>
      <c r="E3126"/>
    </row>
    <row r="3127" spans="2:5" x14ac:dyDescent="0.2">
      <c r="B3127"/>
      <c r="E3127"/>
    </row>
    <row r="3128" spans="2:5" x14ac:dyDescent="0.2">
      <c r="B3128"/>
      <c r="E3128"/>
    </row>
    <row r="3129" spans="2:5" x14ac:dyDescent="0.2">
      <c r="B3129"/>
      <c r="E3129"/>
    </row>
    <row r="3130" spans="2:5" x14ac:dyDescent="0.2">
      <c r="B3130"/>
      <c r="E3130"/>
    </row>
    <row r="3131" spans="2:5" x14ac:dyDescent="0.2">
      <c r="B3131"/>
      <c r="E3131"/>
    </row>
    <row r="3132" spans="2:5" x14ac:dyDescent="0.2">
      <c r="B3132"/>
      <c r="E3132"/>
    </row>
    <row r="3133" spans="2:5" x14ac:dyDescent="0.2">
      <c r="B3133"/>
      <c r="E3133"/>
    </row>
    <row r="3134" spans="2:5" x14ac:dyDescent="0.2">
      <c r="B3134"/>
      <c r="E3134"/>
    </row>
    <row r="3135" spans="2:5" x14ac:dyDescent="0.2">
      <c r="B3135"/>
      <c r="E3135"/>
    </row>
    <row r="3136" spans="2:5" x14ac:dyDescent="0.2">
      <c r="B3136"/>
      <c r="E3136"/>
    </row>
    <row r="3137" spans="2:5" x14ac:dyDescent="0.2">
      <c r="B3137"/>
      <c r="E3137"/>
    </row>
    <row r="3138" spans="2:5" x14ac:dyDescent="0.2">
      <c r="B3138"/>
      <c r="E3138"/>
    </row>
    <row r="3139" spans="2:5" x14ac:dyDescent="0.2">
      <c r="B3139"/>
      <c r="E3139"/>
    </row>
    <row r="3140" spans="2:5" x14ac:dyDescent="0.2">
      <c r="B3140"/>
      <c r="E3140"/>
    </row>
    <row r="3141" spans="2:5" x14ac:dyDescent="0.2">
      <c r="B3141"/>
      <c r="E3141"/>
    </row>
    <row r="3142" spans="2:5" x14ac:dyDescent="0.2">
      <c r="B3142"/>
      <c r="E3142"/>
    </row>
    <row r="3143" spans="2:5" x14ac:dyDescent="0.2">
      <c r="B3143"/>
      <c r="E3143"/>
    </row>
    <row r="3144" spans="2:5" x14ac:dyDescent="0.2">
      <c r="B3144"/>
      <c r="E3144"/>
    </row>
    <row r="3145" spans="2:5" x14ac:dyDescent="0.2">
      <c r="B3145"/>
      <c r="E3145"/>
    </row>
    <row r="3146" spans="2:5" x14ac:dyDescent="0.2">
      <c r="B3146"/>
      <c r="E3146"/>
    </row>
    <row r="3147" spans="2:5" x14ac:dyDescent="0.2">
      <c r="B3147"/>
      <c r="E3147"/>
    </row>
    <row r="3148" spans="2:5" x14ac:dyDescent="0.2">
      <c r="B3148"/>
      <c r="E3148"/>
    </row>
    <row r="3149" spans="2:5" x14ac:dyDescent="0.2">
      <c r="B3149"/>
      <c r="E3149"/>
    </row>
    <row r="3150" spans="2:5" x14ac:dyDescent="0.2">
      <c r="B3150"/>
      <c r="E3150"/>
    </row>
    <row r="3151" spans="2:5" x14ac:dyDescent="0.2">
      <c r="B3151"/>
      <c r="E3151"/>
    </row>
    <row r="3152" spans="2:5" x14ac:dyDescent="0.2">
      <c r="B3152"/>
      <c r="E3152"/>
    </row>
    <row r="3153" spans="2:5" x14ac:dyDescent="0.2">
      <c r="B3153"/>
      <c r="E3153"/>
    </row>
    <row r="3154" spans="2:5" x14ac:dyDescent="0.2">
      <c r="B3154"/>
      <c r="E3154"/>
    </row>
    <row r="3155" spans="2:5" x14ac:dyDescent="0.2">
      <c r="B3155"/>
      <c r="E3155"/>
    </row>
    <row r="3156" spans="2:5" x14ac:dyDescent="0.2">
      <c r="B3156"/>
      <c r="E3156"/>
    </row>
    <row r="3157" spans="2:5" x14ac:dyDescent="0.2">
      <c r="B3157"/>
      <c r="E3157"/>
    </row>
    <row r="3158" spans="2:5" x14ac:dyDescent="0.2">
      <c r="B3158"/>
      <c r="E3158"/>
    </row>
    <row r="3159" spans="2:5" x14ac:dyDescent="0.2">
      <c r="B3159"/>
      <c r="E3159"/>
    </row>
    <row r="3160" spans="2:5" x14ac:dyDescent="0.2">
      <c r="B3160"/>
      <c r="E3160"/>
    </row>
    <row r="3161" spans="2:5" x14ac:dyDescent="0.2">
      <c r="B3161"/>
      <c r="E3161"/>
    </row>
    <row r="3162" spans="2:5" x14ac:dyDescent="0.2">
      <c r="B3162"/>
      <c r="E3162"/>
    </row>
    <row r="3163" spans="2:5" x14ac:dyDescent="0.2">
      <c r="B3163"/>
      <c r="E3163"/>
    </row>
    <row r="3164" spans="2:5" x14ac:dyDescent="0.2">
      <c r="B3164"/>
      <c r="E3164"/>
    </row>
    <row r="3165" spans="2:5" x14ac:dyDescent="0.2">
      <c r="B3165"/>
      <c r="E3165"/>
    </row>
    <row r="3166" spans="2:5" x14ac:dyDescent="0.2">
      <c r="B3166"/>
      <c r="E3166"/>
    </row>
    <row r="3167" spans="2:5" x14ac:dyDescent="0.2">
      <c r="B3167"/>
      <c r="E3167"/>
    </row>
    <row r="3168" spans="2:5" x14ac:dyDescent="0.2">
      <c r="B3168"/>
      <c r="E3168"/>
    </row>
    <row r="3169" spans="2:5" x14ac:dyDescent="0.2">
      <c r="B3169"/>
      <c r="E3169"/>
    </row>
    <row r="3170" spans="2:5" x14ac:dyDescent="0.2">
      <c r="B3170"/>
      <c r="E3170"/>
    </row>
    <row r="3171" spans="2:5" x14ac:dyDescent="0.2">
      <c r="B3171"/>
      <c r="E3171"/>
    </row>
    <row r="3172" spans="2:5" x14ac:dyDescent="0.2">
      <c r="B3172"/>
      <c r="E3172"/>
    </row>
    <row r="3173" spans="2:5" x14ac:dyDescent="0.2">
      <c r="B3173"/>
      <c r="E3173"/>
    </row>
    <row r="3174" spans="2:5" x14ac:dyDescent="0.2">
      <c r="B3174"/>
      <c r="E3174"/>
    </row>
    <row r="3175" spans="2:5" x14ac:dyDescent="0.2">
      <c r="B3175"/>
      <c r="E3175"/>
    </row>
    <row r="3176" spans="2:5" x14ac:dyDescent="0.2">
      <c r="B3176"/>
      <c r="E3176"/>
    </row>
    <row r="3177" spans="2:5" x14ac:dyDescent="0.2">
      <c r="B3177"/>
      <c r="E3177"/>
    </row>
    <row r="3178" spans="2:5" x14ac:dyDescent="0.2">
      <c r="B3178"/>
      <c r="E3178"/>
    </row>
    <row r="3179" spans="2:5" x14ac:dyDescent="0.2">
      <c r="B3179"/>
      <c r="E3179"/>
    </row>
    <row r="3180" spans="2:5" x14ac:dyDescent="0.2">
      <c r="B3180"/>
      <c r="E3180"/>
    </row>
    <row r="3181" spans="2:5" x14ac:dyDescent="0.2">
      <c r="B3181"/>
      <c r="E3181"/>
    </row>
    <row r="3182" spans="2:5" x14ac:dyDescent="0.2">
      <c r="B3182"/>
      <c r="E3182"/>
    </row>
    <row r="3183" spans="2:5" x14ac:dyDescent="0.2">
      <c r="B3183"/>
      <c r="E3183"/>
    </row>
    <row r="3184" spans="2:5" x14ac:dyDescent="0.2">
      <c r="B3184"/>
      <c r="E3184"/>
    </row>
    <row r="3185" spans="2:5" x14ac:dyDescent="0.2">
      <c r="B3185"/>
      <c r="E3185"/>
    </row>
    <row r="3186" spans="2:5" x14ac:dyDescent="0.2">
      <c r="B3186"/>
      <c r="E3186"/>
    </row>
    <row r="3187" spans="2:5" x14ac:dyDescent="0.2">
      <c r="B3187"/>
      <c r="E3187"/>
    </row>
    <row r="3188" spans="2:5" x14ac:dyDescent="0.2">
      <c r="B3188"/>
      <c r="E3188"/>
    </row>
    <row r="3189" spans="2:5" x14ac:dyDescent="0.2">
      <c r="B3189"/>
      <c r="E3189"/>
    </row>
    <row r="3190" spans="2:5" x14ac:dyDescent="0.2">
      <c r="B3190"/>
      <c r="E3190"/>
    </row>
    <row r="3191" spans="2:5" x14ac:dyDescent="0.2">
      <c r="B3191"/>
      <c r="E3191"/>
    </row>
    <row r="3192" spans="2:5" x14ac:dyDescent="0.2">
      <c r="B3192"/>
      <c r="E3192"/>
    </row>
    <row r="3193" spans="2:5" x14ac:dyDescent="0.2">
      <c r="B3193"/>
      <c r="E3193"/>
    </row>
    <row r="3194" spans="2:5" x14ac:dyDescent="0.2">
      <c r="B3194"/>
      <c r="E3194"/>
    </row>
    <row r="3195" spans="2:5" x14ac:dyDescent="0.2">
      <c r="B3195"/>
      <c r="E3195"/>
    </row>
    <row r="3196" spans="2:5" x14ac:dyDescent="0.2">
      <c r="B3196"/>
      <c r="E3196"/>
    </row>
    <row r="3197" spans="2:5" x14ac:dyDescent="0.2">
      <c r="B3197"/>
      <c r="E3197"/>
    </row>
    <row r="3198" spans="2:5" x14ac:dyDescent="0.2">
      <c r="B3198"/>
      <c r="E3198"/>
    </row>
    <row r="3199" spans="2:5" x14ac:dyDescent="0.2">
      <c r="B3199"/>
      <c r="E3199"/>
    </row>
    <row r="3200" spans="2:5" x14ac:dyDescent="0.2">
      <c r="B3200"/>
      <c r="E3200"/>
    </row>
    <row r="3201" spans="2:5" x14ac:dyDescent="0.2">
      <c r="B3201"/>
      <c r="E3201"/>
    </row>
    <row r="3202" spans="2:5" x14ac:dyDescent="0.2">
      <c r="B3202"/>
      <c r="E3202"/>
    </row>
    <row r="3203" spans="2:5" x14ac:dyDescent="0.2">
      <c r="B3203"/>
      <c r="E3203"/>
    </row>
    <row r="3204" spans="2:5" x14ac:dyDescent="0.2">
      <c r="B3204"/>
      <c r="E3204"/>
    </row>
    <row r="3205" spans="2:5" x14ac:dyDescent="0.2">
      <c r="B3205"/>
      <c r="E3205"/>
    </row>
    <row r="3206" spans="2:5" x14ac:dyDescent="0.2">
      <c r="B3206"/>
      <c r="E3206"/>
    </row>
    <row r="3207" spans="2:5" x14ac:dyDescent="0.2">
      <c r="B3207"/>
      <c r="E3207"/>
    </row>
    <row r="3208" spans="2:5" x14ac:dyDescent="0.2">
      <c r="B3208"/>
      <c r="E3208"/>
    </row>
    <row r="3209" spans="2:5" x14ac:dyDescent="0.2">
      <c r="B3209"/>
      <c r="E3209"/>
    </row>
    <row r="3210" spans="2:5" x14ac:dyDescent="0.2">
      <c r="B3210"/>
      <c r="E3210"/>
    </row>
    <row r="3211" spans="2:5" x14ac:dyDescent="0.2">
      <c r="B3211"/>
      <c r="E3211"/>
    </row>
    <row r="3212" spans="2:5" x14ac:dyDescent="0.2">
      <c r="B3212"/>
      <c r="E3212"/>
    </row>
    <row r="3213" spans="2:5" x14ac:dyDescent="0.2">
      <c r="B3213"/>
      <c r="E3213"/>
    </row>
    <row r="3214" spans="2:5" x14ac:dyDescent="0.2">
      <c r="B3214"/>
      <c r="E3214"/>
    </row>
    <row r="3215" spans="2:5" x14ac:dyDescent="0.2">
      <c r="B3215"/>
      <c r="E3215"/>
    </row>
    <row r="3216" spans="2:5" x14ac:dyDescent="0.2">
      <c r="B3216"/>
      <c r="E3216"/>
    </row>
    <row r="3217" spans="2:5" x14ac:dyDescent="0.2">
      <c r="B3217"/>
      <c r="E3217"/>
    </row>
    <row r="3218" spans="2:5" x14ac:dyDescent="0.2">
      <c r="B3218"/>
      <c r="E3218"/>
    </row>
    <row r="3219" spans="2:5" x14ac:dyDescent="0.2">
      <c r="B3219"/>
      <c r="E3219"/>
    </row>
    <row r="3220" spans="2:5" x14ac:dyDescent="0.2">
      <c r="B3220"/>
      <c r="E3220"/>
    </row>
    <row r="3221" spans="2:5" x14ac:dyDescent="0.2">
      <c r="B3221"/>
      <c r="E3221"/>
    </row>
    <row r="3222" spans="2:5" x14ac:dyDescent="0.2">
      <c r="B3222"/>
      <c r="E3222"/>
    </row>
    <row r="3223" spans="2:5" x14ac:dyDescent="0.2">
      <c r="B3223"/>
      <c r="E3223"/>
    </row>
    <row r="3224" spans="2:5" x14ac:dyDescent="0.2">
      <c r="B3224"/>
      <c r="E3224"/>
    </row>
    <row r="3225" spans="2:5" x14ac:dyDescent="0.2">
      <c r="B3225"/>
      <c r="E3225"/>
    </row>
    <row r="3226" spans="2:5" x14ac:dyDescent="0.2">
      <c r="B3226"/>
      <c r="E3226"/>
    </row>
    <row r="3227" spans="2:5" x14ac:dyDescent="0.2">
      <c r="B3227"/>
      <c r="E3227"/>
    </row>
    <row r="3228" spans="2:5" x14ac:dyDescent="0.2">
      <c r="B3228"/>
      <c r="E3228"/>
    </row>
    <row r="3229" spans="2:5" x14ac:dyDescent="0.2">
      <c r="B3229"/>
      <c r="E3229"/>
    </row>
    <row r="3230" spans="2:5" x14ac:dyDescent="0.2">
      <c r="B3230"/>
      <c r="E3230"/>
    </row>
    <row r="3231" spans="2:5" x14ac:dyDescent="0.2">
      <c r="B3231"/>
      <c r="E3231"/>
    </row>
    <row r="3232" spans="2:5" x14ac:dyDescent="0.2">
      <c r="B3232"/>
      <c r="E3232"/>
    </row>
    <row r="3233" spans="2:5" x14ac:dyDescent="0.2">
      <c r="B3233"/>
      <c r="E3233"/>
    </row>
    <row r="3234" spans="2:5" x14ac:dyDescent="0.2">
      <c r="B3234"/>
      <c r="E3234"/>
    </row>
    <row r="3235" spans="2:5" x14ac:dyDescent="0.2">
      <c r="B3235"/>
      <c r="E3235"/>
    </row>
    <row r="3236" spans="2:5" x14ac:dyDescent="0.2">
      <c r="B3236"/>
      <c r="E3236"/>
    </row>
    <row r="3237" spans="2:5" x14ac:dyDescent="0.2">
      <c r="B3237"/>
      <c r="E3237"/>
    </row>
    <row r="3238" spans="2:5" x14ac:dyDescent="0.2">
      <c r="B3238"/>
      <c r="E3238"/>
    </row>
    <row r="3239" spans="2:5" x14ac:dyDescent="0.2">
      <c r="B3239"/>
      <c r="E3239"/>
    </row>
    <row r="3240" spans="2:5" x14ac:dyDescent="0.2">
      <c r="B3240"/>
      <c r="E3240"/>
    </row>
    <row r="3241" spans="2:5" x14ac:dyDescent="0.2">
      <c r="B3241"/>
      <c r="E3241"/>
    </row>
    <row r="3242" spans="2:5" x14ac:dyDescent="0.2">
      <c r="B3242"/>
      <c r="E3242"/>
    </row>
    <row r="3243" spans="2:5" x14ac:dyDescent="0.2">
      <c r="B3243"/>
      <c r="E3243"/>
    </row>
    <row r="3244" spans="2:5" x14ac:dyDescent="0.2">
      <c r="B3244"/>
      <c r="E3244"/>
    </row>
    <row r="3245" spans="2:5" x14ac:dyDescent="0.2">
      <c r="B3245"/>
      <c r="E3245"/>
    </row>
    <row r="3246" spans="2:5" x14ac:dyDescent="0.2">
      <c r="B3246"/>
      <c r="E3246"/>
    </row>
    <row r="3247" spans="2:5" x14ac:dyDescent="0.2">
      <c r="B3247"/>
      <c r="E3247"/>
    </row>
    <row r="3248" spans="2:5" x14ac:dyDescent="0.2">
      <c r="B3248"/>
      <c r="E3248"/>
    </row>
    <row r="3249" spans="2:5" x14ac:dyDescent="0.2">
      <c r="B3249"/>
      <c r="E3249"/>
    </row>
    <row r="3250" spans="2:5" x14ac:dyDescent="0.2">
      <c r="B3250"/>
      <c r="E3250"/>
    </row>
    <row r="3251" spans="2:5" x14ac:dyDescent="0.2">
      <c r="B3251"/>
      <c r="E3251"/>
    </row>
    <row r="3252" spans="2:5" x14ac:dyDescent="0.2">
      <c r="B3252"/>
      <c r="E3252"/>
    </row>
    <row r="3253" spans="2:5" x14ac:dyDescent="0.2">
      <c r="B3253"/>
      <c r="E3253"/>
    </row>
    <row r="3254" spans="2:5" x14ac:dyDescent="0.2">
      <c r="B3254"/>
      <c r="E3254"/>
    </row>
    <row r="3255" spans="2:5" x14ac:dyDescent="0.2">
      <c r="B3255"/>
      <c r="E3255"/>
    </row>
    <row r="3256" spans="2:5" x14ac:dyDescent="0.2">
      <c r="B3256"/>
      <c r="E3256"/>
    </row>
    <row r="3257" spans="2:5" x14ac:dyDescent="0.2">
      <c r="B3257"/>
      <c r="E3257"/>
    </row>
    <row r="3258" spans="2:5" x14ac:dyDescent="0.2">
      <c r="B3258"/>
      <c r="E3258"/>
    </row>
    <row r="3259" spans="2:5" x14ac:dyDescent="0.2">
      <c r="B3259"/>
      <c r="E3259"/>
    </row>
    <row r="3260" spans="2:5" x14ac:dyDescent="0.2">
      <c r="B3260"/>
      <c r="E3260"/>
    </row>
    <row r="3261" spans="2:5" x14ac:dyDescent="0.2">
      <c r="B3261"/>
      <c r="E3261"/>
    </row>
    <row r="3262" spans="2:5" x14ac:dyDescent="0.2">
      <c r="B3262"/>
      <c r="E3262"/>
    </row>
    <row r="3263" spans="2:5" x14ac:dyDescent="0.2">
      <c r="B3263"/>
      <c r="E3263"/>
    </row>
    <row r="3264" spans="2:5" x14ac:dyDescent="0.2">
      <c r="B3264"/>
      <c r="E3264"/>
    </row>
    <row r="3265" spans="2:5" x14ac:dyDescent="0.2">
      <c r="B3265"/>
      <c r="E3265"/>
    </row>
    <row r="3266" spans="2:5" x14ac:dyDescent="0.2">
      <c r="B3266"/>
      <c r="E3266"/>
    </row>
    <row r="3267" spans="2:5" x14ac:dyDescent="0.2">
      <c r="B3267"/>
      <c r="E3267"/>
    </row>
    <row r="3268" spans="2:5" x14ac:dyDescent="0.2">
      <c r="B3268"/>
      <c r="E3268"/>
    </row>
    <row r="3269" spans="2:5" x14ac:dyDescent="0.2">
      <c r="B3269"/>
      <c r="E3269"/>
    </row>
    <row r="3270" spans="2:5" x14ac:dyDescent="0.2">
      <c r="B3270"/>
      <c r="E3270"/>
    </row>
    <row r="3271" spans="2:5" x14ac:dyDescent="0.2">
      <c r="B3271"/>
      <c r="E3271"/>
    </row>
    <row r="3272" spans="2:5" x14ac:dyDescent="0.2">
      <c r="B3272"/>
      <c r="E3272"/>
    </row>
    <row r="3273" spans="2:5" x14ac:dyDescent="0.2">
      <c r="B3273"/>
      <c r="E3273"/>
    </row>
    <row r="3274" spans="2:5" x14ac:dyDescent="0.2">
      <c r="B3274"/>
      <c r="E3274"/>
    </row>
    <row r="3275" spans="2:5" x14ac:dyDescent="0.2">
      <c r="B3275"/>
      <c r="E3275"/>
    </row>
    <row r="3276" spans="2:5" x14ac:dyDescent="0.2">
      <c r="B3276"/>
      <c r="E3276"/>
    </row>
    <row r="3277" spans="2:5" x14ac:dyDescent="0.2">
      <c r="B3277"/>
      <c r="E3277"/>
    </row>
    <row r="3278" spans="2:5" x14ac:dyDescent="0.2">
      <c r="B3278"/>
      <c r="E3278"/>
    </row>
    <row r="3279" spans="2:5" x14ac:dyDescent="0.2">
      <c r="B3279"/>
      <c r="E3279"/>
    </row>
    <row r="3280" spans="2:5" x14ac:dyDescent="0.2">
      <c r="B3280"/>
      <c r="E3280"/>
    </row>
    <row r="3281" spans="2:5" x14ac:dyDescent="0.2">
      <c r="B3281"/>
      <c r="E3281"/>
    </row>
    <row r="3282" spans="2:5" x14ac:dyDescent="0.2">
      <c r="B3282"/>
      <c r="E3282"/>
    </row>
    <row r="3283" spans="2:5" x14ac:dyDescent="0.2">
      <c r="B3283"/>
      <c r="E3283"/>
    </row>
    <row r="3284" spans="2:5" x14ac:dyDescent="0.2">
      <c r="B3284"/>
      <c r="E3284"/>
    </row>
    <row r="3285" spans="2:5" x14ac:dyDescent="0.2">
      <c r="B3285"/>
      <c r="E3285"/>
    </row>
    <row r="3286" spans="2:5" x14ac:dyDescent="0.2">
      <c r="B3286"/>
      <c r="E3286"/>
    </row>
    <row r="3287" spans="2:5" x14ac:dyDescent="0.2">
      <c r="B3287"/>
      <c r="E3287"/>
    </row>
    <row r="3288" spans="2:5" x14ac:dyDescent="0.2">
      <c r="B3288"/>
      <c r="E3288"/>
    </row>
    <row r="3289" spans="2:5" x14ac:dyDescent="0.2">
      <c r="B3289"/>
      <c r="E3289"/>
    </row>
    <row r="3290" spans="2:5" x14ac:dyDescent="0.2">
      <c r="B3290"/>
      <c r="E3290"/>
    </row>
    <row r="3291" spans="2:5" x14ac:dyDescent="0.2">
      <c r="B3291"/>
      <c r="E3291"/>
    </row>
    <row r="3292" spans="2:5" x14ac:dyDescent="0.2">
      <c r="B3292"/>
      <c r="E3292"/>
    </row>
    <row r="3293" spans="2:5" x14ac:dyDescent="0.2">
      <c r="B3293"/>
      <c r="E3293"/>
    </row>
    <row r="3294" spans="2:5" x14ac:dyDescent="0.2">
      <c r="B3294"/>
      <c r="E3294"/>
    </row>
    <row r="3295" spans="2:5" x14ac:dyDescent="0.2">
      <c r="B3295"/>
      <c r="E3295"/>
    </row>
    <row r="3296" spans="2:5" x14ac:dyDescent="0.2">
      <c r="B3296"/>
      <c r="E3296"/>
    </row>
    <row r="3297" spans="2:5" x14ac:dyDescent="0.2">
      <c r="B3297"/>
      <c r="E3297"/>
    </row>
    <row r="3298" spans="2:5" x14ac:dyDescent="0.2">
      <c r="B3298"/>
      <c r="E3298"/>
    </row>
    <row r="3299" spans="2:5" x14ac:dyDescent="0.2">
      <c r="B3299"/>
      <c r="E3299"/>
    </row>
    <row r="3300" spans="2:5" x14ac:dyDescent="0.2">
      <c r="B3300"/>
      <c r="E3300"/>
    </row>
    <row r="3301" spans="2:5" x14ac:dyDescent="0.2">
      <c r="B3301"/>
      <c r="E3301"/>
    </row>
    <row r="3302" spans="2:5" x14ac:dyDescent="0.2">
      <c r="B3302"/>
      <c r="E3302"/>
    </row>
    <row r="3303" spans="2:5" x14ac:dyDescent="0.2">
      <c r="B3303"/>
      <c r="E3303"/>
    </row>
    <row r="3304" spans="2:5" x14ac:dyDescent="0.2">
      <c r="B3304"/>
      <c r="E3304"/>
    </row>
    <row r="3305" spans="2:5" x14ac:dyDescent="0.2">
      <c r="B3305"/>
      <c r="E3305"/>
    </row>
    <row r="3306" spans="2:5" x14ac:dyDescent="0.2">
      <c r="B3306"/>
      <c r="E3306"/>
    </row>
    <row r="3307" spans="2:5" x14ac:dyDescent="0.2">
      <c r="B3307"/>
      <c r="E3307"/>
    </row>
    <row r="3308" spans="2:5" x14ac:dyDescent="0.2">
      <c r="B3308"/>
      <c r="E3308"/>
    </row>
    <row r="3309" spans="2:5" x14ac:dyDescent="0.2">
      <c r="B3309"/>
      <c r="E3309"/>
    </row>
    <row r="3310" spans="2:5" x14ac:dyDescent="0.2">
      <c r="B3310"/>
      <c r="E3310"/>
    </row>
    <row r="3311" spans="2:5" x14ac:dyDescent="0.2">
      <c r="B3311"/>
      <c r="E3311"/>
    </row>
    <row r="3312" spans="2:5" x14ac:dyDescent="0.2">
      <c r="B3312"/>
      <c r="E3312"/>
    </row>
    <row r="3313" spans="2:5" x14ac:dyDescent="0.2">
      <c r="B3313"/>
      <c r="E3313"/>
    </row>
    <row r="3314" spans="2:5" x14ac:dyDescent="0.2">
      <c r="B3314"/>
      <c r="E3314"/>
    </row>
    <row r="3315" spans="2:5" x14ac:dyDescent="0.2">
      <c r="B3315"/>
      <c r="E3315"/>
    </row>
    <row r="3316" spans="2:5" x14ac:dyDescent="0.2">
      <c r="B3316"/>
      <c r="E3316"/>
    </row>
    <row r="3317" spans="2:5" x14ac:dyDescent="0.2">
      <c r="B3317"/>
      <c r="E3317"/>
    </row>
    <row r="3318" spans="2:5" x14ac:dyDescent="0.2">
      <c r="B3318"/>
      <c r="E3318"/>
    </row>
    <row r="3319" spans="2:5" x14ac:dyDescent="0.2">
      <c r="B3319"/>
      <c r="E3319"/>
    </row>
    <row r="3320" spans="2:5" x14ac:dyDescent="0.2">
      <c r="B3320"/>
      <c r="E3320"/>
    </row>
    <row r="3321" spans="2:5" x14ac:dyDescent="0.2">
      <c r="B3321"/>
      <c r="E3321"/>
    </row>
    <row r="3322" spans="2:5" x14ac:dyDescent="0.2">
      <c r="B3322"/>
      <c r="E3322"/>
    </row>
    <row r="3323" spans="2:5" x14ac:dyDescent="0.2">
      <c r="B3323"/>
      <c r="E3323"/>
    </row>
    <row r="3324" spans="2:5" x14ac:dyDescent="0.2">
      <c r="B3324"/>
      <c r="E3324"/>
    </row>
    <row r="3325" spans="2:5" x14ac:dyDescent="0.2">
      <c r="B3325"/>
      <c r="E3325"/>
    </row>
    <row r="3326" spans="2:5" x14ac:dyDescent="0.2">
      <c r="B3326"/>
      <c r="E3326"/>
    </row>
    <row r="3327" spans="2:5" x14ac:dyDescent="0.2">
      <c r="B3327"/>
      <c r="E3327"/>
    </row>
    <row r="3328" spans="2:5" x14ac:dyDescent="0.2">
      <c r="B3328"/>
      <c r="E3328"/>
    </row>
    <row r="3329" spans="2:5" x14ac:dyDescent="0.2">
      <c r="B3329"/>
      <c r="E3329"/>
    </row>
    <row r="3330" spans="2:5" x14ac:dyDescent="0.2">
      <c r="B3330"/>
      <c r="E3330"/>
    </row>
    <row r="3331" spans="2:5" x14ac:dyDescent="0.2">
      <c r="B3331"/>
      <c r="E3331"/>
    </row>
    <row r="3332" spans="2:5" x14ac:dyDescent="0.2">
      <c r="B3332"/>
      <c r="E3332"/>
    </row>
    <row r="3333" spans="2:5" x14ac:dyDescent="0.2">
      <c r="B3333"/>
      <c r="E3333"/>
    </row>
    <row r="3334" spans="2:5" x14ac:dyDescent="0.2">
      <c r="B3334"/>
      <c r="E3334"/>
    </row>
    <row r="3335" spans="2:5" x14ac:dyDescent="0.2">
      <c r="B3335"/>
      <c r="E3335"/>
    </row>
    <row r="3336" spans="2:5" x14ac:dyDescent="0.2">
      <c r="B3336"/>
      <c r="E3336"/>
    </row>
    <row r="3337" spans="2:5" x14ac:dyDescent="0.2">
      <c r="B3337"/>
      <c r="E3337"/>
    </row>
    <row r="3338" spans="2:5" x14ac:dyDescent="0.2">
      <c r="B3338"/>
      <c r="E3338"/>
    </row>
    <row r="3339" spans="2:5" x14ac:dyDescent="0.2">
      <c r="B3339"/>
      <c r="E3339"/>
    </row>
    <row r="3340" spans="2:5" x14ac:dyDescent="0.2">
      <c r="B3340"/>
      <c r="E3340"/>
    </row>
    <row r="3341" spans="2:5" x14ac:dyDescent="0.2">
      <c r="B3341"/>
      <c r="E3341"/>
    </row>
    <row r="3342" spans="2:5" x14ac:dyDescent="0.2">
      <c r="B3342"/>
      <c r="E3342"/>
    </row>
    <row r="3343" spans="2:5" x14ac:dyDescent="0.2">
      <c r="B3343"/>
      <c r="E3343"/>
    </row>
    <row r="3344" spans="2:5" x14ac:dyDescent="0.2">
      <c r="B3344"/>
      <c r="E3344"/>
    </row>
    <row r="3345" spans="2:5" x14ac:dyDescent="0.2">
      <c r="B3345"/>
      <c r="E3345"/>
    </row>
    <row r="3346" spans="2:5" x14ac:dyDescent="0.2">
      <c r="B3346"/>
      <c r="E3346"/>
    </row>
    <row r="3347" spans="2:5" x14ac:dyDescent="0.2">
      <c r="B3347"/>
      <c r="E3347"/>
    </row>
    <row r="3348" spans="2:5" x14ac:dyDescent="0.2">
      <c r="B3348"/>
      <c r="E3348"/>
    </row>
    <row r="3349" spans="2:5" x14ac:dyDescent="0.2">
      <c r="B3349"/>
      <c r="E3349"/>
    </row>
    <row r="3350" spans="2:5" x14ac:dyDescent="0.2">
      <c r="B3350"/>
      <c r="E3350"/>
    </row>
    <row r="3351" spans="2:5" x14ac:dyDescent="0.2">
      <c r="B3351"/>
      <c r="E3351"/>
    </row>
    <row r="3352" spans="2:5" x14ac:dyDescent="0.2">
      <c r="B3352"/>
      <c r="E3352"/>
    </row>
    <row r="3353" spans="2:5" x14ac:dyDescent="0.2">
      <c r="B3353"/>
      <c r="E3353"/>
    </row>
    <row r="3354" spans="2:5" x14ac:dyDescent="0.2">
      <c r="B3354"/>
      <c r="E3354"/>
    </row>
    <row r="3355" spans="2:5" x14ac:dyDescent="0.2">
      <c r="B3355"/>
      <c r="E3355"/>
    </row>
    <row r="3356" spans="2:5" x14ac:dyDescent="0.2">
      <c r="B3356"/>
      <c r="E3356"/>
    </row>
    <row r="3357" spans="2:5" x14ac:dyDescent="0.2">
      <c r="B3357"/>
      <c r="E3357"/>
    </row>
    <row r="3358" spans="2:5" x14ac:dyDescent="0.2">
      <c r="B3358"/>
      <c r="E3358"/>
    </row>
    <row r="3359" spans="2:5" x14ac:dyDescent="0.2">
      <c r="B3359"/>
      <c r="E3359"/>
    </row>
    <row r="3360" spans="2:5" x14ac:dyDescent="0.2">
      <c r="B3360"/>
      <c r="E3360"/>
    </row>
    <row r="3361" spans="2:5" x14ac:dyDescent="0.2">
      <c r="B3361"/>
      <c r="E3361"/>
    </row>
    <row r="3362" spans="2:5" x14ac:dyDescent="0.2">
      <c r="B3362"/>
      <c r="E3362"/>
    </row>
    <row r="3363" spans="2:5" x14ac:dyDescent="0.2">
      <c r="B3363"/>
      <c r="E3363"/>
    </row>
    <row r="3364" spans="2:5" x14ac:dyDescent="0.2">
      <c r="B3364"/>
      <c r="E3364"/>
    </row>
    <row r="3365" spans="2:5" x14ac:dyDescent="0.2">
      <c r="B3365"/>
      <c r="E3365"/>
    </row>
    <row r="3366" spans="2:5" x14ac:dyDescent="0.2">
      <c r="B3366"/>
      <c r="E3366"/>
    </row>
    <row r="3367" spans="2:5" x14ac:dyDescent="0.2">
      <c r="B3367"/>
      <c r="E3367"/>
    </row>
    <row r="3368" spans="2:5" x14ac:dyDescent="0.2">
      <c r="B3368"/>
      <c r="E3368"/>
    </row>
    <row r="3369" spans="2:5" x14ac:dyDescent="0.2">
      <c r="B3369"/>
      <c r="E3369"/>
    </row>
    <row r="3370" spans="2:5" x14ac:dyDescent="0.2">
      <c r="B3370"/>
      <c r="E3370"/>
    </row>
    <row r="3371" spans="2:5" x14ac:dyDescent="0.2">
      <c r="B3371"/>
      <c r="E3371"/>
    </row>
    <row r="3372" spans="2:5" x14ac:dyDescent="0.2">
      <c r="B3372"/>
      <c r="E3372"/>
    </row>
    <row r="3373" spans="2:5" x14ac:dyDescent="0.2">
      <c r="B3373"/>
      <c r="E3373"/>
    </row>
    <row r="3374" spans="2:5" x14ac:dyDescent="0.2">
      <c r="B3374"/>
      <c r="E3374"/>
    </row>
    <row r="3375" spans="2:5" x14ac:dyDescent="0.2">
      <c r="B3375"/>
      <c r="E3375"/>
    </row>
    <row r="3376" spans="2:5" x14ac:dyDescent="0.2">
      <c r="B3376"/>
      <c r="E3376"/>
    </row>
    <row r="3377" spans="2:5" x14ac:dyDescent="0.2">
      <c r="B3377"/>
      <c r="E3377"/>
    </row>
    <row r="3378" spans="2:5" x14ac:dyDescent="0.2">
      <c r="B3378"/>
      <c r="E3378"/>
    </row>
    <row r="3379" spans="2:5" x14ac:dyDescent="0.2">
      <c r="B3379"/>
      <c r="E3379"/>
    </row>
    <row r="3380" spans="2:5" x14ac:dyDescent="0.2">
      <c r="B3380"/>
      <c r="E3380"/>
    </row>
    <row r="3381" spans="2:5" x14ac:dyDescent="0.2">
      <c r="B3381"/>
      <c r="E3381"/>
    </row>
    <row r="3382" spans="2:5" x14ac:dyDescent="0.2">
      <c r="B3382"/>
      <c r="E3382"/>
    </row>
    <row r="3383" spans="2:5" x14ac:dyDescent="0.2">
      <c r="B3383"/>
      <c r="E3383"/>
    </row>
    <row r="3384" spans="2:5" x14ac:dyDescent="0.2">
      <c r="B3384"/>
      <c r="E3384"/>
    </row>
    <row r="3385" spans="2:5" x14ac:dyDescent="0.2">
      <c r="B3385"/>
      <c r="E3385"/>
    </row>
    <row r="3386" spans="2:5" x14ac:dyDescent="0.2">
      <c r="B3386"/>
      <c r="E3386"/>
    </row>
    <row r="3387" spans="2:5" x14ac:dyDescent="0.2">
      <c r="B3387"/>
      <c r="E3387"/>
    </row>
    <row r="3388" spans="2:5" x14ac:dyDescent="0.2">
      <c r="B3388"/>
      <c r="E3388"/>
    </row>
    <row r="3389" spans="2:5" x14ac:dyDescent="0.2">
      <c r="B3389"/>
      <c r="E3389"/>
    </row>
    <row r="3390" spans="2:5" x14ac:dyDescent="0.2">
      <c r="B3390"/>
      <c r="E3390"/>
    </row>
    <row r="3391" spans="2:5" x14ac:dyDescent="0.2">
      <c r="B3391"/>
      <c r="E3391"/>
    </row>
    <row r="3392" spans="2:5" x14ac:dyDescent="0.2">
      <c r="B3392"/>
      <c r="E3392"/>
    </row>
    <row r="3393" spans="2:5" x14ac:dyDescent="0.2">
      <c r="B3393"/>
      <c r="E3393"/>
    </row>
    <row r="3394" spans="2:5" x14ac:dyDescent="0.2">
      <c r="B3394"/>
      <c r="E3394"/>
    </row>
    <row r="3395" spans="2:5" x14ac:dyDescent="0.2">
      <c r="B3395"/>
      <c r="E3395"/>
    </row>
    <row r="3396" spans="2:5" x14ac:dyDescent="0.2">
      <c r="B3396"/>
      <c r="E3396"/>
    </row>
    <row r="3397" spans="2:5" x14ac:dyDescent="0.2">
      <c r="B3397"/>
      <c r="E3397"/>
    </row>
    <row r="3398" spans="2:5" x14ac:dyDescent="0.2">
      <c r="B3398"/>
      <c r="E3398"/>
    </row>
    <row r="3399" spans="2:5" x14ac:dyDescent="0.2">
      <c r="B3399"/>
      <c r="E3399"/>
    </row>
    <row r="3400" spans="2:5" x14ac:dyDescent="0.2">
      <c r="B3400"/>
      <c r="E3400"/>
    </row>
    <row r="3401" spans="2:5" x14ac:dyDescent="0.2">
      <c r="B3401"/>
      <c r="E3401"/>
    </row>
    <row r="3402" spans="2:5" x14ac:dyDescent="0.2">
      <c r="B3402"/>
      <c r="E3402"/>
    </row>
    <row r="3403" spans="2:5" x14ac:dyDescent="0.2">
      <c r="B3403"/>
      <c r="E3403"/>
    </row>
    <row r="3404" spans="2:5" x14ac:dyDescent="0.2">
      <c r="B3404"/>
      <c r="E3404"/>
    </row>
    <row r="3405" spans="2:5" x14ac:dyDescent="0.2">
      <c r="B3405"/>
      <c r="E3405"/>
    </row>
    <row r="3406" spans="2:5" x14ac:dyDescent="0.2">
      <c r="B3406"/>
      <c r="E3406"/>
    </row>
    <row r="3407" spans="2:5" x14ac:dyDescent="0.2">
      <c r="B3407"/>
      <c r="E3407"/>
    </row>
    <row r="3408" spans="2:5" x14ac:dyDescent="0.2">
      <c r="B3408"/>
      <c r="E3408"/>
    </row>
    <row r="3409" spans="2:5" x14ac:dyDescent="0.2">
      <c r="B3409"/>
      <c r="E3409"/>
    </row>
    <row r="3410" spans="2:5" x14ac:dyDescent="0.2">
      <c r="B3410"/>
      <c r="E3410"/>
    </row>
    <row r="3411" spans="2:5" x14ac:dyDescent="0.2">
      <c r="B3411"/>
      <c r="E3411"/>
    </row>
    <row r="3412" spans="2:5" x14ac:dyDescent="0.2">
      <c r="B3412"/>
      <c r="E3412"/>
    </row>
    <row r="3413" spans="2:5" x14ac:dyDescent="0.2">
      <c r="B3413"/>
      <c r="E3413"/>
    </row>
    <row r="3414" spans="2:5" x14ac:dyDescent="0.2">
      <c r="B3414"/>
      <c r="E3414"/>
    </row>
    <row r="3415" spans="2:5" x14ac:dyDescent="0.2">
      <c r="B3415"/>
      <c r="E3415"/>
    </row>
    <row r="3416" spans="2:5" x14ac:dyDescent="0.2">
      <c r="B3416"/>
      <c r="E3416"/>
    </row>
    <row r="3417" spans="2:5" x14ac:dyDescent="0.2">
      <c r="B3417"/>
      <c r="E3417"/>
    </row>
    <row r="3418" spans="2:5" x14ac:dyDescent="0.2">
      <c r="B3418"/>
      <c r="E3418"/>
    </row>
    <row r="3419" spans="2:5" x14ac:dyDescent="0.2">
      <c r="B3419"/>
      <c r="E3419"/>
    </row>
    <row r="3420" spans="2:5" x14ac:dyDescent="0.2">
      <c r="B3420"/>
      <c r="E3420"/>
    </row>
    <row r="3421" spans="2:5" x14ac:dyDescent="0.2">
      <c r="B3421"/>
      <c r="E3421"/>
    </row>
    <row r="3422" spans="2:5" x14ac:dyDescent="0.2">
      <c r="B3422"/>
      <c r="E3422"/>
    </row>
    <row r="3423" spans="2:5" x14ac:dyDescent="0.2">
      <c r="B3423"/>
      <c r="E3423"/>
    </row>
    <row r="3424" spans="2:5" x14ac:dyDescent="0.2">
      <c r="B3424"/>
      <c r="E3424"/>
    </row>
    <row r="3425" spans="2:5" x14ac:dyDescent="0.2">
      <c r="B3425"/>
      <c r="E3425"/>
    </row>
    <row r="3426" spans="2:5" x14ac:dyDescent="0.2">
      <c r="B3426"/>
      <c r="E3426"/>
    </row>
    <row r="3427" spans="2:5" x14ac:dyDescent="0.2">
      <c r="B3427"/>
      <c r="E3427"/>
    </row>
    <row r="3428" spans="2:5" x14ac:dyDescent="0.2">
      <c r="B3428"/>
      <c r="E3428"/>
    </row>
    <row r="3429" spans="2:5" x14ac:dyDescent="0.2">
      <c r="B3429"/>
      <c r="E3429"/>
    </row>
    <row r="3430" spans="2:5" x14ac:dyDescent="0.2">
      <c r="B3430"/>
      <c r="E3430"/>
    </row>
    <row r="3431" spans="2:5" x14ac:dyDescent="0.2">
      <c r="B3431"/>
      <c r="E3431"/>
    </row>
    <row r="3432" spans="2:5" x14ac:dyDescent="0.2">
      <c r="B3432"/>
      <c r="E3432"/>
    </row>
    <row r="3433" spans="2:5" x14ac:dyDescent="0.2">
      <c r="B3433"/>
      <c r="E3433"/>
    </row>
    <row r="3434" spans="2:5" x14ac:dyDescent="0.2">
      <c r="B3434"/>
      <c r="E3434"/>
    </row>
    <row r="3435" spans="2:5" x14ac:dyDescent="0.2">
      <c r="B3435"/>
      <c r="E3435"/>
    </row>
    <row r="3436" spans="2:5" x14ac:dyDescent="0.2">
      <c r="B3436"/>
      <c r="E3436"/>
    </row>
    <row r="3437" spans="2:5" x14ac:dyDescent="0.2">
      <c r="B3437"/>
      <c r="E3437"/>
    </row>
    <row r="3438" spans="2:5" x14ac:dyDescent="0.2">
      <c r="B3438"/>
      <c r="E3438"/>
    </row>
    <row r="3439" spans="2:5" x14ac:dyDescent="0.2">
      <c r="B3439"/>
      <c r="E3439"/>
    </row>
    <row r="3440" spans="2:5" x14ac:dyDescent="0.2">
      <c r="B3440"/>
      <c r="E3440"/>
    </row>
    <row r="3441" spans="2:5" x14ac:dyDescent="0.2">
      <c r="B3441"/>
      <c r="E3441"/>
    </row>
    <row r="3442" spans="2:5" x14ac:dyDescent="0.2">
      <c r="B3442"/>
      <c r="E3442"/>
    </row>
    <row r="3443" spans="2:5" x14ac:dyDescent="0.2">
      <c r="B3443"/>
      <c r="E3443"/>
    </row>
    <row r="3444" spans="2:5" x14ac:dyDescent="0.2">
      <c r="B3444"/>
      <c r="E3444"/>
    </row>
    <row r="3445" spans="2:5" x14ac:dyDescent="0.2">
      <c r="B3445"/>
      <c r="E3445"/>
    </row>
    <row r="3446" spans="2:5" x14ac:dyDescent="0.2">
      <c r="B3446"/>
      <c r="E3446"/>
    </row>
    <row r="3447" spans="2:5" x14ac:dyDescent="0.2">
      <c r="B3447"/>
      <c r="E3447"/>
    </row>
    <row r="3448" spans="2:5" x14ac:dyDescent="0.2">
      <c r="B3448"/>
      <c r="E3448"/>
    </row>
    <row r="3449" spans="2:5" x14ac:dyDescent="0.2">
      <c r="B3449"/>
      <c r="E3449"/>
    </row>
    <row r="3450" spans="2:5" x14ac:dyDescent="0.2">
      <c r="B3450"/>
      <c r="E3450"/>
    </row>
    <row r="3451" spans="2:5" x14ac:dyDescent="0.2">
      <c r="B3451"/>
      <c r="E3451"/>
    </row>
    <row r="3452" spans="2:5" x14ac:dyDescent="0.2">
      <c r="B3452"/>
      <c r="E3452"/>
    </row>
    <row r="3453" spans="2:5" x14ac:dyDescent="0.2">
      <c r="B3453"/>
      <c r="E3453"/>
    </row>
    <row r="3454" spans="2:5" x14ac:dyDescent="0.2">
      <c r="B3454"/>
      <c r="E3454"/>
    </row>
    <row r="3455" spans="2:5" x14ac:dyDescent="0.2">
      <c r="B3455"/>
      <c r="E3455"/>
    </row>
    <row r="3456" spans="2:5" x14ac:dyDescent="0.2">
      <c r="B3456"/>
      <c r="E3456"/>
    </row>
    <row r="3457" spans="2:5" x14ac:dyDescent="0.2">
      <c r="B3457"/>
      <c r="E3457"/>
    </row>
    <row r="3458" spans="2:5" x14ac:dyDescent="0.2">
      <c r="B3458"/>
      <c r="E3458"/>
    </row>
    <row r="3459" spans="2:5" x14ac:dyDescent="0.2">
      <c r="B3459"/>
      <c r="E3459"/>
    </row>
    <row r="3460" spans="2:5" x14ac:dyDescent="0.2">
      <c r="B3460"/>
      <c r="E3460"/>
    </row>
    <row r="3461" spans="2:5" x14ac:dyDescent="0.2">
      <c r="B3461"/>
      <c r="E3461"/>
    </row>
    <row r="3462" spans="2:5" x14ac:dyDescent="0.2">
      <c r="B3462"/>
      <c r="E3462"/>
    </row>
    <row r="3463" spans="2:5" x14ac:dyDescent="0.2">
      <c r="B3463"/>
      <c r="E3463"/>
    </row>
    <row r="3464" spans="2:5" x14ac:dyDescent="0.2">
      <c r="B3464"/>
      <c r="E3464"/>
    </row>
    <row r="3465" spans="2:5" x14ac:dyDescent="0.2">
      <c r="B3465"/>
      <c r="E3465"/>
    </row>
    <row r="3466" spans="2:5" x14ac:dyDescent="0.2">
      <c r="B3466"/>
      <c r="E3466"/>
    </row>
    <row r="3467" spans="2:5" x14ac:dyDescent="0.2">
      <c r="B3467"/>
      <c r="E3467"/>
    </row>
    <row r="3468" spans="2:5" x14ac:dyDescent="0.2">
      <c r="B3468"/>
      <c r="E3468"/>
    </row>
    <row r="3469" spans="2:5" x14ac:dyDescent="0.2">
      <c r="B3469"/>
      <c r="E3469"/>
    </row>
    <row r="3470" spans="2:5" x14ac:dyDescent="0.2">
      <c r="B3470"/>
      <c r="E3470"/>
    </row>
    <row r="3471" spans="2:5" x14ac:dyDescent="0.2">
      <c r="B3471"/>
      <c r="E3471"/>
    </row>
    <row r="3472" spans="2:5" x14ac:dyDescent="0.2">
      <c r="B3472"/>
      <c r="E3472"/>
    </row>
    <row r="3473" spans="2:5" x14ac:dyDescent="0.2">
      <c r="B3473"/>
      <c r="E3473"/>
    </row>
    <row r="3474" spans="2:5" x14ac:dyDescent="0.2">
      <c r="B3474"/>
      <c r="E3474"/>
    </row>
    <row r="3475" spans="2:5" x14ac:dyDescent="0.2">
      <c r="B3475"/>
      <c r="E3475"/>
    </row>
    <row r="3476" spans="2:5" x14ac:dyDescent="0.2">
      <c r="B3476"/>
      <c r="E3476"/>
    </row>
    <row r="3477" spans="2:5" x14ac:dyDescent="0.2">
      <c r="B3477"/>
      <c r="E3477"/>
    </row>
    <row r="3478" spans="2:5" x14ac:dyDescent="0.2">
      <c r="B3478"/>
      <c r="E3478"/>
    </row>
    <row r="3479" spans="2:5" x14ac:dyDescent="0.2">
      <c r="B3479"/>
      <c r="E3479"/>
    </row>
    <row r="3480" spans="2:5" x14ac:dyDescent="0.2">
      <c r="B3480"/>
      <c r="E3480"/>
    </row>
    <row r="3481" spans="2:5" x14ac:dyDescent="0.2">
      <c r="B3481"/>
      <c r="E3481"/>
    </row>
    <row r="3482" spans="2:5" x14ac:dyDescent="0.2">
      <c r="B3482"/>
      <c r="E3482"/>
    </row>
    <row r="3483" spans="2:5" x14ac:dyDescent="0.2">
      <c r="B3483"/>
      <c r="E3483"/>
    </row>
    <row r="3484" spans="2:5" x14ac:dyDescent="0.2">
      <c r="B3484"/>
      <c r="E3484"/>
    </row>
    <row r="3485" spans="2:5" x14ac:dyDescent="0.2">
      <c r="B3485"/>
      <c r="E3485"/>
    </row>
    <row r="3486" spans="2:5" x14ac:dyDescent="0.2">
      <c r="B3486"/>
      <c r="E3486"/>
    </row>
    <row r="3487" spans="2:5" x14ac:dyDescent="0.2">
      <c r="B3487"/>
      <c r="E3487"/>
    </row>
    <row r="3488" spans="2:5" x14ac:dyDescent="0.2">
      <c r="B3488"/>
      <c r="E3488"/>
    </row>
    <row r="3489" spans="2:5" x14ac:dyDescent="0.2">
      <c r="B3489"/>
      <c r="E3489"/>
    </row>
    <row r="3490" spans="2:5" x14ac:dyDescent="0.2">
      <c r="B3490"/>
      <c r="E3490"/>
    </row>
    <row r="3491" spans="2:5" x14ac:dyDescent="0.2">
      <c r="B3491"/>
      <c r="E3491"/>
    </row>
    <row r="3492" spans="2:5" x14ac:dyDescent="0.2">
      <c r="B3492"/>
      <c r="E3492"/>
    </row>
    <row r="3493" spans="2:5" x14ac:dyDescent="0.2">
      <c r="B3493"/>
      <c r="E3493"/>
    </row>
    <row r="3494" spans="2:5" x14ac:dyDescent="0.2">
      <c r="B3494"/>
      <c r="E3494"/>
    </row>
    <row r="3495" spans="2:5" x14ac:dyDescent="0.2">
      <c r="B3495"/>
      <c r="E3495"/>
    </row>
    <row r="3496" spans="2:5" x14ac:dyDescent="0.2">
      <c r="B3496"/>
      <c r="E3496"/>
    </row>
    <row r="3497" spans="2:5" x14ac:dyDescent="0.2">
      <c r="B3497"/>
      <c r="E3497"/>
    </row>
    <row r="3498" spans="2:5" x14ac:dyDescent="0.2">
      <c r="B3498"/>
      <c r="E3498"/>
    </row>
    <row r="3499" spans="2:5" x14ac:dyDescent="0.2">
      <c r="B3499"/>
      <c r="E3499"/>
    </row>
    <row r="3500" spans="2:5" x14ac:dyDescent="0.2">
      <c r="B3500"/>
      <c r="E3500"/>
    </row>
    <row r="3501" spans="2:5" x14ac:dyDescent="0.2">
      <c r="B3501"/>
      <c r="E3501"/>
    </row>
    <row r="3502" spans="2:5" x14ac:dyDescent="0.2">
      <c r="B3502"/>
      <c r="E3502"/>
    </row>
    <row r="3503" spans="2:5" x14ac:dyDescent="0.2">
      <c r="B3503"/>
      <c r="E3503"/>
    </row>
    <row r="3504" spans="2:5" x14ac:dyDescent="0.2">
      <c r="B3504"/>
      <c r="E3504"/>
    </row>
    <row r="3505" spans="2:5" x14ac:dyDescent="0.2">
      <c r="B3505"/>
      <c r="E3505"/>
    </row>
    <row r="3506" spans="2:5" x14ac:dyDescent="0.2">
      <c r="B3506"/>
      <c r="E3506"/>
    </row>
    <row r="3507" spans="2:5" x14ac:dyDescent="0.2">
      <c r="B3507"/>
      <c r="E3507"/>
    </row>
    <row r="3508" spans="2:5" x14ac:dyDescent="0.2">
      <c r="B3508"/>
      <c r="E3508"/>
    </row>
    <row r="3509" spans="2:5" x14ac:dyDescent="0.2">
      <c r="B3509"/>
      <c r="E3509"/>
    </row>
    <row r="3510" spans="2:5" x14ac:dyDescent="0.2">
      <c r="B3510"/>
      <c r="E3510"/>
    </row>
    <row r="3511" spans="2:5" x14ac:dyDescent="0.2">
      <c r="B3511"/>
      <c r="E3511"/>
    </row>
    <row r="3512" spans="2:5" x14ac:dyDescent="0.2">
      <c r="B3512"/>
      <c r="E3512"/>
    </row>
    <row r="3513" spans="2:5" x14ac:dyDescent="0.2">
      <c r="B3513"/>
      <c r="E3513"/>
    </row>
    <row r="3514" spans="2:5" x14ac:dyDescent="0.2">
      <c r="B3514"/>
      <c r="E3514"/>
    </row>
    <row r="3515" spans="2:5" x14ac:dyDescent="0.2">
      <c r="B3515"/>
      <c r="E3515"/>
    </row>
    <row r="3516" spans="2:5" x14ac:dyDescent="0.2">
      <c r="B3516"/>
      <c r="E3516"/>
    </row>
    <row r="3517" spans="2:5" x14ac:dyDescent="0.2">
      <c r="B3517"/>
      <c r="E3517"/>
    </row>
    <row r="3518" spans="2:5" x14ac:dyDescent="0.2">
      <c r="B3518"/>
      <c r="E3518"/>
    </row>
    <row r="3519" spans="2:5" x14ac:dyDescent="0.2">
      <c r="B3519"/>
      <c r="E3519"/>
    </row>
    <row r="3520" spans="2:5" x14ac:dyDescent="0.2">
      <c r="B3520"/>
      <c r="E3520"/>
    </row>
    <row r="3521" spans="2:5" x14ac:dyDescent="0.2">
      <c r="B3521"/>
      <c r="E3521"/>
    </row>
    <row r="3522" spans="2:5" x14ac:dyDescent="0.2">
      <c r="B3522"/>
      <c r="E3522"/>
    </row>
    <row r="3523" spans="2:5" x14ac:dyDescent="0.2">
      <c r="B3523"/>
      <c r="E3523"/>
    </row>
    <row r="3524" spans="2:5" x14ac:dyDescent="0.2">
      <c r="B3524"/>
      <c r="E3524"/>
    </row>
    <row r="3525" spans="2:5" x14ac:dyDescent="0.2">
      <c r="B3525"/>
      <c r="E3525"/>
    </row>
    <row r="3526" spans="2:5" x14ac:dyDescent="0.2">
      <c r="B3526"/>
      <c r="E3526"/>
    </row>
    <row r="3527" spans="2:5" x14ac:dyDescent="0.2">
      <c r="B3527"/>
      <c r="E3527"/>
    </row>
    <row r="3528" spans="2:5" x14ac:dyDescent="0.2">
      <c r="B3528"/>
      <c r="E3528"/>
    </row>
    <row r="3529" spans="2:5" x14ac:dyDescent="0.2">
      <c r="B3529"/>
      <c r="E3529"/>
    </row>
    <row r="3530" spans="2:5" x14ac:dyDescent="0.2">
      <c r="B3530"/>
      <c r="E3530"/>
    </row>
    <row r="3531" spans="2:5" x14ac:dyDescent="0.2">
      <c r="B3531"/>
      <c r="E3531"/>
    </row>
    <row r="3532" spans="2:5" x14ac:dyDescent="0.2">
      <c r="B3532"/>
      <c r="E3532"/>
    </row>
    <row r="3533" spans="2:5" x14ac:dyDescent="0.2">
      <c r="B3533"/>
      <c r="E3533"/>
    </row>
    <row r="3534" spans="2:5" x14ac:dyDescent="0.2">
      <c r="B3534"/>
      <c r="E3534"/>
    </row>
    <row r="3535" spans="2:5" x14ac:dyDescent="0.2">
      <c r="B3535"/>
      <c r="E3535"/>
    </row>
    <row r="3536" spans="2:5" x14ac:dyDescent="0.2">
      <c r="B3536"/>
      <c r="E3536"/>
    </row>
    <row r="3537" spans="2:5" x14ac:dyDescent="0.2">
      <c r="B3537"/>
      <c r="E3537"/>
    </row>
    <row r="3538" spans="2:5" x14ac:dyDescent="0.2">
      <c r="B3538"/>
      <c r="E3538"/>
    </row>
    <row r="3539" spans="2:5" x14ac:dyDescent="0.2">
      <c r="B3539"/>
      <c r="E3539"/>
    </row>
    <row r="3540" spans="2:5" x14ac:dyDescent="0.2">
      <c r="B3540"/>
      <c r="E3540"/>
    </row>
    <row r="3541" spans="2:5" x14ac:dyDescent="0.2">
      <c r="B3541"/>
      <c r="E3541"/>
    </row>
    <row r="3542" spans="2:5" x14ac:dyDescent="0.2">
      <c r="B3542"/>
      <c r="E3542"/>
    </row>
    <row r="3543" spans="2:5" x14ac:dyDescent="0.2">
      <c r="B3543"/>
      <c r="E3543"/>
    </row>
    <row r="3544" spans="2:5" x14ac:dyDescent="0.2">
      <c r="B3544"/>
      <c r="E3544"/>
    </row>
    <row r="3545" spans="2:5" x14ac:dyDescent="0.2">
      <c r="B3545"/>
      <c r="E3545"/>
    </row>
    <row r="3546" spans="2:5" x14ac:dyDescent="0.2">
      <c r="B3546"/>
      <c r="E3546"/>
    </row>
    <row r="3547" spans="2:5" x14ac:dyDescent="0.2">
      <c r="B3547"/>
      <c r="E3547"/>
    </row>
    <row r="3548" spans="2:5" x14ac:dyDescent="0.2">
      <c r="B3548"/>
      <c r="E3548"/>
    </row>
    <row r="3549" spans="2:5" x14ac:dyDescent="0.2">
      <c r="B3549"/>
      <c r="E3549"/>
    </row>
    <row r="3550" spans="2:5" x14ac:dyDescent="0.2">
      <c r="B3550"/>
      <c r="E3550"/>
    </row>
    <row r="3551" spans="2:5" x14ac:dyDescent="0.2">
      <c r="B3551"/>
      <c r="E3551"/>
    </row>
    <row r="3552" spans="2:5" x14ac:dyDescent="0.2">
      <c r="B3552"/>
      <c r="E3552"/>
    </row>
    <row r="3553" spans="2:5" x14ac:dyDescent="0.2">
      <c r="B3553"/>
      <c r="E3553"/>
    </row>
    <row r="3554" spans="2:5" x14ac:dyDescent="0.2">
      <c r="B3554"/>
      <c r="E3554"/>
    </row>
    <row r="3555" spans="2:5" x14ac:dyDescent="0.2">
      <c r="B3555"/>
      <c r="E3555"/>
    </row>
    <row r="3556" spans="2:5" x14ac:dyDescent="0.2">
      <c r="B3556"/>
      <c r="E3556"/>
    </row>
    <row r="3557" spans="2:5" x14ac:dyDescent="0.2">
      <c r="B3557"/>
      <c r="E3557"/>
    </row>
    <row r="3558" spans="2:5" x14ac:dyDescent="0.2">
      <c r="B3558"/>
      <c r="E3558"/>
    </row>
    <row r="3559" spans="2:5" x14ac:dyDescent="0.2">
      <c r="B3559"/>
      <c r="E3559"/>
    </row>
    <row r="3560" spans="2:5" x14ac:dyDescent="0.2">
      <c r="B3560"/>
      <c r="E3560"/>
    </row>
    <row r="3561" spans="2:5" x14ac:dyDescent="0.2">
      <c r="B3561"/>
      <c r="E3561"/>
    </row>
    <row r="3562" spans="2:5" x14ac:dyDescent="0.2">
      <c r="B3562"/>
      <c r="E3562"/>
    </row>
    <row r="3563" spans="2:5" x14ac:dyDescent="0.2">
      <c r="B3563"/>
      <c r="E3563"/>
    </row>
    <row r="3564" spans="2:5" x14ac:dyDescent="0.2">
      <c r="B3564"/>
      <c r="E3564"/>
    </row>
    <row r="3565" spans="2:5" x14ac:dyDescent="0.2">
      <c r="B3565"/>
      <c r="E3565"/>
    </row>
    <row r="3566" spans="2:5" x14ac:dyDescent="0.2">
      <c r="B3566"/>
      <c r="E3566"/>
    </row>
    <row r="3567" spans="2:5" x14ac:dyDescent="0.2">
      <c r="B3567"/>
      <c r="E3567"/>
    </row>
    <row r="3568" spans="2:5" x14ac:dyDescent="0.2">
      <c r="B3568"/>
      <c r="E3568"/>
    </row>
    <row r="3569" spans="2:5" x14ac:dyDescent="0.2">
      <c r="B3569"/>
      <c r="E3569"/>
    </row>
    <row r="3570" spans="2:5" x14ac:dyDescent="0.2">
      <c r="B3570"/>
      <c r="E3570"/>
    </row>
    <row r="3571" spans="2:5" x14ac:dyDescent="0.2">
      <c r="B3571"/>
      <c r="E3571"/>
    </row>
    <row r="3572" spans="2:5" x14ac:dyDescent="0.2">
      <c r="B3572"/>
      <c r="E3572"/>
    </row>
    <row r="3573" spans="2:5" x14ac:dyDescent="0.2">
      <c r="B3573"/>
      <c r="E3573"/>
    </row>
    <row r="3574" spans="2:5" x14ac:dyDescent="0.2">
      <c r="B3574"/>
      <c r="E3574"/>
    </row>
    <row r="3575" spans="2:5" x14ac:dyDescent="0.2">
      <c r="B3575"/>
      <c r="E3575"/>
    </row>
    <row r="3576" spans="2:5" x14ac:dyDescent="0.2">
      <c r="B3576"/>
      <c r="E3576"/>
    </row>
    <row r="3577" spans="2:5" x14ac:dyDescent="0.2">
      <c r="B3577"/>
      <c r="E3577"/>
    </row>
    <row r="3578" spans="2:5" x14ac:dyDescent="0.2">
      <c r="B3578"/>
      <c r="E3578"/>
    </row>
    <row r="3579" spans="2:5" x14ac:dyDescent="0.2">
      <c r="B3579"/>
      <c r="E3579"/>
    </row>
    <row r="3580" spans="2:5" x14ac:dyDescent="0.2">
      <c r="B3580"/>
      <c r="E3580"/>
    </row>
    <row r="3581" spans="2:5" x14ac:dyDescent="0.2">
      <c r="B3581"/>
      <c r="E3581"/>
    </row>
    <row r="3582" spans="2:5" x14ac:dyDescent="0.2">
      <c r="B3582"/>
      <c r="E3582"/>
    </row>
    <row r="3583" spans="2:5" x14ac:dyDescent="0.2">
      <c r="B3583"/>
      <c r="E3583"/>
    </row>
    <row r="3584" spans="2:5" x14ac:dyDescent="0.2">
      <c r="B3584"/>
      <c r="E3584"/>
    </row>
    <row r="3585" spans="2:5" x14ac:dyDescent="0.2">
      <c r="B3585"/>
      <c r="E3585"/>
    </row>
    <row r="3586" spans="2:5" x14ac:dyDescent="0.2">
      <c r="B3586"/>
      <c r="E3586"/>
    </row>
    <row r="3587" spans="2:5" x14ac:dyDescent="0.2">
      <c r="B3587"/>
      <c r="E3587"/>
    </row>
    <row r="3588" spans="2:5" x14ac:dyDescent="0.2">
      <c r="B3588"/>
      <c r="E3588"/>
    </row>
    <row r="3589" spans="2:5" x14ac:dyDescent="0.2">
      <c r="B3589"/>
      <c r="E3589"/>
    </row>
    <row r="3590" spans="2:5" x14ac:dyDescent="0.2">
      <c r="B3590"/>
      <c r="E3590"/>
    </row>
    <row r="3591" spans="2:5" x14ac:dyDescent="0.2">
      <c r="B3591"/>
      <c r="E3591"/>
    </row>
    <row r="3592" spans="2:5" x14ac:dyDescent="0.2">
      <c r="B3592"/>
      <c r="E3592"/>
    </row>
    <row r="3593" spans="2:5" x14ac:dyDescent="0.2">
      <c r="B3593"/>
      <c r="E3593"/>
    </row>
    <row r="3594" spans="2:5" x14ac:dyDescent="0.2">
      <c r="B3594"/>
      <c r="E3594"/>
    </row>
    <row r="3595" spans="2:5" x14ac:dyDescent="0.2">
      <c r="B3595"/>
      <c r="E3595"/>
    </row>
    <row r="3596" spans="2:5" x14ac:dyDescent="0.2">
      <c r="B3596"/>
      <c r="E3596"/>
    </row>
    <row r="3597" spans="2:5" x14ac:dyDescent="0.2">
      <c r="B3597"/>
      <c r="E3597"/>
    </row>
    <row r="3598" spans="2:5" x14ac:dyDescent="0.2">
      <c r="B3598"/>
      <c r="E3598"/>
    </row>
    <row r="3599" spans="2:5" x14ac:dyDescent="0.2">
      <c r="B3599"/>
      <c r="E3599"/>
    </row>
    <row r="3600" spans="2:5" x14ac:dyDescent="0.2">
      <c r="B3600"/>
      <c r="E3600"/>
    </row>
    <row r="3601" spans="2:5" x14ac:dyDescent="0.2">
      <c r="B3601"/>
      <c r="E3601"/>
    </row>
    <row r="3602" spans="2:5" x14ac:dyDescent="0.2">
      <c r="B3602"/>
      <c r="E3602"/>
    </row>
    <row r="3603" spans="2:5" x14ac:dyDescent="0.2">
      <c r="B3603"/>
      <c r="E3603"/>
    </row>
    <row r="3604" spans="2:5" x14ac:dyDescent="0.2">
      <c r="B3604"/>
      <c r="E3604"/>
    </row>
    <row r="3605" spans="2:5" x14ac:dyDescent="0.2">
      <c r="B3605"/>
      <c r="E3605"/>
    </row>
    <row r="3606" spans="2:5" x14ac:dyDescent="0.2">
      <c r="B3606"/>
      <c r="E3606"/>
    </row>
    <row r="3607" spans="2:5" x14ac:dyDescent="0.2">
      <c r="B3607"/>
      <c r="E3607"/>
    </row>
    <row r="3608" spans="2:5" x14ac:dyDescent="0.2">
      <c r="B3608"/>
      <c r="E3608"/>
    </row>
    <row r="3609" spans="2:5" x14ac:dyDescent="0.2">
      <c r="B3609"/>
      <c r="E3609"/>
    </row>
    <row r="3610" spans="2:5" x14ac:dyDescent="0.2">
      <c r="B3610"/>
      <c r="E3610"/>
    </row>
    <row r="3611" spans="2:5" x14ac:dyDescent="0.2">
      <c r="B3611"/>
      <c r="E3611"/>
    </row>
    <row r="3612" spans="2:5" x14ac:dyDescent="0.2">
      <c r="B3612"/>
      <c r="E3612"/>
    </row>
    <row r="3613" spans="2:5" x14ac:dyDescent="0.2">
      <c r="B3613"/>
      <c r="E3613"/>
    </row>
    <row r="3614" spans="2:5" x14ac:dyDescent="0.2">
      <c r="B3614"/>
      <c r="E3614"/>
    </row>
    <row r="3615" spans="2:5" x14ac:dyDescent="0.2">
      <c r="B3615"/>
      <c r="E3615"/>
    </row>
    <row r="3616" spans="2:5" x14ac:dyDescent="0.2">
      <c r="B3616"/>
      <c r="E3616"/>
    </row>
    <row r="3617" spans="2:5" x14ac:dyDescent="0.2">
      <c r="B3617"/>
      <c r="E3617"/>
    </row>
    <row r="3618" spans="2:5" x14ac:dyDescent="0.2">
      <c r="B3618"/>
      <c r="E3618"/>
    </row>
    <row r="3619" spans="2:5" x14ac:dyDescent="0.2">
      <c r="B3619"/>
      <c r="E3619"/>
    </row>
    <row r="3620" spans="2:5" x14ac:dyDescent="0.2">
      <c r="B3620"/>
      <c r="E3620"/>
    </row>
    <row r="3621" spans="2:5" x14ac:dyDescent="0.2">
      <c r="B3621"/>
      <c r="E3621"/>
    </row>
    <row r="3622" spans="2:5" x14ac:dyDescent="0.2">
      <c r="B3622"/>
      <c r="E3622"/>
    </row>
    <row r="3623" spans="2:5" x14ac:dyDescent="0.2">
      <c r="B3623"/>
      <c r="E3623"/>
    </row>
    <row r="3624" spans="2:5" x14ac:dyDescent="0.2">
      <c r="B3624"/>
      <c r="E3624"/>
    </row>
    <row r="3625" spans="2:5" x14ac:dyDescent="0.2">
      <c r="B3625"/>
      <c r="E3625"/>
    </row>
    <row r="3626" spans="2:5" x14ac:dyDescent="0.2">
      <c r="B3626"/>
      <c r="E3626"/>
    </row>
    <row r="3627" spans="2:5" x14ac:dyDescent="0.2">
      <c r="B3627"/>
      <c r="E3627"/>
    </row>
    <row r="3628" spans="2:5" x14ac:dyDescent="0.2">
      <c r="B3628"/>
      <c r="E3628"/>
    </row>
    <row r="3629" spans="2:5" x14ac:dyDescent="0.2">
      <c r="B3629"/>
      <c r="E3629"/>
    </row>
    <row r="3630" spans="2:5" x14ac:dyDescent="0.2">
      <c r="B3630"/>
      <c r="E3630"/>
    </row>
    <row r="3631" spans="2:5" x14ac:dyDescent="0.2">
      <c r="B3631"/>
      <c r="E3631"/>
    </row>
    <row r="3632" spans="2:5" x14ac:dyDescent="0.2">
      <c r="B3632"/>
      <c r="E3632"/>
    </row>
    <row r="3633" spans="2:5" x14ac:dyDescent="0.2">
      <c r="B3633"/>
      <c r="E3633"/>
    </row>
    <row r="3634" spans="2:5" x14ac:dyDescent="0.2">
      <c r="B3634"/>
      <c r="E3634"/>
    </row>
    <row r="3635" spans="2:5" x14ac:dyDescent="0.2">
      <c r="B3635"/>
      <c r="E3635"/>
    </row>
    <row r="3636" spans="2:5" x14ac:dyDescent="0.2">
      <c r="B3636"/>
      <c r="E3636"/>
    </row>
    <row r="3637" spans="2:5" x14ac:dyDescent="0.2">
      <c r="B3637"/>
      <c r="E3637"/>
    </row>
    <row r="3638" spans="2:5" x14ac:dyDescent="0.2">
      <c r="B3638"/>
      <c r="E3638"/>
    </row>
    <row r="3639" spans="2:5" x14ac:dyDescent="0.2">
      <c r="B3639"/>
      <c r="E3639"/>
    </row>
    <row r="3640" spans="2:5" x14ac:dyDescent="0.2">
      <c r="B3640"/>
      <c r="E3640"/>
    </row>
    <row r="3641" spans="2:5" x14ac:dyDescent="0.2">
      <c r="B3641"/>
      <c r="E3641"/>
    </row>
    <row r="3642" spans="2:5" x14ac:dyDescent="0.2">
      <c r="B3642"/>
      <c r="E3642"/>
    </row>
    <row r="3643" spans="2:5" x14ac:dyDescent="0.2">
      <c r="B3643"/>
      <c r="E3643"/>
    </row>
    <row r="3644" spans="2:5" x14ac:dyDescent="0.2">
      <c r="B3644"/>
      <c r="E3644"/>
    </row>
    <row r="3645" spans="2:5" x14ac:dyDescent="0.2">
      <c r="B3645"/>
      <c r="E3645"/>
    </row>
    <row r="3646" spans="2:5" x14ac:dyDescent="0.2">
      <c r="B3646"/>
      <c r="E3646"/>
    </row>
    <row r="3647" spans="2:5" x14ac:dyDescent="0.2">
      <c r="B3647"/>
      <c r="E3647"/>
    </row>
    <row r="3648" spans="2:5" x14ac:dyDescent="0.2">
      <c r="B3648"/>
      <c r="E3648"/>
    </row>
    <row r="3649" spans="2:5" x14ac:dyDescent="0.2">
      <c r="B3649"/>
      <c r="E3649"/>
    </row>
    <row r="3650" spans="2:5" x14ac:dyDescent="0.2">
      <c r="B3650"/>
      <c r="E3650"/>
    </row>
    <row r="3651" spans="2:5" x14ac:dyDescent="0.2">
      <c r="B3651"/>
      <c r="E3651"/>
    </row>
    <row r="3652" spans="2:5" x14ac:dyDescent="0.2">
      <c r="B3652"/>
      <c r="E3652"/>
    </row>
    <row r="3653" spans="2:5" x14ac:dyDescent="0.2">
      <c r="B3653"/>
      <c r="E3653"/>
    </row>
    <row r="3654" spans="2:5" x14ac:dyDescent="0.2">
      <c r="B3654"/>
      <c r="E3654"/>
    </row>
    <row r="3655" spans="2:5" x14ac:dyDescent="0.2">
      <c r="B3655"/>
      <c r="E3655"/>
    </row>
    <row r="3656" spans="2:5" x14ac:dyDescent="0.2">
      <c r="B3656"/>
      <c r="E3656"/>
    </row>
    <row r="3657" spans="2:5" x14ac:dyDescent="0.2">
      <c r="B3657"/>
      <c r="E3657"/>
    </row>
    <row r="3658" spans="2:5" x14ac:dyDescent="0.2">
      <c r="B3658"/>
      <c r="E3658"/>
    </row>
    <row r="3659" spans="2:5" x14ac:dyDescent="0.2">
      <c r="B3659"/>
      <c r="E3659"/>
    </row>
    <row r="3660" spans="2:5" x14ac:dyDescent="0.2">
      <c r="B3660"/>
      <c r="E3660"/>
    </row>
    <row r="3661" spans="2:5" x14ac:dyDescent="0.2">
      <c r="B3661"/>
      <c r="E3661"/>
    </row>
    <row r="3662" spans="2:5" x14ac:dyDescent="0.2">
      <c r="B3662"/>
      <c r="E3662"/>
    </row>
    <row r="3663" spans="2:5" x14ac:dyDescent="0.2">
      <c r="B3663"/>
      <c r="E3663"/>
    </row>
    <row r="3664" spans="2:5" x14ac:dyDescent="0.2">
      <c r="B3664"/>
      <c r="E3664"/>
    </row>
    <row r="3665" spans="2:5" x14ac:dyDescent="0.2">
      <c r="B3665"/>
      <c r="E3665"/>
    </row>
    <row r="3666" spans="2:5" x14ac:dyDescent="0.2">
      <c r="B3666"/>
      <c r="E3666"/>
    </row>
    <row r="3667" spans="2:5" x14ac:dyDescent="0.2">
      <c r="B3667"/>
      <c r="E3667"/>
    </row>
    <row r="3668" spans="2:5" x14ac:dyDescent="0.2">
      <c r="B3668"/>
      <c r="E3668"/>
    </row>
    <row r="3669" spans="2:5" x14ac:dyDescent="0.2">
      <c r="B3669"/>
      <c r="E3669"/>
    </row>
    <row r="3670" spans="2:5" x14ac:dyDescent="0.2">
      <c r="B3670"/>
      <c r="E3670"/>
    </row>
    <row r="3671" spans="2:5" x14ac:dyDescent="0.2">
      <c r="B3671"/>
      <c r="E3671"/>
    </row>
    <row r="3672" spans="2:5" x14ac:dyDescent="0.2">
      <c r="B3672"/>
      <c r="E3672"/>
    </row>
    <row r="3673" spans="2:5" x14ac:dyDescent="0.2">
      <c r="B3673"/>
      <c r="E3673"/>
    </row>
    <row r="3674" spans="2:5" x14ac:dyDescent="0.2">
      <c r="B3674"/>
      <c r="E3674"/>
    </row>
    <row r="3675" spans="2:5" x14ac:dyDescent="0.2">
      <c r="B3675"/>
      <c r="E3675"/>
    </row>
    <row r="3676" spans="2:5" x14ac:dyDescent="0.2">
      <c r="B3676"/>
      <c r="E3676"/>
    </row>
    <row r="3677" spans="2:5" x14ac:dyDescent="0.2">
      <c r="B3677"/>
      <c r="E3677"/>
    </row>
    <row r="3678" spans="2:5" x14ac:dyDescent="0.2">
      <c r="B3678"/>
      <c r="E3678"/>
    </row>
    <row r="3679" spans="2:5" x14ac:dyDescent="0.2">
      <c r="B3679"/>
      <c r="E3679"/>
    </row>
    <row r="3680" spans="2:5" x14ac:dyDescent="0.2">
      <c r="B3680"/>
      <c r="E3680"/>
    </row>
    <row r="3681" spans="2:5" x14ac:dyDescent="0.2">
      <c r="B3681"/>
      <c r="E3681"/>
    </row>
    <row r="3682" spans="2:5" x14ac:dyDescent="0.2">
      <c r="B3682"/>
      <c r="E3682"/>
    </row>
    <row r="3683" spans="2:5" x14ac:dyDescent="0.2">
      <c r="B3683"/>
      <c r="E3683"/>
    </row>
    <row r="3684" spans="2:5" x14ac:dyDescent="0.2">
      <c r="B3684"/>
      <c r="E3684"/>
    </row>
    <row r="3685" spans="2:5" x14ac:dyDescent="0.2">
      <c r="B3685"/>
      <c r="E3685"/>
    </row>
    <row r="3686" spans="2:5" x14ac:dyDescent="0.2">
      <c r="B3686"/>
      <c r="E3686"/>
    </row>
    <row r="3687" spans="2:5" x14ac:dyDescent="0.2">
      <c r="B3687"/>
      <c r="E3687"/>
    </row>
    <row r="3688" spans="2:5" x14ac:dyDescent="0.2">
      <c r="B3688"/>
      <c r="E3688"/>
    </row>
    <row r="3689" spans="2:5" x14ac:dyDescent="0.2">
      <c r="B3689"/>
      <c r="E3689"/>
    </row>
    <row r="3690" spans="2:5" x14ac:dyDescent="0.2">
      <c r="B3690"/>
      <c r="E3690"/>
    </row>
    <row r="3691" spans="2:5" x14ac:dyDescent="0.2">
      <c r="B3691"/>
      <c r="E3691"/>
    </row>
    <row r="3692" spans="2:5" x14ac:dyDescent="0.2">
      <c r="B3692"/>
      <c r="E3692"/>
    </row>
    <row r="3693" spans="2:5" x14ac:dyDescent="0.2">
      <c r="B3693"/>
      <c r="E3693"/>
    </row>
    <row r="3694" spans="2:5" x14ac:dyDescent="0.2">
      <c r="B3694"/>
      <c r="E3694"/>
    </row>
    <row r="3695" spans="2:5" x14ac:dyDescent="0.2">
      <c r="B3695"/>
      <c r="E3695"/>
    </row>
    <row r="3696" spans="2:5" x14ac:dyDescent="0.2">
      <c r="B3696"/>
      <c r="E3696"/>
    </row>
    <row r="3697" spans="2:5" x14ac:dyDescent="0.2">
      <c r="B3697"/>
      <c r="E3697"/>
    </row>
    <row r="3698" spans="2:5" x14ac:dyDescent="0.2">
      <c r="B3698"/>
      <c r="E3698"/>
    </row>
    <row r="3699" spans="2:5" x14ac:dyDescent="0.2">
      <c r="B3699"/>
      <c r="E3699"/>
    </row>
    <row r="3700" spans="2:5" x14ac:dyDescent="0.2">
      <c r="B3700"/>
      <c r="E3700"/>
    </row>
    <row r="3701" spans="2:5" x14ac:dyDescent="0.2">
      <c r="B3701"/>
      <c r="E3701"/>
    </row>
    <row r="3702" spans="2:5" x14ac:dyDescent="0.2">
      <c r="B3702"/>
      <c r="E3702"/>
    </row>
    <row r="3703" spans="2:5" x14ac:dyDescent="0.2">
      <c r="B3703"/>
      <c r="E3703"/>
    </row>
    <row r="3704" spans="2:5" x14ac:dyDescent="0.2">
      <c r="B3704"/>
      <c r="E3704"/>
    </row>
    <row r="3705" spans="2:5" x14ac:dyDescent="0.2">
      <c r="B3705"/>
      <c r="E3705"/>
    </row>
    <row r="3706" spans="2:5" x14ac:dyDescent="0.2">
      <c r="B3706"/>
      <c r="E3706"/>
    </row>
    <row r="3707" spans="2:5" x14ac:dyDescent="0.2">
      <c r="B3707"/>
      <c r="E3707"/>
    </row>
    <row r="3708" spans="2:5" x14ac:dyDescent="0.2">
      <c r="B3708"/>
      <c r="E3708"/>
    </row>
    <row r="3709" spans="2:5" x14ac:dyDescent="0.2">
      <c r="B3709"/>
      <c r="E3709"/>
    </row>
    <row r="3710" spans="2:5" x14ac:dyDescent="0.2">
      <c r="B3710"/>
      <c r="E3710"/>
    </row>
    <row r="3711" spans="2:5" x14ac:dyDescent="0.2">
      <c r="B3711"/>
      <c r="E3711"/>
    </row>
    <row r="3712" spans="2:5" x14ac:dyDescent="0.2">
      <c r="B3712"/>
      <c r="E3712"/>
    </row>
    <row r="3713" spans="2:5" x14ac:dyDescent="0.2">
      <c r="B3713"/>
      <c r="E3713"/>
    </row>
    <row r="3714" spans="2:5" x14ac:dyDescent="0.2">
      <c r="B3714"/>
      <c r="E3714"/>
    </row>
    <row r="3715" spans="2:5" x14ac:dyDescent="0.2">
      <c r="B3715"/>
      <c r="E3715"/>
    </row>
    <row r="3716" spans="2:5" x14ac:dyDescent="0.2">
      <c r="B3716"/>
      <c r="E3716"/>
    </row>
    <row r="3717" spans="2:5" x14ac:dyDescent="0.2">
      <c r="B3717"/>
      <c r="E3717"/>
    </row>
    <row r="3718" spans="2:5" x14ac:dyDescent="0.2">
      <c r="B3718"/>
      <c r="E3718"/>
    </row>
    <row r="3719" spans="2:5" x14ac:dyDescent="0.2">
      <c r="B3719"/>
      <c r="E3719"/>
    </row>
    <row r="3720" spans="2:5" x14ac:dyDescent="0.2">
      <c r="B3720"/>
      <c r="E3720"/>
    </row>
    <row r="3721" spans="2:5" x14ac:dyDescent="0.2">
      <c r="B3721"/>
      <c r="E3721"/>
    </row>
    <row r="3722" spans="2:5" x14ac:dyDescent="0.2">
      <c r="B3722"/>
      <c r="E3722"/>
    </row>
    <row r="3723" spans="2:5" x14ac:dyDescent="0.2">
      <c r="B3723"/>
      <c r="E3723"/>
    </row>
    <row r="3724" spans="2:5" x14ac:dyDescent="0.2">
      <c r="B3724"/>
      <c r="E3724"/>
    </row>
    <row r="3725" spans="2:5" x14ac:dyDescent="0.2">
      <c r="B3725"/>
      <c r="E3725"/>
    </row>
    <row r="3726" spans="2:5" x14ac:dyDescent="0.2">
      <c r="B3726"/>
      <c r="E3726"/>
    </row>
    <row r="3727" spans="2:5" x14ac:dyDescent="0.2">
      <c r="B3727"/>
      <c r="E3727"/>
    </row>
    <row r="3728" spans="2:5" x14ac:dyDescent="0.2">
      <c r="B3728"/>
      <c r="E3728"/>
    </row>
    <row r="3729" spans="2:5" x14ac:dyDescent="0.2">
      <c r="B3729"/>
      <c r="E3729"/>
    </row>
    <row r="3730" spans="2:5" x14ac:dyDescent="0.2">
      <c r="B3730"/>
      <c r="E3730"/>
    </row>
    <row r="3731" spans="2:5" x14ac:dyDescent="0.2">
      <c r="B3731"/>
      <c r="E3731"/>
    </row>
    <row r="3732" spans="2:5" x14ac:dyDescent="0.2">
      <c r="B3732"/>
      <c r="E3732"/>
    </row>
    <row r="3733" spans="2:5" x14ac:dyDescent="0.2">
      <c r="B3733"/>
      <c r="E3733"/>
    </row>
    <row r="3734" spans="2:5" x14ac:dyDescent="0.2">
      <c r="B3734"/>
      <c r="E3734"/>
    </row>
    <row r="3735" spans="2:5" x14ac:dyDescent="0.2">
      <c r="B3735"/>
      <c r="E3735"/>
    </row>
    <row r="3736" spans="2:5" x14ac:dyDescent="0.2">
      <c r="B3736"/>
      <c r="E3736"/>
    </row>
    <row r="3737" spans="2:5" x14ac:dyDescent="0.2">
      <c r="B3737"/>
      <c r="E3737"/>
    </row>
    <row r="3738" spans="2:5" x14ac:dyDescent="0.2">
      <c r="B3738"/>
      <c r="E3738"/>
    </row>
    <row r="3739" spans="2:5" x14ac:dyDescent="0.2">
      <c r="B3739"/>
      <c r="E3739"/>
    </row>
    <row r="3740" spans="2:5" x14ac:dyDescent="0.2">
      <c r="B3740"/>
      <c r="E3740"/>
    </row>
    <row r="3741" spans="2:5" x14ac:dyDescent="0.2">
      <c r="B3741"/>
      <c r="E3741"/>
    </row>
    <row r="3742" spans="2:5" x14ac:dyDescent="0.2">
      <c r="B3742"/>
      <c r="E3742"/>
    </row>
    <row r="3743" spans="2:5" x14ac:dyDescent="0.2">
      <c r="B3743"/>
      <c r="E3743"/>
    </row>
    <row r="3744" spans="2:5" x14ac:dyDescent="0.2">
      <c r="B3744"/>
      <c r="E3744"/>
    </row>
    <row r="3745" spans="2:5" x14ac:dyDescent="0.2">
      <c r="B3745"/>
      <c r="E3745"/>
    </row>
    <row r="3746" spans="2:5" x14ac:dyDescent="0.2">
      <c r="B3746"/>
      <c r="E3746"/>
    </row>
    <row r="3747" spans="2:5" x14ac:dyDescent="0.2">
      <c r="B3747"/>
      <c r="E3747"/>
    </row>
    <row r="3748" spans="2:5" x14ac:dyDescent="0.2">
      <c r="B3748"/>
      <c r="E3748"/>
    </row>
    <row r="3749" spans="2:5" x14ac:dyDescent="0.2">
      <c r="B3749"/>
      <c r="E3749"/>
    </row>
    <row r="3750" spans="2:5" x14ac:dyDescent="0.2">
      <c r="B3750"/>
      <c r="E3750"/>
    </row>
    <row r="3751" spans="2:5" x14ac:dyDescent="0.2">
      <c r="B3751"/>
      <c r="E3751"/>
    </row>
    <row r="3752" spans="2:5" x14ac:dyDescent="0.2">
      <c r="B3752"/>
      <c r="E3752"/>
    </row>
    <row r="3753" spans="2:5" x14ac:dyDescent="0.2">
      <c r="B3753"/>
      <c r="E3753"/>
    </row>
    <row r="3754" spans="2:5" x14ac:dyDescent="0.2">
      <c r="B3754"/>
      <c r="E3754"/>
    </row>
    <row r="3755" spans="2:5" x14ac:dyDescent="0.2">
      <c r="B3755"/>
      <c r="E3755"/>
    </row>
    <row r="3756" spans="2:5" x14ac:dyDescent="0.2">
      <c r="B3756"/>
      <c r="E3756"/>
    </row>
    <row r="3757" spans="2:5" x14ac:dyDescent="0.2">
      <c r="B3757"/>
      <c r="E3757"/>
    </row>
    <row r="3758" spans="2:5" x14ac:dyDescent="0.2">
      <c r="B3758"/>
      <c r="E3758"/>
    </row>
    <row r="3759" spans="2:5" x14ac:dyDescent="0.2">
      <c r="B3759"/>
      <c r="E3759"/>
    </row>
    <row r="3760" spans="2:5" x14ac:dyDescent="0.2">
      <c r="B3760"/>
      <c r="E3760"/>
    </row>
    <row r="3761" spans="2:5" x14ac:dyDescent="0.2">
      <c r="B3761"/>
      <c r="E3761"/>
    </row>
    <row r="3762" spans="2:5" x14ac:dyDescent="0.2">
      <c r="B3762"/>
      <c r="E3762"/>
    </row>
    <row r="3763" spans="2:5" x14ac:dyDescent="0.2">
      <c r="B3763"/>
      <c r="E3763"/>
    </row>
    <row r="3764" spans="2:5" x14ac:dyDescent="0.2">
      <c r="B3764"/>
      <c r="E3764"/>
    </row>
    <row r="3765" spans="2:5" x14ac:dyDescent="0.2">
      <c r="B3765"/>
      <c r="E3765"/>
    </row>
    <row r="3766" spans="2:5" x14ac:dyDescent="0.2">
      <c r="B3766"/>
      <c r="E3766"/>
    </row>
    <row r="3767" spans="2:5" x14ac:dyDescent="0.2">
      <c r="B3767"/>
      <c r="E3767"/>
    </row>
    <row r="3768" spans="2:5" x14ac:dyDescent="0.2">
      <c r="B3768"/>
      <c r="E3768"/>
    </row>
    <row r="3769" spans="2:5" x14ac:dyDescent="0.2">
      <c r="B3769"/>
      <c r="E3769"/>
    </row>
    <row r="3770" spans="2:5" x14ac:dyDescent="0.2">
      <c r="B3770"/>
      <c r="E3770"/>
    </row>
    <row r="3771" spans="2:5" x14ac:dyDescent="0.2">
      <c r="B3771"/>
      <c r="E3771"/>
    </row>
    <row r="3772" spans="2:5" x14ac:dyDescent="0.2">
      <c r="B3772"/>
      <c r="E3772"/>
    </row>
    <row r="3773" spans="2:5" x14ac:dyDescent="0.2">
      <c r="B3773"/>
      <c r="E3773"/>
    </row>
    <row r="3774" spans="2:5" x14ac:dyDescent="0.2">
      <c r="B3774"/>
      <c r="E3774"/>
    </row>
    <row r="3775" spans="2:5" x14ac:dyDescent="0.2">
      <c r="B3775"/>
      <c r="E3775"/>
    </row>
    <row r="3776" spans="2:5" x14ac:dyDescent="0.2">
      <c r="B3776"/>
      <c r="E3776"/>
    </row>
    <row r="3777" spans="2:5" x14ac:dyDescent="0.2">
      <c r="B3777"/>
      <c r="E3777"/>
    </row>
    <row r="3778" spans="2:5" x14ac:dyDescent="0.2">
      <c r="B3778"/>
      <c r="E3778"/>
    </row>
    <row r="3779" spans="2:5" x14ac:dyDescent="0.2">
      <c r="B3779"/>
      <c r="E3779"/>
    </row>
    <row r="3780" spans="2:5" x14ac:dyDescent="0.2">
      <c r="B3780"/>
      <c r="E3780"/>
    </row>
    <row r="3781" spans="2:5" x14ac:dyDescent="0.2">
      <c r="B3781"/>
      <c r="E3781"/>
    </row>
    <row r="3782" spans="2:5" x14ac:dyDescent="0.2">
      <c r="B3782"/>
      <c r="E3782"/>
    </row>
    <row r="3783" spans="2:5" x14ac:dyDescent="0.2">
      <c r="B3783"/>
      <c r="E3783"/>
    </row>
    <row r="3784" spans="2:5" x14ac:dyDescent="0.2">
      <c r="B3784"/>
      <c r="E3784"/>
    </row>
    <row r="3785" spans="2:5" x14ac:dyDescent="0.2">
      <c r="B3785"/>
      <c r="E3785"/>
    </row>
    <row r="3786" spans="2:5" x14ac:dyDescent="0.2">
      <c r="B3786"/>
      <c r="E3786"/>
    </row>
    <row r="3787" spans="2:5" x14ac:dyDescent="0.2">
      <c r="B3787"/>
      <c r="E3787"/>
    </row>
    <row r="3788" spans="2:5" x14ac:dyDescent="0.2">
      <c r="B3788"/>
      <c r="E3788"/>
    </row>
    <row r="3789" spans="2:5" x14ac:dyDescent="0.2">
      <c r="B3789"/>
      <c r="E3789"/>
    </row>
    <row r="3790" spans="2:5" x14ac:dyDescent="0.2">
      <c r="B3790"/>
      <c r="E3790"/>
    </row>
    <row r="3791" spans="2:5" x14ac:dyDescent="0.2">
      <c r="B3791"/>
      <c r="E3791"/>
    </row>
    <row r="3792" spans="2:5" x14ac:dyDescent="0.2">
      <c r="B3792"/>
      <c r="E3792"/>
    </row>
    <row r="3793" spans="2:5" x14ac:dyDescent="0.2">
      <c r="B3793"/>
      <c r="E3793"/>
    </row>
    <row r="3794" spans="2:5" x14ac:dyDescent="0.2">
      <c r="B3794"/>
      <c r="E3794"/>
    </row>
    <row r="3795" spans="2:5" x14ac:dyDescent="0.2">
      <c r="B3795"/>
      <c r="E3795"/>
    </row>
    <row r="3796" spans="2:5" x14ac:dyDescent="0.2">
      <c r="B3796"/>
      <c r="E3796"/>
    </row>
    <row r="3797" spans="2:5" x14ac:dyDescent="0.2">
      <c r="B3797"/>
      <c r="E3797"/>
    </row>
    <row r="3798" spans="2:5" x14ac:dyDescent="0.2">
      <c r="B3798"/>
      <c r="E3798"/>
    </row>
    <row r="3799" spans="2:5" x14ac:dyDescent="0.2">
      <c r="B3799"/>
      <c r="E3799"/>
    </row>
    <row r="3800" spans="2:5" x14ac:dyDescent="0.2">
      <c r="B3800"/>
      <c r="E3800"/>
    </row>
    <row r="3801" spans="2:5" x14ac:dyDescent="0.2">
      <c r="B3801"/>
      <c r="E3801"/>
    </row>
    <row r="3802" spans="2:5" x14ac:dyDescent="0.2">
      <c r="B3802"/>
      <c r="E3802"/>
    </row>
    <row r="3803" spans="2:5" x14ac:dyDescent="0.2">
      <c r="B3803"/>
      <c r="E3803"/>
    </row>
    <row r="3804" spans="2:5" x14ac:dyDescent="0.2">
      <c r="B3804"/>
      <c r="E3804"/>
    </row>
    <row r="3805" spans="2:5" x14ac:dyDescent="0.2">
      <c r="B3805"/>
      <c r="E3805"/>
    </row>
    <row r="3806" spans="2:5" x14ac:dyDescent="0.2">
      <c r="B3806"/>
      <c r="E3806"/>
    </row>
    <row r="3807" spans="2:5" x14ac:dyDescent="0.2">
      <c r="B3807"/>
      <c r="E3807"/>
    </row>
    <row r="3808" spans="2:5" x14ac:dyDescent="0.2">
      <c r="B3808"/>
      <c r="E3808"/>
    </row>
    <row r="3809" spans="2:5" x14ac:dyDescent="0.2">
      <c r="B3809"/>
      <c r="E3809"/>
    </row>
    <row r="3810" spans="2:5" x14ac:dyDescent="0.2">
      <c r="B3810"/>
      <c r="E3810"/>
    </row>
    <row r="3811" spans="2:5" x14ac:dyDescent="0.2">
      <c r="B3811"/>
      <c r="E3811"/>
    </row>
    <row r="3812" spans="2:5" x14ac:dyDescent="0.2">
      <c r="B3812"/>
      <c r="E3812"/>
    </row>
    <row r="3813" spans="2:5" x14ac:dyDescent="0.2">
      <c r="B3813"/>
      <c r="E3813"/>
    </row>
    <row r="3814" spans="2:5" x14ac:dyDescent="0.2">
      <c r="B3814"/>
      <c r="E3814"/>
    </row>
    <row r="3815" spans="2:5" x14ac:dyDescent="0.2">
      <c r="B3815"/>
      <c r="E3815"/>
    </row>
    <row r="3816" spans="2:5" x14ac:dyDescent="0.2">
      <c r="B3816"/>
      <c r="E3816"/>
    </row>
    <row r="3817" spans="2:5" x14ac:dyDescent="0.2">
      <c r="B3817"/>
      <c r="E3817"/>
    </row>
    <row r="3818" spans="2:5" x14ac:dyDescent="0.2">
      <c r="B3818"/>
      <c r="E3818"/>
    </row>
    <row r="3819" spans="2:5" x14ac:dyDescent="0.2">
      <c r="B3819"/>
      <c r="E3819"/>
    </row>
    <row r="3820" spans="2:5" x14ac:dyDescent="0.2">
      <c r="B3820"/>
      <c r="E3820"/>
    </row>
    <row r="3821" spans="2:5" x14ac:dyDescent="0.2">
      <c r="B3821"/>
      <c r="E3821"/>
    </row>
    <row r="3822" spans="2:5" x14ac:dyDescent="0.2">
      <c r="B3822"/>
      <c r="E3822"/>
    </row>
    <row r="3823" spans="2:5" x14ac:dyDescent="0.2">
      <c r="B3823"/>
      <c r="E3823"/>
    </row>
    <row r="3824" spans="2:5" x14ac:dyDescent="0.2">
      <c r="B3824"/>
      <c r="E3824"/>
    </row>
    <row r="3825" spans="2:5" x14ac:dyDescent="0.2">
      <c r="B3825"/>
      <c r="E3825"/>
    </row>
    <row r="3826" spans="2:5" x14ac:dyDescent="0.2">
      <c r="B3826"/>
      <c r="E3826"/>
    </row>
    <row r="3827" spans="2:5" x14ac:dyDescent="0.2">
      <c r="B3827"/>
      <c r="E3827"/>
    </row>
    <row r="3828" spans="2:5" x14ac:dyDescent="0.2">
      <c r="B3828"/>
      <c r="E3828"/>
    </row>
    <row r="3829" spans="2:5" x14ac:dyDescent="0.2">
      <c r="B3829"/>
      <c r="E3829"/>
    </row>
    <row r="3830" spans="2:5" x14ac:dyDescent="0.2">
      <c r="B3830"/>
      <c r="E3830"/>
    </row>
    <row r="3831" spans="2:5" x14ac:dyDescent="0.2">
      <c r="B3831"/>
      <c r="E3831"/>
    </row>
    <row r="3832" spans="2:5" x14ac:dyDescent="0.2">
      <c r="B3832"/>
      <c r="E3832"/>
    </row>
    <row r="3833" spans="2:5" x14ac:dyDescent="0.2">
      <c r="B3833"/>
      <c r="E3833"/>
    </row>
    <row r="3834" spans="2:5" x14ac:dyDescent="0.2">
      <c r="B3834"/>
      <c r="E3834"/>
    </row>
    <row r="3835" spans="2:5" x14ac:dyDescent="0.2">
      <c r="B3835"/>
      <c r="E3835"/>
    </row>
    <row r="3836" spans="2:5" x14ac:dyDescent="0.2">
      <c r="B3836"/>
      <c r="E3836"/>
    </row>
    <row r="3837" spans="2:5" x14ac:dyDescent="0.2">
      <c r="B3837"/>
      <c r="E3837"/>
    </row>
    <row r="3838" spans="2:5" x14ac:dyDescent="0.2">
      <c r="B3838"/>
      <c r="E3838"/>
    </row>
    <row r="3839" spans="2:5" x14ac:dyDescent="0.2">
      <c r="B3839"/>
      <c r="E3839"/>
    </row>
    <row r="3840" spans="2:5" x14ac:dyDescent="0.2">
      <c r="B3840"/>
      <c r="E3840"/>
    </row>
    <row r="3841" spans="2:5" x14ac:dyDescent="0.2">
      <c r="B3841"/>
      <c r="E3841"/>
    </row>
    <row r="3842" spans="2:5" x14ac:dyDescent="0.2">
      <c r="B3842"/>
      <c r="E3842"/>
    </row>
    <row r="3843" spans="2:5" x14ac:dyDescent="0.2">
      <c r="B3843"/>
      <c r="E3843"/>
    </row>
    <row r="3844" spans="2:5" x14ac:dyDescent="0.2">
      <c r="B3844"/>
      <c r="E3844"/>
    </row>
    <row r="3845" spans="2:5" x14ac:dyDescent="0.2">
      <c r="B3845"/>
      <c r="E3845"/>
    </row>
    <row r="3846" spans="2:5" x14ac:dyDescent="0.2">
      <c r="B3846"/>
      <c r="E3846"/>
    </row>
    <row r="3847" spans="2:5" x14ac:dyDescent="0.2">
      <c r="B3847"/>
      <c r="E3847"/>
    </row>
    <row r="3848" spans="2:5" x14ac:dyDescent="0.2">
      <c r="B3848"/>
      <c r="E3848"/>
    </row>
    <row r="3849" spans="2:5" x14ac:dyDescent="0.2">
      <c r="B3849"/>
      <c r="E3849"/>
    </row>
    <row r="3850" spans="2:5" x14ac:dyDescent="0.2">
      <c r="B3850"/>
      <c r="E3850"/>
    </row>
    <row r="3851" spans="2:5" x14ac:dyDescent="0.2">
      <c r="B3851"/>
      <c r="E3851"/>
    </row>
    <row r="3852" spans="2:5" x14ac:dyDescent="0.2">
      <c r="B3852"/>
      <c r="E3852"/>
    </row>
    <row r="3853" spans="2:5" x14ac:dyDescent="0.2">
      <c r="B3853"/>
      <c r="E3853"/>
    </row>
    <row r="3854" spans="2:5" x14ac:dyDescent="0.2">
      <c r="B3854"/>
      <c r="E3854"/>
    </row>
    <row r="3855" spans="2:5" x14ac:dyDescent="0.2">
      <c r="B3855"/>
      <c r="E3855"/>
    </row>
    <row r="3856" spans="2:5" x14ac:dyDescent="0.2">
      <c r="B3856"/>
      <c r="E3856"/>
    </row>
    <row r="3857" spans="2:5" x14ac:dyDescent="0.2">
      <c r="B3857"/>
      <c r="E3857"/>
    </row>
    <row r="3858" spans="2:5" x14ac:dyDescent="0.2">
      <c r="B3858"/>
      <c r="E3858"/>
    </row>
    <row r="3859" spans="2:5" x14ac:dyDescent="0.2">
      <c r="B3859"/>
      <c r="E3859"/>
    </row>
    <row r="3860" spans="2:5" x14ac:dyDescent="0.2">
      <c r="B3860"/>
      <c r="E3860"/>
    </row>
    <row r="3861" spans="2:5" x14ac:dyDescent="0.2">
      <c r="B3861"/>
      <c r="E3861"/>
    </row>
    <row r="3862" spans="2:5" x14ac:dyDescent="0.2">
      <c r="B3862"/>
      <c r="E3862"/>
    </row>
    <row r="3863" spans="2:5" x14ac:dyDescent="0.2">
      <c r="B3863"/>
      <c r="E3863"/>
    </row>
    <row r="3864" spans="2:5" x14ac:dyDescent="0.2">
      <c r="B3864"/>
      <c r="E3864"/>
    </row>
    <row r="3865" spans="2:5" x14ac:dyDescent="0.2">
      <c r="B3865"/>
      <c r="E3865"/>
    </row>
    <row r="3866" spans="2:5" x14ac:dyDescent="0.2">
      <c r="B3866"/>
      <c r="E3866"/>
    </row>
    <row r="3867" spans="2:5" x14ac:dyDescent="0.2">
      <c r="B3867"/>
      <c r="E3867"/>
    </row>
    <row r="3868" spans="2:5" x14ac:dyDescent="0.2">
      <c r="B3868"/>
      <c r="E3868"/>
    </row>
    <row r="3869" spans="2:5" x14ac:dyDescent="0.2">
      <c r="B3869"/>
      <c r="E3869"/>
    </row>
    <row r="3870" spans="2:5" x14ac:dyDescent="0.2">
      <c r="B3870"/>
      <c r="E3870"/>
    </row>
    <row r="3871" spans="2:5" x14ac:dyDescent="0.2">
      <c r="B3871"/>
      <c r="E3871"/>
    </row>
    <row r="3872" spans="2:5" x14ac:dyDescent="0.2">
      <c r="B3872"/>
      <c r="E3872"/>
    </row>
    <row r="3873" spans="2:5" x14ac:dyDescent="0.2">
      <c r="B3873"/>
      <c r="E3873"/>
    </row>
    <row r="3874" spans="2:5" x14ac:dyDescent="0.2">
      <c r="B3874"/>
      <c r="E3874"/>
    </row>
    <row r="3875" spans="2:5" x14ac:dyDescent="0.2">
      <c r="B3875"/>
      <c r="E3875"/>
    </row>
    <row r="3876" spans="2:5" x14ac:dyDescent="0.2">
      <c r="B3876"/>
      <c r="E3876"/>
    </row>
    <row r="3877" spans="2:5" x14ac:dyDescent="0.2">
      <c r="B3877"/>
      <c r="E3877"/>
    </row>
    <row r="3878" spans="2:5" x14ac:dyDescent="0.2">
      <c r="B3878"/>
      <c r="E3878"/>
    </row>
    <row r="3879" spans="2:5" x14ac:dyDescent="0.2">
      <c r="B3879"/>
      <c r="E3879"/>
    </row>
    <row r="3880" spans="2:5" x14ac:dyDescent="0.2">
      <c r="B3880"/>
      <c r="E3880"/>
    </row>
    <row r="3881" spans="2:5" x14ac:dyDescent="0.2">
      <c r="B3881"/>
      <c r="E3881"/>
    </row>
    <row r="3882" spans="2:5" x14ac:dyDescent="0.2">
      <c r="B3882"/>
      <c r="E3882"/>
    </row>
    <row r="3883" spans="2:5" x14ac:dyDescent="0.2">
      <c r="B3883"/>
      <c r="E3883"/>
    </row>
    <row r="3884" spans="2:5" x14ac:dyDescent="0.2">
      <c r="B3884"/>
      <c r="E3884"/>
    </row>
    <row r="3885" spans="2:5" x14ac:dyDescent="0.2">
      <c r="B3885"/>
      <c r="E3885"/>
    </row>
    <row r="3886" spans="2:5" x14ac:dyDescent="0.2">
      <c r="B3886"/>
      <c r="E3886"/>
    </row>
    <row r="3887" spans="2:5" x14ac:dyDescent="0.2">
      <c r="B3887"/>
      <c r="E3887"/>
    </row>
    <row r="3888" spans="2:5" x14ac:dyDescent="0.2">
      <c r="B3888"/>
      <c r="E3888"/>
    </row>
    <row r="3889" spans="2:5" x14ac:dyDescent="0.2">
      <c r="B3889"/>
      <c r="E3889"/>
    </row>
    <row r="3890" spans="2:5" x14ac:dyDescent="0.2">
      <c r="B3890"/>
      <c r="E3890"/>
    </row>
    <row r="3891" spans="2:5" x14ac:dyDescent="0.2">
      <c r="B3891"/>
      <c r="E3891"/>
    </row>
    <row r="3892" spans="2:5" x14ac:dyDescent="0.2">
      <c r="B3892"/>
      <c r="E3892"/>
    </row>
    <row r="3893" spans="2:5" x14ac:dyDescent="0.2">
      <c r="B3893"/>
      <c r="E3893"/>
    </row>
    <row r="3894" spans="2:5" x14ac:dyDescent="0.2">
      <c r="B3894"/>
      <c r="E3894"/>
    </row>
    <row r="3895" spans="2:5" x14ac:dyDescent="0.2">
      <c r="B3895"/>
      <c r="E3895"/>
    </row>
    <row r="3896" spans="2:5" x14ac:dyDescent="0.2">
      <c r="B3896"/>
      <c r="E3896"/>
    </row>
    <row r="3897" spans="2:5" x14ac:dyDescent="0.2">
      <c r="B3897"/>
      <c r="E3897"/>
    </row>
    <row r="3898" spans="2:5" x14ac:dyDescent="0.2">
      <c r="B3898"/>
      <c r="E3898"/>
    </row>
    <row r="3899" spans="2:5" x14ac:dyDescent="0.2">
      <c r="B3899"/>
      <c r="E3899"/>
    </row>
    <row r="3900" spans="2:5" x14ac:dyDescent="0.2">
      <c r="B3900"/>
      <c r="E3900"/>
    </row>
    <row r="3901" spans="2:5" x14ac:dyDescent="0.2">
      <c r="B3901"/>
      <c r="E3901"/>
    </row>
    <row r="3902" spans="2:5" x14ac:dyDescent="0.2">
      <c r="B3902"/>
      <c r="E3902"/>
    </row>
    <row r="3903" spans="2:5" x14ac:dyDescent="0.2">
      <c r="B3903"/>
      <c r="E3903"/>
    </row>
    <row r="3904" spans="2:5" x14ac:dyDescent="0.2">
      <c r="B3904"/>
      <c r="E3904"/>
    </row>
    <row r="3905" spans="2:5" x14ac:dyDescent="0.2">
      <c r="B3905"/>
      <c r="E3905"/>
    </row>
    <row r="3906" spans="2:5" x14ac:dyDescent="0.2">
      <c r="B3906"/>
      <c r="E3906"/>
    </row>
    <row r="3907" spans="2:5" x14ac:dyDescent="0.2">
      <c r="B3907"/>
      <c r="E3907"/>
    </row>
    <row r="3908" spans="2:5" x14ac:dyDescent="0.2">
      <c r="B3908"/>
      <c r="E3908"/>
    </row>
    <row r="3909" spans="2:5" x14ac:dyDescent="0.2">
      <c r="B3909"/>
      <c r="E3909"/>
    </row>
    <row r="3910" spans="2:5" x14ac:dyDescent="0.2">
      <c r="B3910"/>
      <c r="E3910"/>
    </row>
    <row r="3911" spans="2:5" x14ac:dyDescent="0.2">
      <c r="B3911"/>
      <c r="E3911"/>
    </row>
    <row r="3912" spans="2:5" x14ac:dyDescent="0.2">
      <c r="B3912"/>
      <c r="E3912"/>
    </row>
    <row r="3913" spans="2:5" x14ac:dyDescent="0.2">
      <c r="B3913"/>
      <c r="E3913"/>
    </row>
    <row r="3914" spans="2:5" x14ac:dyDescent="0.2">
      <c r="B3914"/>
      <c r="E3914"/>
    </row>
    <row r="3915" spans="2:5" x14ac:dyDescent="0.2">
      <c r="B3915"/>
      <c r="E3915"/>
    </row>
    <row r="3916" spans="2:5" x14ac:dyDescent="0.2">
      <c r="B3916"/>
      <c r="E3916"/>
    </row>
    <row r="3917" spans="2:5" x14ac:dyDescent="0.2">
      <c r="B3917"/>
      <c r="E3917"/>
    </row>
    <row r="3918" spans="2:5" x14ac:dyDescent="0.2">
      <c r="B3918"/>
      <c r="E3918"/>
    </row>
    <row r="3919" spans="2:5" x14ac:dyDescent="0.2">
      <c r="B3919"/>
      <c r="E3919"/>
    </row>
    <row r="3920" spans="2:5" x14ac:dyDescent="0.2">
      <c r="B3920"/>
      <c r="E3920"/>
    </row>
    <row r="3921" spans="2:5" x14ac:dyDescent="0.2">
      <c r="B3921"/>
      <c r="E3921"/>
    </row>
    <row r="3922" spans="2:5" x14ac:dyDescent="0.2">
      <c r="B3922"/>
      <c r="E3922"/>
    </row>
    <row r="3923" spans="2:5" x14ac:dyDescent="0.2">
      <c r="B3923"/>
      <c r="E3923"/>
    </row>
    <row r="3924" spans="2:5" x14ac:dyDescent="0.2">
      <c r="B3924"/>
      <c r="E3924"/>
    </row>
    <row r="3925" spans="2:5" x14ac:dyDescent="0.2">
      <c r="B3925"/>
      <c r="E3925"/>
    </row>
    <row r="3926" spans="2:5" x14ac:dyDescent="0.2">
      <c r="B3926"/>
      <c r="E3926"/>
    </row>
    <row r="3927" spans="2:5" x14ac:dyDescent="0.2">
      <c r="B3927"/>
      <c r="E3927"/>
    </row>
    <row r="3928" spans="2:5" x14ac:dyDescent="0.2">
      <c r="B3928"/>
      <c r="E3928"/>
    </row>
    <row r="3929" spans="2:5" x14ac:dyDescent="0.2">
      <c r="B3929"/>
      <c r="E3929"/>
    </row>
    <row r="3930" spans="2:5" x14ac:dyDescent="0.2">
      <c r="B3930"/>
      <c r="E3930"/>
    </row>
    <row r="3931" spans="2:5" x14ac:dyDescent="0.2">
      <c r="B3931"/>
      <c r="E3931"/>
    </row>
    <row r="3932" spans="2:5" x14ac:dyDescent="0.2">
      <c r="B3932"/>
      <c r="E3932"/>
    </row>
    <row r="3933" spans="2:5" x14ac:dyDescent="0.2">
      <c r="B3933"/>
      <c r="E3933"/>
    </row>
    <row r="3934" spans="2:5" x14ac:dyDescent="0.2">
      <c r="B3934"/>
      <c r="E3934"/>
    </row>
    <row r="3935" spans="2:5" x14ac:dyDescent="0.2">
      <c r="B3935"/>
      <c r="E3935"/>
    </row>
    <row r="3936" spans="2:5" x14ac:dyDescent="0.2">
      <c r="B3936"/>
      <c r="E3936"/>
    </row>
    <row r="3937" spans="2:5" x14ac:dyDescent="0.2">
      <c r="B3937"/>
      <c r="E3937"/>
    </row>
    <row r="3938" spans="2:5" x14ac:dyDescent="0.2">
      <c r="B3938"/>
      <c r="E3938"/>
    </row>
    <row r="3939" spans="2:5" x14ac:dyDescent="0.2">
      <c r="B3939"/>
      <c r="E3939"/>
    </row>
    <row r="3940" spans="2:5" x14ac:dyDescent="0.2">
      <c r="B3940"/>
      <c r="E3940"/>
    </row>
    <row r="3941" spans="2:5" x14ac:dyDescent="0.2">
      <c r="B3941"/>
      <c r="E3941"/>
    </row>
    <row r="3942" spans="2:5" x14ac:dyDescent="0.2">
      <c r="B3942"/>
      <c r="E3942"/>
    </row>
    <row r="3943" spans="2:5" x14ac:dyDescent="0.2">
      <c r="B3943"/>
      <c r="E3943"/>
    </row>
    <row r="3944" spans="2:5" x14ac:dyDescent="0.2">
      <c r="B3944"/>
      <c r="E3944"/>
    </row>
    <row r="3945" spans="2:5" x14ac:dyDescent="0.2">
      <c r="B3945"/>
      <c r="E3945"/>
    </row>
    <row r="3946" spans="2:5" x14ac:dyDescent="0.2">
      <c r="B3946"/>
      <c r="E3946"/>
    </row>
    <row r="3947" spans="2:5" x14ac:dyDescent="0.2">
      <c r="B3947"/>
      <c r="E3947"/>
    </row>
    <row r="3948" spans="2:5" x14ac:dyDescent="0.2">
      <c r="B3948"/>
      <c r="E3948"/>
    </row>
    <row r="3949" spans="2:5" x14ac:dyDescent="0.2">
      <c r="B3949"/>
      <c r="E3949"/>
    </row>
    <row r="3950" spans="2:5" x14ac:dyDescent="0.2">
      <c r="B3950"/>
      <c r="E3950"/>
    </row>
    <row r="3951" spans="2:5" x14ac:dyDescent="0.2">
      <c r="B3951"/>
      <c r="E3951"/>
    </row>
    <row r="3952" spans="2:5" x14ac:dyDescent="0.2">
      <c r="B3952"/>
      <c r="E3952"/>
    </row>
    <row r="3953" spans="2:5" x14ac:dyDescent="0.2">
      <c r="B3953"/>
      <c r="E3953"/>
    </row>
    <row r="3954" spans="2:5" x14ac:dyDescent="0.2">
      <c r="B3954"/>
      <c r="E3954"/>
    </row>
    <row r="3955" spans="2:5" x14ac:dyDescent="0.2">
      <c r="B3955"/>
      <c r="E3955"/>
    </row>
    <row r="3956" spans="2:5" x14ac:dyDescent="0.2">
      <c r="B3956"/>
      <c r="E3956"/>
    </row>
    <row r="3957" spans="2:5" x14ac:dyDescent="0.2">
      <c r="B3957"/>
      <c r="E3957"/>
    </row>
    <row r="3958" spans="2:5" x14ac:dyDescent="0.2">
      <c r="B3958"/>
      <c r="E3958"/>
    </row>
    <row r="3959" spans="2:5" x14ac:dyDescent="0.2">
      <c r="B3959"/>
      <c r="E3959"/>
    </row>
    <row r="3960" spans="2:5" x14ac:dyDescent="0.2">
      <c r="B3960"/>
      <c r="E3960"/>
    </row>
    <row r="3961" spans="2:5" x14ac:dyDescent="0.2">
      <c r="B3961"/>
      <c r="E3961"/>
    </row>
    <row r="3962" spans="2:5" x14ac:dyDescent="0.2">
      <c r="B3962"/>
      <c r="E3962"/>
    </row>
    <row r="3963" spans="2:5" x14ac:dyDescent="0.2">
      <c r="B3963"/>
      <c r="E3963"/>
    </row>
    <row r="3964" spans="2:5" x14ac:dyDescent="0.2">
      <c r="B3964"/>
      <c r="E3964"/>
    </row>
    <row r="3965" spans="2:5" x14ac:dyDescent="0.2">
      <c r="B3965"/>
      <c r="E3965"/>
    </row>
    <row r="3966" spans="2:5" x14ac:dyDescent="0.2">
      <c r="B3966"/>
      <c r="E3966"/>
    </row>
    <row r="3967" spans="2:5" x14ac:dyDescent="0.2">
      <c r="B3967"/>
      <c r="E3967"/>
    </row>
    <row r="3968" spans="2:5" x14ac:dyDescent="0.2">
      <c r="B3968"/>
      <c r="E3968"/>
    </row>
    <row r="3969" spans="2:5" x14ac:dyDescent="0.2">
      <c r="B3969"/>
      <c r="E3969"/>
    </row>
    <row r="3970" spans="2:5" x14ac:dyDescent="0.2">
      <c r="B3970"/>
      <c r="E3970"/>
    </row>
    <row r="3971" spans="2:5" x14ac:dyDescent="0.2">
      <c r="B3971"/>
      <c r="E3971"/>
    </row>
    <row r="3972" spans="2:5" x14ac:dyDescent="0.2">
      <c r="B3972"/>
      <c r="E3972"/>
    </row>
    <row r="3973" spans="2:5" x14ac:dyDescent="0.2">
      <c r="B3973"/>
      <c r="E3973"/>
    </row>
    <row r="3974" spans="2:5" x14ac:dyDescent="0.2">
      <c r="B3974"/>
      <c r="E3974"/>
    </row>
    <row r="3975" spans="2:5" x14ac:dyDescent="0.2">
      <c r="B3975"/>
      <c r="E3975"/>
    </row>
    <row r="3976" spans="2:5" x14ac:dyDescent="0.2">
      <c r="B3976"/>
      <c r="E3976"/>
    </row>
    <row r="3977" spans="2:5" x14ac:dyDescent="0.2">
      <c r="B3977"/>
      <c r="E3977"/>
    </row>
    <row r="3978" spans="2:5" x14ac:dyDescent="0.2">
      <c r="B3978"/>
      <c r="E3978"/>
    </row>
    <row r="3979" spans="2:5" x14ac:dyDescent="0.2">
      <c r="B3979"/>
      <c r="E3979"/>
    </row>
    <row r="3980" spans="2:5" x14ac:dyDescent="0.2">
      <c r="B3980"/>
      <c r="E3980"/>
    </row>
    <row r="3981" spans="2:5" x14ac:dyDescent="0.2">
      <c r="B3981"/>
      <c r="E3981"/>
    </row>
    <row r="3982" spans="2:5" x14ac:dyDescent="0.2">
      <c r="B3982"/>
      <c r="E3982"/>
    </row>
    <row r="3983" spans="2:5" x14ac:dyDescent="0.2">
      <c r="B3983"/>
      <c r="E3983"/>
    </row>
    <row r="3984" spans="2:5" x14ac:dyDescent="0.2">
      <c r="B3984"/>
      <c r="E3984"/>
    </row>
    <row r="3985" spans="2:5" x14ac:dyDescent="0.2">
      <c r="B3985"/>
      <c r="E3985"/>
    </row>
    <row r="3986" spans="2:5" x14ac:dyDescent="0.2">
      <c r="B3986"/>
      <c r="E3986"/>
    </row>
    <row r="3987" spans="2:5" x14ac:dyDescent="0.2">
      <c r="B3987"/>
      <c r="E3987"/>
    </row>
    <row r="3988" spans="2:5" x14ac:dyDescent="0.2">
      <c r="B3988"/>
      <c r="E3988"/>
    </row>
    <row r="3989" spans="2:5" x14ac:dyDescent="0.2">
      <c r="B3989"/>
      <c r="E3989"/>
    </row>
    <row r="3990" spans="2:5" x14ac:dyDescent="0.2">
      <c r="B3990"/>
      <c r="E3990"/>
    </row>
    <row r="3991" spans="2:5" x14ac:dyDescent="0.2">
      <c r="B3991"/>
      <c r="E3991"/>
    </row>
    <row r="3992" spans="2:5" x14ac:dyDescent="0.2">
      <c r="B3992"/>
      <c r="E3992"/>
    </row>
    <row r="3993" spans="2:5" x14ac:dyDescent="0.2">
      <c r="B3993"/>
      <c r="E3993"/>
    </row>
    <row r="3994" spans="2:5" x14ac:dyDescent="0.2">
      <c r="B3994"/>
      <c r="E3994"/>
    </row>
    <row r="3995" spans="2:5" x14ac:dyDescent="0.2">
      <c r="B3995"/>
      <c r="E3995"/>
    </row>
    <row r="3996" spans="2:5" x14ac:dyDescent="0.2">
      <c r="B3996"/>
      <c r="E3996"/>
    </row>
    <row r="3997" spans="2:5" x14ac:dyDescent="0.2">
      <c r="B3997"/>
      <c r="E3997"/>
    </row>
    <row r="3998" spans="2:5" x14ac:dyDescent="0.2">
      <c r="B3998"/>
      <c r="E3998"/>
    </row>
    <row r="3999" spans="2:5" x14ac:dyDescent="0.2">
      <c r="B3999"/>
      <c r="E3999"/>
    </row>
    <row r="4000" spans="2:5" x14ac:dyDescent="0.2">
      <c r="B4000"/>
      <c r="E4000"/>
    </row>
    <row r="4001" spans="2:5" x14ac:dyDescent="0.2">
      <c r="B4001"/>
      <c r="E4001"/>
    </row>
    <row r="4002" spans="2:5" x14ac:dyDescent="0.2">
      <c r="B4002"/>
      <c r="E4002"/>
    </row>
    <row r="4003" spans="2:5" x14ac:dyDescent="0.2">
      <c r="B4003"/>
      <c r="E4003"/>
    </row>
    <row r="4004" spans="2:5" x14ac:dyDescent="0.2">
      <c r="B4004"/>
      <c r="E4004"/>
    </row>
    <row r="4005" spans="2:5" x14ac:dyDescent="0.2">
      <c r="B4005"/>
      <c r="E4005"/>
    </row>
    <row r="4006" spans="2:5" x14ac:dyDescent="0.2">
      <c r="B4006"/>
      <c r="E4006"/>
    </row>
    <row r="4007" spans="2:5" x14ac:dyDescent="0.2">
      <c r="B4007"/>
      <c r="E4007"/>
    </row>
    <row r="4008" spans="2:5" x14ac:dyDescent="0.2">
      <c r="B4008"/>
      <c r="E4008"/>
    </row>
    <row r="4009" spans="2:5" x14ac:dyDescent="0.2">
      <c r="B4009"/>
      <c r="E4009"/>
    </row>
    <row r="4010" spans="2:5" x14ac:dyDescent="0.2">
      <c r="B4010"/>
      <c r="E4010"/>
    </row>
    <row r="4011" spans="2:5" x14ac:dyDescent="0.2">
      <c r="B4011"/>
      <c r="E4011"/>
    </row>
    <row r="4012" spans="2:5" x14ac:dyDescent="0.2">
      <c r="B4012"/>
      <c r="E4012"/>
    </row>
    <row r="4013" spans="2:5" x14ac:dyDescent="0.2">
      <c r="B4013"/>
      <c r="E4013"/>
    </row>
    <row r="4014" spans="2:5" x14ac:dyDescent="0.2">
      <c r="B4014"/>
      <c r="E4014"/>
    </row>
    <row r="4015" spans="2:5" x14ac:dyDescent="0.2">
      <c r="B4015"/>
      <c r="E4015"/>
    </row>
    <row r="4016" spans="2:5" x14ac:dyDescent="0.2">
      <c r="B4016"/>
      <c r="E4016"/>
    </row>
    <row r="4017" spans="2:5" x14ac:dyDescent="0.2">
      <c r="B4017"/>
      <c r="E4017"/>
    </row>
    <row r="4018" spans="2:5" x14ac:dyDescent="0.2">
      <c r="B4018"/>
      <c r="E4018"/>
    </row>
    <row r="4019" spans="2:5" x14ac:dyDescent="0.2">
      <c r="B4019"/>
      <c r="E4019"/>
    </row>
    <row r="4020" spans="2:5" x14ac:dyDescent="0.2">
      <c r="B4020"/>
      <c r="E4020"/>
    </row>
    <row r="4021" spans="2:5" x14ac:dyDescent="0.2">
      <c r="B4021"/>
      <c r="E4021"/>
    </row>
    <row r="4022" spans="2:5" x14ac:dyDescent="0.2">
      <c r="B4022"/>
      <c r="E4022"/>
    </row>
    <row r="4023" spans="2:5" x14ac:dyDescent="0.2">
      <c r="B4023"/>
      <c r="E4023"/>
    </row>
    <row r="4024" spans="2:5" x14ac:dyDescent="0.2">
      <c r="B4024"/>
      <c r="E4024"/>
    </row>
    <row r="4025" spans="2:5" x14ac:dyDescent="0.2">
      <c r="B4025"/>
      <c r="E4025"/>
    </row>
    <row r="4026" spans="2:5" x14ac:dyDescent="0.2">
      <c r="B4026"/>
      <c r="E4026"/>
    </row>
    <row r="4027" spans="2:5" x14ac:dyDescent="0.2">
      <c r="B4027"/>
      <c r="E4027"/>
    </row>
    <row r="4028" spans="2:5" x14ac:dyDescent="0.2">
      <c r="B4028"/>
      <c r="E4028"/>
    </row>
    <row r="4029" spans="2:5" x14ac:dyDescent="0.2">
      <c r="B4029"/>
      <c r="E4029"/>
    </row>
    <row r="4030" spans="2:5" x14ac:dyDescent="0.2">
      <c r="B4030"/>
      <c r="E4030"/>
    </row>
    <row r="4031" spans="2:5" x14ac:dyDescent="0.2">
      <c r="B4031"/>
      <c r="E4031"/>
    </row>
    <row r="4032" spans="2:5" x14ac:dyDescent="0.2">
      <c r="B4032"/>
      <c r="E4032"/>
    </row>
    <row r="4033" spans="2:5" x14ac:dyDescent="0.2">
      <c r="B4033"/>
      <c r="E4033"/>
    </row>
    <row r="4034" spans="2:5" x14ac:dyDescent="0.2">
      <c r="B4034"/>
      <c r="E4034"/>
    </row>
    <row r="4035" spans="2:5" x14ac:dyDescent="0.2">
      <c r="B4035"/>
      <c r="E4035"/>
    </row>
    <row r="4036" spans="2:5" x14ac:dyDescent="0.2">
      <c r="B4036"/>
      <c r="E4036"/>
    </row>
    <row r="4037" spans="2:5" x14ac:dyDescent="0.2">
      <c r="B4037"/>
      <c r="E4037"/>
    </row>
    <row r="4038" spans="2:5" x14ac:dyDescent="0.2">
      <c r="B4038"/>
      <c r="E4038"/>
    </row>
    <row r="4039" spans="2:5" x14ac:dyDescent="0.2">
      <c r="B4039"/>
      <c r="E4039"/>
    </row>
    <row r="4040" spans="2:5" x14ac:dyDescent="0.2">
      <c r="B4040"/>
      <c r="E4040"/>
    </row>
    <row r="4041" spans="2:5" x14ac:dyDescent="0.2">
      <c r="B4041"/>
      <c r="E4041"/>
    </row>
    <row r="4042" spans="2:5" x14ac:dyDescent="0.2">
      <c r="B4042"/>
      <c r="E4042"/>
    </row>
    <row r="4043" spans="2:5" x14ac:dyDescent="0.2">
      <c r="B4043"/>
      <c r="E4043"/>
    </row>
    <row r="4044" spans="2:5" x14ac:dyDescent="0.2">
      <c r="B4044"/>
      <c r="E4044"/>
    </row>
    <row r="4045" spans="2:5" x14ac:dyDescent="0.2">
      <c r="B4045"/>
      <c r="E4045"/>
    </row>
    <row r="4046" spans="2:5" x14ac:dyDescent="0.2">
      <c r="B4046"/>
      <c r="E4046"/>
    </row>
    <row r="4047" spans="2:5" x14ac:dyDescent="0.2">
      <c r="B4047"/>
      <c r="E4047"/>
    </row>
    <row r="4048" spans="2:5" x14ac:dyDescent="0.2">
      <c r="B4048"/>
      <c r="E4048"/>
    </row>
    <row r="4049" spans="2:5" x14ac:dyDescent="0.2">
      <c r="B4049"/>
      <c r="E4049"/>
    </row>
    <row r="4050" spans="2:5" x14ac:dyDescent="0.2">
      <c r="B4050"/>
      <c r="E4050"/>
    </row>
    <row r="4051" spans="2:5" x14ac:dyDescent="0.2">
      <c r="B4051"/>
      <c r="E4051"/>
    </row>
    <row r="4052" spans="2:5" x14ac:dyDescent="0.2">
      <c r="B4052"/>
      <c r="E4052"/>
    </row>
    <row r="4053" spans="2:5" x14ac:dyDescent="0.2">
      <c r="B4053"/>
      <c r="E4053"/>
    </row>
    <row r="4054" spans="2:5" x14ac:dyDescent="0.2">
      <c r="B4054"/>
      <c r="E4054"/>
    </row>
    <row r="4055" spans="2:5" x14ac:dyDescent="0.2">
      <c r="B4055"/>
      <c r="E4055"/>
    </row>
    <row r="4056" spans="2:5" x14ac:dyDescent="0.2">
      <c r="B4056"/>
      <c r="E4056"/>
    </row>
    <row r="4057" spans="2:5" x14ac:dyDescent="0.2">
      <c r="B4057"/>
      <c r="E4057"/>
    </row>
    <row r="4058" spans="2:5" x14ac:dyDescent="0.2">
      <c r="B4058"/>
      <c r="E4058"/>
    </row>
    <row r="4059" spans="2:5" x14ac:dyDescent="0.2">
      <c r="B4059"/>
      <c r="E4059"/>
    </row>
    <row r="4060" spans="2:5" x14ac:dyDescent="0.2">
      <c r="B4060"/>
      <c r="E4060"/>
    </row>
    <row r="4061" spans="2:5" x14ac:dyDescent="0.2">
      <c r="B4061"/>
      <c r="E4061"/>
    </row>
    <row r="4062" spans="2:5" x14ac:dyDescent="0.2">
      <c r="B4062"/>
      <c r="E4062"/>
    </row>
    <row r="4063" spans="2:5" x14ac:dyDescent="0.2">
      <c r="B4063"/>
      <c r="E4063"/>
    </row>
    <row r="4064" spans="2:5" x14ac:dyDescent="0.2">
      <c r="B4064"/>
      <c r="E4064"/>
    </row>
    <row r="4065" spans="2:5" x14ac:dyDescent="0.2">
      <c r="B4065"/>
      <c r="E4065"/>
    </row>
    <row r="4066" spans="2:5" x14ac:dyDescent="0.2">
      <c r="B4066"/>
      <c r="E4066"/>
    </row>
    <row r="4067" spans="2:5" x14ac:dyDescent="0.2">
      <c r="B4067"/>
      <c r="E4067"/>
    </row>
    <row r="4068" spans="2:5" x14ac:dyDescent="0.2">
      <c r="B4068"/>
      <c r="E4068"/>
    </row>
    <row r="4069" spans="2:5" x14ac:dyDescent="0.2">
      <c r="B4069"/>
      <c r="E4069"/>
    </row>
    <row r="4070" spans="2:5" x14ac:dyDescent="0.2">
      <c r="B4070"/>
      <c r="E4070"/>
    </row>
    <row r="4071" spans="2:5" x14ac:dyDescent="0.2">
      <c r="B4071"/>
      <c r="E4071"/>
    </row>
    <row r="4072" spans="2:5" x14ac:dyDescent="0.2">
      <c r="B4072"/>
      <c r="E4072"/>
    </row>
    <row r="4073" spans="2:5" x14ac:dyDescent="0.2">
      <c r="B4073"/>
      <c r="E4073"/>
    </row>
    <row r="4074" spans="2:5" x14ac:dyDescent="0.2">
      <c r="B4074"/>
      <c r="E4074"/>
    </row>
    <row r="4075" spans="2:5" x14ac:dyDescent="0.2">
      <c r="B4075"/>
      <c r="E4075"/>
    </row>
    <row r="4076" spans="2:5" x14ac:dyDescent="0.2">
      <c r="B4076"/>
      <c r="E4076"/>
    </row>
    <row r="4077" spans="2:5" x14ac:dyDescent="0.2">
      <c r="B4077"/>
      <c r="E4077"/>
    </row>
    <row r="4078" spans="2:5" x14ac:dyDescent="0.2">
      <c r="B4078"/>
      <c r="E4078"/>
    </row>
    <row r="4079" spans="2:5" x14ac:dyDescent="0.2">
      <c r="B4079"/>
      <c r="E4079"/>
    </row>
    <row r="4080" spans="2:5" x14ac:dyDescent="0.2">
      <c r="B4080"/>
      <c r="E4080"/>
    </row>
    <row r="4081" spans="2:5" x14ac:dyDescent="0.2">
      <c r="B4081"/>
      <c r="E4081"/>
    </row>
    <row r="4082" spans="2:5" x14ac:dyDescent="0.2">
      <c r="B4082"/>
      <c r="E4082"/>
    </row>
    <row r="4083" spans="2:5" x14ac:dyDescent="0.2">
      <c r="B4083"/>
      <c r="E4083"/>
    </row>
    <row r="4084" spans="2:5" x14ac:dyDescent="0.2">
      <c r="B4084"/>
      <c r="E4084"/>
    </row>
    <row r="4085" spans="2:5" x14ac:dyDescent="0.2">
      <c r="B4085"/>
      <c r="E4085"/>
    </row>
    <row r="4086" spans="2:5" x14ac:dyDescent="0.2">
      <c r="B4086"/>
      <c r="E4086"/>
    </row>
    <row r="4087" spans="2:5" x14ac:dyDescent="0.2">
      <c r="B4087"/>
      <c r="E4087"/>
    </row>
    <row r="4088" spans="2:5" x14ac:dyDescent="0.2">
      <c r="B4088"/>
      <c r="E4088"/>
    </row>
    <row r="4089" spans="2:5" x14ac:dyDescent="0.2">
      <c r="B4089"/>
      <c r="E4089"/>
    </row>
    <row r="4090" spans="2:5" x14ac:dyDescent="0.2">
      <c r="B4090"/>
      <c r="E4090"/>
    </row>
    <row r="4091" spans="2:5" x14ac:dyDescent="0.2">
      <c r="B4091"/>
      <c r="E4091"/>
    </row>
    <row r="4092" spans="2:5" x14ac:dyDescent="0.2">
      <c r="B4092"/>
      <c r="E4092"/>
    </row>
    <row r="4093" spans="2:5" x14ac:dyDescent="0.2">
      <c r="B4093"/>
      <c r="E4093"/>
    </row>
    <row r="4094" spans="2:5" x14ac:dyDescent="0.2">
      <c r="B4094"/>
      <c r="E4094"/>
    </row>
    <row r="4095" spans="2:5" x14ac:dyDescent="0.2">
      <c r="B4095"/>
      <c r="E4095"/>
    </row>
    <row r="4096" spans="2:5" x14ac:dyDescent="0.2">
      <c r="B4096"/>
      <c r="E4096"/>
    </row>
    <row r="4097" spans="2:5" x14ac:dyDescent="0.2">
      <c r="B4097"/>
      <c r="E4097"/>
    </row>
    <row r="4098" spans="2:5" x14ac:dyDescent="0.2">
      <c r="B4098"/>
      <c r="E4098"/>
    </row>
    <row r="4099" spans="2:5" x14ac:dyDescent="0.2">
      <c r="B4099"/>
      <c r="E4099"/>
    </row>
    <row r="4100" spans="2:5" x14ac:dyDescent="0.2">
      <c r="B4100"/>
      <c r="E4100"/>
    </row>
    <row r="4101" spans="2:5" x14ac:dyDescent="0.2">
      <c r="B4101"/>
      <c r="E4101"/>
    </row>
    <row r="4102" spans="2:5" x14ac:dyDescent="0.2">
      <c r="B4102"/>
      <c r="E4102"/>
    </row>
    <row r="4103" spans="2:5" x14ac:dyDescent="0.2">
      <c r="B4103"/>
      <c r="E4103"/>
    </row>
    <row r="4104" spans="2:5" x14ac:dyDescent="0.2">
      <c r="B4104"/>
      <c r="E4104"/>
    </row>
    <row r="4105" spans="2:5" x14ac:dyDescent="0.2">
      <c r="B4105"/>
      <c r="E4105"/>
    </row>
    <row r="4106" spans="2:5" x14ac:dyDescent="0.2">
      <c r="B4106"/>
      <c r="E4106"/>
    </row>
    <row r="4107" spans="2:5" x14ac:dyDescent="0.2">
      <c r="B4107"/>
      <c r="E4107"/>
    </row>
    <row r="4108" spans="2:5" x14ac:dyDescent="0.2">
      <c r="B4108"/>
      <c r="E4108"/>
    </row>
    <row r="4109" spans="2:5" x14ac:dyDescent="0.2">
      <c r="B4109"/>
      <c r="E4109"/>
    </row>
    <row r="4110" spans="2:5" x14ac:dyDescent="0.2">
      <c r="B4110"/>
      <c r="E4110"/>
    </row>
    <row r="4111" spans="2:5" x14ac:dyDescent="0.2">
      <c r="B4111"/>
      <c r="E4111"/>
    </row>
    <row r="4112" spans="2:5" x14ac:dyDescent="0.2">
      <c r="B4112"/>
      <c r="E4112"/>
    </row>
    <row r="4113" spans="2:5" x14ac:dyDescent="0.2">
      <c r="B4113"/>
      <c r="E4113"/>
    </row>
    <row r="4114" spans="2:5" x14ac:dyDescent="0.2">
      <c r="B4114"/>
      <c r="E4114"/>
    </row>
    <row r="4115" spans="2:5" x14ac:dyDescent="0.2">
      <c r="B4115"/>
      <c r="E4115"/>
    </row>
    <row r="4116" spans="2:5" x14ac:dyDescent="0.2">
      <c r="B4116"/>
      <c r="E4116"/>
    </row>
    <row r="4117" spans="2:5" x14ac:dyDescent="0.2">
      <c r="B4117"/>
      <c r="E4117"/>
    </row>
    <row r="4118" spans="2:5" x14ac:dyDescent="0.2">
      <c r="B4118"/>
      <c r="E4118"/>
    </row>
    <row r="4119" spans="2:5" x14ac:dyDescent="0.2">
      <c r="B4119"/>
      <c r="E4119"/>
    </row>
    <row r="4120" spans="2:5" x14ac:dyDescent="0.2">
      <c r="B4120"/>
      <c r="E4120"/>
    </row>
    <row r="4121" spans="2:5" x14ac:dyDescent="0.2">
      <c r="B4121"/>
      <c r="E4121"/>
    </row>
    <row r="4122" spans="2:5" x14ac:dyDescent="0.2">
      <c r="B4122"/>
      <c r="E4122"/>
    </row>
    <row r="4123" spans="2:5" x14ac:dyDescent="0.2">
      <c r="B4123"/>
      <c r="E4123"/>
    </row>
    <row r="4124" spans="2:5" x14ac:dyDescent="0.2">
      <c r="B4124"/>
      <c r="E4124"/>
    </row>
    <row r="4125" spans="2:5" x14ac:dyDescent="0.2">
      <c r="B4125"/>
      <c r="E4125"/>
    </row>
    <row r="4126" spans="2:5" x14ac:dyDescent="0.2">
      <c r="B4126"/>
      <c r="E4126"/>
    </row>
    <row r="4127" spans="2:5" x14ac:dyDescent="0.2">
      <c r="B4127"/>
      <c r="E4127"/>
    </row>
    <row r="4128" spans="2:5" x14ac:dyDescent="0.2">
      <c r="B4128"/>
      <c r="E4128"/>
    </row>
    <row r="4129" spans="2:5" x14ac:dyDescent="0.2">
      <c r="B4129"/>
      <c r="E4129"/>
    </row>
    <row r="4130" spans="2:5" x14ac:dyDescent="0.2">
      <c r="B4130"/>
      <c r="E4130"/>
    </row>
    <row r="4131" spans="2:5" x14ac:dyDescent="0.2">
      <c r="B4131"/>
      <c r="E4131"/>
    </row>
    <row r="4132" spans="2:5" x14ac:dyDescent="0.2">
      <c r="B4132"/>
      <c r="E4132"/>
    </row>
    <row r="4133" spans="2:5" x14ac:dyDescent="0.2">
      <c r="B4133"/>
      <c r="E4133"/>
    </row>
    <row r="4134" spans="2:5" x14ac:dyDescent="0.2">
      <c r="B4134"/>
      <c r="E4134"/>
    </row>
    <row r="4135" spans="2:5" x14ac:dyDescent="0.2">
      <c r="B4135"/>
      <c r="E4135"/>
    </row>
    <row r="4136" spans="2:5" x14ac:dyDescent="0.2">
      <c r="B4136"/>
      <c r="E4136"/>
    </row>
    <row r="4137" spans="2:5" x14ac:dyDescent="0.2">
      <c r="B4137"/>
      <c r="E4137"/>
    </row>
    <row r="4138" spans="2:5" x14ac:dyDescent="0.2">
      <c r="B4138"/>
      <c r="E4138"/>
    </row>
    <row r="4139" spans="2:5" x14ac:dyDescent="0.2">
      <c r="B4139"/>
      <c r="E4139"/>
    </row>
    <row r="4140" spans="2:5" x14ac:dyDescent="0.2">
      <c r="B4140"/>
      <c r="E4140"/>
    </row>
    <row r="4141" spans="2:5" x14ac:dyDescent="0.2">
      <c r="B4141"/>
      <c r="E4141"/>
    </row>
    <row r="4142" spans="2:5" x14ac:dyDescent="0.2">
      <c r="B4142"/>
      <c r="E4142"/>
    </row>
    <row r="4143" spans="2:5" x14ac:dyDescent="0.2">
      <c r="B4143"/>
      <c r="E4143"/>
    </row>
    <row r="4144" spans="2:5" x14ac:dyDescent="0.2">
      <c r="B4144"/>
      <c r="E4144"/>
    </row>
    <row r="4145" spans="2:5" x14ac:dyDescent="0.2">
      <c r="B4145"/>
      <c r="E4145"/>
    </row>
    <row r="4146" spans="2:5" x14ac:dyDescent="0.2">
      <c r="B4146"/>
      <c r="E4146"/>
    </row>
    <row r="4147" spans="2:5" x14ac:dyDescent="0.2">
      <c r="B4147"/>
      <c r="E4147"/>
    </row>
    <row r="4148" spans="2:5" x14ac:dyDescent="0.2">
      <c r="B4148"/>
      <c r="E4148"/>
    </row>
    <row r="4149" spans="2:5" x14ac:dyDescent="0.2">
      <c r="B4149"/>
      <c r="E4149"/>
    </row>
    <row r="4150" spans="2:5" x14ac:dyDescent="0.2">
      <c r="B4150"/>
      <c r="E4150"/>
    </row>
    <row r="4151" spans="2:5" x14ac:dyDescent="0.2">
      <c r="B4151"/>
      <c r="E4151"/>
    </row>
    <row r="4152" spans="2:5" x14ac:dyDescent="0.2">
      <c r="B4152"/>
      <c r="E4152"/>
    </row>
    <row r="4153" spans="2:5" x14ac:dyDescent="0.2">
      <c r="B4153"/>
      <c r="E4153"/>
    </row>
    <row r="4154" spans="2:5" x14ac:dyDescent="0.2">
      <c r="B4154"/>
      <c r="E4154"/>
    </row>
    <row r="4155" spans="2:5" x14ac:dyDescent="0.2">
      <c r="B4155"/>
      <c r="E4155"/>
    </row>
    <row r="4156" spans="2:5" x14ac:dyDescent="0.2">
      <c r="B4156"/>
      <c r="E4156"/>
    </row>
    <row r="4157" spans="2:5" x14ac:dyDescent="0.2">
      <c r="B4157"/>
      <c r="E4157"/>
    </row>
    <row r="4158" spans="2:5" x14ac:dyDescent="0.2">
      <c r="B4158"/>
      <c r="E4158"/>
    </row>
    <row r="4159" spans="2:5" x14ac:dyDescent="0.2">
      <c r="B4159"/>
      <c r="E4159"/>
    </row>
    <row r="4160" spans="2:5" x14ac:dyDescent="0.2">
      <c r="B4160"/>
      <c r="E4160"/>
    </row>
    <row r="4161" spans="2:5" x14ac:dyDescent="0.2">
      <c r="B4161"/>
      <c r="E4161"/>
    </row>
    <row r="4162" spans="2:5" x14ac:dyDescent="0.2">
      <c r="B4162"/>
      <c r="E4162"/>
    </row>
    <row r="4163" spans="2:5" x14ac:dyDescent="0.2">
      <c r="B4163"/>
      <c r="E4163"/>
    </row>
    <row r="4164" spans="2:5" x14ac:dyDescent="0.2">
      <c r="B4164"/>
      <c r="E4164"/>
    </row>
    <row r="4165" spans="2:5" x14ac:dyDescent="0.2">
      <c r="B4165"/>
      <c r="E4165"/>
    </row>
    <row r="4166" spans="2:5" x14ac:dyDescent="0.2">
      <c r="B4166"/>
      <c r="E4166"/>
    </row>
    <row r="4167" spans="2:5" x14ac:dyDescent="0.2">
      <c r="B4167"/>
      <c r="E4167"/>
    </row>
    <row r="4168" spans="2:5" x14ac:dyDescent="0.2">
      <c r="B4168"/>
      <c r="E4168"/>
    </row>
    <row r="4169" spans="2:5" x14ac:dyDescent="0.2">
      <c r="B4169"/>
      <c r="E4169"/>
    </row>
    <row r="4170" spans="2:5" x14ac:dyDescent="0.2">
      <c r="B4170"/>
      <c r="E4170"/>
    </row>
    <row r="4171" spans="2:5" x14ac:dyDescent="0.2">
      <c r="B4171"/>
      <c r="E4171"/>
    </row>
    <row r="4172" spans="2:5" x14ac:dyDescent="0.2">
      <c r="B4172"/>
      <c r="E4172"/>
    </row>
    <row r="4173" spans="2:5" x14ac:dyDescent="0.2">
      <c r="B4173"/>
      <c r="E4173"/>
    </row>
    <row r="4174" spans="2:5" x14ac:dyDescent="0.2">
      <c r="B4174"/>
      <c r="E4174"/>
    </row>
    <row r="4175" spans="2:5" x14ac:dyDescent="0.2">
      <c r="B4175"/>
      <c r="E4175"/>
    </row>
    <row r="4176" spans="2:5" x14ac:dyDescent="0.2">
      <c r="B4176"/>
      <c r="E4176"/>
    </row>
  </sheetData>
  <customSheetViews>
    <customSheetView guid="{1F7EA7B0-7CBB-4C85-991C-384D0AE2B3A5}" scale="75" fitToPage="1" showRuler="0">
      <selection activeCell="E2" sqref="E2"/>
      <pageMargins left="0.75" right="0.75" top="1" bottom="1" header="0.5" footer="0.5"/>
      <printOptions gridLines="1"/>
      <pageSetup paperSize="9" scale="10" orientation="landscape" r:id="rId1"/>
      <headerFooter alignWithMargins="0">
        <oddHeader>&amp;A</oddHeader>
        <oddFooter>Page &amp;P</oddFooter>
      </headerFooter>
    </customSheetView>
  </customSheetViews>
  <mergeCells count="1">
    <mergeCell ref="E9:E10"/>
  </mergeCells>
  <phoneticPr fontId="13" type="noConversion"/>
  <conditionalFormatting sqref="I2 I12:I166">
    <cfRule type="cellIs" dxfId="17" priority="34" stopIfTrue="1" operator="notBetween">
      <formula>47</formula>
      <formula>63</formula>
    </cfRule>
  </conditionalFormatting>
  <conditionalFormatting sqref="F2 F12:F166">
    <cfRule type="cellIs" dxfId="16" priority="35" stopIfTrue="1" operator="equal">
      <formula>230</formula>
    </cfRule>
    <cfRule type="cellIs" dxfId="15" priority="36" stopIfTrue="1" operator="equal">
      <formula>120</formula>
    </cfRule>
    <cfRule type="cellIs" dxfId="14" priority="37" stopIfTrue="1" operator="equal">
      <formula>60</formula>
    </cfRule>
  </conditionalFormatting>
  <conditionalFormatting sqref="B2">
    <cfRule type="cellIs" dxfId="13" priority="38" stopIfTrue="1" operator="equal">
      <formula>"HEG"</formula>
    </cfRule>
    <cfRule type="cellIs" dxfId="12" priority="39" stopIfTrue="1" operator="equal">
      <formula>"CH"</formula>
    </cfRule>
    <cfRule type="cellIs" dxfId="11" priority="40" stopIfTrue="1" operator="equal">
      <formula>"HV"</formula>
    </cfRule>
  </conditionalFormatting>
  <conditionalFormatting sqref="M2 M12:M166">
    <cfRule type="cellIs" dxfId="10" priority="41" stopIfTrue="1" operator="equal">
      <formula>"watts"</formula>
    </cfRule>
    <cfRule type="cellIs" dxfId="9" priority="42" stopIfTrue="1" operator="equal">
      <formula>"vars"</formula>
    </cfRule>
  </conditionalFormatting>
  <dataValidations count="7">
    <dataValidation type="list" showDropDown="1" showInputMessage="1" showErrorMessage="1" errorTitle="Invalid Measurement" error="The only  measurements that can be made are watts and vars. Please enter either 'watts' or 'vars' in the cell." sqref="M2 M12:M166">
      <formula1>"vars,watts"</formula1>
    </dataValidation>
    <dataValidation type="list" showDropDown="1" showInputMessage="1" showErrorMessage="1" errorTitle="Invalid Source" error="The known sources are: HEG, CH, HV and Ioff." sqref="B2">
      <formula1>"HEG,CH,HV,Ioff"</formula1>
    </dataValidation>
    <dataValidation type="list" showDropDown="1" showInputMessage="1" showErrorMessage="1" errorTitle="Invalid Voltage Range" error="The Watt Bridge has only three available voltage ranges: 60, 120 and 230." sqref="F2 F12:F166">
      <formula1>"60,120,230"</formula1>
    </dataValidation>
    <dataValidation type="list" showDropDown="1" showInputMessage="1" showErrorMessage="1" errorTitle="Invalid Shunt" error="Please enter a recognised shunt name. The list of available shunts is available on the constants sheet." sqref="G2 G12:G166">
      <formula1>"ESI(.1),T(122),C(.2),ESI(1),ESI(10),NoShunt"</formula1>
    </dataValidation>
    <dataValidation type="decimal" showInputMessage="1" showErrorMessage="1" errorTitle="Frequency out of Range" error="The Watt Bridge is only calibrated for frequencies from 47 to 63 Hz." sqref="I2 I12:I166">
      <formula1>47</formula1>
      <formula2>63</formula2>
    </dataValidation>
    <dataValidation type="list" showDropDown="1" showInputMessage="1" showErrorMessage="1" errorTitle="Invalid Phase" error="Please restrict phase designations to 1, 2 or 3 and 123 for three-phase." sqref="P2 P12:P166">
      <formula1>"1,2,3,123"</formula1>
    </dataValidation>
    <dataValidation type="list" showInputMessage="1" showErrorMessage="1" errorTitle="Invalid Source" error="The known sources are: FLUKE, FLUHIGH, HEG, CH, HV and Ioff." sqref="B12:B179">
      <formula1>"FLUKE, FLUHIGH,HEG,CH,HV,Ioff"</formula1>
    </dataValidation>
  </dataValidations>
  <printOptions gridLines="1" gridLinesSet="0"/>
  <pageMargins left="0.75" right="0.75" top="1" bottom="1" header="0.5" footer="0.5"/>
  <pageSetup paperSize="9" scale="10" orientation="landscape" r:id="rId2"/>
  <headerFooter alignWithMargins="0">
    <oddHeader>&amp;A</oddHeader>
    <oddFooter>Page &amp;P</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2:IT166"/>
  <sheetViews>
    <sheetView zoomScale="75" workbookViewId="0">
      <pane ySplit="11" topLeftCell="A12" activePane="bottomLeft" state="frozen"/>
      <selection activeCell="BY1" sqref="BY1"/>
      <selection pane="bottomLeft" activeCell="HY112" sqref="HY112"/>
    </sheetView>
  </sheetViews>
  <sheetFormatPr defaultRowHeight="12.75" x14ac:dyDescent="0.2"/>
  <cols>
    <col min="143" max="202" width="11.42578125" customWidth="1"/>
  </cols>
  <sheetData>
    <row r="2" spans="1:254" x14ac:dyDescent="0.2">
      <c r="A2" s="35">
        <f>COLUMN()</f>
        <v>1</v>
      </c>
      <c r="B2" s="35">
        <f>COLUMN()</f>
        <v>2</v>
      </c>
      <c r="C2" s="35">
        <f>COLUMN()</f>
        <v>3</v>
      </c>
      <c r="D2" s="35">
        <f>COLUMN()</f>
        <v>4</v>
      </c>
      <c r="E2" s="35">
        <f>COLUMN()</f>
        <v>5</v>
      </c>
      <c r="F2" s="35">
        <f>COLUMN()</f>
        <v>6</v>
      </c>
      <c r="G2" s="35">
        <f>COLUMN()</f>
        <v>7</v>
      </c>
      <c r="H2" s="35">
        <f>COLUMN()</f>
        <v>8</v>
      </c>
      <c r="I2" s="35">
        <f>COLUMN()</f>
        <v>9</v>
      </c>
      <c r="J2" s="35">
        <f>COLUMN()</f>
        <v>10</v>
      </c>
      <c r="K2" s="35">
        <f>COLUMN()</f>
        <v>11</v>
      </c>
      <c r="L2" s="35">
        <f>COLUMN()</f>
        <v>12</v>
      </c>
      <c r="M2" s="35">
        <f>COLUMN()</f>
        <v>13</v>
      </c>
      <c r="N2" s="35">
        <f>COLUMN()</f>
        <v>14</v>
      </c>
      <c r="O2" s="35">
        <f>COLUMN()</f>
        <v>15</v>
      </c>
      <c r="P2" s="35">
        <f>COLUMN()</f>
        <v>16</v>
      </c>
      <c r="Q2" s="35">
        <f>COLUMN()</f>
        <v>17</v>
      </c>
      <c r="R2" s="35">
        <f>COLUMN()</f>
        <v>18</v>
      </c>
      <c r="S2" s="35">
        <f>COLUMN()</f>
        <v>19</v>
      </c>
      <c r="T2" s="35">
        <f>COLUMN()</f>
        <v>20</v>
      </c>
      <c r="U2" s="35">
        <f>COLUMN()</f>
        <v>21</v>
      </c>
      <c r="V2" s="35">
        <f>COLUMN()</f>
        <v>22</v>
      </c>
      <c r="W2" s="35">
        <f>COLUMN()</f>
        <v>23</v>
      </c>
      <c r="X2" s="35">
        <f>COLUMN()</f>
        <v>24</v>
      </c>
      <c r="Y2" s="35">
        <f>COLUMN()</f>
        <v>25</v>
      </c>
      <c r="Z2" s="35">
        <f>COLUMN()</f>
        <v>26</v>
      </c>
      <c r="AA2" s="35">
        <f>COLUMN()</f>
        <v>27</v>
      </c>
      <c r="AB2" s="35">
        <f>COLUMN()</f>
        <v>28</v>
      </c>
      <c r="AC2" s="35">
        <f>COLUMN()</f>
        <v>29</v>
      </c>
      <c r="AD2" s="35">
        <f>COLUMN()</f>
        <v>30</v>
      </c>
      <c r="AE2" s="35">
        <f>COLUMN()</f>
        <v>31</v>
      </c>
      <c r="AF2" s="35">
        <f>COLUMN()</f>
        <v>32</v>
      </c>
      <c r="AG2" s="35">
        <f>COLUMN()</f>
        <v>33</v>
      </c>
      <c r="AH2" s="35">
        <f>COLUMN()</f>
        <v>34</v>
      </c>
      <c r="AI2" s="35">
        <f>COLUMN()</f>
        <v>35</v>
      </c>
      <c r="AJ2" s="35">
        <f>COLUMN()</f>
        <v>36</v>
      </c>
      <c r="AK2" s="35">
        <f>COLUMN()</f>
        <v>37</v>
      </c>
      <c r="AL2" s="35">
        <f>COLUMN()</f>
        <v>38</v>
      </c>
      <c r="AM2" s="35">
        <f>COLUMN()</f>
        <v>39</v>
      </c>
      <c r="AN2" s="35">
        <f>COLUMN()</f>
        <v>40</v>
      </c>
      <c r="AO2" s="35">
        <f>COLUMN()</f>
        <v>41</v>
      </c>
      <c r="AP2" s="35">
        <f>COLUMN()</f>
        <v>42</v>
      </c>
      <c r="AQ2" s="35">
        <f>COLUMN()</f>
        <v>43</v>
      </c>
      <c r="AR2" s="35">
        <f>COLUMN()</f>
        <v>44</v>
      </c>
      <c r="AS2" s="35">
        <f>COLUMN()</f>
        <v>45</v>
      </c>
      <c r="AT2" s="35">
        <f>COLUMN()</f>
        <v>46</v>
      </c>
      <c r="AU2" s="35">
        <f>COLUMN()</f>
        <v>47</v>
      </c>
      <c r="AV2" s="35">
        <f>COLUMN()</f>
        <v>48</v>
      </c>
      <c r="AW2" s="35">
        <f>COLUMN()</f>
        <v>49</v>
      </c>
      <c r="AX2" s="35">
        <f>COLUMN()</f>
        <v>50</v>
      </c>
      <c r="AY2" s="35">
        <f>COLUMN()</f>
        <v>51</v>
      </c>
      <c r="AZ2" s="35">
        <f>COLUMN()</f>
        <v>52</v>
      </c>
      <c r="BA2" s="35">
        <f>COLUMN()</f>
        <v>53</v>
      </c>
      <c r="BB2" s="35">
        <f>COLUMN()</f>
        <v>54</v>
      </c>
      <c r="BC2" s="35">
        <f>COLUMN()</f>
        <v>55</v>
      </c>
      <c r="BD2" s="35">
        <f>COLUMN()</f>
        <v>56</v>
      </c>
      <c r="BE2" s="35">
        <f>COLUMN()</f>
        <v>57</v>
      </c>
      <c r="BF2" s="35">
        <f>COLUMN()</f>
        <v>58</v>
      </c>
      <c r="BG2" s="35">
        <f>COLUMN()</f>
        <v>59</v>
      </c>
      <c r="BH2" s="35">
        <f>COLUMN()</f>
        <v>60</v>
      </c>
      <c r="BI2" s="35">
        <f>COLUMN()</f>
        <v>61</v>
      </c>
      <c r="BJ2" s="35">
        <f>COLUMN()</f>
        <v>62</v>
      </c>
      <c r="BK2" s="35">
        <f>COLUMN()</f>
        <v>63</v>
      </c>
      <c r="BL2" s="35">
        <f>COLUMN()</f>
        <v>64</v>
      </c>
      <c r="BM2" s="35">
        <f>COLUMN()</f>
        <v>65</v>
      </c>
      <c r="BN2" s="35">
        <f>COLUMN()</f>
        <v>66</v>
      </c>
      <c r="BO2" s="35">
        <f>COLUMN()</f>
        <v>67</v>
      </c>
      <c r="BP2" s="35">
        <f>COLUMN()</f>
        <v>68</v>
      </c>
      <c r="BQ2" s="35">
        <f>COLUMN()</f>
        <v>69</v>
      </c>
      <c r="BR2" s="35">
        <f>COLUMN()</f>
        <v>70</v>
      </c>
      <c r="BS2" s="35">
        <f>COLUMN()</f>
        <v>71</v>
      </c>
      <c r="BT2" s="35">
        <f>COLUMN()</f>
        <v>72</v>
      </c>
      <c r="BU2" s="35">
        <f>COLUMN()</f>
        <v>73</v>
      </c>
      <c r="BV2" s="35">
        <f>COLUMN()</f>
        <v>74</v>
      </c>
      <c r="BW2" s="35">
        <f>COLUMN()</f>
        <v>75</v>
      </c>
      <c r="BX2" s="35">
        <f>COLUMN()</f>
        <v>76</v>
      </c>
      <c r="BY2" s="35">
        <f>COLUMN()</f>
        <v>77</v>
      </c>
      <c r="BZ2" s="35">
        <f>COLUMN()</f>
        <v>78</v>
      </c>
      <c r="CA2" s="35">
        <f>COLUMN()</f>
        <v>79</v>
      </c>
      <c r="CB2" s="35">
        <f>COLUMN()</f>
        <v>80</v>
      </c>
      <c r="CC2" s="35">
        <f>COLUMN()</f>
        <v>81</v>
      </c>
      <c r="CD2" s="35">
        <f>COLUMN()</f>
        <v>82</v>
      </c>
      <c r="CE2" s="35">
        <f>COLUMN()</f>
        <v>83</v>
      </c>
      <c r="CF2" s="35">
        <f>COLUMN()</f>
        <v>84</v>
      </c>
      <c r="CG2" s="35">
        <f>COLUMN()</f>
        <v>85</v>
      </c>
      <c r="CH2" s="35">
        <f>COLUMN()</f>
        <v>86</v>
      </c>
      <c r="CI2" s="35">
        <f>COLUMN()</f>
        <v>87</v>
      </c>
      <c r="CJ2" s="35">
        <f>COLUMN()</f>
        <v>88</v>
      </c>
      <c r="CK2" s="35">
        <f>COLUMN()</f>
        <v>89</v>
      </c>
      <c r="CL2" s="35">
        <f>COLUMN()</f>
        <v>90</v>
      </c>
      <c r="CM2" s="35">
        <f>COLUMN()</f>
        <v>91</v>
      </c>
      <c r="CN2" s="35">
        <f>COLUMN()</f>
        <v>92</v>
      </c>
      <c r="CO2" s="35">
        <f>COLUMN()</f>
        <v>93</v>
      </c>
      <c r="CP2" s="35">
        <f>COLUMN()</f>
        <v>94</v>
      </c>
      <c r="CQ2" s="35">
        <f>COLUMN()</f>
        <v>95</v>
      </c>
      <c r="CR2" s="35">
        <f>COLUMN()</f>
        <v>96</v>
      </c>
      <c r="CS2" s="35">
        <f>COLUMN()</f>
        <v>97</v>
      </c>
      <c r="CT2" s="35">
        <f>COLUMN()</f>
        <v>98</v>
      </c>
      <c r="CU2" s="35">
        <f>COLUMN()</f>
        <v>99</v>
      </c>
      <c r="CV2" s="35">
        <f>COLUMN()</f>
        <v>100</v>
      </c>
      <c r="CW2" s="35">
        <f>COLUMN()</f>
        <v>101</v>
      </c>
      <c r="CX2" s="35">
        <f>COLUMN()</f>
        <v>102</v>
      </c>
      <c r="CY2" s="35">
        <f>COLUMN()</f>
        <v>103</v>
      </c>
      <c r="CZ2" s="35">
        <f>COLUMN()</f>
        <v>104</v>
      </c>
      <c r="DA2" s="35">
        <f>COLUMN()</f>
        <v>105</v>
      </c>
      <c r="DB2" s="35">
        <f>COLUMN()</f>
        <v>106</v>
      </c>
      <c r="DC2" s="35">
        <f>COLUMN()</f>
        <v>107</v>
      </c>
      <c r="DD2" s="35">
        <f>COLUMN()</f>
        <v>108</v>
      </c>
      <c r="DE2" s="35">
        <f>COLUMN()</f>
        <v>109</v>
      </c>
      <c r="DF2" s="35">
        <f>COLUMN()</f>
        <v>110</v>
      </c>
      <c r="DG2" s="35">
        <f>COLUMN()</f>
        <v>111</v>
      </c>
      <c r="DH2" s="35">
        <f>COLUMN()</f>
        <v>112</v>
      </c>
      <c r="DI2" s="35">
        <f>COLUMN()</f>
        <v>113</v>
      </c>
      <c r="DJ2" s="35">
        <f>COLUMN()</f>
        <v>114</v>
      </c>
      <c r="DK2" s="35">
        <f>COLUMN()</f>
        <v>115</v>
      </c>
      <c r="DL2" s="35">
        <f>COLUMN()</f>
        <v>116</v>
      </c>
      <c r="DM2" s="35">
        <f>COLUMN()</f>
        <v>117</v>
      </c>
      <c r="DN2" s="35">
        <f>COLUMN()</f>
        <v>118</v>
      </c>
      <c r="DO2" s="35">
        <f>COLUMN()</f>
        <v>119</v>
      </c>
      <c r="DP2" s="35">
        <f>COLUMN()</f>
        <v>120</v>
      </c>
      <c r="DQ2" s="35">
        <f>COLUMN()</f>
        <v>121</v>
      </c>
      <c r="DR2" s="35">
        <f>COLUMN()</f>
        <v>122</v>
      </c>
      <c r="DS2" s="35">
        <f>COLUMN()</f>
        <v>123</v>
      </c>
      <c r="DT2" s="35">
        <f>COLUMN()</f>
        <v>124</v>
      </c>
      <c r="DU2" s="35">
        <f>COLUMN()</f>
        <v>125</v>
      </c>
      <c r="DV2" s="35">
        <f>COLUMN()</f>
        <v>126</v>
      </c>
      <c r="DW2" s="35">
        <f>COLUMN()</f>
        <v>127</v>
      </c>
      <c r="DX2" s="35">
        <f>COLUMN()</f>
        <v>128</v>
      </c>
      <c r="DY2" s="35">
        <f>COLUMN()</f>
        <v>129</v>
      </c>
      <c r="DZ2" s="35">
        <f>COLUMN()</f>
        <v>130</v>
      </c>
      <c r="EA2" s="35">
        <f>COLUMN()</f>
        <v>131</v>
      </c>
      <c r="EB2" s="35">
        <f>COLUMN()</f>
        <v>132</v>
      </c>
      <c r="EC2" s="35">
        <f>COLUMN()</f>
        <v>133</v>
      </c>
      <c r="ED2" s="35">
        <f>COLUMN()</f>
        <v>134</v>
      </c>
      <c r="EE2" s="35">
        <f>COLUMN()</f>
        <v>135</v>
      </c>
      <c r="EF2" s="35">
        <f>COLUMN()</f>
        <v>136</v>
      </c>
      <c r="EG2" s="35">
        <f>COLUMN()</f>
        <v>137</v>
      </c>
      <c r="EH2" s="35">
        <f>COLUMN()</f>
        <v>138</v>
      </c>
      <c r="EI2" s="35">
        <f>COLUMN()</f>
        <v>139</v>
      </c>
      <c r="EJ2" s="35">
        <f>COLUMN()</f>
        <v>140</v>
      </c>
      <c r="EK2" s="35">
        <f>COLUMN()</f>
        <v>141</v>
      </c>
      <c r="EL2" s="35">
        <f>COLUMN()</f>
        <v>142</v>
      </c>
      <c r="EM2" s="35">
        <f>COLUMN()</f>
        <v>143</v>
      </c>
      <c r="EN2" s="35">
        <f>COLUMN()</f>
        <v>144</v>
      </c>
      <c r="EO2" s="35">
        <f>COLUMN()</f>
        <v>145</v>
      </c>
      <c r="EP2" s="35">
        <f>COLUMN()</f>
        <v>146</v>
      </c>
      <c r="EQ2" s="35">
        <f>COLUMN()</f>
        <v>147</v>
      </c>
      <c r="ER2" s="35">
        <f>COLUMN()</f>
        <v>148</v>
      </c>
      <c r="ES2" s="35">
        <f>COLUMN()</f>
        <v>149</v>
      </c>
      <c r="ET2" s="35">
        <f>COLUMN()</f>
        <v>150</v>
      </c>
      <c r="EU2" s="35">
        <f>COLUMN()</f>
        <v>151</v>
      </c>
      <c r="EV2" s="35">
        <f>COLUMN()</f>
        <v>152</v>
      </c>
      <c r="EW2" s="35">
        <f>COLUMN()</f>
        <v>153</v>
      </c>
      <c r="EX2" s="35">
        <f>COLUMN()</f>
        <v>154</v>
      </c>
      <c r="EY2" s="35">
        <f>COLUMN()</f>
        <v>155</v>
      </c>
      <c r="EZ2" s="35">
        <f>COLUMN()</f>
        <v>156</v>
      </c>
      <c r="FA2" s="35">
        <f>COLUMN()</f>
        <v>157</v>
      </c>
      <c r="FB2" s="35">
        <f>COLUMN()</f>
        <v>158</v>
      </c>
      <c r="FC2" s="35">
        <f>COLUMN()</f>
        <v>159</v>
      </c>
      <c r="FD2" s="35">
        <f>COLUMN()</f>
        <v>160</v>
      </c>
      <c r="FE2" s="35">
        <f>COLUMN()</f>
        <v>161</v>
      </c>
      <c r="FF2" s="35">
        <f>COLUMN()</f>
        <v>162</v>
      </c>
      <c r="FG2" s="35">
        <f>COLUMN()</f>
        <v>163</v>
      </c>
      <c r="FH2" s="35">
        <f>COLUMN()</f>
        <v>164</v>
      </c>
      <c r="FI2" s="35">
        <f>COLUMN()</f>
        <v>165</v>
      </c>
      <c r="FJ2" s="35">
        <f>COLUMN()</f>
        <v>166</v>
      </c>
      <c r="FK2" s="35">
        <f>COLUMN()</f>
        <v>167</v>
      </c>
      <c r="FL2" s="35">
        <f>COLUMN()</f>
        <v>168</v>
      </c>
      <c r="FM2" s="35">
        <f>COLUMN()</f>
        <v>169</v>
      </c>
      <c r="FN2" s="35">
        <f>COLUMN()</f>
        <v>170</v>
      </c>
      <c r="FO2" s="35">
        <f>COLUMN()</f>
        <v>171</v>
      </c>
      <c r="FP2" s="35">
        <f>COLUMN()</f>
        <v>172</v>
      </c>
      <c r="FQ2" s="35">
        <f>COLUMN()</f>
        <v>173</v>
      </c>
      <c r="FR2" s="35">
        <f>COLUMN()</f>
        <v>174</v>
      </c>
      <c r="FS2" s="35">
        <f>COLUMN()</f>
        <v>175</v>
      </c>
      <c r="FT2" s="35">
        <f>COLUMN()</f>
        <v>176</v>
      </c>
      <c r="FU2" s="35">
        <f>COLUMN()</f>
        <v>177</v>
      </c>
      <c r="FV2" s="35">
        <f>COLUMN()</f>
        <v>178</v>
      </c>
      <c r="FW2" s="35">
        <f>COLUMN()</f>
        <v>179</v>
      </c>
      <c r="FX2" s="35">
        <f>COLUMN()</f>
        <v>180</v>
      </c>
      <c r="FY2" s="35">
        <f>COLUMN()</f>
        <v>181</v>
      </c>
      <c r="FZ2" s="35">
        <f>COLUMN()</f>
        <v>182</v>
      </c>
      <c r="GA2" s="35">
        <f>COLUMN()</f>
        <v>183</v>
      </c>
      <c r="GB2" s="35">
        <f>COLUMN()</f>
        <v>184</v>
      </c>
      <c r="GC2" s="35">
        <f>COLUMN()</f>
        <v>185</v>
      </c>
      <c r="GD2" s="35">
        <f>COLUMN()</f>
        <v>186</v>
      </c>
      <c r="GE2" s="35">
        <f>COLUMN()</f>
        <v>187</v>
      </c>
      <c r="GF2" s="35">
        <f>COLUMN()</f>
        <v>188</v>
      </c>
      <c r="GG2" s="35">
        <f>COLUMN()</f>
        <v>189</v>
      </c>
      <c r="GH2" s="35">
        <f>COLUMN()</f>
        <v>190</v>
      </c>
      <c r="GI2" s="35">
        <f>COLUMN()</f>
        <v>191</v>
      </c>
      <c r="GJ2" s="35">
        <f>COLUMN()</f>
        <v>192</v>
      </c>
      <c r="GK2" s="35">
        <f>COLUMN()</f>
        <v>193</v>
      </c>
      <c r="GL2" s="35">
        <f>COLUMN()</f>
        <v>194</v>
      </c>
      <c r="GM2" s="35">
        <f>COLUMN()</f>
        <v>195</v>
      </c>
      <c r="GN2" s="35">
        <f>COLUMN()</f>
        <v>196</v>
      </c>
      <c r="GO2" s="35">
        <f>COLUMN()</f>
        <v>197</v>
      </c>
      <c r="GP2" s="35">
        <f>COLUMN()</f>
        <v>198</v>
      </c>
      <c r="GQ2" s="35">
        <f>COLUMN()</f>
        <v>199</v>
      </c>
      <c r="GR2" s="35">
        <f>COLUMN()</f>
        <v>200</v>
      </c>
      <c r="GS2" s="35">
        <f>COLUMN()</f>
        <v>201</v>
      </c>
      <c r="GT2" s="35">
        <f>COLUMN()</f>
        <v>202</v>
      </c>
    </row>
    <row r="8" spans="1:254" x14ac:dyDescent="0.2">
      <c r="GZ8" s="20" t="s">
        <v>1131</v>
      </c>
      <c r="HG8" s="20" t="s">
        <v>1131</v>
      </c>
      <c r="HN8" s="20" t="s">
        <v>1131</v>
      </c>
      <c r="HT8" s="20" t="s">
        <v>1131</v>
      </c>
      <c r="HY8" s="20" t="s">
        <v>1132</v>
      </c>
      <c r="IF8" s="20" t="s">
        <v>1132</v>
      </c>
      <c r="IM8" s="20" t="s">
        <v>1132</v>
      </c>
      <c r="IS8" s="20" t="s">
        <v>1132</v>
      </c>
    </row>
    <row r="9" spans="1:254" x14ac:dyDescent="0.2">
      <c r="B9" s="879" t="s">
        <v>1073</v>
      </c>
      <c r="C9" s="875"/>
      <c r="D9" s="875"/>
      <c r="E9" s="875"/>
      <c r="F9" s="875"/>
      <c r="G9" s="875"/>
      <c r="H9" s="876"/>
      <c r="I9" s="879" t="s">
        <v>1073</v>
      </c>
      <c r="J9" s="875"/>
      <c r="K9" s="875"/>
      <c r="L9" s="875"/>
      <c r="M9" s="875"/>
      <c r="N9" s="875"/>
      <c r="O9" s="876"/>
      <c r="P9" s="879" t="s">
        <v>1073</v>
      </c>
      <c r="Q9" s="875"/>
      <c r="R9" s="875"/>
      <c r="S9" s="875"/>
      <c r="T9" s="875"/>
      <c r="U9" s="875"/>
      <c r="V9" s="876"/>
      <c r="W9" s="879" t="s">
        <v>1073</v>
      </c>
      <c r="X9" s="875"/>
      <c r="Y9" s="875"/>
      <c r="Z9" s="875"/>
      <c r="AA9" s="875"/>
      <c r="AB9" s="875"/>
      <c r="AC9" s="876"/>
      <c r="AD9" s="879" t="s">
        <v>1074</v>
      </c>
      <c r="AE9" s="875"/>
      <c r="AF9" s="875"/>
      <c r="AG9" s="875"/>
      <c r="AH9" s="875"/>
      <c r="AI9" s="875"/>
      <c r="AJ9" s="876"/>
      <c r="AK9" s="879" t="s">
        <v>1074</v>
      </c>
      <c r="AL9" s="875"/>
      <c r="AM9" s="875"/>
      <c r="AN9" s="875"/>
      <c r="AO9" s="875"/>
      <c r="AP9" s="875"/>
      <c r="AQ9" s="876"/>
      <c r="AR9" s="879" t="s">
        <v>1074</v>
      </c>
      <c r="AS9" s="875"/>
      <c r="AT9" s="875"/>
      <c r="AU9" s="875"/>
      <c r="AV9" s="875"/>
      <c r="AW9" s="875"/>
      <c r="AX9" s="876"/>
      <c r="AY9" s="879" t="s">
        <v>1074</v>
      </c>
      <c r="AZ9" s="875"/>
      <c r="BA9" s="875"/>
      <c r="BB9" s="875"/>
      <c r="BC9" s="875"/>
      <c r="BD9" s="875"/>
      <c r="BE9" s="876"/>
      <c r="BF9" s="879" t="s">
        <v>1075</v>
      </c>
      <c r="BG9" s="875"/>
      <c r="BH9" s="875"/>
      <c r="BI9" s="875"/>
      <c r="BJ9" s="875"/>
      <c r="BK9" s="875"/>
      <c r="BL9" s="876"/>
      <c r="BM9" s="879" t="s">
        <v>1075</v>
      </c>
      <c r="BN9" s="875"/>
      <c r="BO9" s="875"/>
      <c r="BP9" s="875"/>
      <c r="BQ9" s="875"/>
      <c r="BR9" s="875"/>
      <c r="BS9" s="876"/>
      <c r="BT9" s="879" t="s">
        <v>1075</v>
      </c>
      <c r="BU9" s="875"/>
      <c r="BV9" s="875"/>
      <c r="BW9" s="875"/>
      <c r="BX9" s="875"/>
      <c r="BY9" s="875"/>
      <c r="BZ9" s="876"/>
      <c r="CA9" s="879" t="s">
        <v>1075</v>
      </c>
      <c r="CB9" s="875"/>
      <c r="CC9" s="875"/>
      <c r="CD9" s="875"/>
      <c r="CE9" s="875"/>
      <c r="CF9" s="875"/>
      <c r="CG9" s="876"/>
      <c r="CH9" s="879" t="s">
        <v>1076</v>
      </c>
      <c r="CI9" s="875"/>
      <c r="CJ9" s="875"/>
      <c r="CK9" s="875"/>
      <c r="CL9" s="875"/>
      <c r="CM9" s="875"/>
      <c r="CN9" s="876"/>
      <c r="CO9" s="879" t="s">
        <v>1076</v>
      </c>
      <c r="CP9" s="875"/>
      <c r="CQ9" s="875"/>
      <c r="CR9" s="875"/>
      <c r="CS9" s="875"/>
      <c r="CT9" s="875"/>
      <c r="CU9" s="876"/>
      <c r="CV9" s="879" t="s">
        <v>1076</v>
      </c>
      <c r="CW9" s="875"/>
      <c r="CX9" s="875"/>
      <c r="CY9" s="875"/>
      <c r="CZ9" s="875"/>
      <c r="DA9" s="875"/>
      <c r="DB9" s="876"/>
      <c r="DC9" s="879" t="s">
        <v>1076</v>
      </c>
      <c r="DD9" s="875"/>
      <c r="DE9" s="875"/>
      <c r="DF9" s="875"/>
      <c r="DG9" s="875"/>
      <c r="DH9" s="875"/>
      <c r="DI9" s="876"/>
      <c r="DJ9" s="879" t="s">
        <v>1077</v>
      </c>
      <c r="DK9" s="875"/>
      <c r="DL9" s="875"/>
      <c r="DM9" s="875"/>
      <c r="DN9" s="875"/>
      <c r="DO9" s="875"/>
      <c r="DP9" s="876"/>
      <c r="DQ9" s="879" t="s">
        <v>1077</v>
      </c>
      <c r="DR9" s="875"/>
      <c r="DS9" s="875"/>
      <c r="DT9" s="875"/>
      <c r="DU9" s="875"/>
      <c r="DV9" s="875"/>
      <c r="DW9" s="876"/>
      <c r="DX9" s="879" t="s">
        <v>1077</v>
      </c>
      <c r="DY9" s="875"/>
      <c r="DZ9" s="875"/>
      <c r="EA9" s="875"/>
      <c r="EB9" s="875"/>
      <c r="EC9" s="875"/>
      <c r="ED9" s="876"/>
      <c r="EE9" s="879" t="s">
        <v>1077</v>
      </c>
      <c r="EF9" s="875"/>
      <c r="EG9" s="875"/>
      <c r="EH9" s="875"/>
      <c r="EI9" s="875"/>
      <c r="EJ9" s="875"/>
      <c r="EK9" s="876"/>
    </row>
    <row r="10" spans="1:254" ht="63" customHeight="1" x14ac:dyDescent="0.2">
      <c r="A10" s="551" t="s">
        <v>1078</v>
      </c>
      <c r="B10" s="551" t="s">
        <v>760</v>
      </c>
      <c r="C10" s="552" t="s">
        <v>761</v>
      </c>
      <c r="D10" s="552" t="s">
        <v>762</v>
      </c>
      <c r="E10" s="552" t="s">
        <v>763</v>
      </c>
      <c r="F10" s="552" t="s">
        <v>764</v>
      </c>
      <c r="G10" s="552" t="s">
        <v>765</v>
      </c>
      <c r="H10" s="552" t="s">
        <v>1051</v>
      </c>
      <c r="I10" s="551" t="s">
        <v>760</v>
      </c>
      <c r="J10" s="552" t="s">
        <v>761</v>
      </c>
      <c r="K10" s="552" t="s">
        <v>762</v>
      </c>
      <c r="L10" s="552" t="s">
        <v>763</v>
      </c>
      <c r="M10" s="552" t="s">
        <v>764</v>
      </c>
      <c r="N10" s="552" t="s">
        <v>765</v>
      </c>
      <c r="O10" s="552" t="s">
        <v>1051</v>
      </c>
      <c r="P10" s="551" t="s">
        <v>760</v>
      </c>
      <c r="Q10" s="552" t="s">
        <v>761</v>
      </c>
      <c r="R10" s="552" t="s">
        <v>762</v>
      </c>
      <c r="S10" s="552" t="s">
        <v>763</v>
      </c>
      <c r="T10" s="552" t="s">
        <v>764</v>
      </c>
      <c r="U10" s="552" t="s">
        <v>765</v>
      </c>
      <c r="V10" s="552" t="s">
        <v>1051</v>
      </c>
      <c r="W10" s="551" t="s">
        <v>760</v>
      </c>
      <c r="X10" s="552" t="s">
        <v>761</v>
      </c>
      <c r="Y10" s="552" t="s">
        <v>762</v>
      </c>
      <c r="Z10" s="552" t="s">
        <v>763</v>
      </c>
      <c r="AA10" s="552" t="s">
        <v>764</v>
      </c>
      <c r="AB10" s="552" t="s">
        <v>765</v>
      </c>
      <c r="AC10" s="552" t="s">
        <v>1051</v>
      </c>
      <c r="AD10" s="551" t="s">
        <v>760</v>
      </c>
      <c r="AE10" s="552" t="s">
        <v>761</v>
      </c>
      <c r="AF10" s="552" t="s">
        <v>762</v>
      </c>
      <c r="AG10" s="552" t="s">
        <v>763</v>
      </c>
      <c r="AH10" s="552" t="s">
        <v>764</v>
      </c>
      <c r="AI10" s="552" t="s">
        <v>765</v>
      </c>
      <c r="AJ10" s="552" t="s">
        <v>1051</v>
      </c>
      <c r="AK10" s="551" t="s">
        <v>760</v>
      </c>
      <c r="AL10" s="552" t="s">
        <v>761</v>
      </c>
      <c r="AM10" s="552" t="s">
        <v>762</v>
      </c>
      <c r="AN10" s="552" t="s">
        <v>763</v>
      </c>
      <c r="AO10" s="552" t="s">
        <v>764</v>
      </c>
      <c r="AP10" s="552" t="s">
        <v>765</v>
      </c>
      <c r="AQ10" s="552" t="s">
        <v>1051</v>
      </c>
      <c r="AR10" s="551" t="s">
        <v>760</v>
      </c>
      <c r="AS10" s="552" t="s">
        <v>761</v>
      </c>
      <c r="AT10" s="552" t="s">
        <v>762</v>
      </c>
      <c r="AU10" s="552" t="s">
        <v>763</v>
      </c>
      <c r="AV10" s="552" t="s">
        <v>764</v>
      </c>
      <c r="AW10" s="552" t="s">
        <v>765</v>
      </c>
      <c r="AX10" s="552" t="s">
        <v>1051</v>
      </c>
      <c r="AY10" s="551" t="s">
        <v>760</v>
      </c>
      <c r="AZ10" s="552" t="s">
        <v>761</v>
      </c>
      <c r="BA10" s="552" t="s">
        <v>762</v>
      </c>
      <c r="BB10" s="552" t="s">
        <v>763</v>
      </c>
      <c r="BC10" s="552" t="s">
        <v>764</v>
      </c>
      <c r="BD10" s="552" t="s">
        <v>765</v>
      </c>
      <c r="BE10" s="552" t="s">
        <v>1051</v>
      </c>
      <c r="BF10" s="551" t="s">
        <v>760</v>
      </c>
      <c r="BG10" s="552" t="s">
        <v>761</v>
      </c>
      <c r="BH10" s="552" t="s">
        <v>762</v>
      </c>
      <c r="BI10" s="552" t="s">
        <v>763</v>
      </c>
      <c r="BJ10" s="552" t="s">
        <v>764</v>
      </c>
      <c r="BK10" s="552" t="s">
        <v>765</v>
      </c>
      <c r="BL10" s="552" t="s">
        <v>1051</v>
      </c>
      <c r="BM10" s="551" t="s">
        <v>760</v>
      </c>
      <c r="BN10" s="552" t="s">
        <v>761</v>
      </c>
      <c r="BO10" s="552" t="s">
        <v>762</v>
      </c>
      <c r="BP10" s="552" t="s">
        <v>763</v>
      </c>
      <c r="BQ10" s="552" t="s">
        <v>764</v>
      </c>
      <c r="BR10" s="552" t="s">
        <v>765</v>
      </c>
      <c r="BS10" s="552" t="s">
        <v>1051</v>
      </c>
      <c r="BT10" s="551" t="s">
        <v>760</v>
      </c>
      <c r="BU10" s="552" t="s">
        <v>761</v>
      </c>
      <c r="BV10" s="552" t="s">
        <v>762</v>
      </c>
      <c r="BW10" s="552" t="s">
        <v>763</v>
      </c>
      <c r="BX10" s="552" t="s">
        <v>764</v>
      </c>
      <c r="BY10" s="552" t="s">
        <v>765</v>
      </c>
      <c r="BZ10" s="552" t="s">
        <v>1051</v>
      </c>
      <c r="CA10" s="551" t="s">
        <v>760</v>
      </c>
      <c r="CB10" s="552" t="s">
        <v>761</v>
      </c>
      <c r="CC10" s="552" t="s">
        <v>762</v>
      </c>
      <c r="CD10" s="552" t="s">
        <v>763</v>
      </c>
      <c r="CE10" s="552" t="s">
        <v>764</v>
      </c>
      <c r="CF10" s="552" t="s">
        <v>765</v>
      </c>
      <c r="CG10" s="552" t="s">
        <v>1051</v>
      </c>
      <c r="CH10" s="551" t="s">
        <v>760</v>
      </c>
      <c r="CI10" s="552" t="s">
        <v>761</v>
      </c>
      <c r="CJ10" s="552" t="s">
        <v>762</v>
      </c>
      <c r="CK10" s="552" t="s">
        <v>763</v>
      </c>
      <c r="CL10" s="552" t="s">
        <v>764</v>
      </c>
      <c r="CM10" s="552" t="s">
        <v>765</v>
      </c>
      <c r="CN10" s="552" t="s">
        <v>1051</v>
      </c>
      <c r="CO10" s="551" t="s">
        <v>760</v>
      </c>
      <c r="CP10" s="552" t="s">
        <v>761</v>
      </c>
      <c r="CQ10" s="552" t="s">
        <v>762</v>
      </c>
      <c r="CR10" s="552" t="s">
        <v>763</v>
      </c>
      <c r="CS10" s="552" t="s">
        <v>764</v>
      </c>
      <c r="CT10" s="552" t="s">
        <v>765</v>
      </c>
      <c r="CU10" s="552" t="s">
        <v>1051</v>
      </c>
      <c r="CV10" s="551" t="s">
        <v>760</v>
      </c>
      <c r="CW10" s="552" t="s">
        <v>761</v>
      </c>
      <c r="CX10" s="552" t="s">
        <v>762</v>
      </c>
      <c r="CY10" s="552" t="s">
        <v>763</v>
      </c>
      <c r="CZ10" s="552" t="s">
        <v>764</v>
      </c>
      <c r="DA10" s="552" t="s">
        <v>765</v>
      </c>
      <c r="DB10" s="552" t="s">
        <v>1051</v>
      </c>
      <c r="DC10" s="551" t="s">
        <v>760</v>
      </c>
      <c r="DD10" s="552" t="s">
        <v>761</v>
      </c>
      <c r="DE10" s="552" t="s">
        <v>762</v>
      </c>
      <c r="DF10" s="552" t="s">
        <v>763</v>
      </c>
      <c r="DG10" s="552" t="s">
        <v>764</v>
      </c>
      <c r="DH10" s="552" t="s">
        <v>765</v>
      </c>
      <c r="DI10" s="553" t="s">
        <v>1051</v>
      </c>
      <c r="DJ10" s="551" t="s">
        <v>760</v>
      </c>
      <c r="DK10" s="552" t="s">
        <v>761</v>
      </c>
      <c r="DL10" s="552" t="s">
        <v>762</v>
      </c>
      <c r="DM10" s="552" t="s">
        <v>763</v>
      </c>
      <c r="DN10" s="552" t="s">
        <v>764</v>
      </c>
      <c r="DO10" s="552" t="s">
        <v>765</v>
      </c>
      <c r="DP10" s="552" t="s">
        <v>1051</v>
      </c>
      <c r="DQ10" s="551" t="s">
        <v>760</v>
      </c>
      <c r="DR10" s="552" t="s">
        <v>761</v>
      </c>
      <c r="DS10" s="552" t="s">
        <v>762</v>
      </c>
      <c r="DT10" s="552" t="s">
        <v>763</v>
      </c>
      <c r="DU10" s="552" t="s">
        <v>764</v>
      </c>
      <c r="DV10" s="552" t="s">
        <v>765</v>
      </c>
      <c r="DW10" s="552" t="s">
        <v>1051</v>
      </c>
      <c r="DX10" s="551" t="s">
        <v>760</v>
      </c>
      <c r="DY10" s="552" t="s">
        <v>761</v>
      </c>
      <c r="DZ10" s="552" t="s">
        <v>762</v>
      </c>
      <c r="EA10" s="552" t="s">
        <v>763</v>
      </c>
      <c r="EB10" s="552" t="s">
        <v>764</v>
      </c>
      <c r="EC10" s="552" t="s">
        <v>765</v>
      </c>
      <c r="ED10" s="552" t="s">
        <v>1051</v>
      </c>
      <c r="EE10" s="551" t="s">
        <v>760</v>
      </c>
      <c r="EF10" s="552" t="s">
        <v>761</v>
      </c>
      <c r="EG10" s="552" t="s">
        <v>762</v>
      </c>
      <c r="EH10" s="552" t="s">
        <v>763</v>
      </c>
      <c r="EI10" s="552" t="s">
        <v>764</v>
      </c>
      <c r="EJ10" s="552" t="s">
        <v>765</v>
      </c>
      <c r="EK10" s="553" t="s">
        <v>1051</v>
      </c>
      <c r="EL10" s="213" t="s">
        <v>138</v>
      </c>
      <c r="EM10" s="551" t="s">
        <v>760</v>
      </c>
      <c r="EN10" s="552" t="s">
        <v>761</v>
      </c>
      <c r="EO10" s="552" t="s">
        <v>762</v>
      </c>
      <c r="EP10" s="552" t="s">
        <v>763</v>
      </c>
      <c r="EQ10" s="552" t="s">
        <v>764</v>
      </c>
      <c r="ER10" s="552" t="s">
        <v>765</v>
      </c>
      <c r="ES10" s="552" t="s">
        <v>1051</v>
      </c>
      <c r="ET10" s="552" t="s">
        <v>766</v>
      </c>
      <c r="EU10" s="552" t="s">
        <v>772</v>
      </c>
      <c r="EV10" s="552" t="s">
        <v>773</v>
      </c>
      <c r="EW10" s="552" t="s">
        <v>774</v>
      </c>
      <c r="EX10" s="552" t="s">
        <v>775</v>
      </c>
      <c r="EY10" s="552" t="s">
        <v>776</v>
      </c>
      <c r="EZ10" s="552" t="s">
        <v>777</v>
      </c>
      <c r="FA10" s="553" t="s">
        <v>778</v>
      </c>
      <c r="FB10" s="551" t="s">
        <v>760</v>
      </c>
      <c r="FC10" s="552" t="s">
        <v>761</v>
      </c>
      <c r="FD10" s="552" t="s">
        <v>762</v>
      </c>
      <c r="FE10" s="552" t="s">
        <v>763</v>
      </c>
      <c r="FF10" s="552" t="s">
        <v>764</v>
      </c>
      <c r="FG10" s="552" t="s">
        <v>765</v>
      </c>
      <c r="FH10" s="552" t="s">
        <v>1051</v>
      </c>
      <c r="FI10" s="552" t="s">
        <v>766</v>
      </c>
      <c r="FJ10" s="552" t="s">
        <v>772</v>
      </c>
      <c r="FK10" s="552" t="s">
        <v>773</v>
      </c>
      <c r="FL10" s="552" t="s">
        <v>774</v>
      </c>
      <c r="FM10" s="552" t="s">
        <v>775</v>
      </c>
      <c r="FN10" s="552" t="s">
        <v>776</v>
      </c>
      <c r="FO10" s="552" t="s">
        <v>777</v>
      </c>
      <c r="FP10" s="553" t="s">
        <v>778</v>
      </c>
      <c r="FQ10" s="551" t="s">
        <v>760</v>
      </c>
      <c r="FR10" s="552" t="s">
        <v>761</v>
      </c>
      <c r="FS10" s="552" t="s">
        <v>762</v>
      </c>
      <c r="FT10" s="552" t="s">
        <v>763</v>
      </c>
      <c r="FU10" s="552" t="s">
        <v>764</v>
      </c>
      <c r="FV10" s="552" t="s">
        <v>765</v>
      </c>
      <c r="FW10" s="552" t="s">
        <v>1051</v>
      </c>
      <c r="FX10" s="552" t="s">
        <v>766</v>
      </c>
      <c r="FY10" s="552" t="s">
        <v>772</v>
      </c>
      <c r="FZ10" s="552" t="s">
        <v>773</v>
      </c>
      <c r="GA10" s="552" t="s">
        <v>774</v>
      </c>
      <c r="GB10" s="552" t="s">
        <v>775</v>
      </c>
      <c r="GC10" s="552" t="s">
        <v>776</v>
      </c>
      <c r="GD10" s="552" t="s">
        <v>777</v>
      </c>
      <c r="GE10" s="553" t="s">
        <v>778</v>
      </c>
      <c r="GF10" s="551" t="s">
        <v>760</v>
      </c>
      <c r="GG10" s="552" t="s">
        <v>761</v>
      </c>
      <c r="GH10" s="552" t="s">
        <v>762</v>
      </c>
      <c r="GI10" s="552" t="s">
        <v>763</v>
      </c>
      <c r="GJ10" s="552" t="s">
        <v>764</v>
      </c>
      <c r="GK10" s="552" t="s">
        <v>765</v>
      </c>
      <c r="GL10" s="552" t="s">
        <v>1051</v>
      </c>
      <c r="GM10" s="552" t="s">
        <v>766</v>
      </c>
      <c r="GN10" s="552" t="s">
        <v>772</v>
      </c>
      <c r="GO10" s="552" t="s">
        <v>773</v>
      </c>
      <c r="GP10" s="552" t="s">
        <v>774</v>
      </c>
      <c r="GQ10" s="552" t="s">
        <v>775</v>
      </c>
      <c r="GR10" s="552" t="s">
        <v>776</v>
      </c>
      <c r="GS10" s="552" t="s">
        <v>777</v>
      </c>
      <c r="GT10" s="553" t="s">
        <v>778</v>
      </c>
      <c r="GX10" s="551" t="s">
        <v>760</v>
      </c>
      <c r="GY10" s="552" t="s">
        <v>761</v>
      </c>
      <c r="GZ10" s="552" t="s">
        <v>762</v>
      </c>
      <c r="HA10" s="552" t="s">
        <v>763</v>
      </c>
      <c r="HB10" s="552" t="s">
        <v>764</v>
      </c>
      <c r="HC10" s="552" t="s">
        <v>765</v>
      </c>
      <c r="HD10" s="552" t="s">
        <v>1051</v>
      </c>
      <c r="HE10" s="551" t="s">
        <v>760</v>
      </c>
      <c r="HF10" s="552" t="s">
        <v>761</v>
      </c>
      <c r="HG10" s="552" t="s">
        <v>762</v>
      </c>
      <c r="HH10" s="552" t="s">
        <v>763</v>
      </c>
      <c r="HI10" s="552" t="s">
        <v>764</v>
      </c>
      <c r="HJ10" s="552" t="s">
        <v>765</v>
      </c>
      <c r="HK10" s="552" t="s">
        <v>1051</v>
      </c>
      <c r="HL10" s="551" t="s">
        <v>760</v>
      </c>
      <c r="HM10" s="552" t="s">
        <v>761</v>
      </c>
      <c r="HN10" s="552" t="s">
        <v>762</v>
      </c>
      <c r="HO10" s="552" t="s">
        <v>763</v>
      </c>
      <c r="HP10" s="552" t="s">
        <v>764</v>
      </c>
      <c r="HQ10" s="552" t="s">
        <v>765</v>
      </c>
      <c r="HR10" s="552" t="s">
        <v>1051</v>
      </c>
      <c r="HS10" s="551" t="s">
        <v>762</v>
      </c>
      <c r="HT10" s="552" t="s">
        <v>763</v>
      </c>
      <c r="HU10" s="553" t="s">
        <v>764</v>
      </c>
      <c r="HW10" s="551" t="s">
        <v>760</v>
      </c>
      <c r="HX10" s="552" t="s">
        <v>761</v>
      </c>
      <c r="HY10" s="552" t="s">
        <v>762</v>
      </c>
      <c r="HZ10" s="552" t="s">
        <v>763</v>
      </c>
      <c r="IA10" s="552" t="s">
        <v>764</v>
      </c>
      <c r="IB10" s="552" t="s">
        <v>765</v>
      </c>
      <c r="IC10" s="552" t="s">
        <v>1051</v>
      </c>
      <c r="ID10" s="551" t="s">
        <v>760</v>
      </c>
      <c r="IE10" s="552" t="s">
        <v>761</v>
      </c>
      <c r="IF10" s="552" t="s">
        <v>762</v>
      </c>
      <c r="IG10" s="552" t="s">
        <v>763</v>
      </c>
      <c r="IH10" s="552" t="s">
        <v>764</v>
      </c>
      <c r="II10" s="552" t="s">
        <v>765</v>
      </c>
      <c r="IJ10" s="552" t="s">
        <v>1051</v>
      </c>
      <c r="IK10" s="551" t="s">
        <v>760</v>
      </c>
      <c r="IL10" s="552" t="s">
        <v>761</v>
      </c>
      <c r="IM10" s="552" t="s">
        <v>762</v>
      </c>
      <c r="IN10" s="552" t="s">
        <v>763</v>
      </c>
      <c r="IO10" s="552" t="s">
        <v>764</v>
      </c>
      <c r="IP10" s="552" t="s">
        <v>765</v>
      </c>
      <c r="IQ10" s="552" t="s">
        <v>1051</v>
      </c>
      <c r="IR10" s="551" t="s">
        <v>762</v>
      </c>
      <c r="IS10" s="552" t="s">
        <v>763</v>
      </c>
      <c r="IT10" s="553" t="s">
        <v>764</v>
      </c>
    </row>
    <row r="11" spans="1:254" x14ac:dyDescent="0.2">
      <c r="B11" s="874" t="s">
        <v>767</v>
      </c>
      <c r="C11" s="875"/>
      <c r="D11" s="875"/>
      <c r="E11" s="875"/>
      <c r="F11" s="875"/>
      <c r="G11" s="875"/>
      <c r="H11" s="876"/>
      <c r="I11" s="877" t="s">
        <v>768</v>
      </c>
      <c r="J11" s="875"/>
      <c r="K11" s="875"/>
      <c r="L11" s="875"/>
      <c r="M11" s="875"/>
      <c r="N11" s="875"/>
      <c r="O11" s="876"/>
      <c r="P11" s="878" t="s">
        <v>769</v>
      </c>
      <c r="Q11" s="875"/>
      <c r="R11" s="875"/>
      <c r="S11" s="875"/>
      <c r="T11" s="875"/>
      <c r="U11" s="875"/>
      <c r="V11" s="876"/>
      <c r="W11" s="871" t="s">
        <v>779</v>
      </c>
      <c r="X11" s="872"/>
      <c r="Y11" s="872"/>
      <c r="Z11" s="872"/>
      <c r="AA11" s="872"/>
      <c r="AB11" s="872"/>
      <c r="AC11" s="872"/>
      <c r="AD11" s="874" t="s">
        <v>767</v>
      </c>
      <c r="AE11" s="875"/>
      <c r="AF11" s="875"/>
      <c r="AG11" s="875"/>
      <c r="AH11" s="875"/>
      <c r="AI11" s="875"/>
      <c r="AJ11" s="876"/>
      <c r="AK11" s="877" t="s">
        <v>768</v>
      </c>
      <c r="AL11" s="875"/>
      <c r="AM11" s="875"/>
      <c r="AN11" s="875"/>
      <c r="AO11" s="875"/>
      <c r="AP11" s="875"/>
      <c r="AQ11" s="876"/>
      <c r="AR11" s="878" t="s">
        <v>769</v>
      </c>
      <c r="AS11" s="875"/>
      <c r="AT11" s="875"/>
      <c r="AU11" s="875"/>
      <c r="AV11" s="875"/>
      <c r="AW11" s="875"/>
      <c r="AX11" s="876"/>
      <c r="AY11" s="871" t="s">
        <v>779</v>
      </c>
      <c r="AZ11" s="872"/>
      <c r="BA11" s="872"/>
      <c r="BB11" s="872"/>
      <c r="BC11" s="872"/>
      <c r="BD11" s="872"/>
      <c r="BE11" s="872"/>
      <c r="BF11" s="874" t="s">
        <v>767</v>
      </c>
      <c r="BG11" s="875"/>
      <c r="BH11" s="875"/>
      <c r="BI11" s="875"/>
      <c r="BJ11" s="875"/>
      <c r="BK11" s="875"/>
      <c r="BL11" s="876"/>
      <c r="BM11" s="877" t="s">
        <v>768</v>
      </c>
      <c r="BN11" s="875"/>
      <c r="BO11" s="875"/>
      <c r="BP11" s="875"/>
      <c r="BQ11" s="875"/>
      <c r="BR11" s="875"/>
      <c r="BS11" s="876"/>
      <c r="BT11" s="878" t="s">
        <v>769</v>
      </c>
      <c r="BU11" s="875"/>
      <c r="BV11" s="875"/>
      <c r="BW11" s="875"/>
      <c r="BX11" s="875"/>
      <c r="BY11" s="875"/>
      <c r="BZ11" s="876"/>
      <c r="CA11" s="871" t="s">
        <v>779</v>
      </c>
      <c r="CB11" s="872"/>
      <c r="CC11" s="872"/>
      <c r="CD11" s="872"/>
      <c r="CE11" s="872"/>
      <c r="CF11" s="872"/>
      <c r="CG11" s="872"/>
      <c r="CH11" s="874" t="s">
        <v>767</v>
      </c>
      <c r="CI11" s="875"/>
      <c r="CJ11" s="875"/>
      <c r="CK11" s="875"/>
      <c r="CL11" s="875"/>
      <c r="CM11" s="875"/>
      <c r="CN11" s="876"/>
      <c r="CO11" s="877" t="s">
        <v>768</v>
      </c>
      <c r="CP11" s="875"/>
      <c r="CQ11" s="875"/>
      <c r="CR11" s="875"/>
      <c r="CS11" s="875"/>
      <c r="CT11" s="875"/>
      <c r="CU11" s="876"/>
      <c r="CV11" s="878" t="s">
        <v>769</v>
      </c>
      <c r="CW11" s="875"/>
      <c r="CX11" s="875"/>
      <c r="CY11" s="875"/>
      <c r="CZ11" s="875"/>
      <c r="DA11" s="875"/>
      <c r="DB11" s="876"/>
      <c r="DC11" s="871" t="s">
        <v>779</v>
      </c>
      <c r="DD11" s="872"/>
      <c r="DE11" s="872"/>
      <c r="DF11" s="872"/>
      <c r="DG11" s="872"/>
      <c r="DH11" s="872"/>
      <c r="DI11" s="873"/>
      <c r="DJ11" s="874" t="s">
        <v>767</v>
      </c>
      <c r="DK11" s="875"/>
      <c r="DL11" s="875"/>
      <c r="DM11" s="875"/>
      <c r="DN11" s="875"/>
      <c r="DO11" s="875"/>
      <c r="DP11" s="876"/>
      <c r="DQ11" s="877" t="s">
        <v>768</v>
      </c>
      <c r="DR11" s="875"/>
      <c r="DS11" s="875"/>
      <c r="DT11" s="875"/>
      <c r="DU11" s="875"/>
      <c r="DV11" s="875"/>
      <c r="DW11" s="876"/>
      <c r="DX11" s="878" t="s">
        <v>769</v>
      </c>
      <c r="DY11" s="875"/>
      <c r="DZ11" s="875"/>
      <c r="EA11" s="875"/>
      <c r="EB11" s="875"/>
      <c r="EC11" s="875"/>
      <c r="ED11" s="876"/>
      <c r="EE11" s="871" t="s">
        <v>779</v>
      </c>
      <c r="EF11" s="872"/>
      <c r="EG11" s="872"/>
      <c r="EH11" s="872"/>
      <c r="EI11" s="872"/>
      <c r="EJ11" s="872"/>
      <c r="EK11" s="873"/>
      <c r="EM11" s="874" t="s">
        <v>767</v>
      </c>
      <c r="EN11" s="880"/>
      <c r="EO11" s="880"/>
      <c r="EP11" s="880"/>
      <c r="EQ11" s="880"/>
      <c r="ER11" s="880"/>
      <c r="ES11" s="880"/>
      <c r="ET11" s="880"/>
      <c r="EU11" s="872"/>
      <c r="EV11" s="872"/>
      <c r="EW11" s="872"/>
      <c r="EX11" s="872"/>
      <c r="EY11" s="872"/>
      <c r="EZ11" s="872"/>
      <c r="FA11" s="873"/>
      <c r="FB11" s="877" t="s">
        <v>768</v>
      </c>
      <c r="FC11" s="881"/>
      <c r="FD11" s="881"/>
      <c r="FE11" s="881"/>
      <c r="FF11" s="881"/>
      <c r="FG11" s="881"/>
      <c r="FH11" s="881"/>
      <c r="FI11" s="881"/>
      <c r="FJ11" s="882"/>
      <c r="FK11" s="882"/>
      <c r="FL11" s="882"/>
      <c r="FM11" s="882"/>
      <c r="FN11" s="882"/>
      <c r="FO11" s="882"/>
      <c r="FP11" s="883"/>
      <c r="FQ11" s="878" t="s">
        <v>769</v>
      </c>
      <c r="FR11" s="884"/>
      <c r="FS11" s="884"/>
      <c r="FT11" s="884"/>
      <c r="FU11" s="884"/>
      <c r="FV11" s="884"/>
      <c r="FW11" s="884"/>
      <c r="FX11" s="884"/>
      <c r="FY11" s="885"/>
      <c r="FZ11" s="885"/>
      <c r="GA11" s="885"/>
      <c r="GB11" s="885"/>
      <c r="GC11" s="885"/>
      <c r="GD11" s="885"/>
      <c r="GE11" s="886"/>
      <c r="GF11" s="871" t="s">
        <v>779</v>
      </c>
      <c r="GG11" s="887"/>
      <c r="GH11" s="887"/>
      <c r="GI11" s="887"/>
      <c r="GJ11" s="887"/>
      <c r="GK11" s="887"/>
      <c r="GL11" s="887"/>
      <c r="GM11" s="887"/>
      <c r="GN11" s="888"/>
      <c r="GO11" s="888"/>
      <c r="GP11" s="888"/>
      <c r="GQ11" s="888"/>
      <c r="GR11" s="888"/>
      <c r="GS11" s="888"/>
      <c r="GT11" s="889"/>
      <c r="GX11" s="874" t="s">
        <v>767</v>
      </c>
      <c r="GY11" s="875"/>
      <c r="GZ11" s="875"/>
      <c r="HA11" s="875"/>
      <c r="HB11" s="875"/>
      <c r="HC11" s="875"/>
      <c r="HD11" s="876"/>
      <c r="HE11" s="877" t="s">
        <v>768</v>
      </c>
      <c r="HF11" s="875"/>
      <c r="HG11" s="875"/>
      <c r="HH11" s="875"/>
      <c r="HI11" s="875"/>
      <c r="HJ11" s="875"/>
      <c r="HK11" s="876"/>
      <c r="HL11" s="878" t="s">
        <v>769</v>
      </c>
      <c r="HM11" s="875"/>
      <c r="HN11" s="875"/>
      <c r="HO11" s="875"/>
      <c r="HP11" s="875"/>
      <c r="HQ11" s="875"/>
      <c r="HR11" s="875"/>
      <c r="HS11" s="871" t="s">
        <v>648</v>
      </c>
      <c r="HT11" s="872"/>
      <c r="HU11" s="873"/>
      <c r="HW11" s="874" t="s">
        <v>767</v>
      </c>
      <c r="HX11" s="875"/>
      <c r="HY11" s="875"/>
      <c r="HZ11" s="875"/>
      <c r="IA11" s="875"/>
      <c r="IB11" s="875"/>
      <c r="IC11" s="876"/>
      <c r="ID11" s="877" t="s">
        <v>768</v>
      </c>
      <c r="IE11" s="875"/>
      <c r="IF11" s="875"/>
      <c r="IG11" s="875"/>
      <c r="IH11" s="875"/>
      <c r="II11" s="875"/>
      <c r="IJ11" s="876"/>
      <c r="IK11" s="878" t="s">
        <v>769</v>
      </c>
      <c r="IL11" s="875"/>
      <c r="IM11" s="875"/>
      <c r="IN11" s="875"/>
      <c r="IO11" s="875"/>
      <c r="IP11" s="875"/>
      <c r="IQ11" s="876"/>
      <c r="IR11" s="871" t="s">
        <v>648</v>
      </c>
      <c r="IS11" s="872"/>
      <c r="IT11" s="873"/>
    </row>
    <row r="12" spans="1:254" x14ac:dyDescent="0.2">
      <c r="A12">
        <v>12</v>
      </c>
      <c r="B12">
        <v>230.00166320800801</v>
      </c>
      <c r="C12">
        <v>2.0001163482665998</v>
      </c>
      <c r="D12">
        <v>460.03021240234398</v>
      </c>
      <c r="E12">
        <v>460.03091430664102</v>
      </c>
      <c r="F12">
        <v>2.9275249689817401E-2</v>
      </c>
      <c r="G12">
        <v>49.999908447265597</v>
      </c>
      <c r="H12">
        <v>-3.6461614072322802E-3</v>
      </c>
      <c r="I12">
        <v>1.7547504976391799E-2</v>
      </c>
      <c r="J12" s="2">
        <v>3.68446808352019E-6</v>
      </c>
      <c r="K12" s="2">
        <v>3.9337302304431904E-9</v>
      </c>
      <c r="L12" s="2">
        <v>6.3500422697870804E-8</v>
      </c>
      <c r="M12" s="2">
        <v>-2.4997233172285901E-9</v>
      </c>
      <c r="N12">
        <v>74.748352050781193</v>
      </c>
      <c r="O12">
        <v>19.998306274414102</v>
      </c>
      <c r="P12">
        <v>1.9704306498169899E-2</v>
      </c>
      <c r="Q12" s="2">
        <v>3.14156636704865E-6</v>
      </c>
      <c r="R12" s="2">
        <v>6.5668448456790396E-9</v>
      </c>
      <c r="S12" s="2">
        <v>6.2449679205656099E-8</v>
      </c>
      <c r="T12" s="2">
        <v>4.7290664717536401E-9</v>
      </c>
      <c r="U12">
        <v>74.711708068847699</v>
      </c>
      <c r="V12">
        <v>-42.0665283203125</v>
      </c>
      <c r="W12" s="2">
        <v>3.4028230607370999E+38</v>
      </c>
      <c r="X12" s="2">
        <v>3.4028230607370999E+38</v>
      </c>
      <c r="Y12">
        <v>460.03021240234398</v>
      </c>
      <c r="Z12">
        <v>460.03091430664102</v>
      </c>
      <c r="AA12">
        <v>2.9275251552462599E-2</v>
      </c>
      <c r="AB12" s="2">
        <v>3.4028230607370999E+38</v>
      </c>
      <c r="AC12" s="2">
        <v>3.4028230607370999E+38</v>
      </c>
      <c r="AD12">
        <v>230.001953125</v>
      </c>
      <c r="AE12">
        <v>2.0001206398010298</v>
      </c>
      <c r="AF12">
        <v>460.03167724609398</v>
      </c>
      <c r="AG12">
        <v>460.03091430664102</v>
      </c>
      <c r="AH12">
        <v>2.8164293617010099E-2</v>
      </c>
      <c r="AI12">
        <v>49.9999389648438</v>
      </c>
      <c r="AJ12">
        <v>-3.50779551081359E-3</v>
      </c>
      <c r="AK12">
        <v>1.6230158507823899E-2</v>
      </c>
      <c r="AL12" s="2">
        <v>3.62011860488565E-6</v>
      </c>
      <c r="AM12" s="2">
        <v>4.4835626877848302E-10</v>
      </c>
      <c r="AN12" s="2">
        <v>6.0944849167299306E-8</v>
      </c>
      <c r="AO12" s="2">
        <v>-3.91676735489455E-9</v>
      </c>
      <c r="AP12">
        <v>74.687316894531193</v>
      </c>
      <c r="AQ12">
        <v>72.364318847656193</v>
      </c>
      <c r="AR12">
        <v>1.79102197289467E-2</v>
      </c>
      <c r="AS12" s="2">
        <v>3.0947660434321699E-6</v>
      </c>
      <c r="AT12" s="2">
        <v>3.1521523169431E-9</v>
      </c>
      <c r="AU12" s="2">
        <v>5.5878270899256703E-8</v>
      </c>
      <c r="AV12" s="2">
        <v>6.6105437790398004E-10</v>
      </c>
      <c r="AW12">
        <v>74.7664794921875</v>
      </c>
      <c r="AX12">
        <v>-9.6838226318359393</v>
      </c>
      <c r="AY12" s="2">
        <v>3.4028230607370999E+38</v>
      </c>
      <c r="AZ12" s="2">
        <v>3.4028230607370999E+38</v>
      </c>
      <c r="BA12">
        <v>460.03167724609398</v>
      </c>
      <c r="BB12">
        <v>460.03091430664102</v>
      </c>
      <c r="BC12">
        <v>2.8164289891719801E-2</v>
      </c>
      <c r="BD12" s="2">
        <v>3.4028230607370999E+38</v>
      </c>
      <c r="BE12" s="2">
        <v>3.4028230607370999E+38</v>
      </c>
      <c r="BF12">
        <v>230.00215148925801</v>
      </c>
      <c r="BG12">
        <v>2.0001144409179701</v>
      </c>
      <c r="BH12">
        <v>460.03073120117199</v>
      </c>
      <c r="BI12">
        <v>460.03042602539102</v>
      </c>
      <c r="BJ12">
        <v>2.87205446511507E-2</v>
      </c>
      <c r="BK12">
        <v>49.9999389648438</v>
      </c>
      <c r="BL12">
        <v>-3.8124714046716699E-3</v>
      </c>
      <c r="BM12">
        <v>1.4023601077497E-2</v>
      </c>
      <c r="BN12" s="2">
        <v>3.5719963307201401E-6</v>
      </c>
      <c r="BO12" s="2">
        <v>9.901798270206541E-10</v>
      </c>
      <c r="BP12" s="2">
        <v>5.0712340993186398E-8</v>
      </c>
      <c r="BQ12" s="2">
        <v>-9.3693364178193406E-10</v>
      </c>
      <c r="BR12">
        <v>74.694961547851605</v>
      </c>
      <c r="BS12">
        <v>21.180782318115199</v>
      </c>
      <c r="BT12">
        <v>1.53173292055726E-2</v>
      </c>
      <c r="BU12" s="2">
        <v>3.1637368920201E-6</v>
      </c>
      <c r="BV12" s="2">
        <v>2.9374891408195898E-9</v>
      </c>
      <c r="BW12" s="2">
        <v>4.7841769656997699E-8</v>
      </c>
      <c r="BX12" s="2">
        <v>9.0501006688725697E-10</v>
      </c>
      <c r="BY12">
        <v>74.781150817871094</v>
      </c>
      <c r="BZ12">
        <v>-26.100734710693398</v>
      </c>
      <c r="CA12" s="2">
        <v>3.4028230607370999E+38</v>
      </c>
      <c r="CB12" s="2">
        <v>3.4028230607370999E+38</v>
      </c>
      <c r="CC12">
        <v>460.03073120117199</v>
      </c>
      <c r="CD12">
        <v>460.03042602539102</v>
      </c>
      <c r="CE12">
        <v>2.8720542788505599E-2</v>
      </c>
      <c r="CF12" s="2">
        <v>3.4028230607370999E+38</v>
      </c>
      <c r="CG12" s="2">
        <v>3.4028230607370999E+38</v>
      </c>
      <c r="CH12">
        <v>230.00183105468801</v>
      </c>
      <c r="CI12">
        <v>2.0001029968261701</v>
      </c>
      <c r="CJ12">
        <v>460.02737426757801</v>
      </c>
      <c r="CK12">
        <v>460.02713012695301</v>
      </c>
      <c r="CL12">
        <v>2.53047831356525E-2</v>
      </c>
      <c r="CM12">
        <v>49.999973297119098</v>
      </c>
      <c r="CN12">
        <v>-3.1516631133854398E-3</v>
      </c>
      <c r="CO12">
        <v>1.5622576698660901E-2</v>
      </c>
      <c r="CP12" s="2">
        <v>3.6041944895259799E-6</v>
      </c>
      <c r="CQ12" s="2">
        <v>3.5378908691541301E-9</v>
      </c>
      <c r="CR12" s="2">
        <v>5.5959919365022903E-8</v>
      </c>
      <c r="CS12" s="2">
        <v>-2.2343336902874701E-10</v>
      </c>
      <c r="CT12">
        <v>74.745170593261705</v>
      </c>
      <c r="CU12">
        <v>3.81774997711182</v>
      </c>
      <c r="CV12">
        <v>1.66920050978661E-2</v>
      </c>
      <c r="CW12" s="2">
        <v>3.1593970106769099E-6</v>
      </c>
      <c r="CX12" s="2">
        <v>3.2610609768113401E-9</v>
      </c>
      <c r="CY12" s="2">
        <v>5.3116281151233098E-8</v>
      </c>
      <c r="CZ12" s="2">
        <v>3.3726410553214199E-9</v>
      </c>
      <c r="DA12">
        <v>74.673446655273395</v>
      </c>
      <c r="DB12">
        <v>-34.576366424560497</v>
      </c>
      <c r="DC12" s="2">
        <v>3.4028230607370999E+38</v>
      </c>
      <c r="DD12" s="2">
        <v>3.4028230607370999E+38</v>
      </c>
      <c r="DE12">
        <v>460.02737426757801</v>
      </c>
      <c r="DF12">
        <v>460.02713012695301</v>
      </c>
      <c r="DG12">
        <v>2.5304784998297698E-2</v>
      </c>
      <c r="DH12" s="2">
        <v>3.4028230607370999E+38</v>
      </c>
      <c r="DI12" s="2">
        <v>3.4028230607370999E+38</v>
      </c>
      <c r="DJ12">
        <v>230.00242614746099</v>
      </c>
      <c r="DK12">
        <v>2.0001261234283398</v>
      </c>
      <c r="DL12">
        <v>460.03384399414102</v>
      </c>
      <c r="DM12">
        <v>460.03363037109398</v>
      </c>
      <c r="DN12">
        <v>2.6822576299309699E-2</v>
      </c>
      <c r="DO12">
        <v>49.999954223632798</v>
      </c>
      <c r="DP12">
        <v>-3.6337897181510899E-3</v>
      </c>
      <c r="DQ12">
        <v>1.6482628881931301E-2</v>
      </c>
      <c r="DR12" s="2">
        <v>3.6495523545454502E-6</v>
      </c>
      <c r="DS12" s="2">
        <v>1.3614200877753999E-9</v>
      </c>
      <c r="DT12" s="2">
        <v>6.0183850791872802E-8</v>
      </c>
      <c r="DU12" s="2">
        <v>-3.9925622807857103E-9</v>
      </c>
      <c r="DV12">
        <v>74.722999572753906</v>
      </c>
      <c r="DW12">
        <v>75.776809692382798</v>
      </c>
      <c r="DX12">
        <v>1.77754200994968E-2</v>
      </c>
      <c r="DY12" s="2">
        <v>3.1087311072042199E-6</v>
      </c>
      <c r="DZ12" s="2">
        <v>3.1290887658741398E-9</v>
      </c>
      <c r="EA12" s="2">
        <v>5.6109350055066898E-8</v>
      </c>
      <c r="EB12" s="2">
        <v>7.1576622406865898E-10</v>
      </c>
      <c r="EC12">
        <v>74.748435974121094</v>
      </c>
      <c r="ED12">
        <v>-14.0608377456665</v>
      </c>
      <c r="EE12" s="2">
        <v>3.4028230607370999E+38</v>
      </c>
      <c r="EF12" s="2">
        <v>3.4028230607370999E+38</v>
      </c>
      <c r="EG12">
        <v>460.03384399414102</v>
      </c>
      <c r="EH12">
        <v>460.03363037109398</v>
      </c>
      <c r="EI12">
        <v>2.6822572574019401E-2</v>
      </c>
      <c r="EJ12" s="2">
        <v>3.4028230607370999E+38</v>
      </c>
      <c r="EK12" s="2">
        <v>3.4028230607370999E+38</v>
      </c>
      <c r="EL12">
        <v>123</v>
      </c>
      <c r="EM12">
        <v>230.00218200683599</v>
      </c>
      <c r="EN12">
        <v>2.0001106262207</v>
      </c>
      <c r="EO12">
        <v>460.02981567382801</v>
      </c>
      <c r="EP12">
        <v>460.02963256835898</v>
      </c>
      <c r="EQ12">
        <v>2.8988698497414599E-2</v>
      </c>
      <c r="ER12">
        <v>49.999969482421903</v>
      </c>
      <c r="ES12">
        <v>-3.6104826722294101E-3</v>
      </c>
      <c r="ET12">
        <v>1</v>
      </c>
      <c r="EU12" s="2">
        <v>3.4028230607370999E+38</v>
      </c>
      <c r="EV12">
        <v>0</v>
      </c>
      <c r="EW12">
        <v>230.00679016113301</v>
      </c>
      <c r="EX12">
        <v>460.03933715820301</v>
      </c>
      <c r="EY12">
        <v>460.03903198242199</v>
      </c>
      <c r="EZ12">
        <v>4.4337950646877303E-2</v>
      </c>
      <c r="FA12">
        <v>3.7400919245556002E-4</v>
      </c>
      <c r="FB12">
        <v>1.5478967688977699E-2</v>
      </c>
      <c r="FC12" s="2">
        <v>3.6779367746930798E-6</v>
      </c>
      <c r="FD12" s="2">
        <v>1.31575716988408E-9</v>
      </c>
      <c r="FE12" s="2">
        <v>5.5595471337710498E-8</v>
      </c>
      <c r="FF12" s="2">
        <v>-2.1774582137368299E-9</v>
      </c>
      <c r="FG12">
        <v>74.589614868164105</v>
      </c>
      <c r="FH12">
        <v>62.684333801269503</v>
      </c>
      <c r="FI12">
        <v>1.9938161596655801E-2</v>
      </c>
      <c r="FJ12" s="2">
        <v>3.4028230607370999E+38</v>
      </c>
      <c r="FK12">
        <v>-35.0072021484375</v>
      </c>
      <c r="FL12">
        <v>2.0377529785036999E-2</v>
      </c>
      <c r="FM12">
        <v>0</v>
      </c>
      <c r="FN12">
        <v>0</v>
      </c>
      <c r="FO12">
        <v>0</v>
      </c>
      <c r="FP12" s="2">
        <v>-3.5687575291376602E-5</v>
      </c>
      <c r="FQ12">
        <v>1.5001143328845499E-2</v>
      </c>
      <c r="FR12" s="2">
        <v>3.12532529278542E-6</v>
      </c>
      <c r="FS12" s="2">
        <v>2.0876369521971599E-9</v>
      </c>
      <c r="FT12" s="2">
        <v>4.8586361600655397E-8</v>
      </c>
      <c r="FU12" s="2">
        <v>5.68263103239985E-10</v>
      </c>
      <c r="FV12">
        <v>74.674858093261705</v>
      </c>
      <c r="FW12">
        <v>-19.496454238891602</v>
      </c>
      <c r="FX12">
        <v>4.7379940748214701E-2</v>
      </c>
      <c r="FY12" s="2">
        <v>3.4028230607370999E+38</v>
      </c>
      <c r="FZ12">
        <v>-9.7146062850952095</v>
      </c>
      <c r="GA12">
        <v>229.05020141601599</v>
      </c>
      <c r="GB12" s="2">
        <v>-6.8124272889491501E-10</v>
      </c>
      <c r="GC12">
        <v>7.4196775676682602E-4</v>
      </c>
      <c r="GD12" s="2">
        <v>3.9205347301951602E-10</v>
      </c>
      <c r="GE12" s="2">
        <v>-8.7142943812068603E-6</v>
      </c>
      <c r="GF12" s="2">
        <v>3.4028230607370999E+38</v>
      </c>
      <c r="GG12" s="2">
        <v>3.4028230607370999E+38</v>
      </c>
      <c r="GH12">
        <v>460.03173828125</v>
      </c>
      <c r="GI12">
        <v>460.03143310546898</v>
      </c>
      <c r="GJ12">
        <v>3.2049667090177501E-2</v>
      </c>
      <c r="GK12" s="2">
        <v>3.4028230607370999E+38</v>
      </c>
      <c r="GL12" s="2">
        <v>3.4028230607370999E+38</v>
      </c>
      <c r="GM12" s="2">
        <v>3.4028230607370999E+38</v>
      </c>
      <c r="GN12" s="2">
        <v>3.4028230607370999E+38</v>
      </c>
      <c r="GO12" s="2">
        <v>3.4028230607370999E+38</v>
      </c>
      <c r="GP12" s="2">
        <v>3.4028230607370999E+38</v>
      </c>
      <c r="GQ12">
        <v>460.02529907226602</v>
      </c>
      <c r="GR12">
        <v>460.02529907226602</v>
      </c>
      <c r="GS12">
        <v>3.9041049778461498E-2</v>
      </c>
      <c r="GT12">
        <v>-8.3537952741608002E-4</v>
      </c>
      <c r="GX12">
        <f>AVERAGE(B12,AD12,BF12,CH12,DJ12)</f>
        <v>230.00200500488299</v>
      </c>
      <c r="GY12">
        <f t="shared" ref="GY12:HR12" si="0">AVERAGE(C12,AE12,BG12,CI12,DK12)</f>
        <v>2.0001161098480216</v>
      </c>
      <c r="GZ12">
        <f t="shared" si="0"/>
        <v>460.03076782226583</v>
      </c>
      <c r="HA12">
        <f t="shared" si="0"/>
        <v>460.03060302734394</v>
      </c>
      <c r="HB12">
        <f t="shared" si="0"/>
        <v>2.7657489478588083E-2</v>
      </c>
      <c r="HC12">
        <f t="shared" si="0"/>
        <v>49.99994277954103</v>
      </c>
      <c r="HD12">
        <f t="shared" si="0"/>
        <v>-3.5503762308508138E-3</v>
      </c>
      <c r="HE12">
        <f t="shared" si="0"/>
        <v>1.598129402846098E-2</v>
      </c>
      <c r="HF12">
        <f t="shared" si="0"/>
        <v>3.626065972639482E-6</v>
      </c>
      <c r="HG12">
        <f t="shared" si="0"/>
        <v>2.0543154566343717E-9</v>
      </c>
      <c r="HH12">
        <f t="shared" si="0"/>
        <v>5.8260276603050443E-8</v>
      </c>
      <c r="HI12">
        <f t="shared" si="0"/>
        <v>-2.3138839927439062E-9</v>
      </c>
      <c r="HJ12">
        <f t="shared" si="0"/>
        <v>74.719760131835926</v>
      </c>
      <c r="HK12">
        <f t="shared" si="0"/>
        <v>38.627593421936027</v>
      </c>
      <c r="HL12">
        <f t="shared" si="0"/>
        <v>1.7479856126010419E-2</v>
      </c>
      <c r="HM12">
        <f t="shared" si="0"/>
        <v>3.13363948407641E-6</v>
      </c>
      <c r="HN12">
        <f t="shared" si="0"/>
        <v>3.8093272092254424E-9</v>
      </c>
      <c r="HO12">
        <f t="shared" si="0"/>
        <v>5.5079070193642097E-8</v>
      </c>
      <c r="HP12">
        <f t="shared" si="0"/>
        <v>2.0767076391869913E-9</v>
      </c>
      <c r="HQ12">
        <f t="shared" si="0"/>
        <v>74.736244201660156</v>
      </c>
      <c r="HR12">
        <f t="shared" si="0"/>
        <v>-25.29765796661377</v>
      </c>
      <c r="HS12">
        <f>AVERAGE(Y12,BA12,CC12,DE12,EG12)</f>
        <v>460.03076782226583</v>
      </c>
      <c r="HT12">
        <f>AVERAGE(Z12,BB12,CD12,DF12,EH12)</f>
        <v>460.03060302734394</v>
      </c>
      <c r="HU12">
        <f>AVERAGE(AA12,BC12,CE12,DG12,EI12)</f>
        <v>2.7657488361001022E-2</v>
      </c>
      <c r="HW12" s="10">
        <f>(GX12/Data!$S12-1)*1000000</f>
        <v>23.841686157766162</v>
      </c>
      <c r="HX12" s="10">
        <f>(GY12/Data!$T12-1)*1000000</f>
        <v>11.364893389709252</v>
      </c>
      <c r="HY12" s="10">
        <f>(GZ12/Data!$BW12-1)*1000000</f>
        <v>35.31502044995527</v>
      </c>
      <c r="HZ12" s="10">
        <f>(HA12/(Data!$S12*Data!$T12)-1)*1000000</f>
        <v>34.96233590238873</v>
      </c>
      <c r="IA12" s="7">
        <f>(HB12/IF(HD12&gt;0, -Data!$BX12,Data!$BX12)-1)*1000000</f>
        <v>1021120.6164311038</v>
      </c>
      <c r="IB12" s="10"/>
      <c r="IC12" s="9">
        <f>(HD12-Data!$U12)</f>
        <v>-1.8459732308508138E-3</v>
      </c>
      <c r="ID12" s="10">
        <f>(HE12/Data!$S12-1)*1000000</f>
        <v>-999930.51506203553</v>
      </c>
      <c r="IE12" s="10">
        <f>(HF12/Data!$T12-1)*1000000</f>
        <v>-999998.18705165933</v>
      </c>
      <c r="IF12" s="10">
        <f>(HG12/Data!$BW12-1)*1000000</f>
        <v>-999999.99999553419</v>
      </c>
      <c r="IG12" s="10">
        <f>(HH12/(Data!$S12*Data!$T12)-1)*1000000</f>
        <v>-999999.99987335119</v>
      </c>
      <c r="IH12" s="7">
        <f>(HI12/IF(HK12&gt;0, -Data!$BX12,Data!$BX12)-1)*1000000</f>
        <v>-999999.83090877987</v>
      </c>
      <c r="II12" s="10"/>
      <c r="IJ12" s="9">
        <f>(HK12-Data!$U12)</f>
        <v>38.629297824936025</v>
      </c>
      <c r="IK12" s="10">
        <f>(HL12/Data!$S12-1)*1000000</f>
        <v>-999923.99947611382</v>
      </c>
      <c r="IL12" s="10">
        <f>(HM12/Data!$T12-1)*1000000</f>
        <v>-999998.43325340853</v>
      </c>
      <c r="IM12" s="10">
        <f>(HN12/Data!$BW12-1)*1000000</f>
        <v>-999999.99999171903</v>
      </c>
      <c r="IN12" s="10">
        <f>(HO12/(Data!$S12*Data!$T12)-1)*1000000</f>
        <v>-999999.99988026661</v>
      </c>
      <c r="IO12" s="7">
        <f>(HP12/IF(HR12&gt;0, -Data!$BX12,Data!$BX12)-1)*1000000</f>
        <v>-999999.84824086691</v>
      </c>
      <c r="IP12" s="10"/>
      <c r="IQ12" s="9">
        <f>(HR12-Data!$U12)</f>
        <v>-25.295953563613768</v>
      </c>
      <c r="IR12" s="10">
        <f>(HS12/Data!$BW12/3-1)*1000000</f>
        <v>-666654.89499318344</v>
      </c>
      <c r="IS12" s="10">
        <f>(HT12/(Data!$S12*Data!$T12)/3-1)*1000000</f>
        <v>-666655.01255469932</v>
      </c>
      <c r="IT12" s="7">
        <f>(HU12/Data!$BX12/3-1)*1000000</f>
        <v>-326293.15507952461</v>
      </c>
    </row>
    <row r="13" spans="1:254" x14ac:dyDescent="0.2">
      <c r="A13">
        <v>13</v>
      </c>
      <c r="B13">
        <v>230.00148010253901</v>
      </c>
      <c r="C13">
        <v>2.0001235008239702</v>
      </c>
      <c r="D13">
        <v>460.03137207031199</v>
      </c>
      <c r="E13">
        <v>460.03042602539102</v>
      </c>
      <c r="F13">
        <v>2.63075772672892E-2</v>
      </c>
      <c r="G13">
        <v>49.999954223632798</v>
      </c>
      <c r="H13">
        <v>-3.2765492796897901E-3</v>
      </c>
      <c r="I13">
        <v>1.7500692978501299E-2</v>
      </c>
      <c r="J13" s="2">
        <v>3.6404317143023899E-6</v>
      </c>
      <c r="K13" s="2">
        <v>2.4701662937331999E-9</v>
      </c>
      <c r="L13" s="2">
        <v>6.3751620871244099E-8</v>
      </c>
      <c r="M13" s="2">
        <v>-3.7925489415613397E-9</v>
      </c>
      <c r="N13">
        <v>74.776519775390597</v>
      </c>
      <c r="O13">
        <v>31.309371948242202</v>
      </c>
      <c r="P13">
        <v>1.9581213593482999E-2</v>
      </c>
      <c r="Q13" s="2">
        <v>3.1510310236626499E-6</v>
      </c>
      <c r="R13" s="2">
        <v>5.4104174473934596E-9</v>
      </c>
      <c r="S13" s="2">
        <v>6.1810638385395604E-8</v>
      </c>
      <c r="T13" s="2">
        <v>3.6509966161446499E-9</v>
      </c>
      <c r="U13">
        <v>74.784873962402301</v>
      </c>
      <c r="V13">
        <v>-31.220930099487301</v>
      </c>
      <c r="W13" s="2">
        <v>3.4028230607370999E+38</v>
      </c>
      <c r="X13" s="2">
        <v>3.4028230607370999E+38</v>
      </c>
      <c r="Y13">
        <v>460.03137207031199</v>
      </c>
      <c r="Z13">
        <v>460.03042602539102</v>
      </c>
      <c r="AA13">
        <v>2.6307575404643999E-2</v>
      </c>
      <c r="AB13" s="2">
        <v>3.4028230607370999E+38</v>
      </c>
      <c r="AC13" s="2">
        <v>3.4028230607370999E+38</v>
      </c>
      <c r="AD13">
        <v>230.00247192382801</v>
      </c>
      <c r="AE13">
        <v>2.0001072883606001</v>
      </c>
      <c r="AF13">
        <v>460.02972412109398</v>
      </c>
      <c r="AG13">
        <v>460.02941894531199</v>
      </c>
      <c r="AH13">
        <v>2.51988433301449E-2</v>
      </c>
      <c r="AI13">
        <v>49.999912261962898</v>
      </c>
      <c r="AJ13">
        <v>-2.7647342067211901E-3</v>
      </c>
      <c r="AK13">
        <v>1.54285663738847E-2</v>
      </c>
      <c r="AL13" s="2">
        <v>3.6475864817475701E-6</v>
      </c>
      <c r="AM13" s="2">
        <v>2.1231998381665599E-9</v>
      </c>
      <c r="AN13" s="2">
        <v>5.4757226308765901E-8</v>
      </c>
      <c r="AO13" s="2">
        <v>6.5753846811844596E-11</v>
      </c>
      <c r="AP13">
        <v>74.748565673828097</v>
      </c>
      <c r="AQ13">
        <v>-5.5792145729064897</v>
      </c>
      <c r="AR13">
        <v>1.6877159476280199E-2</v>
      </c>
      <c r="AS13" s="2">
        <v>3.1040933663462098E-6</v>
      </c>
      <c r="AT13" s="2">
        <v>3.5946494669758501E-9</v>
      </c>
      <c r="AU13" s="2">
        <v>5.3847738712420297E-8</v>
      </c>
      <c r="AV13" s="2">
        <v>3.5315659285828402E-9</v>
      </c>
      <c r="AW13">
        <v>74.710746765136705</v>
      </c>
      <c r="AX13">
        <v>-46.716976165771499</v>
      </c>
      <c r="AY13" s="2">
        <v>3.4028230607370999E+38</v>
      </c>
      <c r="AZ13" s="2">
        <v>3.4028230607370999E+38</v>
      </c>
      <c r="BA13">
        <v>460.02972412109398</v>
      </c>
      <c r="BB13">
        <v>460.02941894531199</v>
      </c>
      <c r="BC13">
        <v>2.519884519279E-2</v>
      </c>
      <c r="BD13" s="2">
        <v>3.4028230607370999E+38</v>
      </c>
      <c r="BE13" s="2">
        <v>3.4028230607370999E+38</v>
      </c>
      <c r="BF13">
        <v>230.00244140625</v>
      </c>
      <c r="BG13">
        <v>2.00010085105896</v>
      </c>
      <c r="BH13">
        <v>460.028076171875</v>
      </c>
      <c r="BI13">
        <v>460.027099609375</v>
      </c>
      <c r="BJ13">
        <v>2.91945077478886E-2</v>
      </c>
      <c r="BK13">
        <v>49.999954223632798</v>
      </c>
      <c r="BL13">
        <v>-3.63613548688591E-3</v>
      </c>
      <c r="BM13">
        <v>1.436863001436E-2</v>
      </c>
      <c r="BN13" s="2">
        <v>3.6176750199956599E-6</v>
      </c>
      <c r="BO13" s="2">
        <v>2.0267418854302799E-9</v>
      </c>
      <c r="BP13" s="2">
        <v>5.30310941826428E-8</v>
      </c>
      <c r="BQ13" s="2">
        <v>-8.0044976202842101E-10</v>
      </c>
      <c r="BR13">
        <v>74.7764892578125</v>
      </c>
      <c r="BS13">
        <v>45.653278350830099</v>
      </c>
      <c r="BT13">
        <v>1.52501799166203E-2</v>
      </c>
      <c r="BU13" s="2">
        <v>3.0976332254795099E-6</v>
      </c>
      <c r="BV13" s="2">
        <v>6.2952165702512296E-10</v>
      </c>
      <c r="BW13" s="2">
        <v>4.7239879563676401E-8</v>
      </c>
      <c r="BX13" s="2">
        <v>2.9803898932145901E-11</v>
      </c>
      <c r="BY13">
        <v>74.806953430175795</v>
      </c>
      <c r="BZ13">
        <v>-0.95940810441970803</v>
      </c>
      <c r="CA13" s="2">
        <v>3.4028230607370999E+38</v>
      </c>
      <c r="CB13" s="2">
        <v>3.4028230607370999E+38</v>
      </c>
      <c r="CC13">
        <v>460.028076171875</v>
      </c>
      <c r="CD13">
        <v>460.027099609375</v>
      </c>
      <c r="CE13">
        <v>2.9194505885243398E-2</v>
      </c>
      <c r="CF13" s="2">
        <v>3.4028230607370999E+38</v>
      </c>
      <c r="CG13" s="2">
        <v>3.4028230607370999E+38</v>
      </c>
      <c r="CH13">
        <v>230.00234985351599</v>
      </c>
      <c r="CI13">
        <v>2.0001053810119598</v>
      </c>
      <c r="CJ13">
        <v>460.02893066406199</v>
      </c>
      <c r="CK13">
        <v>460.02862548828102</v>
      </c>
      <c r="CL13">
        <v>2.7374736964702599E-2</v>
      </c>
      <c r="CM13">
        <v>49.999931335449197</v>
      </c>
      <c r="CN13">
        <v>-3.44248139299452E-3</v>
      </c>
      <c r="CO13">
        <v>1.75006743520498E-2</v>
      </c>
      <c r="CP13" s="2">
        <v>3.60673834620684E-6</v>
      </c>
      <c r="CQ13" s="2">
        <v>4.1282492979632901E-9</v>
      </c>
      <c r="CR13" s="2">
        <v>6.4334727767345599E-8</v>
      </c>
      <c r="CS13" s="2">
        <v>-3.7516252326952301E-9</v>
      </c>
      <c r="CT13">
        <v>74.80126953125</v>
      </c>
      <c r="CU13">
        <v>50.596054077148402</v>
      </c>
      <c r="CV13">
        <v>1.9576646387577099E-2</v>
      </c>
      <c r="CW13" s="2">
        <v>3.0949825031711999E-6</v>
      </c>
      <c r="CX13" s="2">
        <v>5.9722617962165697E-9</v>
      </c>
      <c r="CY13" s="2">
        <v>6.3031727393081396E-8</v>
      </c>
      <c r="CZ13" s="2">
        <v>3.1725744253918699E-9</v>
      </c>
      <c r="DA13">
        <v>74.707366943359403</v>
      </c>
      <c r="DB13">
        <v>-34.4550590515137</v>
      </c>
      <c r="DC13" s="2">
        <v>3.4028230607370999E+38</v>
      </c>
      <c r="DD13" s="2">
        <v>3.4028230607370999E+38</v>
      </c>
      <c r="DE13">
        <v>460.02893066406199</v>
      </c>
      <c r="DF13">
        <v>460.02862548828102</v>
      </c>
      <c r="DG13">
        <v>2.7374735102057499E-2</v>
      </c>
      <c r="DH13" s="2">
        <v>3.4028230607370999E+38</v>
      </c>
      <c r="DI13" s="2">
        <v>3.4028230607370999E+38</v>
      </c>
      <c r="DJ13">
        <v>230.00180053710901</v>
      </c>
      <c r="DK13">
        <v>2.00011086463928</v>
      </c>
      <c r="DL13">
        <v>460.02908325195301</v>
      </c>
      <c r="DM13">
        <v>460.03213500976602</v>
      </c>
      <c r="DN13">
        <v>2.9149416834115999E-2</v>
      </c>
      <c r="DO13">
        <v>49.999973297119098</v>
      </c>
      <c r="DP13">
        <v>-3.6304804962128401E-3</v>
      </c>
      <c r="DQ13">
        <v>1.7317526042461399E-2</v>
      </c>
      <c r="DR13" s="2">
        <v>3.6123847166891201E-6</v>
      </c>
      <c r="DS13" s="2">
        <v>1.4612123733215301E-9</v>
      </c>
      <c r="DT13" s="2">
        <v>6.24865208465053E-8</v>
      </c>
      <c r="DU13" s="2">
        <v>-4.6215391513726403E-9</v>
      </c>
      <c r="DV13">
        <v>74.793128967285199</v>
      </c>
      <c r="DW13">
        <v>73.532768249511705</v>
      </c>
      <c r="DX13">
        <v>1.9340401515364598E-2</v>
      </c>
      <c r="DY13" s="2">
        <v>3.10428163174947E-6</v>
      </c>
      <c r="DZ13" s="2">
        <v>5.1209680940189603E-9</v>
      </c>
      <c r="EA13" s="2">
        <v>5.9512910155490297E-8</v>
      </c>
      <c r="EB13" s="2">
        <v>2.11483119905154E-9</v>
      </c>
      <c r="EC13">
        <v>74.822128295898395</v>
      </c>
      <c r="ED13">
        <v>-20.946216583251999</v>
      </c>
      <c r="EE13" s="2">
        <v>3.4028230607370999E+38</v>
      </c>
      <c r="EF13" s="2">
        <v>3.4028230607370999E+38</v>
      </c>
      <c r="EG13">
        <v>460.02908325195301</v>
      </c>
      <c r="EH13">
        <v>460.03213500976602</v>
      </c>
      <c r="EI13">
        <v>2.9149413108825701E-2</v>
      </c>
      <c r="EJ13" s="2">
        <v>3.4028230607370999E+38</v>
      </c>
      <c r="EK13" s="2">
        <v>3.4028230607370999E+38</v>
      </c>
      <c r="EL13">
        <v>123</v>
      </c>
      <c r="EM13">
        <v>230.00175476074199</v>
      </c>
      <c r="EN13">
        <v>2.0001318454742401</v>
      </c>
      <c r="EO13">
        <v>460.03396606445301</v>
      </c>
      <c r="EP13">
        <v>460.03369140625</v>
      </c>
      <c r="EQ13">
        <v>2.7340624481439601E-2</v>
      </c>
      <c r="ER13">
        <v>49.999988555908203</v>
      </c>
      <c r="ES13">
        <v>-3.75651032663882E-3</v>
      </c>
      <c r="ET13">
        <v>1</v>
      </c>
      <c r="EU13" s="2">
        <v>3.4028230607370999E+38</v>
      </c>
      <c r="EV13">
        <v>0</v>
      </c>
      <c r="EW13">
        <v>230.00711059570301</v>
      </c>
      <c r="EX13">
        <v>460.03991699218801</v>
      </c>
      <c r="EY13">
        <v>460.03967285156199</v>
      </c>
      <c r="EZ13">
        <v>4.85264249145985E-2</v>
      </c>
      <c r="FA13">
        <v>4.8020333633758101E-4</v>
      </c>
      <c r="FB13">
        <v>1.7073731869459201E-2</v>
      </c>
      <c r="FC13" s="2">
        <v>3.6050016660738E-6</v>
      </c>
      <c r="FD13" s="2">
        <v>3.7729437352140799E-9</v>
      </c>
      <c r="FE13" s="2">
        <v>6.1552135832698696E-8</v>
      </c>
      <c r="FF13" s="2">
        <v>-3.8296157356398899E-9</v>
      </c>
      <c r="FG13">
        <v>74.710853576660199</v>
      </c>
      <c r="FH13">
        <v>57.3983764648438</v>
      </c>
      <c r="FI13">
        <v>3.9370987564325298E-2</v>
      </c>
      <c r="FJ13" s="2">
        <v>3.4028230607370999E+38</v>
      </c>
      <c r="FK13">
        <v>-64.058586120605497</v>
      </c>
      <c r="FL13">
        <v>2.0593246445059801E-2</v>
      </c>
      <c r="FM13">
        <v>0</v>
      </c>
      <c r="FN13">
        <v>0</v>
      </c>
      <c r="FO13">
        <v>0</v>
      </c>
      <c r="FP13" s="2">
        <v>-5.2670849981950603E-5</v>
      </c>
      <c r="FQ13">
        <v>1.8467549234628702E-2</v>
      </c>
      <c r="FR13" s="2">
        <v>3.0868927751726001E-6</v>
      </c>
      <c r="FS13" s="2">
        <v>4.3651824377377596E-9</v>
      </c>
      <c r="FT13" s="2">
        <v>5.9332339930051603E-8</v>
      </c>
      <c r="FU13" s="2">
        <v>1.3156883360565501E-9</v>
      </c>
      <c r="FV13">
        <v>74.777770996093807</v>
      </c>
      <c r="FW13">
        <v>-16.608720779418899</v>
      </c>
      <c r="FX13">
        <v>7.0945613086223602E-2</v>
      </c>
      <c r="FY13" s="2">
        <v>3.4028230607370999E+38</v>
      </c>
      <c r="FZ13">
        <v>3.5556168556213401</v>
      </c>
      <c r="GA13">
        <v>228.67785644531199</v>
      </c>
      <c r="GB13" s="2">
        <v>7.5690009815332398E-11</v>
      </c>
      <c r="GC13">
        <v>7.2969926986843304E-4</v>
      </c>
      <c r="GD13" s="2">
        <v>2.8818838981869998E-10</v>
      </c>
      <c r="GE13" s="2">
        <v>-2.3167107428889701E-5</v>
      </c>
      <c r="GF13" s="2">
        <v>3.4028230607370999E+38</v>
      </c>
      <c r="GG13" s="2">
        <v>3.4028230607370999E+38</v>
      </c>
      <c r="GH13">
        <v>460.03045654296898</v>
      </c>
      <c r="GI13">
        <v>460.03021240234398</v>
      </c>
      <c r="GJ13">
        <v>2.9681662097573301E-2</v>
      </c>
      <c r="GK13" s="2">
        <v>3.4028230607370999E+38</v>
      </c>
      <c r="GL13" s="2">
        <v>3.4028230607370999E+38</v>
      </c>
      <c r="GM13" s="2">
        <v>3.4028230607370999E+38</v>
      </c>
      <c r="GN13" s="2">
        <v>3.4028230607370999E+38</v>
      </c>
      <c r="GO13" s="2">
        <v>3.4028230607370999E+38</v>
      </c>
      <c r="GP13" s="2">
        <v>3.4028230607370999E+38</v>
      </c>
      <c r="GQ13">
        <v>460.03964233398398</v>
      </c>
      <c r="GR13">
        <v>460.03964233398398</v>
      </c>
      <c r="GS13">
        <v>5.11514022946358E-2</v>
      </c>
      <c r="GT13">
        <v>7.2506594005972104E-4</v>
      </c>
      <c r="GX13">
        <f t="shared" ref="GX13:GX76" si="1">AVERAGE(B13,AD13,BF13,CH13,DJ13)</f>
        <v>230.0021087646484</v>
      </c>
      <c r="GY13">
        <f t="shared" ref="GY13:GY76" si="2">AVERAGE(C13,AE13,BG13,CI13,DK13)</f>
        <v>2.0001095771789541</v>
      </c>
      <c r="GZ13">
        <f t="shared" ref="GZ13:GZ76" si="3">AVERAGE(D13,AF13,BH13,CJ13,DL13)</f>
        <v>460.02943725585919</v>
      </c>
      <c r="HA13">
        <f t="shared" ref="HA13:HA76" si="4">AVERAGE(E13,AG13,BI13,CK13,DM13)</f>
        <v>460.029541015625</v>
      </c>
      <c r="HB13">
        <f t="shared" ref="HB13:HB76" si="5">AVERAGE(F13,AH13,BJ13,CL13,DN13)</f>
        <v>2.744501642882826E-2</v>
      </c>
      <c r="HC13">
        <f t="shared" ref="HC13:HC76" si="6">AVERAGE(G13,AI13,BK13,CM13,DO13)</f>
        <v>49.999945068359366</v>
      </c>
      <c r="HD13">
        <f t="shared" ref="HD13:HD76" si="7">AVERAGE(H13,AJ13,BL13,CN13,DP13)</f>
        <v>-3.35007617250085E-3</v>
      </c>
      <c r="HW13" s="10">
        <f>(GX13/Data!$S13-1)*1000000</f>
        <v>23.234520932113867</v>
      </c>
      <c r="HX13" s="10">
        <f>(GY13/Data!$T13-1)*1000000</f>
        <v>10.352129469870519</v>
      </c>
      <c r="HY13" s="10">
        <f>(GZ13/Data!$BW13-1)*1000000</f>
        <v>33.61801332935066</v>
      </c>
      <c r="HZ13" s="10">
        <f>(HA13/(Data!$S13*Data!$T13)-1)*1000000</f>
        <v>33.848848399964382</v>
      </c>
      <c r="IA13" s="7">
        <f>(HB13/IF(HD13&gt;0, -Data!$BX13,Data!$BX13)-1)*1000000</f>
        <v>344898.93926412862</v>
      </c>
      <c r="IB13" s="10"/>
      <c r="IC13" s="9">
        <f>(HD13-Data!$U13)</f>
        <v>-8.0837017250085007E-4</v>
      </c>
    </row>
    <row r="14" spans="1:254" x14ac:dyDescent="0.2">
      <c r="A14">
        <v>14</v>
      </c>
      <c r="B14">
        <v>230.00218200683599</v>
      </c>
      <c r="C14">
        <v>2.0001137256622301</v>
      </c>
      <c r="D14">
        <v>460.02993774414102</v>
      </c>
      <c r="E14">
        <v>460.02969360351602</v>
      </c>
      <c r="F14">
        <v>2.5393323972821201E-2</v>
      </c>
      <c r="G14">
        <v>49.9999389648438</v>
      </c>
      <c r="H14">
        <v>-3.5096688661724299E-3</v>
      </c>
      <c r="I14">
        <v>1.6905112192034701E-2</v>
      </c>
      <c r="J14" s="2">
        <v>3.6402402656676701E-6</v>
      </c>
      <c r="K14" s="2">
        <v>3.8200798080367804E-9</v>
      </c>
      <c r="L14" s="2">
        <v>6.2250435917121596E-8</v>
      </c>
      <c r="M14" s="2">
        <v>-1.5331724778633299E-9</v>
      </c>
      <c r="N14">
        <v>74.799530029296903</v>
      </c>
      <c r="O14">
        <v>7.14031934738159</v>
      </c>
      <c r="P14">
        <v>1.8688207492232298E-2</v>
      </c>
      <c r="Q14" s="2">
        <v>3.16953992296476E-6</v>
      </c>
      <c r="R14" s="2">
        <v>5.7212936610540096E-9</v>
      </c>
      <c r="S14" s="2">
        <v>6.0397127299438606E-8</v>
      </c>
      <c r="T14" s="2">
        <v>3.7484251258490498E-9</v>
      </c>
      <c r="U14">
        <v>74.815971374511705</v>
      </c>
      <c r="V14">
        <v>-38.6222114562988</v>
      </c>
      <c r="W14" s="2">
        <v>3.4028230607370999E+38</v>
      </c>
      <c r="X14" s="2">
        <v>3.4028230607370999E+38</v>
      </c>
      <c r="Y14">
        <v>460.02993774414102</v>
      </c>
      <c r="Z14">
        <v>460.02969360351602</v>
      </c>
      <c r="AA14">
        <v>2.5393325835466399E-2</v>
      </c>
      <c r="AB14" s="2">
        <v>3.4028230607370999E+38</v>
      </c>
      <c r="AC14" s="2">
        <v>3.4028230607370999E+38</v>
      </c>
      <c r="AD14">
        <v>230.00230407714801</v>
      </c>
      <c r="AE14">
        <v>2.0001077651977499</v>
      </c>
      <c r="AF14">
        <v>460.02932739257801</v>
      </c>
      <c r="AG14">
        <v>460.02902221679699</v>
      </c>
      <c r="AH14">
        <v>2.5324042886495601E-2</v>
      </c>
      <c r="AI14">
        <v>49.9999809265137</v>
      </c>
      <c r="AJ14">
        <v>-3.24868317693472E-3</v>
      </c>
      <c r="AK14">
        <v>1.6771832481026601E-2</v>
      </c>
      <c r="AL14" s="2">
        <v>3.64880156666914E-6</v>
      </c>
      <c r="AM14" s="2">
        <v>1.9961388098010998E-9</v>
      </c>
      <c r="AN14" s="2">
        <v>6.02266254645656E-8</v>
      </c>
      <c r="AO14" s="2">
        <v>-3.6715843698687E-9</v>
      </c>
      <c r="AP14">
        <v>74.763122558593807</v>
      </c>
      <c r="AQ14">
        <v>59.931331634521499</v>
      </c>
      <c r="AR14">
        <v>1.80223789066076E-2</v>
      </c>
      <c r="AS14" s="2">
        <v>3.0749720281164602E-6</v>
      </c>
      <c r="AT14" s="2">
        <v>3.5065788051014099E-9</v>
      </c>
      <c r="AU14" s="2">
        <v>5.8509638023451797E-8</v>
      </c>
      <c r="AV14" s="2">
        <v>9.1376134436771405E-10</v>
      </c>
      <c r="AW14">
        <v>74.76708984375</v>
      </c>
      <c r="AX14">
        <v>-11.8293209075928</v>
      </c>
      <c r="AY14" s="2">
        <v>3.4028230607370999E+38</v>
      </c>
      <c r="AZ14" s="2">
        <v>3.4028230607370999E+38</v>
      </c>
      <c r="BA14">
        <v>460.02932739257801</v>
      </c>
      <c r="BB14">
        <v>460.02902221679699</v>
      </c>
      <c r="BC14">
        <v>2.5324039161205299E-2</v>
      </c>
      <c r="BD14" s="2">
        <v>3.4028230607370999E+38</v>
      </c>
      <c r="BE14" s="2">
        <v>3.4028230607370999E+38</v>
      </c>
      <c r="BF14">
        <v>230.00230407714801</v>
      </c>
      <c r="BG14">
        <v>2.0001142024993901</v>
      </c>
      <c r="BH14">
        <v>460.03048706054699</v>
      </c>
      <c r="BI14">
        <v>460.03024291992199</v>
      </c>
      <c r="BJ14">
        <v>2.6873590424656899E-2</v>
      </c>
      <c r="BK14">
        <v>49.999912261962898</v>
      </c>
      <c r="BL14">
        <v>-3.3495051320642198E-3</v>
      </c>
      <c r="BM14">
        <v>1.62831116467714E-2</v>
      </c>
      <c r="BN14" s="2">
        <v>3.61640877599712E-6</v>
      </c>
      <c r="BO14" s="2">
        <v>2.6783735229685102E-9</v>
      </c>
      <c r="BP14" s="2">
        <v>5.7135739695013399E-8</v>
      </c>
      <c r="BQ14" s="2">
        <v>-1.94206317694068E-10</v>
      </c>
      <c r="BR14">
        <v>74.739547729492202</v>
      </c>
      <c r="BS14">
        <v>2.40171146392822</v>
      </c>
      <c r="BT14">
        <v>1.7579572275281001E-2</v>
      </c>
      <c r="BU14" s="2">
        <v>3.0893002076481901E-6</v>
      </c>
      <c r="BV14" s="2">
        <v>3.2811358074980002E-9</v>
      </c>
      <c r="BW14" s="2">
        <v>5.60832589258098E-8</v>
      </c>
      <c r="BX14" s="2">
        <v>3.1441671488607901E-9</v>
      </c>
      <c r="BY14">
        <v>74.836448669433594</v>
      </c>
      <c r="BZ14">
        <v>-41.075885772705099</v>
      </c>
      <c r="CA14" s="2">
        <v>3.4028230607370999E+38</v>
      </c>
      <c r="CB14" s="2">
        <v>3.4028230607370999E+38</v>
      </c>
      <c r="CC14">
        <v>460.03048706054699</v>
      </c>
      <c r="CD14">
        <v>460.03024291992199</v>
      </c>
      <c r="CE14">
        <v>2.6873592287302E-2</v>
      </c>
      <c r="CF14" s="2">
        <v>3.4028230607370999E+38</v>
      </c>
      <c r="CG14" s="2">
        <v>3.4028230607370999E+38</v>
      </c>
      <c r="CH14">
        <v>230.00196838378901</v>
      </c>
      <c r="CI14">
        <v>2.0000858306884801</v>
      </c>
      <c r="CJ14">
        <v>460.02621459960898</v>
      </c>
      <c r="CK14">
        <v>460.02597045898398</v>
      </c>
      <c r="CL14">
        <v>2.7199923992157E-2</v>
      </c>
      <c r="CM14">
        <v>49.999958038330099</v>
      </c>
      <c r="CN14">
        <v>-3.3877217210829301E-3</v>
      </c>
      <c r="CO14">
        <v>1.6013646498322501E-2</v>
      </c>
      <c r="CP14" s="2">
        <v>3.59815771844296E-6</v>
      </c>
      <c r="CQ14" s="2">
        <v>3.12861669904407E-9</v>
      </c>
      <c r="CR14" s="2">
        <v>5.9581136468978002E-8</v>
      </c>
      <c r="CS14" s="2">
        <v>-3.9862230183374002E-10</v>
      </c>
      <c r="CT14">
        <v>74.741600036621094</v>
      </c>
      <c r="CU14">
        <v>6.0635972023010298</v>
      </c>
      <c r="CV14">
        <v>1.7239058390259701E-2</v>
      </c>
      <c r="CW14" s="2">
        <v>3.1478148230235101E-6</v>
      </c>
      <c r="CX14" s="2">
        <v>3.5872878001441702E-9</v>
      </c>
      <c r="CY14" s="2">
        <v>5.6649231083838498E-8</v>
      </c>
      <c r="CZ14" s="2">
        <v>3.4282605643198799E-9</v>
      </c>
      <c r="DA14">
        <v>74.761672973632798</v>
      </c>
      <c r="DB14">
        <v>-40.204925537109403</v>
      </c>
      <c r="DC14" s="2">
        <v>3.4028230607370999E+38</v>
      </c>
      <c r="DD14" s="2">
        <v>3.4028230607370999E+38</v>
      </c>
      <c r="DE14">
        <v>460.02621459960898</v>
      </c>
      <c r="DF14">
        <v>460.02597045898398</v>
      </c>
      <c r="DG14">
        <v>2.71999258548021E-2</v>
      </c>
      <c r="DH14" s="2">
        <v>3.4028230607370999E+38</v>
      </c>
      <c r="DI14" s="2">
        <v>3.4028230607370999E+38</v>
      </c>
      <c r="DJ14">
        <v>230.00204467773401</v>
      </c>
      <c r="DK14">
        <v>2.0001118183136</v>
      </c>
      <c r="DL14">
        <v>460.02911376953102</v>
      </c>
      <c r="DM14">
        <v>460.02883911132801</v>
      </c>
      <c r="DN14">
        <v>2.2543478757143E-2</v>
      </c>
      <c r="DO14">
        <v>49.9999389648438</v>
      </c>
      <c r="DP14">
        <v>-3.4685442224144901E-3</v>
      </c>
      <c r="DQ14">
        <v>1.7485728487372398E-2</v>
      </c>
      <c r="DR14" s="2">
        <v>3.65470805263612E-6</v>
      </c>
      <c r="DS14" s="2">
        <v>3.7690357501674002E-9</v>
      </c>
      <c r="DT14" s="2">
        <v>6.3844190378858898E-8</v>
      </c>
      <c r="DU14" s="2">
        <v>-2.5394513158971701E-9</v>
      </c>
      <c r="DV14">
        <v>74.699577331542997</v>
      </c>
      <c r="DW14">
        <v>40.773880004882798</v>
      </c>
      <c r="DX14">
        <v>1.95620227605104E-2</v>
      </c>
      <c r="DY14" s="2">
        <v>3.2321690923708999E-6</v>
      </c>
      <c r="DZ14" s="2">
        <v>5.3959126056213303E-9</v>
      </c>
      <c r="EA14" s="2">
        <v>6.2935406219821704E-8</v>
      </c>
      <c r="EB14" s="2">
        <v>3.247736524159E-9</v>
      </c>
      <c r="EC14">
        <v>74.753646850585895</v>
      </c>
      <c r="ED14">
        <v>-33.041610717773402</v>
      </c>
      <c r="EE14" s="2">
        <v>3.4028230607370999E+38</v>
      </c>
      <c r="EF14" s="2">
        <v>3.4028230607370999E+38</v>
      </c>
      <c r="EG14">
        <v>460.02911376953102</v>
      </c>
      <c r="EH14">
        <v>460.02883911132801</v>
      </c>
      <c r="EI14">
        <v>2.2543478757143E-2</v>
      </c>
      <c r="EJ14" s="2">
        <v>3.4028230607370999E+38</v>
      </c>
      <c r="EK14" s="2">
        <v>3.4028230607370999E+38</v>
      </c>
      <c r="EL14">
        <v>123</v>
      </c>
      <c r="EM14">
        <v>230.00178527832</v>
      </c>
      <c r="EN14">
        <v>2.00012278556824</v>
      </c>
      <c r="EO14">
        <v>460.02841186523398</v>
      </c>
      <c r="EP14">
        <v>460.02816772460898</v>
      </c>
      <c r="EQ14">
        <v>2.99568623304367E-2</v>
      </c>
      <c r="ER14">
        <v>49.999969482421903</v>
      </c>
      <c r="ES14">
        <v>-3.7515808362513798E-3</v>
      </c>
      <c r="ET14">
        <v>1</v>
      </c>
      <c r="EU14" s="2">
        <v>3.4028230607370999E+38</v>
      </c>
      <c r="EV14">
        <v>0</v>
      </c>
      <c r="EW14">
        <v>230.00358581543</v>
      </c>
      <c r="EX14">
        <v>460.02865600585898</v>
      </c>
      <c r="EY14">
        <v>460.02835083007801</v>
      </c>
      <c r="EZ14">
        <v>4.6501278877258301E-2</v>
      </c>
      <c r="FA14">
        <v>1.03599522844888E-4</v>
      </c>
      <c r="FB14">
        <v>1.7635727301239999E-2</v>
      </c>
      <c r="FC14" s="2">
        <v>3.5981888686364999E-6</v>
      </c>
      <c r="FD14" s="2">
        <v>4.5961376926584299E-9</v>
      </c>
      <c r="FE14" s="2">
        <v>6.4058106374886794E-8</v>
      </c>
      <c r="FF14" s="2">
        <v>-1.96449234657337E-9</v>
      </c>
      <c r="FG14">
        <v>74.731239318847699</v>
      </c>
      <c r="FH14">
        <v>26.895454406738299</v>
      </c>
      <c r="FI14">
        <v>6.65013343095779E-2</v>
      </c>
      <c r="FJ14" s="2">
        <v>3.4028230607370999E+38</v>
      </c>
      <c r="FK14">
        <v>15.369327545166</v>
      </c>
      <c r="FL14">
        <v>2.0519258454442E-2</v>
      </c>
      <c r="FM14">
        <v>0</v>
      </c>
      <c r="FN14">
        <v>0</v>
      </c>
      <c r="FO14">
        <v>0</v>
      </c>
      <c r="FP14" s="2">
        <v>-5.4217398428591002E-5</v>
      </c>
      <c r="FQ14">
        <v>1.94924343377352E-2</v>
      </c>
      <c r="FR14" s="2">
        <v>3.1135116387304198E-6</v>
      </c>
      <c r="FS14" s="2">
        <v>5.9970592936053899E-9</v>
      </c>
      <c r="FT14" s="2">
        <v>6.0725341199940899E-8</v>
      </c>
      <c r="FU14" s="2">
        <v>4.1717309606781303E-9</v>
      </c>
      <c r="FV14">
        <v>74.725761413574205</v>
      </c>
      <c r="FW14">
        <v>-44.017375946044901</v>
      </c>
      <c r="FX14">
        <v>6.0282982885837597E-2</v>
      </c>
      <c r="FY14" s="2">
        <v>3.4028230607370999E+38</v>
      </c>
      <c r="FZ14">
        <v>16.144716262817401</v>
      </c>
      <c r="GA14">
        <v>229.77127075195301</v>
      </c>
      <c r="GB14" s="2">
        <v>3.3308034108614498E-10</v>
      </c>
      <c r="GC14">
        <v>7.1207014843821504E-4</v>
      </c>
      <c r="GD14" s="2">
        <v>-1.11338285813112E-10</v>
      </c>
      <c r="GE14" s="2">
        <v>-2.83075878542149E-5</v>
      </c>
      <c r="GF14" s="2">
        <v>3.4028230607370999E+38</v>
      </c>
      <c r="GG14" s="2">
        <v>3.4028230607370999E+38</v>
      </c>
      <c r="GH14">
        <v>460.02755737304699</v>
      </c>
      <c r="GI14">
        <v>460.03088378906199</v>
      </c>
      <c r="GJ14">
        <v>2.7156379073858299E-2</v>
      </c>
      <c r="GK14" s="2">
        <v>3.4028230607370999E+38</v>
      </c>
      <c r="GL14" s="2">
        <v>3.4028230607370999E+38</v>
      </c>
      <c r="GM14" s="2">
        <v>3.4028230607370999E+38</v>
      </c>
      <c r="GN14" s="2">
        <v>3.4028230607370999E+38</v>
      </c>
      <c r="GO14" s="2">
        <v>3.4028230607370999E+38</v>
      </c>
      <c r="GP14" s="2">
        <v>3.4028230607370999E+38</v>
      </c>
      <c r="GQ14">
        <v>460.03131103515602</v>
      </c>
      <c r="GR14">
        <v>460.03131103515602</v>
      </c>
      <c r="GS14">
        <v>4.8960104584693902E-2</v>
      </c>
      <c r="GT14">
        <v>-2.5422603357583301E-4</v>
      </c>
      <c r="GX14">
        <f t="shared" si="1"/>
        <v>230.00216064453099</v>
      </c>
      <c r="GY14">
        <f t="shared" si="2"/>
        <v>2.0001066684722901</v>
      </c>
      <c r="GZ14">
        <f t="shared" si="3"/>
        <v>460.02901611328127</v>
      </c>
      <c r="HA14">
        <f t="shared" si="4"/>
        <v>460.02875366210935</v>
      </c>
      <c r="HB14">
        <f t="shared" si="5"/>
        <v>2.5466872006654741E-2</v>
      </c>
      <c r="HC14">
        <f t="shared" si="6"/>
        <v>49.999945831298859</v>
      </c>
      <c r="HD14">
        <f t="shared" si="7"/>
        <v>-3.3928246237337582E-3</v>
      </c>
      <c r="HW14" s="10">
        <f>(GX14/Data!$S14-1)*1000000</f>
        <v>23.630095220106284</v>
      </c>
      <c r="HX14" s="10">
        <f>(GY14/Data!$T14-1)*1000000</f>
        <v>12.341230247070456</v>
      </c>
      <c r="HY14" s="10">
        <f>(GZ14/Data!$BW14-1)*1000000</f>
        <v>36.31601352216407</v>
      </c>
      <c r="HZ14" s="10">
        <f>(HA14/(Data!$S14*Data!$T14)-1)*1000000</f>
        <v>35.750740279949511</v>
      </c>
      <c r="IA14" s="7">
        <f>(HB14/IF(HD14&gt;0, -Data!$BX14,Data!$BX14)-1)*1000000</f>
        <v>691032.8597121425</v>
      </c>
      <c r="IB14" s="10"/>
      <c r="IC14" s="9">
        <f>(HD14-Data!$U14)</f>
        <v>-1.5170666237337583E-3</v>
      </c>
    </row>
    <row r="15" spans="1:254" x14ac:dyDescent="0.2">
      <c r="A15">
        <v>15</v>
      </c>
      <c r="B15">
        <v>230.00111389160199</v>
      </c>
      <c r="C15">
        <v>2.00012111663818</v>
      </c>
      <c r="D15">
        <v>229.98777770996099</v>
      </c>
      <c r="E15">
        <v>460.02886962890602</v>
      </c>
      <c r="F15">
        <v>398.41018676757801</v>
      </c>
      <c r="G15">
        <v>49.999969482421903</v>
      </c>
      <c r="H15">
        <v>-60.003322601318402</v>
      </c>
      <c r="I15">
        <v>1.6957890242338201E-2</v>
      </c>
      <c r="J15" s="2">
        <v>3.6098126656725101E-6</v>
      </c>
      <c r="K15" s="2">
        <v>4.8559050114249699E-9</v>
      </c>
      <c r="L15" s="2">
        <v>6.1801209483292001E-8</v>
      </c>
      <c r="M15" s="2">
        <v>4.1919450133320904E-9</v>
      </c>
      <c r="N15">
        <v>74.794128417968807</v>
      </c>
      <c r="O15">
        <v>-41.753135681152301</v>
      </c>
      <c r="P15">
        <v>1.84094626456499E-2</v>
      </c>
      <c r="Q15" s="2">
        <v>3.1272388696379498E-6</v>
      </c>
      <c r="R15" s="2">
        <v>1.9826749131368599E-9</v>
      </c>
      <c r="S15" s="2">
        <v>5.9262848850494298E-8</v>
      </c>
      <c r="T15" s="2">
        <v>4.6759791594297398E-9</v>
      </c>
      <c r="U15">
        <v>74.756790161132798</v>
      </c>
      <c r="V15">
        <v>-60.379993438720703</v>
      </c>
      <c r="W15" s="2">
        <v>3.4028230607370999E+38</v>
      </c>
      <c r="X15" s="2">
        <v>3.4028230607370999E+38</v>
      </c>
      <c r="Y15">
        <v>229.98777770996099</v>
      </c>
      <c r="Z15">
        <v>460.02886962890602</v>
      </c>
      <c r="AA15">
        <v>398.41018676757801</v>
      </c>
      <c r="AB15" s="2">
        <v>3.4028230607370999E+38</v>
      </c>
      <c r="AC15" s="2">
        <v>3.4028230607370999E+38</v>
      </c>
      <c r="AD15">
        <v>230.00173950195301</v>
      </c>
      <c r="AE15">
        <v>2.0001072883606001</v>
      </c>
      <c r="AF15">
        <v>229.98988342285199</v>
      </c>
      <c r="AG15">
        <v>460.02639770507801</v>
      </c>
      <c r="AH15">
        <v>398.40982055664102</v>
      </c>
      <c r="AI15">
        <v>49.999954223632798</v>
      </c>
      <c r="AJ15">
        <v>-60.003608703613303</v>
      </c>
      <c r="AK15">
        <v>1.75680443644524E-2</v>
      </c>
      <c r="AL15" s="2">
        <v>3.6064370760868799E-6</v>
      </c>
      <c r="AM15" s="2">
        <v>4.8646624506432098E-9</v>
      </c>
      <c r="AN15" s="2">
        <v>6.3343115641600902E-8</v>
      </c>
      <c r="AO15" s="2">
        <v>2.4163531175958E-9</v>
      </c>
      <c r="AP15">
        <v>74.793502807617202</v>
      </c>
      <c r="AQ15">
        <v>-27.382038116455099</v>
      </c>
      <c r="AR15">
        <v>1.9352518022060401E-2</v>
      </c>
      <c r="AS15" s="2">
        <v>3.1257759474101502E-6</v>
      </c>
      <c r="AT15" s="2">
        <v>4.2363970109704496E-9</v>
      </c>
      <c r="AU15" s="2">
        <v>6.0500354948089794E-8</v>
      </c>
      <c r="AV15" s="2">
        <v>5.0170965160134504E-9</v>
      </c>
      <c r="AW15">
        <v>74.775016784667997</v>
      </c>
      <c r="AX15">
        <v>-60.045364379882798</v>
      </c>
      <c r="AY15" s="2">
        <v>3.4028230607370999E+38</v>
      </c>
      <c r="AZ15" s="2">
        <v>3.4028230607370999E+38</v>
      </c>
      <c r="BA15">
        <v>229.98988342285199</v>
      </c>
      <c r="BB15">
        <v>460.02639770507801</v>
      </c>
      <c r="BC15">
        <v>398.40982055664102</v>
      </c>
      <c r="BD15" s="2">
        <v>3.4028230607370999E+38</v>
      </c>
      <c r="BE15" s="2">
        <v>3.4028230607370999E+38</v>
      </c>
      <c r="BF15">
        <v>230.00205993652301</v>
      </c>
      <c r="BG15">
        <v>2.0001025199890101</v>
      </c>
      <c r="BH15">
        <v>229.98568725585901</v>
      </c>
      <c r="BI15">
        <v>460.02911376953102</v>
      </c>
      <c r="BJ15">
        <v>398.41247558593801</v>
      </c>
      <c r="BK15">
        <v>49.999866485595703</v>
      </c>
      <c r="BL15">
        <v>-60.003414154052699</v>
      </c>
      <c r="BM15">
        <v>1.46663933992386E-2</v>
      </c>
      <c r="BN15" s="2">
        <v>3.6013145745528202E-6</v>
      </c>
      <c r="BO15" s="2">
        <v>2.7274535963073301E-9</v>
      </c>
      <c r="BP15" s="2">
        <v>5.3323617521527902E-8</v>
      </c>
      <c r="BQ15" s="2">
        <v>7.9755474446940897E-10</v>
      </c>
      <c r="BR15">
        <v>74.767417907714801</v>
      </c>
      <c r="BS15">
        <v>-14.4191226959229</v>
      </c>
      <c r="BT15">
        <v>1.57442931085825E-2</v>
      </c>
      <c r="BU15" s="2">
        <v>3.0971166324889101E-6</v>
      </c>
      <c r="BV15" s="2">
        <v>1.56906820869551E-9</v>
      </c>
      <c r="BW15" s="2">
        <v>5.0049010269503898E-8</v>
      </c>
      <c r="BX15" s="2">
        <v>1.41868505831866E-9</v>
      </c>
      <c r="BY15">
        <v>74.816322326660199</v>
      </c>
      <c r="BZ15">
        <v>-47.134292602539098</v>
      </c>
      <c r="CA15" s="2">
        <v>3.4028230607370999E+38</v>
      </c>
      <c r="CB15" s="2">
        <v>3.4028230607370999E+38</v>
      </c>
      <c r="CC15">
        <v>229.98568725585901</v>
      </c>
      <c r="CD15">
        <v>460.02911376953102</v>
      </c>
      <c r="CE15">
        <v>398.41247558593801</v>
      </c>
      <c r="CF15" s="2">
        <v>3.4028230607370999E+38</v>
      </c>
      <c r="CG15" s="2">
        <v>3.4028230607370999E+38</v>
      </c>
      <c r="CH15">
        <v>230.00181579589801</v>
      </c>
      <c r="CI15">
        <v>2.0001184940338099</v>
      </c>
      <c r="CJ15">
        <v>229.98934936523401</v>
      </c>
      <c r="CK15">
        <v>460.03057861328102</v>
      </c>
      <c r="CL15">
        <v>398.411865234375</v>
      </c>
      <c r="CM15">
        <v>49.999973297119098</v>
      </c>
      <c r="CN15">
        <v>-60.0038032531738</v>
      </c>
      <c r="CO15">
        <v>1.54338153079152E-2</v>
      </c>
      <c r="CP15" s="2">
        <v>3.6329577142169001E-6</v>
      </c>
      <c r="CQ15" s="2">
        <v>2.0280859214238899E-9</v>
      </c>
      <c r="CR15" s="2">
        <v>5.5841276491719301E-8</v>
      </c>
      <c r="CS15" s="2">
        <v>2.6201365521672001E-9</v>
      </c>
      <c r="CT15">
        <v>74.81005859375</v>
      </c>
      <c r="CU15">
        <v>-54.910606384277301</v>
      </c>
      <c r="CV15">
        <v>1.6542199999093999E-2</v>
      </c>
      <c r="CW15" s="2">
        <v>3.1949657568475202E-6</v>
      </c>
      <c r="CX15" s="2">
        <v>2.7430515636695E-9</v>
      </c>
      <c r="CY15" s="2">
        <v>5.0537710905018698E-8</v>
      </c>
      <c r="CZ15" s="2">
        <v>2.47254416940734E-9</v>
      </c>
      <c r="DA15">
        <v>74.765480041503906</v>
      </c>
      <c r="DB15">
        <v>-58.036090850830099</v>
      </c>
      <c r="DC15" s="2">
        <v>3.4028230607370999E+38</v>
      </c>
      <c r="DD15" s="2">
        <v>3.4028230607370999E+38</v>
      </c>
      <c r="DE15">
        <v>229.98934936523401</v>
      </c>
      <c r="DF15">
        <v>460.03057861328102</v>
      </c>
      <c r="DG15">
        <v>398.411865234375</v>
      </c>
      <c r="DH15" s="2">
        <v>3.4028230607370999E+38</v>
      </c>
      <c r="DI15" s="2">
        <v>3.4028230607370999E+38</v>
      </c>
      <c r="DJ15">
        <v>230.00163269043</v>
      </c>
      <c r="DK15">
        <v>2.0001034736633301</v>
      </c>
      <c r="DL15">
        <v>229.99114990234401</v>
      </c>
      <c r="DM15">
        <v>460.02957153320301</v>
      </c>
      <c r="DN15">
        <v>398.41091918945301</v>
      </c>
      <c r="DO15">
        <v>50.000015258789098</v>
      </c>
      <c r="DP15">
        <v>-60.00341796875</v>
      </c>
      <c r="DQ15">
        <v>1.5079735778272201E-2</v>
      </c>
      <c r="DR15" s="2">
        <v>3.6560254557116402E-6</v>
      </c>
      <c r="DS15" s="2">
        <v>2.7093212118245401E-9</v>
      </c>
      <c r="DT15" s="2">
        <v>5.4831268414545802E-8</v>
      </c>
      <c r="DU15" s="2">
        <v>3.2252127635246101E-9</v>
      </c>
      <c r="DV15">
        <v>74.746810913085895</v>
      </c>
      <c r="DW15">
        <v>-51.417991638183601</v>
      </c>
      <c r="DX15">
        <v>1.60764213651419E-2</v>
      </c>
      <c r="DY15" s="2">
        <v>3.0694900488015298E-6</v>
      </c>
      <c r="DZ15" s="2">
        <v>1.41900580175047E-9</v>
      </c>
      <c r="EA15" s="2">
        <v>4.9655003664383899E-8</v>
      </c>
      <c r="EB15" s="2">
        <v>2.09257189354162E-9</v>
      </c>
      <c r="EC15">
        <v>74.772468566894503</v>
      </c>
      <c r="ED15">
        <v>-49.647518157958999</v>
      </c>
      <c r="EE15" s="2">
        <v>3.4028230607370999E+38</v>
      </c>
      <c r="EF15" s="2">
        <v>3.4028230607370999E+38</v>
      </c>
      <c r="EG15">
        <v>229.99114990234401</v>
      </c>
      <c r="EH15">
        <v>460.02957153320301</v>
      </c>
      <c r="EI15">
        <v>398.41091918945301</v>
      </c>
      <c r="EJ15" s="2">
        <v>3.4028230607370999E+38</v>
      </c>
      <c r="EK15" s="2">
        <v>3.4028230607370999E+38</v>
      </c>
      <c r="EL15">
        <v>123</v>
      </c>
      <c r="EM15">
        <v>230.00234985351599</v>
      </c>
      <c r="EN15">
        <v>2.0001091957092298</v>
      </c>
      <c r="EO15">
        <v>229.990158081055</v>
      </c>
      <c r="EP15">
        <v>460.02844238281199</v>
      </c>
      <c r="EQ15">
        <v>398.41116333007801</v>
      </c>
      <c r="ER15">
        <v>49.999885559082003</v>
      </c>
      <c r="ES15">
        <v>-60.003616333007798</v>
      </c>
      <c r="ET15">
        <v>0.49994668364524802</v>
      </c>
      <c r="EU15" s="2">
        <v>3.4028230607370999E+38</v>
      </c>
      <c r="EV15">
        <v>0</v>
      </c>
      <c r="EW15">
        <v>230.00198364257801</v>
      </c>
      <c r="EX15">
        <v>229.982498168945</v>
      </c>
      <c r="EY15">
        <v>460.02917480468801</v>
      </c>
      <c r="EZ15">
        <v>398.41082763671898</v>
      </c>
      <c r="FA15">
        <v>-3.8091067108325698E-4</v>
      </c>
      <c r="FB15">
        <v>1.43827944993973E-2</v>
      </c>
      <c r="FC15" s="2">
        <v>3.6204091884428601E-6</v>
      </c>
      <c r="FD15" s="2">
        <v>3.17389092785447E-9</v>
      </c>
      <c r="FE15" s="2">
        <v>5.1899498032525999E-8</v>
      </c>
      <c r="FF15" s="2">
        <v>2.0882522377974101E-9</v>
      </c>
      <c r="FG15">
        <v>74.700714111328097</v>
      </c>
      <c r="FH15">
        <v>-39.863243103027301</v>
      </c>
      <c r="FI15">
        <v>5.1786046475172001E-2</v>
      </c>
      <c r="FJ15" s="2">
        <v>3.4028230607370999E+38</v>
      </c>
      <c r="FK15">
        <v>38.887451171875</v>
      </c>
      <c r="FL15">
        <v>2.0468033850192999E-2</v>
      </c>
      <c r="FM15">
        <v>0</v>
      </c>
      <c r="FN15">
        <v>0</v>
      </c>
      <c r="FO15">
        <v>0</v>
      </c>
      <c r="FP15" s="2">
        <v>4.3851403461303603E-5</v>
      </c>
      <c r="FQ15">
        <v>1.5517773106694201E-2</v>
      </c>
      <c r="FR15" s="2">
        <v>3.1782269616087399E-6</v>
      </c>
      <c r="FS15" s="2">
        <v>1.01131036878144E-9</v>
      </c>
      <c r="FT15" s="2">
        <v>4.6803471320799899E-8</v>
      </c>
      <c r="FU15" s="2">
        <v>9.13074338360076E-10</v>
      </c>
      <c r="FV15">
        <v>74.763092041015597</v>
      </c>
      <c r="FW15">
        <v>-29.145832061767599</v>
      </c>
      <c r="FX15">
        <v>3.4651074558496503E-2</v>
      </c>
      <c r="FY15" s="2">
        <v>3.4028230607370999E+38</v>
      </c>
      <c r="FZ15">
        <v>43.893192291259801</v>
      </c>
      <c r="GA15">
        <v>229.45477294921901</v>
      </c>
      <c r="GB15" s="2">
        <v>1.3847520907717101E-9</v>
      </c>
      <c r="GC15">
        <v>7.0857565151527502E-4</v>
      </c>
      <c r="GD15" s="2">
        <v>-9.9794200680847199E-11</v>
      </c>
      <c r="GE15" s="2">
        <v>-2.9027567507000599E-5</v>
      </c>
      <c r="GF15" s="2">
        <v>3.4028230607370999E+38</v>
      </c>
      <c r="GG15" s="2">
        <v>3.4028230607370999E+38</v>
      </c>
      <c r="GH15">
        <v>229.990798950195</v>
      </c>
      <c r="GI15">
        <v>460.03131103515602</v>
      </c>
      <c r="GJ15">
        <v>398.41445922851602</v>
      </c>
      <c r="GK15" s="2">
        <v>3.4028230607370999E+38</v>
      </c>
      <c r="GL15" s="2">
        <v>3.4028230607370999E+38</v>
      </c>
      <c r="GM15" s="2">
        <v>3.4028230607370999E+38</v>
      </c>
      <c r="GN15" s="2">
        <v>3.4028230607370999E+38</v>
      </c>
      <c r="GO15" s="2">
        <v>3.4028230607370999E+38</v>
      </c>
      <c r="GP15" s="2">
        <v>3.4028230607370999E+38</v>
      </c>
      <c r="GQ15">
        <v>229.98681640625</v>
      </c>
      <c r="GR15">
        <v>229.98681640625</v>
      </c>
      <c r="GS15">
        <v>398.41592407226602</v>
      </c>
      <c r="GT15">
        <v>-2.73083453066647E-4</v>
      </c>
      <c r="GX15">
        <f t="shared" si="1"/>
        <v>230.00167236328122</v>
      </c>
      <c r="GY15">
        <f t="shared" si="2"/>
        <v>2.0001105785369857</v>
      </c>
      <c r="GZ15">
        <f t="shared" si="3"/>
        <v>229.98876953125</v>
      </c>
      <c r="HA15">
        <f t="shared" si="4"/>
        <v>460.02890624999981</v>
      </c>
      <c r="HB15">
        <f t="shared" si="5"/>
        <v>398.41105346679694</v>
      </c>
      <c r="HC15">
        <f t="shared" si="6"/>
        <v>49.999955749511713</v>
      </c>
      <c r="HD15">
        <f t="shared" si="7"/>
        <v>-60.003513336181641</v>
      </c>
      <c r="HW15" s="10">
        <f>(GX15/Data!$S15-1)*1000000</f>
        <v>21.884942776884131</v>
      </c>
      <c r="HX15" s="10">
        <f>(GY15/Data!$T15-1)*1000000</f>
        <v>34.386049738488467</v>
      </c>
      <c r="HY15" s="10">
        <f>(GZ15/Data!$BW15-1)*1000000</f>
        <v>-47.346890787336449</v>
      </c>
      <c r="HZ15" s="10">
        <f>(HA15/(Data!$S15*Data!$T15)-1)*1000000</f>
        <v>56.550602001159689</v>
      </c>
      <c r="IA15" s="7">
        <f>(HB15/IF(HD15&gt;0, -Data!$BX15,Data!$BX15)-1)*1000000</f>
        <v>89.933972944766793</v>
      </c>
      <c r="IB15" s="10"/>
      <c r="IC15" s="9">
        <f>(HD15-Data!$U15)</f>
        <v>-3.2561061816380743E-3</v>
      </c>
    </row>
    <row r="16" spans="1:254" x14ac:dyDescent="0.2">
      <c r="A16">
        <v>16</v>
      </c>
      <c r="B16">
        <v>230.00186157226599</v>
      </c>
      <c r="C16">
        <v>2.0000972747802699</v>
      </c>
      <c r="D16">
        <v>229.98684692382801</v>
      </c>
      <c r="E16">
        <v>460.02764892578102</v>
      </c>
      <c r="F16">
        <v>398.41146850585898</v>
      </c>
      <c r="G16">
        <v>49.999935150146499</v>
      </c>
      <c r="H16">
        <v>-60.003864288330099</v>
      </c>
      <c r="I16">
        <v>1.5006680972874199E-2</v>
      </c>
      <c r="J16" s="2">
        <v>3.6120377444603899E-6</v>
      </c>
      <c r="K16" s="2">
        <v>2.4735884451842999E-9</v>
      </c>
      <c r="L16" s="2">
        <v>5.3788653531228199E-8</v>
      </c>
      <c r="M16" s="2">
        <v>3.0355129521097999E-9</v>
      </c>
      <c r="N16">
        <v>74.740898132324205</v>
      </c>
      <c r="O16">
        <v>-63.175025939941399</v>
      </c>
      <c r="P16">
        <v>1.6453685238957402E-2</v>
      </c>
      <c r="Q16" s="2">
        <v>3.1691276944911802E-6</v>
      </c>
      <c r="R16" s="2">
        <v>1.8833585802013898E-9</v>
      </c>
      <c r="S16" s="2">
        <v>5.0252619843149699E-8</v>
      </c>
      <c r="T16" s="2">
        <v>1.91613680478042E-9</v>
      </c>
      <c r="U16">
        <v>74.822196960449205</v>
      </c>
      <c r="V16">
        <v>-74.423019409179702</v>
      </c>
      <c r="W16" s="2">
        <v>3.4028230607370999E+38</v>
      </c>
      <c r="X16" s="2">
        <v>3.4028230607370999E+38</v>
      </c>
      <c r="Y16">
        <v>229.98684692382801</v>
      </c>
      <c r="Z16">
        <v>460.02764892578102</v>
      </c>
      <c r="AA16">
        <v>398.41146850585898</v>
      </c>
      <c r="AB16" s="2">
        <v>3.4028230607370999E+38</v>
      </c>
      <c r="AC16" s="2">
        <v>3.4028230607370999E+38</v>
      </c>
      <c r="AD16">
        <v>230.00213623046901</v>
      </c>
      <c r="AE16">
        <v>2.0001087188720699</v>
      </c>
      <c r="AF16">
        <v>229.99055480957</v>
      </c>
      <c r="AG16">
        <v>460.02902221679699</v>
      </c>
      <c r="AH16">
        <v>398.413330078125</v>
      </c>
      <c r="AI16">
        <v>49.999908447265597</v>
      </c>
      <c r="AJ16">
        <v>-60.003780364990199</v>
      </c>
      <c r="AK16">
        <v>1.5817778185010001E-2</v>
      </c>
      <c r="AL16" s="2">
        <v>3.56465989170829E-6</v>
      </c>
      <c r="AM16" s="2">
        <v>1.52786128193583E-9</v>
      </c>
      <c r="AN16" s="2">
        <v>5.6364402922781698E-8</v>
      </c>
      <c r="AO16" s="2">
        <v>3.6518870150104001E-9</v>
      </c>
      <c r="AP16">
        <v>74.739883422851605</v>
      </c>
      <c r="AQ16">
        <v>-48.012733459472699</v>
      </c>
      <c r="AR16">
        <v>1.7000652849674201E-2</v>
      </c>
      <c r="AS16" s="2">
        <v>3.1066563224158E-6</v>
      </c>
      <c r="AT16" s="2">
        <v>1.8380953425989299E-9</v>
      </c>
      <c r="AU16" s="2">
        <v>5.2830284147375999E-8</v>
      </c>
      <c r="AV16" s="2">
        <v>2.92643598243103E-9</v>
      </c>
      <c r="AW16">
        <v>74.765113830566406</v>
      </c>
      <c r="AX16">
        <v>-58.820232391357401</v>
      </c>
      <c r="AY16" s="2">
        <v>3.4028230607370999E+38</v>
      </c>
      <c r="AZ16" s="2">
        <v>3.4028230607370999E+38</v>
      </c>
      <c r="BA16">
        <v>229.99055480957</v>
      </c>
      <c r="BB16">
        <v>460.02902221679699</v>
      </c>
      <c r="BC16">
        <v>398.413330078125</v>
      </c>
      <c r="BD16" s="2">
        <v>3.4028230607370999E+38</v>
      </c>
      <c r="BE16" s="2">
        <v>3.4028230607370999E+38</v>
      </c>
      <c r="BF16">
        <v>230.00193786621099</v>
      </c>
      <c r="BG16">
        <v>2.0001192092895499</v>
      </c>
      <c r="BH16">
        <v>229.99237060546901</v>
      </c>
      <c r="BI16">
        <v>460.03189086914102</v>
      </c>
      <c r="BJ16">
        <v>398.41397094726602</v>
      </c>
      <c r="BK16">
        <v>49.999923706054702</v>
      </c>
      <c r="BL16">
        <v>-60.003414154052699</v>
      </c>
      <c r="BM16">
        <v>1.4268477447331E-2</v>
      </c>
      <c r="BN16" s="2">
        <v>3.6244618968339599E-6</v>
      </c>
      <c r="BO16" s="2">
        <v>3.0528477523716901E-9</v>
      </c>
      <c r="BP16" s="2">
        <v>5.0611134838618501E-8</v>
      </c>
      <c r="BQ16" s="2">
        <v>1.2236506252705199E-9</v>
      </c>
      <c r="BR16">
        <v>74.787422180175795</v>
      </c>
      <c r="BS16">
        <v>-28.120826721191399</v>
      </c>
      <c r="BT16">
        <v>1.54162896797061E-2</v>
      </c>
      <c r="BU16" s="2">
        <v>3.17950321004901E-6</v>
      </c>
      <c r="BV16" s="2">
        <v>9.4074481538086709E-10</v>
      </c>
      <c r="BW16" s="2">
        <v>4.7078870579753103E-8</v>
      </c>
      <c r="BX16" s="2">
        <v>8.8122503738574696E-10</v>
      </c>
      <c r="BY16">
        <v>74.798164367675795</v>
      </c>
      <c r="BZ16">
        <v>-42.118106842041001</v>
      </c>
      <c r="CA16" s="2">
        <v>3.4028230607370999E+38</v>
      </c>
      <c r="CB16" s="2">
        <v>3.4028230607370999E+38</v>
      </c>
      <c r="CC16">
        <v>229.99237060546901</v>
      </c>
      <c r="CD16">
        <v>460.03189086914102</v>
      </c>
      <c r="CE16">
        <v>398.41397094726602</v>
      </c>
      <c r="CF16" s="2">
        <v>3.4028230607370999E+38</v>
      </c>
      <c r="CG16" s="2">
        <v>3.4028230607370999E+38</v>
      </c>
      <c r="CH16">
        <v>230.00193786621099</v>
      </c>
      <c r="CI16">
        <v>2.0001199245452899</v>
      </c>
      <c r="CJ16">
        <v>229.99246215820301</v>
      </c>
      <c r="CK16">
        <v>460.03115844726602</v>
      </c>
      <c r="CL16">
        <v>398.41278076171898</v>
      </c>
      <c r="CM16">
        <v>49.999973297119098</v>
      </c>
      <c r="CN16">
        <v>-60.003734588622997</v>
      </c>
      <c r="CO16">
        <v>1.44368885084987E-2</v>
      </c>
      <c r="CP16" s="2">
        <v>3.6193832784192598E-6</v>
      </c>
      <c r="CQ16" s="2">
        <v>2.3962685169465199E-9</v>
      </c>
      <c r="CR16" s="2">
        <v>5.2226084790163401E-8</v>
      </c>
      <c r="CS16" s="2">
        <v>1.8924484201932E-9</v>
      </c>
      <c r="CT16">
        <v>74.763442993164105</v>
      </c>
      <c r="CU16">
        <v>-32.478267669677699</v>
      </c>
      <c r="CV16">
        <v>1.5657791867852201E-2</v>
      </c>
      <c r="CW16" s="2">
        <v>3.1938448046275901E-6</v>
      </c>
      <c r="CX16" s="2">
        <v>1.80022080575881E-10</v>
      </c>
      <c r="CY16" s="2">
        <v>5.01019599141728E-8</v>
      </c>
      <c r="CZ16" s="2">
        <v>1.0126022242928899E-9</v>
      </c>
      <c r="DA16">
        <v>74.8526611328125</v>
      </c>
      <c r="DB16">
        <v>-78.972885131835895</v>
      </c>
      <c r="DC16" s="2">
        <v>3.4028230607370999E+38</v>
      </c>
      <c r="DD16" s="2">
        <v>3.4028230607370999E+38</v>
      </c>
      <c r="DE16">
        <v>229.99246215820301</v>
      </c>
      <c r="DF16">
        <v>460.03115844726602</v>
      </c>
      <c r="DG16">
        <v>398.41278076171898</v>
      </c>
      <c r="DH16" s="2">
        <v>3.4028230607370999E+38</v>
      </c>
      <c r="DI16" s="2">
        <v>3.4028230607370999E+38</v>
      </c>
      <c r="DJ16">
        <v>230.00169372558599</v>
      </c>
      <c r="DK16">
        <v>2.00011014938354</v>
      </c>
      <c r="DL16">
        <v>229.99217224121099</v>
      </c>
      <c r="DM16">
        <v>460.02859497070301</v>
      </c>
      <c r="DN16">
        <v>398.40982055664102</v>
      </c>
      <c r="DO16">
        <v>49.999927520752003</v>
      </c>
      <c r="DP16">
        <v>-60.003890991210902</v>
      </c>
      <c r="DQ16">
        <v>1.76339410245419E-2</v>
      </c>
      <c r="DR16" s="2">
        <v>3.6100420857110302E-6</v>
      </c>
      <c r="DS16" s="2">
        <v>5.9492997195320599E-9</v>
      </c>
      <c r="DT16" s="2">
        <v>6.4033145008579595E-8</v>
      </c>
      <c r="DU16" s="2">
        <v>3.7982363920718903E-9</v>
      </c>
      <c r="DV16">
        <v>74.751213073730497</v>
      </c>
      <c r="DW16">
        <v>-26.7370414733887</v>
      </c>
      <c r="DX16">
        <v>1.9559990614652599E-2</v>
      </c>
      <c r="DY16" s="2">
        <v>3.2144803299161102E-6</v>
      </c>
      <c r="DZ16" s="2">
        <v>2.6128699204264198E-9</v>
      </c>
      <c r="EA16" s="2">
        <v>6.4023630841347794E-8</v>
      </c>
      <c r="EB16" s="2">
        <v>5.0496224979212903E-9</v>
      </c>
      <c r="EC16">
        <v>74.801963806152301</v>
      </c>
      <c r="ED16">
        <v>-51.741569519042997</v>
      </c>
      <c r="EE16" s="2">
        <v>3.4028230607370999E+38</v>
      </c>
      <c r="EF16" s="2">
        <v>3.4028230607370999E+38</v>
      </c>
      <c r="EG16">
        <v>229.99217224121099</v>
      </c>
      <c r="EH16">
        <v>460.02859497070301</v>
      </c>
      <c r="EI16">
        <v>398.40982055664102</v>
      </c>
      <c r="EJ16" s="2">
        <v>3.4028230607370999E+38</v>
      </c>
      <c r="EK16" s="2">
        <v>3.4028230607370999E+38</v>
      </c>
      <c r="EL16">
        <v>123</v>
      </c>
      <c r="EM16">
        <v>230.00167846679699</v>
      </c>
      <c r="EN16">
        <v>2.0001082420349099</v>
      </c>
      <c r="EO16">
        <v>229.98643493652301</v>
      </c>
      <c r="EP16">
        <v>460.02487182617199</v>
      </c>
      <c r="EQ16">
        <v>398.40899658203102</v>
      </c>
      <c r="ER16">
        <v>49.999923706054702</v>
      </c>
      <c r="ES16">
        <v>-60.003124237060497</v>
      </c>
      <c r="ET16">
        <v>0.49995362758636502</v>
      </c>
      <c r="EU16" s="2">
        <v>3.4028230607370999E+38</v>
      </c>
      <c r="EV16">
        <v>0</v>
      </c>
      <c r="EW16">
        <v>230.00325012207</v>
      </c>
      <c r="EX16">
        <v>229.97727966308599</v>
      </c>
      <c r="EY16">
        <v>460.03106689453102</v>
      </c>
      <c r="EZ16">
        <v>398.4111328125</v>
      </c>
      <c r="FA16">
        <v>-1.42978283111006E-3</v>
      </c>
      <c r="FB16">
        <v>1.74923818558455E-2</v>
      </c>
      <c r="FC16" s="2">
        <v>3.5883986129192602E-6</v>
      </c>
      <c r="FD16" s="2">
        <v>4.43871384092631E-9</v>
      </c>
      <c r="FE16" s="2">
        <v>6.2784515364455702E-8</v>
      </c>
      <c r="FF16" s="2">
        <v>3.15689585583812E-9</v>
      </c>
      <c r="FG16">
        <v>74.721839904785199</v>
      </c>
      <c r="FH16">
        <v>-29.6173000335693</v>
      </c>
      <c r="FI16">
        <v>8.7358795106410994E-2</v>
      </c>
      <c r="FJ16" s="2">
        <v>3.4028230607370999E+38</v>
      </c>
      <c r="FK16">
        <v>14.8989772796631</v>
      </c>
      <c r="FL16">
        <v>2.0232370123267202E-2</v>
      </c>
      <c r="FM16">
        <v>0</v>
      </c>
      <c r="FN16">
        <v>0</v>
      </c>
      <c r="FO16">
        <v>0</v>
      </c>
      <c r="FP16" s="2">
        <v>2.28553399210796E-5</v>
      </c>
      <c r="FQ16">
        <v>1.9092936068773301E-2</v>
      </c>
      <c r="FR16" s="2">
        <v>3.2151026516658E-6</v>
      </c>
      <c r="FS16" s="2">
        <v>2.7904898391994898E-9</v>
      </c>
      <c r="FT16" s="2">
        <v>5.9889956105507696E-8</v>
      </c>
      <c r="FU16" s="2">
        <v>5.4657172121608296E-9</v>
      </c>
      <c r="FV16">
        <v>74.713996887207003</v>
      </c>
      <c r="FW16">
        <v>-56.744998931884801</v>
      </c>
      <c r="FX16">
        <v>5.4733622819185299E-2</v>
      </c>
      <c r="FY16" s="2">
        <v>3.4028230607370999E+38</v>
      </c>
      <c r="FZ16">
        <v>24.2089748382568</v>
      </c>
      <c r="GA16">
        <v>229.33233642578099</v>
      </c>
      <c r="GB16" s="2">
        <v>1.8052111194766199E-10</v>
      </c>
      <c r="GC16">
        <v>7.1958522312343099E-4</v>
      </c>
      <c r="GD16" s="2">
        <v>8.2721052230283497E-10</v>
      </c>
      <c r="GE16" s="2">
        <v>-4.8192228859989E-5</v>
      </c>
      <c r="GF16" s="2">
        <v>3.4028230607370999E+38</v>
      </c>
      <c r="GG16" s="2">
        <v>3.4028230607370999E+38</v>
      </c>
      <c r="GH16">
        <v>229.99371337890599</v>
      </c>
      <c r="GI16">
        <v>460.02923583984398</v>
      </c>
      <c r="GJ16">
        <v>398.41036987304699</v>
      </c>
      <c r="GK16" s="2">
        <v>3.4028230607370999E+38</v>
      </c>
      <c r="GL16" s="2">
        <v>3.4028230607370999E+38</v>
      </c>
      <c r="GM16" s="2">
        <v>3.4028230607370999E+38</v>
      </c>
      <c r="GN16" s="2">
        <v>3.4028230607370999E+38</v>
      </c>
      <c r="GO16" s="2">
        <v>3.4028230607370999E+38</v>
      </c>
      <c r="GP16" s="2">
        <v>3.4028230607370999E+38</v>
      </c>
      <c r="GQ16">
        <v>229.97593688964801</v>
      </c>
      <c r="GR16">
        <v>229.97593688964801</v>
      </c>
      <c r="GS16">
        <v>398.41134643554699</v>
      </c>
      <c r="GT16">
        <v>-1.71020440757275E-3</v>
      </c>
      <c r="GX16">
        <f t="shared" si="1"/>
        <v>230.00191345214859</v>
      </c>
      <c r="GY16">
        <f t="shared" si="2"/>
        <v>2.0001110553741439</v>
      </c>
      <c r="GZ16">
        <f t="shared" si="3"/>
        <v>229.9908813476562</v>
      </c>
      <c r="HA16">
        <f t="shared" si="4"/>
        <v>460.02966308593761</v>
      </c>
      <c r="HB16">
        <f t="shared" si="5"/>
        <v>398.412274169922</v>
      </c>
      <c r="HC16">
        <f t="shared" si="6"/>
        <v>49.999933624267577</v>
      </c>
      <c r="HD16">
        <f t="shared" si="7"/>
        <v>-60.003736877441369</v>
      </c>
      <c r="HW16" s="10">
        <f>(GX16/Data!$S16-1)*1000000</f>
        <v>22.485327860977122</v>
      </c>
      <c r="HX16" s="10">
        <f>(GY16/Data!$T16-1)*1000000</f>
        <v>31.537430504657848</v>
      </c>
      <c r="HY16" s="10">
        <f>(GZ16/Data!$BW16-1)*1000000</f>
        <v>-29.900953768646765</v>
      </c>
      <c r="HZ16" s="10">
        <f>(HA16/(Data!$S16*Data!$T16)-1)*1000000</f>
        <v>54.660924468485916</v>
      </c>
      <c r="IA16" s="7">
        <f>(HB16/IF(HD16&gt;0, -Data!$BX16,Data!$BX16)-1)*1000000</f>
        <v>85.530708936021327</v>
      </c>
      <c r="IB16" s="10"/>
      <c r="IC16" s="9">
        <f>(HD16-Data!$U16)</f>
        <v>-3.0893674413690064E-3</v>
      </c>
    </row>
    <row r="17" spans="1:237" x14ac:dyDescent="0.2">
      <c r="A17">
        <v>17</v>
      </c>
      <c r="B17">
        <v>230.00221252441401</v>
      </c>
      <c r="C17">
        <v>2.0001049041747998</v>
      </c>
      <c r="D17">
        <v>229.98829650878901</v>
      </c>
      <c r="E17">
        <v>460.02868652343801</v>
      </c>
      <c r="F17">
        <v>398.41241455078102</v>
      </c>
      <c r="G17">
        <v>49.999904632568402</v>
      </c>
      <c r="H17">
        <v>-60.003303527832003</v>
      </c>
      <c r="I17">
        <v>1.5065879561007E-2</v>
      </c>
      <c r="J17" s="2">
        <v>3.5897894576919498E-6</v>
      </c>
      <c r="K17" s="2">
        <v>3.55783646988073E-9</v>
      </c>
      <c r="L17" s="2">
        <v>5.5075890514899597E-8</v>
      </c>
      <c r="M17" s="2">
        <v>5.8204357999969096E-10</v>
      </c>
      <c r="N17">
        <v>74.690696716308594</v>
      </c>
      <c r="O17">
        <v>-8.5671186447143608</v>
      </c>
      <c r="P17">
        <v>1.6251636669039699E-2</v>
      </c>
      <c r="Q17" s="2">
        <v>3.0637274903710902E-6</v>
      </c>
      <c r="R17" s="2">
        <v>1.2014665928816701E-9</v>
      </c>
      <c r="S17" s="2">
        <v>5.0314703514686698E-8</v>
      </c>
      <c r="T17" s="2">
        <v>1.18212406530205E-9</v>
      </c>
      <c r="U17">
        <v>74.789794921875</v>
      </c>
      <c r="V17">
        <v>-50.512565612792997</v>
      </c>
      <c r="W17" s="2">
        <v>3.4028230607370999E+38</v>
      </c>
      <c r="X17" s="2">
        <v>3.4028230607370999E+38</v>
      </c>
      <c r="Y17">
        <v>229.98829650878901</v>
      </c>
      <c r="Z17">
        <v>460.02868652343801</v>
      </c>
      <c r="AA17">
        <v>398.41241455078102</v>
      </c>
      <c r="AB17" s="2">
        <v>3.4028230607370999E+38</v>
      </c>
      <c r="AC17" s="2">
        <v>3.4028230607370999E+38</v>
      </c>
      <c r="AD17">
        <v>230.002197265625</v>
      </c>
      <c r="AE17">
        <v>2.0001034736633301</v>
      </c>
      <c r="AF17">
        <v>229.98953247070301</v>
      </c>
      <c r="AG17">
        <v>460.02853393554699</v>
      </c>
      <c r="AH17">
        <v>398.41125488281199</v>
      </c>
      <c r="AI17">
        <v>49.999969482421903</v>
      </c>
      <c r="AJ17">
        <v>-60.003864288330099</v>
      </c>
      <c r="AK17">
        <v>1.74058265984058E-2</v>
      </c>
      <c r="AL17" s="2">
        <v>3.5551431665226102E-6</v>
      </c>
      <c r="AM17" s="2">
        <v>4.57143833898499E-9</v>
      </c>
      <c r="AN17" s="2">
        <v>6.1844211529660203E-8</v>
      </c>
      <c r="AO17" s="2">
        <v>2.9702733606029601E-9</v>
      </c>
      <c r="AP17">
        <v>74.801261901855497</v>
      </c>
      <c r="AQ17">
        <v>-28.4772834777832</v>
      </c>
      <c r="AR17">
        <v>1.9494110718369501E-2</v>
      </c>
      <c r="AS17" s="2">
        <v>3.1076056075107802E-6</v>
      </c>
      <c r="AT17" s="2">
        <v>2.73115752236208E-9</v>
      </c>
      <c r="AU17" s="2">
        <v>6.0270998858413805E-8</v>
      </c>
      <c r="AV17" s="2">
        <v>4.55840121205142E-9</v>
      </c>
      <c r="AW17">
        <v>74.792427062988295</v>
      </c>
      <c r="AX17">
        <v>-48.861324310302699</v>
      </c>
      <c r="AY17" s="2">
        <v>3.4028230607370999E+38</v>
      </c>
      <c r="AZ17" s="2">
        <v>3.4028230607370999E+38</v>
      </c>
      <c r="BA17">
        <v>229.98953247070301</v>
      </c>
      <c r="BB17">
        <v>460.02853393554699</v>
      </c>
      <c r="BC17">
        <v>398.41125488281199</v>
      </c>
      <c r="BD17" s="2">
        <v>3.4028230607370999E+38</v>
      </c>
      <c r="BE17" s="2">
        <v>3.4028230607370999E+38</v>
      </c>
      <c r="BF17">
        <v>230.00178527832</v>
      </c>
      <c r="BG17">
        <v>2.0001137256622301</v>
      </c>
      <c r="BH17">
        <v>229.99142456054699</v>
      </c>
      <c r="BI17">
        <v>460.02947998046898</v>
      </c>
      <c r="BJ17">
        <v>398.41226196289102</v>
      </c>
      <c r="BK17">
        <v>49.9999389648438</v>
      </c>
      <c r="BL17">
        <v>-60.0031127929688</v>
      </c>
      <c r="BM17">
        <v>1.60311497747898E-2</v>
      </c>
      <c r="BN17" s="2">
        <v>3.6294979963713601E-6</v>
      </c>
      <c r="BO17" s="2">
        <v>5.3103823560718402E-9</v>
      </c>
      <c r="BP17" s="2">
        <v>5.5908042639884999E-8</v>
      </c>
      <c r="BQ17" s="2">
        <v>1.43021650078623E-9</v>
      </c>
      <c r="BR17">
        <v>74.7095947265625</v>
      </c>
      <c r="BS17">
        <v>-12.406094551086399</v>
      </c>
      <c r="BT17">
        <v>1.7327204346656799E-2</v>
      </c>
      <c r="BU17" s="2">
        <v>3.2101222586788902E-6</v>
      </c>
      <c r="BV17" s="2">
        <v>1.7108143790522899E-9</v>
      </c>
      <c r="BW17" s="2">
        <v>5.2549307127946998E-8</v>
      </c>
      <c r="BX17" s="2">
        <v>1.5757217752820901E-9</v>
      </c>
      <c r="BY17">
        <v>74.854087829589801</v>
      </c>
      <c r="BZ17">
        <v>-42.646186828613303</v>
      </c>
      <c r="CA17" s="2">
        <v>3.4028230607370999E+38</v>
      </c>
      <c r="CB17" s="2">
        <v>3.4028230607370999E+38</v>
      </c>
      <c r="CC17">
        <v>229.99142456054699</v>
      </c>
      <c r="CD17">
        <v>460.02947998046898</v>
      </c>
      <c r="CE17">
        <v>398.41226196289102</v>
      </c>
      <c r="CF17" s="2">
        <v>3.4028230607370999E+38</v>
      </c>
      <c r="CG17" s="2">
        <v>3.4028230607370999E+38</v>
      </c>
      <c r="CH17">
        <v>230.001953125</v>
      </c>
      <c r="CI17">
        <v>2.00010085105896</v>
      </c>
      <c r="CJ17">
        <v>229.98518371582</v>
      </c>
      <c r="CK17">
        <v>460.02600097656199</v>
      </c>
      <c r="CL17">
        <v>398.41143798828102</v>
      </c>
      <c r="CM17">
        <v>49.9998970031738</v>
      </c>
      <c r="CN17">
        <v>-60.003105163574197</v>
      </c>
      <c r="CO17">
        <v>1.7715411260724099E-2</v>
      </c>
      <c r="CP17" s="2">
        <v>3.62866376235615E-6</v>
      </c>
      <c r="CQ17" s="2">
        <v>5.6569713358101101E-9</v>
      </c>
      <c r="CR17" s="2">
        <v>6.4268697030911399E-8</v>
      </c>
      <c r="CS17" s="2">
        <v>2.94730218008965E-9</v>
      </c>
      <c r="CT17">
        <v>74.748443603515597</v>
      </c>
      <c r="CU17">
        <v>-28.550838470458999</v>
      </c>
      <c r="CV17">
        <v>1.91662292927504E-2</v>
      </c>
      <c r="CW17" s="2">
        <v>3.1488223157793999E-6</v>
      </c>
      <c r="CX17" s="2">
        <v>4.7648054390947403E-9</v>
      </c>
      <c r="CY17" s="2">
        <v>6.0703207793721998E-8</v>
      </c>
      <c r="CZ17" s="2">
        <v>6.0919242983459299E-9</v>
      </c>
      <c r="DA17">
        <v>74.736030578613295</v>
      </c>
      <c r="DB17">
        <v>-52.888950347900398</v>
      </c>
      <c r="DC17" s="2">
        <v>3.4028230607370999E+38</v>
      </c>
      <c r="DD17" s="2">
        <v>3.4028230607370999E+38</v>
      </c>
      <c r="DE17">
        <v>229.98518371582</v>
      </c>
      <c r="DF17">
        <v>460.02600097656199</v>
      </c>
      <c r="DG17">
        <v>398.41143798828102</v>
      </c>
      <c r="DH17" s="2">
        <v>3.4028230607370999E+38</v>
      </c>
      <c r="DI17" s="2">
        <v>3.4028230607370999E+38</v>
      </c>
      <c r="DJ17">
        <v>230.00167846679699</v>
      </c>
      <c r="DK17">
        <v>2.0001034736633301</v>
      </c>
      <c r="DL17">
        <v>229.98928833007801</v>
      </c>
      <c r="DM17">
        <v>460.02523803710898</v>
      </c>
      <c r="DN17">
        <v>398.40817260742199</v>
      </c>
      <c r="DO17">
        <v>49.999835968017599</v>
      </c>
      <c r="DP17">
        <v>-60.003372192382798</v>
      </c>
      <c r="DQ17">
        <v>1.74939297139645E-2</v>
      </c>
      <c r="DR17" s="2">
        <v>3.6578994695446501E-6</v>
      </c>
      <c r="DS17" s="2">
        <v>6.8103278572095901E-9</v>
      </c>
      <c r="DT17" s="2">
        <v>6.4906984675872095E-8</v>
      </c>
      <c r="DU17" s="2">
        <v>3.6177769668910299E-9</v>
      </c>
      <c r="DV17">
        <v>74.770774841308594</v>
      </c>
      <c r="DW17">
        <v>-19.6396675109863</v>
      </c>
      <c r="DX17">
        <v>1.9468907266855202E-2</v>
      </c>
      <c r="DY17" s="2">
        <v>3.0884737043379599E-6</v>
      </c>
      <c r="DZ17" s="2">
        <v>2.7408522118577102E-9</v>
      </c>
      <c r="EA17" s="2">
        <v>6.2371874776090395E-8</v>
      </c>
      <c r="EB17" s="2">
        <v>4.21698853614316E-9</v>
      </c>
      <c r="EC17">
        <v>74.799285888671903</v>
      </c>
      <c r="ED17">
        <v>-58.534233093261697</v>
      </c>
      <c r="EE17" s="2">
        <v>3.4028230607370999E+38</v>
      </c>
      <c r="EF17" s="2">
        <v>3.4028230607370999E+38</v>
      </c>
      <c r="EG17">
        <v>229.98928833007801</v>
      </c>
      <c r="EH17">
        <v>460.02523803710898</v>
      </c>
      <c r="EI17">
        <v>398.40817260742199</v>
      </c>
      <c r="EJ17" s="2">
        <v>3.4028230607370999E+38</v>
      </c>
      <c r="EK17" s="2">
        <v>3.4028230607370999E+38</v>
      </c>
      <c r="EL17">
        <v>123</v>
      </c>
      <c r="EM17">
        <v>230.00186157226599</v>
      </c>
      <c r="EN17">
        <v>2.0001058578491202</v>
      </c>
      <c r="EO17">
        <v>229.99272155761699</v>
      </c>
      <c r="EP17">
        <v>460.02789306640602</v>
      </c>
      <c r="EQ17">
        <v>398.40756225585898</v>
      </c>
      <c r="ER17">
        <v>49.999931335449197</v>
      </c>
      <c r="ES17">
        <v>-60.003158569335902</v>
      </c>
      <c r="ET17">
        <v>0.49995282292366</v>
      </c>
      <c r="EU17" s="2">
        <v>3.4028230607370999E+38</v>
      </c>
      <c r="EV17">
        <v>0</v>
      </c>
      <c r="EW17">
        <v>230.00700378418</v>
      </c>
      <c r="EX17">
        <v>229.98680114746099</v>
      </c>
      <c r="EY17">
        <v>460.0390625</v>
      </c>
      <c r="EZ17">
        <v>398.4169921875</v>
      </c>
      <c r="FA17">
        <v>-5.2881805459037401E-4</v>
      </c>
      <c r="FB17">
        <v>1.6256973147392301E-2</v>
      </c>
      <c r="FC17" s="2">
        <v>3.6071041904506299E-6</v>
      </c>
      <c r="FD17" s="2">
        <v>4.9559130133047802E-9</v>
      </c>
      <c r="FE17" s="2">
        <v>5.8602484642733497E-8</v>
      </c>
      <c r="FF17" s="2">
        <v>4.7475778863770302E-10</v>
      </c>
      <c r="FG17">
        <v>74.781341552734403</v>
      </c>
      <c r="FH17">
        <v>-7.6871714591979998</v>
      </c>
      <c r="FI17">
        <v>6.2576562166214003E-2</v>
      </c>
      <c r="FJ17" s="2">
        <v>3.4028230607370999E+38</v>
      </c>
      <c r="FK17">
        <v>2.2793667316436799</v>
      </c>
      <c r="FL17">
        <v>2.0319042727351199E-2</v>
      </c>
      <c r="FM17">
        <v>0</v>
      </c>
      <c r="FN17">
        <v>0</v>
      </c>
      <c r="FO17">
        <v>0</v>
      </c>
      <c r="FP17" s="2">
        <v>3.4870827221311602E-5</v>
      </c>
      <c r="FQ17">
        <v>1.6036372631788299E-2</v>
      </c>
      <c r="FR17" s="2">
        <v>3.1666500035498799E-6</v>
      </c>
      <c r="FS17" s="2">
        <v>2.3927397840850501E-9</v>
      </c>
      <c r="FT17" s="2">
        <v>4.9879258057217197E-8</v>
      </c>
      <c r="FU17" s="2">
        <v>1.0634119140817701E-9</v>
      </c>
      <c r="FV17">
        <v>74.750656127929702</v>
      </c>
      <c r="FW17">
        <v>-31.2598266601562</v>
      </c>
      <c r="FX17">
        <v>3.1927894800901399E-2</v>
      </c>
      <c r="FY17" s="2">
        <v>3.4028230607370999E+38</v>
      </c>
      <c r="FZ17">
        <v>17.2251491546631</v>
      </c>
      <c r="GA17">
        <v>229.85377502441401</v>
      </c>
      <c r="GB17" s="2">
        <v>-8.8781643148294599E-10</v>
      </c>
      <c r="GC17">
        <v>7.0373358903452797E-4</v>
      </c>
      <c r="GD17" s="2">
        <v>3.5173267076693502E-10</v>
      </c>
      <c r="GE17" s="2">
        <v>-2.8455864594434402E-5</v>
      </c>
      <c r="GF17" s="2">
        <v>3.4028230607370999E+38</v>
      </c>
      <c r="GG17" s="2">
        <v>3.4028230607370999E+38</v>
      </c>
      <c r="GH17">
        <v>229.99137878418</v>
      </c>
      <c r="GI17">
        <v>460.03109741210898</v>
      </c>
      <c r="GJ17">
        <v>398.41409301757801</v>
      </c>
      <c r="GK17" s="2">
        <v>3.4028230607370999E+38</v>
      </c>
      <c r="GL17" s="2">
        <v>3.4028230607370999E+38</v>
      </c>
      <c r="GM17" s="2">
        <v>3.4028230607370999E+38</v>
      </c>
      <c r="GN17" s="2">
        <v>3.4028230607370999E+38</v>
      </c>
      <c r="GO17" s="2">
        <v>3.4028230607370999E+38</v>
      </c>
      <c r="GP17" s="2">
        <v>3.4028230607370999E+38</v>
      </c>
      <c r="GQ17">
        <v>229.98854064941401</v>
      </c>
      <c r="GR17">
        <v>229.98779296875</v>
      </c>
      <c r="GS17">
        <v>398.41824340820301</v>
      </c>
      <c r="GT17">
        <v>-2.3891255841590499E-4</v>
      </c>
      <c r="GX17">
        <f t="shared" si="1"/>
        <v>230.0019653320312</v>
      </c>
      <c r="GY17">
        <f t="shared" si="2"/>
        <v>2.0001052856445298</v>
      </c>
      <c r="GZ17">
        <f t="shared" si="3"/>
        <v>229.98874511718742</v>
      </c>
      <c r="HA17">
        <f t="shared" si="4"/>
        <v>460.027587890625</v>
      </c>
      <c r="HB17">
        <f t="shared" si="5"/>
        <v>398.41110839843742</v>
      </c>
      <c r="HC17">
        <f t="shared" si="6"/>
        <v>49.999909210205104</v>
      </c>
      <c r="HD17">
        <f t="shared" si="7"/>
        <v>-60.003351593017577</v>
      </c>
      <c r="HW17" s="10">
        <f>(GX17/Data!$S17-1)*1000000</f>
        <v>22.92568633888159</v>
      </c>
      <c r="HX17" s="10">
        <f>(GY17/Data!$T17-1)*1000000</f>
        <v>36.263728319330113</v>
      </c>
      <c r="HY17" s="10">
        <f>(GZ17/Data!$BW17-1)*1000000</f>
        <v>-39.301608213970773</v>
      </c>
      <c r="HZ17" s="10">
        <f>(HA17/(Data!$S17*Data!$T17)-1)*1000000</f>
        <v>57.975729758741323</v>
      </c>
      <c r="IA17" s="7">
        <f>(HB17/IF(HD17&gt;0, -Data!$BX17,Data!$BX17)-1)*1000000</f>
        <v>93.076093596211606</v>
      </c>
      <c r="IB17" s="10"/>
      <c r="IC17" s="9">
        <f>(HD17-Data!$U17)</f>
        <v>-2.9666430175794289E-3</v>
      </c>
    </row>
    <row r="18" spans="1:237" x14ac:dyDescent="0.2">
      <c r="A18">
        <v>18</v>
      </c>
      <c r="B18">
        <v>230.00192260742199</v>
      </c>
      <c r="C18">
        <v>2.0001084804534899</v>
      </c>
      <c r="D18">
        <v>368.03598022460898</v>
      </c>
      <c r="E18">
        <v>460.02801513671898</v>
      </c>
      <c r="F18">
        <v>-276.00381469726602</v>
      </c>
      <c r="G18">
        <v>49.999927520752003</v>
      </c>
      <c r="H18">
        <v>36.867149353027301</v>
      </c>
      <c r="I18">
        <v>1.6599956899881401E-2</v>
      </c>
      <c r="J18" s="2">
        <v>3.5729292449104799E-6</v>
      </c>
      <c r="K18" s="2">
        <v>9.7885721750401403E-10</v>
      </c>
      <c r="L18" s="2">
        <v>5.8511560041552002E-8</v>
      </c>
      <c r="M18" s="2">
        <v>-4.2416434808956199E-9</v>
      </c>
      <c r="N18">
        <v>74.835350036621094</v>
      </c>
      <c r="O18">
        <v>68.470870971679702</v>
      </c>
      <c r="P18">
        <v>1.8135003745555899E-2</v>
      </c>
      <c r="Q18" s="2">
        <v>3.09965571432258E-6</v>
      </c>
      <c r="R18" s="2">
        <v>5.8543574432690101E-9</v>
      </c>
      <c r="S18" s="2">
        <v>5.8347762177390898E-8</v>
      </c>
      <c r="T18" s="2">
        <v>2.5972226591619599E-9</v>
      </c>
      <c r="U18">
        <v>74.740638732910199</v>
      </c>
      <c r="V18">
        <v>-25.1837863922119</v>
      </c>
      <c r="W18" s="2">
        <v>3.4028230607370999E+38</v>
      </c>
      <c r="X18" s="2">
        <v>3.4028230607370999E+38</v>
      </c>
      <c r="Y18">
        <v>368.03598022460898</v>
      </c>
      <c r="Z18">
        <v>460.02801513671898</v>
      </c>
      <c r="AA18">
        <v>-276.00384521484398</v>
      </c>
      <c r="AB18" s="2">
        <v>3.4028230607370999E+38</v>
      </c>
      <c r="AC18" s="2">
        <v>3.4028230607370999E+38</v>
      </c>
      <c r="AD18">
        <v>230.002029418945</v>
      </c>
      <c r="AE18">
        <v>2.0001056194305402</v>
      </c>
      <c r="AF18">
        <v>368.03622436523398</v>
      </c>
      <c r="AG18">
        <v>460.02548217773398</v>
      </c>
      <c r="AH18">
        <v>-275.9990234375</v>
      </c>
      <c r="AI18">
        <v>49.999889373779297</v>
      </c>
      <c r="AJ18">
        <v>36.867698669433601</v>
      </c>
      <c r="AK18">
        <v>1.6390826553106301E-2</v>
      </c>
      <c r="AL18" s="2">
        <v>3.6293790799390999E-6</v>
      </c>
      <c r="AM18" s="2">
        <v>1.6379515521691701E-9</v>
      </c>
      <c r="AN18" s="2">
        <v>5.8979789940849501E-8</v>
      </c>
      <c r="AO18" s="2">
        <v>-3.5012579502335902E-9</v>
      </c>
      <c r="AP18">
        <v>74.795669555664105</v>
      </c>
      <c r="AQ18">
        <v>73.459518432617202</v>
      </c>
      <c r="AR18">
        <v>1.8064619973301901E-2</v>
      </c>
      <c r="AS18" s="2">
        <v>3.0841044917906402E-6</v>
      </c>
      <c r="AT18" s="2">
        <v>4.8916088957184903E-9</v>
      </c>
      <c r="AU18" s="2">
        <v>5.7594789382164897E-8</v>
      </c>
      <c r="AV18" s="2">
        <v>3.2117819515065102E-9</v>
      </c>
      <c r="AW18">
        <v>74.764137268066406</v>
      </c>
      <c r="AX18">
        <v>-33.288501739502003</v>
      </c>
      <c r="AY18" s="2">
        <v>3.4028230607370999E+38</v>
      </c>
      <c r="AZ18" s="2">
        <v>3.4028230607370999E+38</v>
      </c>
      <c r="BA18">
        <v>368.03622436523398</v>
      </c>
      <c r="BB18">
        <v>460.02548217773398</v>
      </c>
      <c r="BC18">
        <v>-275.99905395507801</v>
      </c>
      <c r="BD18" s="2">
        <v>3.4028230607370999E+38</v>
      </c>
      <c r="BE18" s="2">
        <v>3.4028230607370999E+38</v>
      </c>
      <c r="BF18">
        <v>230.00158691406199</v>
      </c>
      <c r="BG18">
        <v>2.0001025199890101</v>
      </c>
      <c r="BH18">
        <v>368.03674316406199</v>
      </c>
      <c r="BI18">
        <v>460.02908325195301</v>
      </c>
      <c r="BJ18">
        <v>-276.00253295898398</v>
      </c>
      <c r="BK18">
        <v>49.999954223632798</v>
      </c>
      <c r="BL18">
        <v>36.867282867431598</v>
      </c>
      <c r="BM18">
        <v>1.6194850206375101E-2</v>
      </c>
      <c r="BN18" s="2">
        <v>3.6229873785487101E-6</v>
      </c>
      <c r="BO18" s="2">
        <v>5.5315774183384302E-10</v>
      </c>
      <c r="BP18" s="2">
        <v>5.9955979736514604E-8</v>
      </c>
      <c r="BQ18" s="2">
        <v>-3.4781184599097502E-9</v>
      </c>
      <c r="BR18">
        <v>74.722869873046903</v>
      </c>
      <c r="BS18">
        <v>75.086502075195298</v>
      </c>
      <c r="BT18">
        <v>1.7999241128563898E-2</v>
      </c>
      <c r="BU18" s="2">
        <v>3.0828691706119601E-6</v>
      </c>
      <c r="BV18" s="2">
        <v>4.41475256351964E-9</v>
      </c>
      <c r="BW18" s="2">
        <v>5.52380505780548E-8</v>
      </c>
      <c r="BX18" s="2">
        <v>3.18188542181019E-9</v>
      </c>
      <c r="BY18">
        <v>74.768417358398395</v>
      </c>
      <c r="BZ18">
        <v>-32.790382385253899</v>
      </c>
      <c r="CA18" s="2">
        <v>3.4028230607370999E+38</v>
      </c>
      <c r="CB18" s="2">
        <v>3.4028230607370999E+38</v>
      </c>
      <c r="CC18">
        <v>368.03674316406199</v>
      </c>
      <c r="CD18">
        <v>460.02908325195301</v>
      </c>
      <c r="CE18">
        <v>-276.00256347656199</v>
      </c>
      <c r="CF18" s="2">
        <v>3.4028230607370999E+38</v>
      </c>
      <c r="CG18" s="2">
        <v>3.4028230607370999E+38</v>
      </c>
      <c r="CH18">
        <v>230.00221252441401</v>
      </c>
      <c r="CI18">
        <v>2.0000877380371098</v>
      </c>
      <c r="CJ18">
        <v>368.03982543945301</v>
      </c>
      <c r="CK18">
        <v>460.02847290039102</v>
      </c>
      <c r="CL18">
        <v>-275.99951171875</v>
      </c>
      <c r="CM18">
        <v>49.999931335449197</v>
      </c>
      <c r="CN18">
        <v>36.867153167724602</v>
      </c>
      <c r="CO18">
        <v>1.4331771060824399E-2</v>
      </c>
      <c r="CP18" s="2">
        <v>3.6020537663716802E-6</v>
      </c>
      <c r="CQ18" s="2">
        <v>9.0671664620956004E-10</v>
      </c>
      <c r="CR18" s="2">
        <v>5.1775895570926897E-8</v>
      </c>
      <c r="CS18" s="2">
        <v>-2.1277875017489098E-9</v>
      </c>
      <c r="CT18">
        <v>74.766044616699205</v>
      </c>
      <c r="CU18">
        <v>107.25335693359401</v>
      </c>
      <c r="CV18">
        <v>1.52987409383059E-2</v>
      </c>
      <c r="CW18" s="2">
        <v>3.2069590361061299E-6</v>
      </c>
      <c r="CX18" s="2">
        <v>2.4498540973638699E-9</v>
      </c>
      <c r="CY18" s="2">
        <v>4.86163251878224E-8</v>
      </c>
      <c r="CZ18" s="2">
        <v>1.7720880318705701E-10</v>
      </c>
      <c r="DA18">
        <v>74.779464721679702</v>
      </c>
      <c r="DB18">
        <v>-3.9375851154327401</v>
      </c>
      <c r="DC18" s="2">
        <v>3.4028230607370999E+38</v>
      </c>
      <c r="DD18" s="2">
        <v>3.4028230607370999E+38</v>
      </c>
      <c r="DE18">
        <v>368.03982543945301</v>
      </c>
      <c r="DF18">
        <v>460.02847290039102</v>
      </c>
      <c r="DG18">
        <v>-275.99954223632801</v>
      </c>
      <c r="DH18" s="2">
        <v>3.4028230607370999E+38</v>
      </c>
      <c r="DI18" s="2">
        <v>3.4028230607370999E+38</v>
      </c>
      <c r="DJ18">
        <v>230.00201416015599</v>
      </c>
      <c r="DK18">
        <v>2.0000925064086901</v>
      </c>
      <c r="DL18">
        <v>368.03503417968801</v>
      </c>
      <c r="DM18">
        <v>460.02508544921898</v>
      </c>
      <c r="DN18">
        <v>-276.00009155273398</v>
      </c>
      <c r="DO18">
        <v>49.999912261962898</v>
      </c>
      <c r="DP18">
        <v>36.8671875</v>
      </c>
      <c r="DQ18">
        <v>1.5357630327343901E-2</v>
      </c>
      <c r="DR18" s="2">
        <v>3.6150984215055402E-6</v>
      </c>
      <c r="DS18" s="2">
        <v>2.49236475902137E-9</v>
      </c>
      <c r="DT18" s="2">
        <v>5.5692478184710099E-8</v>
      </c>
      <c r="DU18" s="2">
        <v>-1.82652681868234E-9</v>
      </c>
      <c r="DV18">
        <v>74.734512329101605</v>
      </c>
      <c r="DW18">
        <v>43.353847503662102</v>
      </c>
      <c r="DX18">
        <v>1.6640979796648001E-2</v>
      </c>
      <c r="DY18" s="2">
        <v>3.2048967568698602E-6</v>
      </c>
      <c r="DZ18" s="2">
        <v>3.63009799997371E-9</v>
      </c>
      <c r="EA18" s="2">
        <v>5.1884988749861798E-8</v>
      </c>
      <c r="EB18" s="2">
        <v>2.63258659316534E-9</v>
      </c>
      <c r="EC18">
        <v>74.748252868652301</v>
      </c>
      <c r="ED18">
        <v>-36.346260070800803</v>
      </c>
      <c r="EE18" s="2">
        <v>3.4028230607370999E+38</v>
      </c>
      <c r="EF18" s="2">
        <v>3.4028230607370999E+38</v>
      </c>
      <c r="EG18">
        <v>368.03503417968801</v>
      </c>
      <c r="EH18">
        <v>460.02508544921898</v>
      </c>
      <c r="EI18">
        <v>-276.00012207031199</v>
      </c>
      <c r="EJ18" s="2">
        <v>3.4028230607370999E+38</v>
      </c>
      <c r="EK18" s="2">
        <v>3.4028230607370999E+38</v>
      </c>
      <c r="EL18">
        <v>123</v>
      </c>
      <c r="EM18">
        <v>230.00213623046901</v>
      </c>
      <c r="EN18">
        <v>2.00010108947754</v>
      </c>
      <c r="EO18">
        <v>368.037841796875</v>
      </c>
      <c r="EP18">
        <v>460.02694702148398</v>
      </c>
      <c r="EQ18">
        <v>-275.99920654296898</v>
      </c>
      <c r="ER18">
        <v>49.999931335449197</v>
      </c>
      <c r="ES18">
        <v>36.866985321044901</v>
      </c>
      <c r="ET18">
        <v>0.800037682056427</v>
      </c>
      <c r="EU18" s="2">
        <v>3.4028230607370999E+38</v>
      </c>
      <c r="EV18">
        <v>0</v>
      </c>
      <c r="EW18">
        <v>230.00080871582</v>
      </c>
      <c r="EX18">
        <v>368.04666137695301</v>
      </c>
      <c r="EY18">
        <v>460.02331542968801</v>
      </c>
      <c r="EZ18">
        <v>-275.97869873046898</v>
      </c>
      <c r="FA18">
        <v>4.1737977880984501E-4</v>
      </c>
      <c r="FB18">
        <v>1.66223831474781E-2</v>
      </c>
      <c r="FC18" s="2">
        <v>3.6724477467942098E-6</v>
      </c>
      <c r="FD18" s="2">
        <v>1.7205816771337401E-9</v>
      </c>
      <c r="FE18" s="2">
        <v>6.0531668566454795E-8</v>
      </c>
      <c r="FF18" s="2">
        <v>-4.1071901435429903E-9</v>
      </c>
      <c r="FG18">
        <v>74.728416442871094</v>
      </c>
      <c r="FH18">
        <v>65.809593200683594</v>
      </c>
      <c r="FI18">
        <v>1.41924258787185E-3</v>
      </c>
      <c r="FJ18" s="2">
        <v>3.4028230607370999E+38</v>
      </c>
      <c r="FK18">
        <v>-16.283002853393601</v>
      </c>
      <c r="FL18">
        <v>1.95374377071857E-2</v>
      </c>
      <c r="FM18">
        <v>0</v>
      </c>
      <c r="FN18">
        <v>0</v>
      </c>
      <c r="FO18">
        <v>0</v>
      </c>
      <c r="FP18" s="2">
        <v>-7.9021614510565996E-5</v>
      </c>
      <c r="FQ18">
        <v>1.87883768230677E-2</v>
      </c>
      <c r="FR18" s="2">
        <v>3.10597874886298E-6</v>
      </c>
      <c r="FS18" s="2">
        <v>4.85217555024064E-9</v>
      </c>
      <c r="FT18" s="2">
        <v>5.9788327178011995E-8</v>
      </c>
      <c r="FU18" s="2">
        <v>2.6013677878466999E-9</v>
      </c>
      <c r="FV18">
        <v>74.811759948730497</v>
      </c>
      <c r="FW18">
        <v>-33.348899841308601</v>
      </c>
      <c r="FX18">
        <v>7.9732716083526597E-2</v>
      </c>
      <c r="FY18" s="2">
        <v>3.4028230607370999E+38</v>
      </c>
      <c r="FZ18">
        <v>45.368701934814503</v>
      </c>
      <c r="GA18">
        <v>229.197341918945</v>
      </c>
      <c r="GB18" s="2">
        <v>4.28203639213365E-10</v>
      </c>
      <c r="GC18">
        <v>7.3805358260870002E-4</v>
      </c>
      <c r="GD18" s="2">
        <v>6.9367611654769204E-10</v>
      </c>
      <c r="GE18" s="2">
        <v>-4.1610255721025203E-6</v>
      </c>
      <c r="GF18" s="2">
        <v>3.4028230607370999E+38</v>
      </c>
      <c r="GG18" s="2">
        <v>3.4028230607370999E+38</v>
      </c>
      <c r="GH18">
        <v>368.03991699218801</v>
      </c>
      <c r="GI18">
        <v>460.03060913085898</v>
      </c>
      <c r="GJ18">
        <v>-276.00213623046898</v>
      </c>
      <c r="GK18" s="2">
        <v>3.4028230607370999E+38</v>
      </c>
      <c r="GL18" s="2">
        <v>3.4028230607370999E+38</v>
      </c>
      <c r="GM18" s="2">
        <v>3.4028230607370999E+38</v>
      </c>
      <c r="GN18" s="2">
        <v>3.4028230607370999E+38</v>
      </c>
      <c r="GO18" s="2">
        <v>3.4028230607370999E+38</v>
      </c>
      <c r="GP18" s="2">
        <v>3.4028230607370999E+38</v>
      </c>
      <c r="GQ18">
        <v>368.05187988281199</v>
      </c>
      <c r="GR18">
        <v>368.05187988281199</v>
      </c>
      <c r="GS18">
        <v>-275.98614501953102</v>
      </c>
      <c r="GT18">
        <v>3.1684132409282002E-4</v>
      </c>
      <c r="GX18">
        <f t="shared" si="1"/>
        <v>230.00195312499983</v>
      </c>
      <c r="GY18">
        <f t="shared" si="2"/>
        <v>2.0000993728637679</v>
      </c>
      <c r="GZ18">
        <f t="shared" si="3"/>
        <v>368.03676147460919</v>
      </c>
      <c r="HA18">
        <f t="shared" si="4"/>
        <v>460.0272277832031</v>
      </c>
      <c r="HB18">
        <f t="shared" si="5"/>
        <v>-276.00099487304681</v>
      </c>
      <c r="HC18">
        <f t="shared" si="6"/>
        <v>49.999922943115237</v>
      </c>
      <c r="HD18">
        <f t="shared" si="7"/>
        <v>36.867294311523423</v>
      </c>
      <c r="HW18" s="10">
        <f>(GX18/Data!$S18-1)*1000000</f>
        <v>21.864314111663674</v>
      </c>
      <c r="HX18" s="10">
        <f>(GY18/Data!$T18-1)*1000000</f>
        <v>30.592347769031747</v>
      </c>
      <c r="HY18" s="10">
        <f>(GZ18/Data!$BW18-1)*1000000</f>
        <v>55.290127956686419</v>
      </c>
      <c r="HZ18" s="10">
        <f>(HA18/(Data!$S18*Data!$T18)-1)*1000000</f>
        <v>53.469456382293501</v>
      </c>
      <c r="IA18" s="7">
        <f>(HB18/IF(HD18&gt;0, -Data!$BX18,Data!$BX18)-1)*1000000</f>
        <v>66.998352233671454</v>
      </c>
      <c r="IB18" s="10"/>
      <c r="IC18" s="9">
        <f>(HD18-Data!$U18)</f>
        <v>3.6665152342152396E-4</v>
      </c>
    </row>
    <row r="19" spans="1:237" x14ac:dyDescent="0.2">
      <c r="A19">
        <v>19</v>
      </c>
      <c r="B19">
        <v>230.00189208984401</v>
      </c>
      <c r="C19">
        <v>2.0001180171966602</v>
      </c>
      <c r="D19">
        <v>368.04052734375</v>
      </c>
      <c r="E19">
        <v>460.03042602539102</v>
      </c>
      <c r="F19">
        <v>-276.00152587890602</v>
      </c>
      <c r="G19">
        <v>49.999893188476598</v>
      </c>
      <c r="H19">
        <v>36.866844177246101</v>
      </c>
      <c r="I19">
        <v>1.44872488453984E-2</v>
      </c>
      <c r="J19" s="2">
        <v>3.6142232602287499E-6</v>
      </c>
      <c r="K19" s="2">
        <v>-7.0280947728207397E-10</v>
      </c>
      <c r="L19" s="2">
        <v>5.23510159666785E-8</v>
      </c>
      <c r="M19" s="2">
        <v>-1.9460097977486198E-9</v>
      </c>
      <c r="N19">
        <v>74.722091674804702</v>
      </c>
      <c r="O19">
        <v>79.308799743652301</v>
      </c>
      <c r="P19">
        <v>1.5294170938432199E-2</v>
      </c>
      <c r="Q19" s="2">
        <v>3.1526033126283399E-6</v>
      </c>
      <c r="R19" s="2">
        <v>2.4116777463944998E-9</v>
      </c>
      <c r="S19" s="2">
        <v>4.8279861886158E-8</v>
      </c>
      <c r="T19" s="2">
        <v>-7.1140132673619405E-10</v>
      </c>
      <c r="U19">
        <v>74.735862731933594</v>
      </c>
      <c r="V19">
        <v>75.782279968261705</v>
      </c>
      <c r="W19" s="2">
        <v>3.4028230607370999E+38</v>
      </c>
      <c r="X19" s="2">
        <v>3.4028230607370999E+38</v>
      </c>
      <c r="Y19">
        <v>368.04049682617199</v>
      </c>
      <c r="Z19">
        <v>460.03042602539102</v>
      </c>
      <c r="AA19">
        <v>-276.00155639648398</v>
      </c>
      <c r="AB19" s="2">
        <v>3.4028230607370999E+38</v>
      </c>
      <c r="AC19" s="2">
        <v>3.4028230607370999E+38</v>
      </c>
      <c r="AD19">
        <v>230.00128173828099</v>
      </c>
      <c r="AE19">
        <v>2.0001156330108598</v>
      </c>
      <c r="AF19">
        <v>368.04074096679699</v>
      </c>
      <c r="AG19">
        <v>460.03103637695301</v>
      </c>
      <c r="AH19">
        <v>-276.00247192382801</v>
      </c>
      <c r="AI19">
        <v>49.999931335449197</v>
      </c>
      <c r="AJ19">
        <v>36.867137908935497</v>
      </c>
      <c r="AK19">
        <v>1.7645230516791299E-2</v>
      </c>
      <c r="AL19" s="2">
        <v>3.6678791275335201E-6</v>
      </c>
      <c r="AM19" s="2">
        <v>4.8174238903575502E-11</v>
      </c>
      <c r="AN19" s="2">
        <v>6.48926530288918E-8</v>
      </c>
      <c r="AO19" s="2">
        <v>-5.37294431168789E-9</v>
      </c>
      <c r="AP19">
        <v>74.624183654785199</v>
      </c>
      <c r="AQ19">
        <v>95.709228515625</v>
      </c>
      <c r="AR19">
        <v>1.9402667880058299E-2</v>
      </c>
      <c r="AS19" s="2">
        <v>3.2188322620641E-6</v>
      </c>
      <c r="AT19" s="2">
        <v>3.9734917578471099E-9</v>
      </c>
      <c r="AU19" s="2">
        <v>6.2235478992533899E-8</v>
      </c>
      <c r="AV19" s="2">
        <v>1.8554812131199599E-9</v>
      </c>
      <c r="AW19">
        <v>74.654045104980497</v>
      </c>
      <c r="AX19">
        <v>-9.8407659530639595</v>
      </c>
      <c r="AY19" s="2">
        <v>3.4028230607370999E+38</v>
      </c>
      <c r="AZ19" s="2">
        <v>3.4028230607370999E+38</v>
      </c>
      <c r="BA19">
        <v>368.04074096679699</v>
      </c>
      <c r="BB19">
        <v>460.03103637695301</v>
      </c>
      <c r="BC19">
        <v>-276.00250244140602</v>
      </c>
      <c r="BD19" s="2">
        <v>3.4028230607370999E+38</v>
      </c>
      <c r="BE19" s="2">
        <v>3.4028230607370999E+38</v>
      </c>
      <c r="BF19">
        <v>230.00215148925801</v>
      </c>
      <c r="BG19">
        <v>2.0001056194305402</v>
      </c>
      <c r="BH19">
        <v>368.03829956054699</v>
      </c>
      <c r="BI19">
        <v>460.02639770507801</v>
      </c>
      <c r="BJ19">
        <v>-275.9990234375</v>
      </c>
      <c r="BK19">
        <v>49.999923706054702</v>
      </c>
      <c r="BL19">
        <v>36.867042541503899</v>
      </c>
      <c r="BM19">
        <v>1.6156706959009198E-2</v>
      </c>
      <c r="BN19" s="2">
        <v>3.6361725506139898E-6</v>
      </c>
      <c r="BO19" s="2">
        <v>1.3104907159444699E-9</v>
      </c>
      <c r="BP19" s="2">
        <v>6.0215491259896199E-8</v>
      </c>
      <c r="BQ19" s="2">
        <v>-3.33977667743568E-9</v>
      </c>
      <c r="BR19">
        <v>74.705596923828097</v>
      </c>
      <c r="BS19">
        <v>69.436302185058594</v>
      </c>
      <c r="BT19">
        <v>1.77201740443707E-2</v>
      </c>
      <c r="BU19" s="2">
        <v>3.0980140763858799E-6</v>
      </c>
      <c r="BV19" s="2">
        <v>4.3439958297142303E-9</v>
      </c>
      <c r="BW19" s="2">
        <v>5.7986401458265397E-8</v>
      </c>
      <c r="BX19" s="2">
        <v>2.5148128024454801E-9</v>
      </c>
      <c r="BY19">
        <v>74.807052612304702</v>
      </c>
      <c r="BZ19">
        <v>-36.767955780029297</v>
      </c>
      <c r="CA19" s="2">
        <v>3.4028230607370999E+38</v>
      </c>
      <c r="CB19" s="2">
        <v>3.4028230607370999E+38</v>
      </c>
      <c r="CC19">
        <v>368.03829956054699</v>
      </c>
      <c r="CD19">
        <v>460.02639770507801</v>
      </c>
      <c r="CE19">
        <v>-275.99905395507801</v>
      </c>
      <c r="CF19" s="2">
        <v>3.4028230607370999E+38</v>
      </c>
      <c r="CG19" s="2">
        <v>3.4028230607370999E+38</v>
      </c>
      <c r="CH19">
        <v>230.00184631347699</v>
      </c>
      <c r="CI19">
        <v>2.0001091957092298</v>
      </c>
      <c r="CJ19">
        <v>368.03872680664102</v>
      </c>
      <c r="CK19">
        <v>460.02868652343801</v>
      </c>
      <c r="CL19">
        <v>-275.99948120117199</v>
      </c>
      <c r="CM19">
        <v>49.999912261962898</v>
      </c>
      <c r="CN19">
        <v>36.866767883300803</v>
      </c>
      <c r="CO19">
        <v>1.7329974099993699E-2</v>
      </c>
      <c r="CP19" s="2">
        <v>3.5997454688185801E-6</v>
      </c>
      <c r="CQ19" s="2">
        <v>-1.2340559685242201E-9</v>
      </c>
      <c r="CR19" s="2">
        <v>6.2355695717997203E-8</v>
      </c>
      <c r="CS19" s="2">
        <v>-6.0979998828258902E-9</v>
      </c>
      <c r="CT19">
        <v>74.715286254882798</v>
      </c>
      <c r="CU19">
        <v>111.0341796875</v>
      </c>
      <c r="CV19">
        <v>1.93180032074451E-2</v>
      </c>
      <c r="CW19" s="2">
        <v>3.06822607853974E-6</v>
      </c>
      <c r="CX19" s="2">
        <v>3.4957350347752898E-9</v>
      </c>
      <c r="CY19" s="2">
        <v>5.9207710734199301E-8</v>
      </c>
      <c r="CZ19" s="2">
        <v>9.1226703968772003E-10</v>
      </c>
      <c r="DA19">
        <v>74.807899475097699</v>
      </c>
      <c r="DB19">
        <v>-11.0997219085693</v>
      </c>
      <c r="DC19" s="2">
        <v>3.4028230607370999E+38</v>
      </c>
      <c r="DD19" s="2">
        <v>3.4028230607370999E+38</v>
      </c>
      <c r="DE19">
        <v>368.03869628906199</v>
      </c>
      <c r="DF19">
        <v>460.02868652343801</v>
      </c>
      <c r="DG19">
        <v>-275.99951171875</v>
      </c>
      <c r="DH19" s="2">
        <v>3.4028230607370999E+38</v>
      </c>
      <c r="DI19" s="2">
        <v>3.4028230607370999E+38</v>
      </c>
      <c r="DJ19">
        <v>230.00228881835901</v>
      </c>
      <c r="DK19">
        <v>2.0001003742218</v>
      </c>
      <c r="DL19">
        <v>368.03713989257801</v>
      </c>
      <c r="DM19">
        <v>460.02731323242199</v>
      </c>
      <c r="DN19">
        <v>-276.00082397460898</v>
      </c>
      <c r="DO19">
        <v>49.999954223632798</v>
      </c>
      <c r="DP19">
        <v>36.866622924804702</v>
      </c>
      <c r="DQ19">
        <v>1.4319598674774199E-2</v>
      </c>
      <c r="DR19" s="2">
        <v>3.6358123907120898E-6</v>
      </c>
      <c r="DS19" s="2">
        <v>1.2794242332247999E-9</v>
      </c>
      <c r="DT19" s="2">
        <v>5.2606125677812101E-8</v>
      </c>
      <c r="DU19" s="2">
        <v>-1.3480603300308799E-9</v>
      </c>
      <c r="DV19">
        <v>74.736877441406193</v>
      </c>
      <c r="DW19">
        <v>46.9374389648438</v>
      </c>
      <c r="DX19">
        <v>1.55897457152605E-2</v>
      </c>
      <c r="DY19" s="2">
        <v>3.1170156944426699E-6</v>
      </c>
      <c r="DZ19" s="2">
        <v>2.34112373931339E-9</v>
      </c>
      <c r="EA19" s="2">
        <v>4.8703899580004899E-8</v>
      </c>
      <c r="EB19" s="2">
        <v>1.04781916476782E-9</v>
      </c>
      <c r="EC19">
        <v>74.755233764648395</v>
      </c>
      <c r="ED19">
        <v>-13.1531620025635</v>
      </c>
      <c r="EE19" s="2">
        <v>3.4028230607370999E+38</v>
      </c>
      <c r="EF19" s="2">
        <v>3.4028230607370999E+38</v>
      </c>
      <c r="EG19">
        <v>368.03713989257801</v>
      </c>
      <c r="EH19">
        <v>460.02731323242199</v>
      </c>
      <c r="EI19">
        <v>-276.00085449218801</v>
      </c>
      <c r="EJ19" s="2">
        <v>3.4028230607370999E+38</v>
      </c>
      <c r="EK19" s="2">
        <v>3.4028230607370999E+38</v>
      </c>
      <c r="EL19">
        <v>123</v>
      </c>
      <c r="EM19">
        <v>230.00201416015599</v>
      </c>
      <c r="EN19">
        <v>2.0000960826873802</v>
      </c>
      <c r="EO19">
        <v>368.03570556640602</v>
      </c>
      <c r="EP19">
        <v>460.02786254882801</v>
      </c>
      <c r="EQ19">
        <v>-276.00070190429699</v>
      </c>
      <c r="ER19">
        <v>49.999893188476598</v>
      </c>
      <c r="ES19">
        <v>36.867107391357401</v>
      </c>
      <c r="ET19">
        <v>0.80003976821899403</v>
      </c>
      <c r="EU19" s="2">
        <v>3.4028230607370999E+38</v>
      </c>
      <c r="EV19">
        <v>0</v>
      </c>
      <c r="EW19">
        <v>230.00201416015599</v>
      </c>
      <c r="EX19">
        <v>368.04483032226602</v>
      </c>
      <c r="EY19">
        <v>460.02728271484398</v>
      </c>
      <c r="EZ19">
        <v>-275.98889160156199</v>
      </c>
      <c r="FA19">
        <v>-2.7919092099182302E-4</v>
      </c>
      <c r="FB19">
        <v>1.44378216937184E-2</v>
      </c>
      <c r="FC19" s="2">
        <v>3.5755742828769101E-6</v>
      </c>
      <c r="FD19" s="2">
        <v>9.2359564440869204E-10</v>
      </c>
      <c r="FE19" s="2">
        <v>5.1589761795867201E-8</v>
      </c>
      <c r="FF19" s="2">
        <v>-1.5662864338850101E-9</v>
      </c>
      <c r="FG19">
        <v>74.771446228027301</v>
      </c>
      <c r="FH19">
        <v>57.785701751708999</v>
      </c>
      <c r="FI19">
        <v>1.6850046813488E-2</v>
      </c>
      <c r="FJ19" s="2">
        <v>3.4028230607370999E+38</v>
      </c>
      <c r="FK19">
        <v>-17.382123947143601</v>
      </c>
      <c r="FL19">
        <v>1.9899351522326501E-2</v>
      </c>
      <c r="FM19">
        <v>0</v>
      </c>
      <c r="FN19">
        <v>0</v>
      </c>
      <c r="FO19">
        <v>0</v>
      </c>
      <c r="FP19" s="2">
        <v>-6.07586989644915E-5</v>
      </c>
      <c r="FQ19">
        <v>1.5962107107043301E-2</v>
      </c>
      <c r="FR19" s="2">
        <v>3.2199252473219501E-6</v>
      </c>
      <c r="FS19" s="2">
        <v>2.8371536231475102E-9</v>
      </c>
      <c r="FT19" s="2">
        <v>4.92252567596552E-8</v>
      </c>
      <c r="FU19" s="2">
        <v>1.2592233922248399E-9</v>
      </c>
      <c r="FV19">
        <v>74.840194702148395</v>
      </c>
      <c r="FW19">
        <v>-37.630321502685497</v>
      </c>
      <c r="FX19">
        <v>5.8245316147804302E-2</v>
      </c>
      <c r="FY19" s="2">
        <v>3.4028230607370999E+38</v>
      </c>
      <c r="FZ19">
        <v>37.941551208496101</v>
      </c>
      <c r="GA19">
        <v>229.32969665527301</v>
      </c>
      <c r="GB19" s="2">
        <v>6.9398709001688995E-10</v>
      </c>
      <c r="GC19">
        <v>7.2775140870362499E-4</v>
      </c>
      <c r="GD19" s="2">
        <v>1.2588903253174501E-9</v>
      </c>
      <c r="GE19" s="2">
        <v>8.7036014519981092E-6</v>
      </c>
      <c r="GF19" s="2">
        <v>3.4028230607370999E+38</v>
      </c>
      <c r="GG19" s="2">
        <v>3.4028230607370999E+38</v>
      </c>
      <c r="GH19">
        <v>368.03836059570301</v>
      </c>
      <c r="GI19">
        <v>460.02468872070301</v>
      </c>
      <c r="GJ19">
        <v>-275.9990234375</v>
      </c>
      <c r="GK19" s="2">
        <v>3.4028230607370999E+38</v>
      </c>
      <c r="GL19" s="2">
        <v>3.4028230607370999E+38</v>
      </c>
      <c r="GM19" s="2">
        <v>3.4028230607370999E+38</v>
      </c>
      <c r="GN19" s="2">
        <v>3.4028230607370999E+38</v>
      </c>
      <c r="GO19" s="2">
        <v>3.4028230607370999E+38</v>
      </c>
      <c r="GP19" s="2">
        <v>3.4028230607370999E+38</v>
      </c>
      <c r="GQ19">
        <v>368.04357910156199</v>
      </c>
      <c r="GR19">
        <v>368.04360961914102</v>
      </c>
      <c r="GS19">
        <v>-275.98370361328102</v>
      </c>
      <c r="GT19">
        <v>-1.7226641648449001E-4</v>
      </c>
      <c r="GX19">
        <f t="shared" si="1"/>
        <v>230.00189208984381</v>
      </c>
      <c r="GY19">
        <f t="shared" si="2"/>
        <v>2.000109767913818</v>
      </c>
      <c r="GZ19">
        <f t="shared" si="3"/>
        <v>368.03908691406258</v>
      </c>
      <c r="HA19">
        <f t="shared" si="4"/>
        <v>460.02877197265633</v>
      </c>
      <c r="HB19">
        <f t="shared" si="5"/>
        <v>-276.00066528320298</v>
      </c>
      <c r="HC19">
        <f t="shared" si="6"/>
        <v>49.999922943115237</v>
      </c>
      <c r="HD19">
        <f t="shared" si="7"/>
        <v>36.8668830871582</v>
      </c>
      <c r="HW19" s="10">
        <f>(GX19/Data!$S19-1)*1000000</f>
        <v>22.890291494048753</v>
      </c>
      <c r="HX19" s="10">
        <f>(GY19/Data!$T19-1)*1000000</f>
        <v>34.794257927295291</v>
      </c>
      <c r="HY19" s="10">
        <f>(GZ19/Data!$BW19-1)*1000000</f>
        <v>55.313527208111779</v>
      </c>
      <c r="HZ19" s="10">
        <f>(HA19/(Data!$S19*Data!$T19)-1)*1000000</f>
        <v>57.122229578654427</v>
      </c>
      <c r="IA19" s="7">
        <f>(HB19/IF(HD19&gt;0, -Data!$BX19,Data!$BX19)-1)*1000000</f>
        <v>77.820662230054793</v>
      </c>
      <c r="IB19" s="10"/>
      <c r="IC19" s="9">
        <f>(HD19-Data!$U19)</f>
        <v>4.5899715819786024E-4</v>
      </c>
    </row>
    <row r="20" spans="1:237" x14ac:dyDescent="0.2">
      <c r="A20">
        <v>20</v>
      </c>
      <c r="B20">
        <v>230.001708984375</v>
      </c>
      <c r="C20">
        <v>2.0001082420349099</v>
      </c>
      <c r="D20">
        <v>368.03775024414102</v>
      </c>
      <c r="E20">
        <v>460.02578735351602</v>
      </c>
      <c r="F20">
        <v>-275.99945068359398</v>
      </c>
      <c r="G20">
        <v>49.999969482421903</v>
      </c>
      <c r="H20">
        <v>36.867122650146499</v>
      </c>
      <c r="I20">
        <v>1.46433832123876E-2</v>
      </c>
      <c r="J20" s="2">
        <v>3.5725086036109099E-6</v>
      </c>
      <c r="K20" s="2">
        <v>3.1955280088702399E-10</v>
      </c>
      <c r="L20" s="2">
        <v>5.23120213813399E-8</v>
      </c>
      <c r="M20" s="2">
        <v>-3.0415594487465102E-9</v>
      </c>
      <c r="N20">
        <v>74.724044799804702</v>
      </c>
      <c r="O20">
        <v>106.466384887695</v>
      </c>
      <c r="P20">
        <v>1.5657315030694001E-2</v>
      </c>
      <c r="Q20" s="2">
        <v>3.1112622309592599E-6</v>
      </c>
      <c r="R20" s="2">
        <v>2.3928019565744299E-9</v>
      </c>
      <c r="S20" s="2">
        <v>4.8705263822057499E-8</v>
      </c>
      <c r="T20" s="2">
        <v>-8.0639461774723E-10</v>
      </c>
      <c r="U20">
        <v>74.785552978515597</v>
      </c>
      <c r="V20">
        <v>17.388809204101602</v>
      </c>
      <c r="W20" s="2">
        <v>3.4028230607370999E+38</v>
      </c>
      <c r="X20" s="2">
        <v>3.4028230607370999E+38</v>
      </c>
      <c r="Y20">
        <v>368.03775024414102</v>
      </c>
      <c r="Z20">
        <v>460.02578735351602</v>
      </c>
      <c r="AA20">
        <v>-275.99948120117199</v>
      </c>
      <c r="AB20" s="2">
        <v>3.4028230607370999E+38</v>
      </c>
      <c r="AC20" s="2">
        <v>3.4028230607370999E+38</v>
      </c>
      <c r="AD20">
        <v>230.00190734863301</v>
      </c>
      <c r="AE20">
        <v>2.00010085105896</v>
      </c>
      <c r="AF20">
        <v>368.03518676757801</v>
      </c>
      <c r="AG20">
        <v>460.02587890625</v>
      </c>
      <c r="AH20">
        <v>-276.00152587890602</v>
      </c>
      <c r="AI20">
        <v>49.999969482421903</v>
      </c>
      <c r="AJ20">
        <v>36.866748809814503</v>
      </c>
      <c r="AK20">
        <v>1.7409479245543501E-2</v>
      </c>
      <c r="AL20" s="2">
        <v>3.6742571865033799E-6</v>
      </c>
      <c r="AM20" s="2">
        <v>-1.3727262659912801E-9</v>
      </c>
      <c r="AN20" s="2">
        <v>6.3591897969672599E-8</v>
      </c>
      <c r="AO20" s="2">
        <v>-5.8778599765219E-9</v>
      </c>
      <c r="AP20">
        <v>74.788215637207003</v>
      </c>
      <c r="AQ20">
        <v>97.506950378417997</v>
      </c>
      <c r="AR20">
        <v>1.8946040421724299E-2</v>
      </c>
      <c r="AS20" s="2">
        <v>3.1996628422348299E-6</v>
      </c>
      <c r="AT20" s="2">
        <v>3.7076230974264498E-9</v>
      </c>
      <c r="AU20" s="2">
        <v>5.9513666883503902E-8</v>
      </c>
      <c r="AV20" s="2">
        <v>-2.09416234353554E-10</v>
      </c>
      <c r="AW20">
        <v>74.760475158691406</v>
      </c>
      <c r="AX20">
        <v>-14.0230913162231</v>
      </c>
      <c r="AY20" s="2">
        <v>3.4028230607370999E+38</v>
      </c>
      <c r="AZ20" s="2">
        <v>3.4028230607370999E+38</v>
      </c>
      <c r="BA20">
        <v>368.03515625</v>
      </c>
      <c r="BB20">
        <v>460.02587890625</v>
      </c>
      <c r="BC20">
        <v>-276.00155639648398</v>
      </c>
      <c r="BD20" s="2">
        <v>3.4028230607370999E+38</v>
      </c>
      <c r="BE20" s="2">
        <v>3.4028230607370999E+38</v>
      </c>
      <c r="BF20">
        <v>230.00193786621099</v>
      </c>
      <c r="BG20">
        <v>2.0001003742218</v>
      </c>
      <c r="BH20">
        <v>368.03652954101602</v>
      </c>
      <c r="BI20">
        <v>460.02914428710898</v>
      </c>
      <c r="BJ20">
        <v>-276.00155639648398</v>
      </c>
      <c r="BK20">
        <v>49.999954223632798</v>
      </c>
      <c r="BL20">
        <v>36.867172241210902</v>
      </c>
      <c r="BM20">
        <v>1.47811835631728E-2</v>
      </c>
      <c r="BN20" s="2">
        <v>3.5828002182824999E-6</v>
      </c>
      <c r="BO20" s="2">
        <v>-7.3408773504368696E-10</v>
      </c>
      <c r="BP20" s="2">
        <v>5.2962796814881599E-8</v>
      </c>
      <c r="BQ20" s="2">
        <v>-3.5661245068041601E-9</v>
      </c>
      <c r="BR20">
        <v>74.647430419921903</v>
      </c>
      <c r="BS20">
        <v>95.317276000976605</v>
      </c>
      <c r="BT20">
        <v>1.59165170043707E-2</v>
      </c>
      <c r="BU20" s="2">
        <v>3.12555334858189E-6</v>
      </c>
      <c r="BV20" s="2">
        <v>1.59628321672045E-9</v>
      </c>
      <c r="BW20" s="2">
        <v>4.9670173751792397E-8</v>
      </c>
      <c r="BX20" s="2">
        <v>-1.41016476273848E-9</v>
      </c>
      <c r="BY20">
        <v>74.635307312011705</v>
      </c>
      <c r="BZ20">
        <v>44.765716552734403</v>
      </c>
      <c r="CA20" s="2">
        <v>3.4028230607370999E+38</v>
      </c>
      <c r="CB20" s="2">
        <v>3.4028230607370999E+38</v>
      </c>
      <c r="CC20">
        <v>368.03649902343801</v>
      </c>
      <c r="CD20">
        <v>460.02914428710898</v>
      </c>
      <c r="CE20">
        <v>-276.00158691406199</v>
      </c>
      <c r="CF20" s="2">
        <v>3.4028230607370999E+38</v>
      </c>
      <c r="CG20" s="2">
        <v>3.4028230607370999E+38</v>
      </c>
      <c r="CH20">
        <v>230.00198364257801</v>
      </c>
      <c r="CI20">
        <v>2.0001192092895499</v>
      </c>
      <c r="CJ20">
        <v>368.042724609375</v>
      </c>
      <c r="CK20">
        <v>460.03030395507801</v>
      </c>
      <c r="CL20">
        <v>-275.99807739257801</v>
      </c>
      <c r="CM20">
        <v>49.999946594238303</v>
      </c>
      <c r="CN20">
        <v>36.867031097412102</v>
      </c>
      <c r="CO20">
        <v>1.65010392665863E-2</v>
      </c>
      <c r="CP20" s="2">
        <v>3.6141016153123899E-6</v>
      </c>
      <c r="CQ20" s="2">
        <v>3.8218292419678298E-10</v>
      </c>
      <c r="CR20" s="2">
        <v>6.0931853340662201E-8</v>
      </c>
      <c r="CS20" s="2">
        <v>-3.45112183275376E-9</v>
      </c>
      <c r="CT20">
        <v>74.721076965332003</v>
      </c>
      <c r="CU20">
        <v>65.972480773925795</v>
      </c>
      <c r="CV20">
        <v>1.8351335078477901E-2</v>
      </c>
      <c r="CW20" s="2">
        <v>3.11136409436585E-6</v>
      </c>
      <c r="CX20" s="2">
        <v>4.1741583522991699E-9</v>
      </c>
      <c r="CY20" s="2">
        <v>5.7447248735797998E-8</v>
      </c>
      <c r="CZ20" s="2">
        <v>2.8235385141073299E-9</v>
      </c>
      <c r="DA20">
        <v>74.758308410644503</v>
      </c>
      <c r="DB20">
        <v>-29.763547897338899</v>
      </c>
      <c r="DC20" s="2">
        <v>3.4028230607370999E+38</v>
      </c>
      <c r="DD20" s="2">
        <v>3.4028230607370999E+38</v>
      </c>
      <c r="DE20">
        <v>368.042724609375</v>
      </c>
      <c r="DF20">
        <v>460.03030395507801</v>
      </c>
      <c r="DG20">
        <v>-275.99810791015602</v>
      </c>
      <c r="DH20" s="2">
        <v>3.4028230607370999E+38</v>
      </c>
      <c r="DI20" s="2">
        <v>3.4028230607370999E+38</v>
      </c>
      <c r="DJ20">
        <v>230.00158691406199</v>
      </c>
      <c r="DK20">
        <v>2.0000982284545898</v>
      </c>
      <c r="DL20">
        <v>368.03646850585898</v>
      </c>
      <c r="DM20">
        <v>460.02554321289102</v>
      </c>
      <c r="DN20">
        <v>-275.99688720703102</v>
      </c>
      <c r="DO20">
        <v>49.999912261962898</v>
      </c>
      <c r="DP20">
        <v>36.8666801452637</v>
      </c>
      <c r="DQ20">
        <v>1.6213621944189099E-2</v>
      </c>
      <c r="DR20" s="2">
        <v>3.6722803997690802E-6</v>
      </c>
      <c r="DS20" s="2">
        <v>-2.00155420015946E-10</v>
      </c>
      <c r="DT20" s="2">
        <v>6.0089796249940304E-8</v>
      </c>
      <c r="DU20" s="2">
        <v>-6.1555303076943297E-9</v>
      </c>
      <c r="DV20">
        <v>74.784339904785199</v>
      </c>
      <c r="DW20">
        <v>103.52693939209</v>
      </c>
      <c r="DX20">
        <v>1.7977306619286499E-2</v>
      </c>
      <c r="DY20" s="2">
        <v>3.1565787139697902E-6</v>
      </c>
      <c r="DZ20" s="2">
        <v>2.8448423616822501E-9</v>
      </c>
      <c r="EA20" s="2">
        <v>5.5858244252249298E-8</v>
      </c>
      <c r="EB20" s="2">
        <v>-4.3685999262521601E-10</v>
      </c>
      <c r="EC20">
        <v>74.8076171875</v>
      </c>
      <c r="ED20">
        <v>-7.7089385986328098</v>
      </c>
      <c r="EE20" s="2">
        <v>3.4028230607370999E+38</v>
      </c>
      <c r="EF20" s="2">
        <v>3.4028230607370999E+38</v>
      </c>
      <c r="EG20">
        <v>368.03643798828102</v>
      </c>
      <c r="EH20">
        <v>460.02554321289102</v>
      </c>
      <c r="EI20">
        <v>-275.99691772460898</v>
      </c>
      <c r="EJ20" s="2">
        <v>3.4028230607370999E+38</v>
      </c>
      <c r="EK20" s="2">
        <v>3.4028230607370999E+38</v>
      </c>
      <c r="EL20">
        <v>123</v>
      </c>
      <c r="EM20">
        <v>230.00183105468801</v>
      </c>
      <c r="EN20">
        <v>2.0001022815704301</v>
      </c>
      <c r="EO20">
        <v>368.03823852539102</v>
      </c>
      <c r="EP20">
        <v>460.02890014648398</v>
      </c>
      <c r="EQ20">
        <v>-275.99627685546898</v>
      </c>
      <c r="ER20">
        <v>50.0000190734863</v>
      </c>
      <c r="ES20">
        <v>36.866321563720703</v>
      </c>
      <c r="ET20">
        <v>0.80003744363784801</v>
      </c>
      <c r="EU20" s="2">
        <v>3.4028230607370999E+38</v>
      </c>
      <c r="EV20">
        <v>0</v>
      </c>
      <c r="EW20">
        <v>230.00407409668</v>
      </c>
      <c r="EX20">
        <v>368.05358886718801</v>
      </c>
      <c r="EY20">
        <v>460.03106689453102</v>
      </c>
      <c r="EZ20">
        <v>-275.98025512695301</v>
      </c>
      <c r="FA20">
        <v>1.34091777727008E-3</v>
      </c>
      <c r="FB20">
        <v>1.7673905938863799E-2</v>
      </c>
      <c r="FC20" s="2">
        <v>3.6001918033434802E-6</v>
      </c>
      <c r="FD20" s="2">
        <v>8.2163370551668901E-10</v>
      </c>
      <c r="FE20" s="2">
        <v>6.3389364868271501E-8</v>
      </c>
      <c r="FF20" s="2">
        <v>-5.1418496127553201E-9</v>
      </c>
      <c r="FG20">
        <v>74.705123901367202</v>
      </c>
      <c r="FH20">
        <v>62.623447418212898</v>
      </c>
      <c r="FI20">
        <v>3.4904148429632201E-2</v>
      </c>
      <c r="FJ20" s="2">
        <v>3.4028230607370999E+38</v>
      </c>
      <c r="FK20">
        <v>-26.556491851806602</v>
      </c>
      <c r="FL20">
        <v>1.96687281131744E-2</v>
      </c>
      <c r="FM20">
        <v>0</v>
      </c>
      <c r="FN20">
        <v>0</v>
      </c>
      <c r="FO20">
        <v>0</v>
      </c>
      <c r="FP20" s="2">
        <v>-7.6559088483918499E-5</v>
      </c>
      <c r="FQ20">
        <v>1.78607385605574E-2</v>
      </c>
      <c r="FR20" s="2">
        <v>3.0803823847236298E-6</v>
      </c>
      <c r="FS20" s="2">
        <v>4.2861056925858098E-9</v>
      </c>
      <c r="FT20" s="2">
        <v>5.51059926579001E-8</v>
      </c>
      <c r="FU20" s="2">
        <v>2.4378479235309698E-9</v>
      </c>
      <c r="FV20">
        <v>74.741424560546903</v>
      </c>
      <c r="FW20">
        <v>-34.094345092773402</v>
      </c>
      <c r="FX20">
        <v>6.5238177776336698E-2</v>
      </c>
      <c r="FY20" s="2">
        <v>3.4028230607370999E+38</v>
      </c>
      <c r="FZ20">
        <v>8.9125738143920898</v>
      </c>
      <c r="GA20">
        <v>229.45355224609401</v>
      </c>
      <c r="GB20" s="2">
        <v>1.19780174667738E-9</v>
      </c>
      <c r="GC20">
        <v>7.2784186340868495E-4</v>
      </c>
      <c r="GD20" s="2">
        <v>7.0624395220875199E-10</v>
      </c>
      <c r="GE20" s="2">
        <v>7.2973853093572003E-6</v>
      </c>
      <c r="GF20" s="2">
        <v>3.4028230607370999E+38</v>
      </c>
      <c r="GG20" s="2">
        <v>3.4028230607370999E+38</v>
      </c>
      <c r="GH20">
        <v>368.04055786132801</v>
      </c>
      <c r="GI20">
        <v>460.02719116210898</v>
      </c>
      <c r="GJ20">
        <v>-275.99951171875</v>
      </c>
      <c r="GK20" s="2">
        <v>3.4028230607370999E+38</v>
      </c>
      <c r="GL20" s="2">
        <v>3.4028230607370999E+38</v>
      </c>
      <c r="GM20" s="2">
        <v>3.4028230607370999E+38</v>
      </c>
      <c r="GN20" s="2">
        <v>3.4028230607370999E+38</v>
      </c>
      <c r="GO20" s="2">
        <v>3.4028230607370999E+38</v>
      </c>
      <c r="GP20" s="2">
        <v>3.4028230607370999E+38</v>
      </c>
      <c r="GQ20">
        <v>368.03936767578102</v>
      </c>
      <c r="GR20">
        <v>368.03936767578102</v>
      </c>
      <c r="GS20">
        <v>-275.99362182617199</v>
      </c>
      <c r="GT20">
        <v>-2.4494747049175197E-4</v>
      </c>
      <c r="GX20">
        <f t="shared" si="1"/>
        <v>230.00182495117178</v>
      </c>
      <c r="GY20">
        <f t="shared" si="2"/>
        <v>2.000105381011962</v>
      </c>
      <c r="GZ20">
        <f t="shared" si="3"/>
        <v>368.03773193359382</v>
      </c>
      <c r="HA20">
        <f t="shared" si="4"/>
        <v>460.02733154296885</v>
      </c>
      <c r="HB20">
        <f t="shared" si="5"/>
        <v>-275.99949951171862</v>
      </c>
      <c r="HC20">
        <f t="shared" si="6"/>
        <v>49.999950408935561</v>
      </c>
      <c r="HD20">
        <f t="shared" si="7"/>
        <v>36.866950988769545</v>
      </c>
      <c r="HW20" s="10">
        <f>(GX20/Data!$S20-1)*1000000</f>
        <v>22.283585704663267</v>
      </c>
      <c r="HX20" s="10">
        <f>(GY20/Data!$T20-1)*1000000</f>
        <v>29.203320097259677</v>
      </c>
      <c r="HY20" s="10">
        <f>(GZ20/Data!$BW20-1)*1000000</f>
        <v>47.594759275515486</v>
      </c>
      <c r="HZ20" s="10">
        <f>(HA20/(Data!$S20*Data!$T20)-1)*1000000</f>
        <v>50.278470993259106</v>
      </c>
      <c r="IA20" s="7">
        <f>(HB20/IF(HD20&gt;0, -Data!$BX20,Data!$BX20)-1)*1000000</f>
        <v>70.461294086054949</v>
      </c>
      <c r="IB20" s="10"/>
      <c r="IC20" s="9">
        <f>(HD20-Data!$U20)</f>
        <v>5.5168876954780899E-4</v>
      </c>
    </row>
    <row r="21" spans="1:237" x14ac:dyDescent="0.2">
      <c r="A21">
        <v>21</v>
      </c>
      <c r="B21">
        <v>230.001708984375</v>
      </c>
      <c r="C21">
        <v>5.0002460479736301</v>
      </c>
      <c r="D21">
        <v>1150.07104492188</v>
      </c>
      <c r="E21">
        <v>1150.06860351562</v>
      </c>
      <c r="F21">
        <v>5.4722022265195798E-2</v>
      </c>
      <c r="G21">
        <v>49.999927520752003</v>
      </c>
      <c r="H21">
        <v>-2.8736912645399601E-3</v>
      </c>
      <c r="I21">
        <v>1.77299790084362E-2</v>
      </c>
      <c r="J21" s="2">
        <v>3.85462544727488E-6</v>
      </c>
      <c r="K21" s="2">
        <v>1.12378790717571E-8</v>
      </c>
      <c r="L21" s="2">
        <v>6.8300238353913301E-8</v>
      </c>
      <c r="M21" s="2">
        <v>-5.85878323633438E-9</v>
      </c>
      <c r="N21">
        <v>74.706359863281193</v>
      </c>
      <c r="O21">
        <v>29.5890712738037</v>
      </c>
      <c r="P21">
        <v>1.9678473472595201E-2</v>
      </c>
      <c r="Q21" s="2">
        <v>3.1934705475578102E-6</v>
      </c>
      <c r="R21" s="2">
        <v>1.17893144135905E-8</v>
      </c>
      <c r="S21" s="2">
        <v>6.29202929758321E-8</v>
      </c>
      <c r="T21" s="2">
        <v>7.8039956719067E-9</v>
      </c>
      <c r="U21">
        <v>74.7567138671875</v>
      </c>
      <c r="V21">
        <v>-34.964611053466797</v>
      </c>
      <c r="W21" s="2">
        <v>3.4028230607370999E+38</v>
      </c>
      <c r="X21" s="2">
        <v>3.4028230607370999E+38</v>
      </c>
      <c r="Y21">
        <v>1150.07104492188</v>
      </c>
      <c r="Z21">
        <v>1150.06860351562</v>
      </c>
      <c r="AA21">
        <v>5.4722022265195798E-2</v>
      </c>
      <c r="AB21" s="2">
        <v>3.4028230607370999E+38</v>
      </c>
      <c r="AC21" s="2">
        <v>3.4028230607370999E+38</v>
      </c>
      <c r="AD21">
        <v>230.002029418945</v>
      </c>
      <c r="AE21">
        <v>5.0002522468566903</v>
      </c>
      <c r="AF21">
        <v>1150.06982421875</v>
      </c>
      <c r="AG21">
        <v>1150.06909179688</v>
      </c>
      <c r="AH21">
        <v>6.0260809957981103E-2</v>
      </c>
      <c r="AI21">
        <v>49.999969482421903</v>
      </c>
      <c r="AJ21">
        <v>-3.0021523125469702E-3</v>
      </c>
      <c r="AK21">
        <v>1.4649105258285999E-2</v>
      </c>
      <c r="AL21" s="2">
        <v>3.8639727790723597E-6</v>
      </c>
      <c r="AM21" s="2">
        <v>3.2230174085157201E-9</v>
      </c>
      <c r="AN21" s="2">
        <v>5.6837308193280498E-8</v>
      </c>
      <c r="AO21" s="2">
        <v>-5.5628679440644596E-9</v>
      </c>
      <c r="AP21">
        <v>74.644866943359403</v>
      </c>
      <c r="AQ21">
        <v>75.808914184570298</v>
      </c>
      <c r="AR21">
        <v>1.6031168401241299E-2</v>
      </c>
      <c r="AS21" s="2">
        <v>3.265479563197E-6</v>
      </c>
      <c r="AT21" s="2">
        <v>4.6003028053576104E-9</v>
      </c>
      <c r="AU21" s="2">
        <v>4.9915332311911698E-8</v>
      </c>
      <c r="AV21" s="2">
        <v>9.5250463072460393E-10</v>
      </c>
      <c r="AW21">
        <v>74.769119262695298</v>
      </c>
      <c r="AX21">
        <v>-17.6724529266357</v>
      </c>
      <c r="AY21" s="2">
        <v>3.4028230607370999E+38</v>
      </c>
      <c r="AZ21" s="2">
        <v>3.4028230607370999E+38</v>
      </c>
      <c r="BA21">
        <v>1150.06982421875</v>
      </c>
      <c r="BB21">
        <v>1150.06909179688</v>
      </c>
      <c r="BC21">
        <v>6.0260802507400499E-2</v>
      </c>
      <c r="BD21" s="2">
        <v>3.4028230607370999E+38</v>
      </c>
      <c r="BE21" s="2">
        <v>3.4028230607370999E+38</v>
      </c>
      <c r="BF21">
        <v>230.00225830078099</v>
      </c>
      <c r="BG21">
        <v>5.0002498626709002</v>
      </c>
      <c r="BH21">
        <v>1150.06799316406</v>
      </c>
      <c r="BI21">
        <v>1150.06579589844</v>
      </c>
      <c r="BJ21">
        <v>6.2339566648006398E-2</v>
      </c>
      <c r="BK21">
        <v>49.999912261962898</v>
      </c>
      <c r="BL21">
        <v>-3.0281145591288801E-3</v>
      </c>
      <c r="BM21">
        <v>1.6685128211975101E-2</v>
      </c>
      <c r="BN21" s="2">
        <v>3.8351654438883997E-6</v>
      </c>
      <c r="BO21" s="2">
        <v>1.00976915717865E-8</v>
      </c>
      <c r="BP21" s="2">
        <v>6.3988707665885198E-8</v>
      </c>
      <c r="BQ21" s="2">
        <v>-1.3116508990051999E-9</v>
      </c>
      <c r="BR21">
        <v>74.644989013671903</v>
      </c>
      <c r="BS21">
        <v>2.03523945808411</v>
      </c>
      <c r="BT21">
        <v>1.8716085702180901E-2</v>
      </c>
      <c r="BU21" s="2">
        <v>3.3211090340046199E-6</v>
      </c>
      <c r="BV21" s="2">
        <v>8.1666131634960898E-9</v>
      </c>
      <c r="BW21" s="2">
        <v>6.2140742329575005E-8</v>
      </c>
      <c r="BX21" s="2">
        <v>7.6791142333831902E-9</v>
      </c>
      <c r="BY21">
        <v>74.737655639648395</v>
      </c>
      <c r="BZ21">
        <v>-39.909591674804702</v>
      </c>
      <c r="CA21" s="2">
        <v>3.4028230607370999E+38</v>
      </c>
      <c r="CB21" s="2">
        <v>3.4028230607370999E+38</v>
      </c>
      <c r="CC21">
        <v>1150.06799316406</v>
      </c>
      <c r="CD21">
        <v>1150.06579589844</v>
      </c>
      <c r="CE21">
        <v>6.2339570373296703E-2</v>
      </c>
      <c r="CF21" s="2">
        <v>3.4028230607370999E+38</v>
      </c>
      <c r="CG21" s="2">
        <v>3.4028230607370999E+38</v>
      </c>
      <c r="CH21">
        <v>230.00239562988301</v>
      </c>
      <c r="CI21">
        <v>5.0002522468566903</v>
      </c>
      <c r="CJ21">
        <v>1150.07177734375</v>
      </c>
      <c r="CK21">
        <v>1150.0693359375</v>
      </c>
      <c r="CL21">
        <v>6.3619226217269897E-2</v>
      </c>
      <c r="CM21">
        <v>49.999885559082003</v>
      </c>
      <c r="CN21">
        <v>-3.0072252266108998E-3</v>
      </c>
      <c r="CO21">
        <v>1.6508225351571999E-2</v>
      </c>
      <c r="CP21" s="2">
        <v>3.7521751892199998E-6</v>
      </c>
      <c r="CQ21" s="2">
        <v>1.02900425957841E-8</v>
      </c>
      <c r="CR21" s="2">
        <v>6.2205074868870698E-8</v>
      </c>
      <c r="CS21" s="2">
        <v>-5.77083658637179E-10</v>
      </c>
      <c r="CT21">
        <v>74.718933105468807</v>
      </c>
      <c r="CU21">
        <v>3.1322970390319802</v>
      </c>
      <c r="CV21">
        <v>1.80898159742355E-2</v>
      </c>
      <c r="CW21" s="2">
        <v>3.1994704841053998E-6</v>
      </c>
      <c r="CX21" s="2">
        <v>6.6968648404497303E-9</v>
      </c>
      <c r="CY21" s="2">
        <v>5.93898086265199E-8</v>
      </c>
      <c r="CZ21" s="2">
        <v>7.1632832998602697E-9</v>
      </c>
      <c r="DA21">
        <v>74.804176330566406</v>
      </c>
      <c r="DB21">
        <v>-47.506332397460902</v>
      </c>
      <c r="DC21" s="2">
        <v>3.4028230607370999E+38</v>
      </c>
      <c r="DD21" s="2">
        <v>3.4028230607370999E+38</v>
      </c>
      <c r="DE21">
        <v>1150.07177734375</v>
      </c>
      <c r="DF21">
        <v>1150.0693359375</v>
      </c>
      <c r="DG21">
        <v>6.3619226217269897E-2</v>
      </c>
      <c r="DH21" s="2">
        <v>3.4028230607370999E+38</v>
      </c>
      <c r="DI21" s="2">
        <v>3.4028230607370999E+38</v>
      </c>
      <c r="DJ21">
        <v>230.00161743164099</v>
      </c>
      <c r="DK21">
        <v>5.00024461746216</v>
      </c>
      <c r="DL21">
        <v>1150.06628417969</v>
      </c>
      <c r="DM21">
        <v>1150.06372070312</v>
      </c>
      <c r="DN21">
        <v>5.8451261371374102E-2</v>
      </c>
      <c r="DO21">
        <v>49.999954223632798</v>
      </c>
      <c r="DP21">
        <v>-2.9624113813042602E-3</v>
      </c>
      <c r="DQ21">
        <v>1.6220951452851299E-2</v>
      </c>
      <c r="DR21" s="2">
        <v>3.84521081286948E-6</v>
      </c>
      <c r="DS21" s="2">
        <v>9.4615124623942393E-9</v>
      </c>
      <c r="DT21" s="2">
        <v>6.3087739476941404E-8</v>
      </c>
      <c r="DU21" s="2">
        <v>-2.3507737423322799E-10</v>
      </c>
      <c r="DV21">
        <v>74.748016357421903</v>
      </c>
      <c r="DW21">
        <v>3.2092051506042498</v>
      </c>
      <c r="DX21">
        <v>1.7960373312234899E-2</v>
      </c>
      <c r="DY21" s="2">
        <v>3.2001985346141699E-6</v>
      </c>
      <c r="DZ21" s="2">
        <v>7.8789765822762092E-9</v>
      </c>
      <c r="EA21" s="2">
        <v>5.7033265221662097E-8</v>
      </c>
      <c r="EB21" s="2">
        <v>7.7146733445942995E-9</v>
      </c>
      <c r="EC21">
        <v>74.812889099121094</v>
      </c>
      <c r="ED21">
        <v>-43.2338256835938</v>
      </c>
      <c r="EE21" s="2">
        <v>3.4028230607370999E+38</v>
      </c>
      <c r="EF21" s="2">
        <v>3.4028230607370999E+38</v>
      </c>
      <c r="EG21">
        <v>1150.06628417969</v>
      </c>
      <c r="EH21">
        <v>1150.06372070312</v>
      </c>
      <c r="EI21">
        <v>5.8451268821954699E-2</v>
      </c>
      <c r="EJ21" s="2">
        <v>3.4028230607370999E+38</v>
      </c>
      <c r="EK21" s="2">
        <v>3.4028230607370999E+38</v>
      </c>
      <c r="EL21">
        <v>123</v>
      </c>
      <c r="EM21">
        <v>230.00177001953099</v>
      </c>
      <c r="EN21">
        <v>5.0002455711364702</v>
      </c>
      <c r="EO21">
        <v>1150.06701660156</v>
      </c>
      <c r="EP21">
        <v>1150.06457519531</v>
      </c>
      <c r="EQ21">
        <v>5.3147893399000203E-2</v>
      </c>
      <c r="ER21">
        <v>49.999973297119098</v>
      </c>
      <c r="ES21">
        <v>-2.6477945502847398E-3</v>
      </c>
      <c r="ET21">
        <v>1</v>
      </c>
      <c r="EU21" s="2">
        <v>3.4028230607370999E+38</v>
      </c>
      <c r="EV21">
        <v>0</v>
      </c>
      <c r="EW21">
        <v>230.00099182128901</v>
      </c>
      <c r="EX21">
        <v>1150.0634765625</v>
      </c>
      <c r="EY21">
        <v>1150.05944824219</v>
      </c>
      <c r="EZ21">
        <v>9.4355970621108995E-2</v>
      </c>
      <c r="FA21">
        <v>-1.8180053448304499E-3</v>
      </c>
      <c r="FB21">
        <v>1.6679083928465802E-2</v>
      </c>
      <c r="FC21" s="2">
        <v>3.8276461964414904E-6</v>
      </c>
      <c r="FD21" s="2">
        <v>1.16321432486188E-8</v>
      </c>
      <c r="FE21" s="2">
        <v>6.4665812260500401E-8</v>
      </c>
      <c r="FF21" s="2">
        <v>7.1855565941803E-10</v>
      </c>
      <c r="FG21">
        <v>74.806190490722699</v>
      </c>
      <c r="FH21">
        <v>-1.5401710271835301</v>
      </c>
      <c r="FI21">
        <v>0.17508798837661699</v>
      </c>
      <c r="FJ21" s="2">
        <v>3.4028230607370999E+38</v>
      </c>
      <c r="FK21">
        <v>-48.728954315185497</v>
      </c>
      <c r="FL21">
        <v>2.05124262720346E-2</v>
      </c>
      <c r="FM21">
        <v>0</v>
      </c>
      <c r="FN21">
        <v>0</v>
      </c>
      <c r="FO21">
        <v>0</v>
      </c>
      <c r="FP21">
        <v>-1.16926916234661E-4</v>
      </c>
      <c r="FQ21">
        <v>1.8758980557322499E-2</v>
      </c>
      <c r="FR21" s="2">
        <v>3.2255638870992702E-6</v>
      </c>
      <c r="FS21" s="2">
        <v>7.5876505079008894E-9</v>
      </c>
      <c r="FT21" s="2">
        <v>6.2313617377185398E-8</v>
      </c>
      <c r="FU21" s="2">
        <v>7.5830044465874397E-9</v>
      </c>
      <c r="FV21">
        <v>74.831947326660199</v>
      </c>
      <c r="FW21">
        <v>-43.265987396240199</v>
      </c>
      <c r="FX21">
        <v>0.145672157406807</v>
      </c>
      <c r="FY21" s="2">
        <v>3.4028230607370999E+38</v>
      </c>
      <c r="FZ21">
        <v>18.9704914093018</v>
      </c>
      <c r="GA21">
        <v>229.11161804199199</v>
      </c>
      <c r="GB21" s="2">
        <v>1.8374062271675501E-9</v>
      </c>
      <c r="GC21">
        <v>7.5293349800631404E-4</v>
      </c>
      <c r="GD21" s="2">
        <v>8.6761936524126802E-10</v>
      </c>
      <c r="GE21" s="2">
        <v>-4.9299156671622802E-5</v>
      </c>
      <c r="GF21" s="2">
        <v>3.4028230607370999E+38</v>
      </c>
      <c r="GG21" s="2">
        <v>3.4028230607370999E+38</v>
      </c>
      <c r="GH21">
        <v>1150.06896972656</v>
      </c>
      <c r="GI21">
        <v>1150.06652832031</v>
      </c>
      <c r="GJ21">
        <v>5.67713975906372E-2</v>
      </c>
      <c r="GK21" s="2">
        <v>3.4028230607370999E+38</v>
      </c>
      <c r="GL21" s="2">
        <v>3.4028230607370999E+38</v>
      </c>
      <c r="GM21" s="2">
        <v>3.4028230607370999E+38</v>
      </c>
      <c r="GN21" s="2">
        <v>3.4028230607370999E+38</v>
      </c>
      <c r="GO21" s="2">
        <v>3.4028230607370999E+38</v>
      </c>
      <c r="GP21" s="2">
        <v>3.4028230607370999E+38</v>
      </c>
      <c r="GQ21">
        <v>1150.07019042969</v>
      </c>
      <c r="GR21">
        <v>1150.07019042969</v>
      </c>
      <c r="GS21">
        <v>0.10682383924722701</v>
      </c>
      <c r="GT21">
        <v>1.8682082009036099E-4</v>
      </c>
      <c r="GX21">
        <f t="shared" si="1"/>
        <v>230.00200195312499</v>
      </c>
      <c r="GY21">
        <f t="shared" si="2"/>
        <v>5.0002490043640133</v>
      </c>
      <c r="GZ21">
        <f t="shared" si="3"/>
        <v>1150.0693847656262</v>
      </c>
      <c r="HA21">
        <f t="shared" si="4"/>
        <v>1150.0673095703121</v>
      </c>
      <c r="HB21">
        <f t="shared" si="5"/>
        <v>5.9878577291965461E-2</v>
      </c>
      <c r="HC21">
        <f t="shared" si="6"/>
        <v>49.999929809570325</v>
      </c>
      <c r="HD21">
        <f t="shared" si="7"/>
        <v>-2.9747189488261946E-3</v>
      </c>
      <c r="HW21" s="10">
        <f>(GX21/Data!$S21-1)*1000000</f>
        <v>22.051829660529876</v>
      </c>
      <c r="HX21" s="10">
        <f>(GY21/Data!$T21-1)*1000000</f>
        <v>6.7137835271235957</v>
      </c>
      <c r="HY21" s="10">
        <f>(GZ21/Data!$BW21-1)*1000000</f>
        <v>30.589321119878221</v>
      </c>
      <c r="HZ21" s="10">
        <f>(HA21/(Data!$S21*Data!$T21)-1)*1000000</f>
        <v>28.790371349618482</v>
      </c>
      <c r="IA21" s="7">
        <f>(HB21/IF(HD21&gt;0, -Data!$BX21,Data!$BX21)-1)*1000000</f>
        <v>1354093.3534190387</v>
      </c>
      <c r="IB21" s="10"/>
      <c r="IC21" s="9">
        <f>(HD21-Data!$U21)</f>
        <v>-1.7074769488261946E-3</v>
      </c>
    </row>
    <row r="22" spans="1:237" x14ac:dyDescent="0.2">
      <c r="A22">
        <v>22</v>
      </c>
      <c r="B22">
        <v>230.001953125</v>
      </c>
      <c r="C22">
        <v>5.0002560615539604</v>
      </c>
      <c r="D22">
        <v>1150.07043457031</v>
      </c>
      <c r="E22">
        <v>1150.06799316406</v>
      </c>
      <c r="F22">
        <v>6.0456886887550403E-2</v>
      </c>
      <c r="G22">
        <v>49.999935150146499</v>
      </c>
      <c r="H22">
        <v>-3.0119360890239499E-3</v>
      </c>
      <c r="I22">
        <v>1.76702905446291E-2</v>
      </c>
      <c r="J22" s="2">
        <v>3.8944481275393602E-6</v>
      </c>
      <c r="K22" s="2">
        <v>8.7169347295912303E-9</v>
      </c>
      <c r="L22" s="2">
        <v>6.8738280845082005E-8</v>
      </c>
      <c r="M22" s="2">
        <v>-6.4460650150977E-9</v>
      </c>
      <c r="N22">
        <v>74.762611389160199</v>
      </c>
      <c r="O22">
        <v>33.930191040039098</v>
      </c>
      <c r="P22">
        <v>1.9287921488285099E-2</v>
      </c>
      <c r="Q22" s="2">
        <v>3.2337914035451802E-6</v>
      </c>
      <c r="R22" s="2">
        <v>9.3447773963362108E-9</v>
      </c>
      <c r="S22" s="2">
        <v>6.2362602193388699E-8</v>
      </c>
      <c r="T22" s="2">
        <v>5.6301070472386503E-9</v>
      </c>
      <c r="U22">
        <v>74.800743103027301</v>
      </c>
      <c r="V22">
        <v>-29.602430343627901</v>
      </c>
      <c r="W22" s="2">
        <v>3.4028230607370999E+38</v>
      </c>
      <c r="X22" s="2">
        <v>3.4028230607370999E+38</v>
      </c>
      <c r="Y22">
        <v>1150.07043457031</v>
      </c>
      <c r="Z22">
        <v>1150.06799316406</v>
      </c>
      <c r="AA22">
        <v>6.0456883162260097E-2</v>
      </c>
      <c r="AB22" s="2">
        <v>3.4028230607370999E+38</v>
      </c>
      <c r="AC22" s="2">
        <v>3.4028230607370999E+38</v>
      </c>
      <c r="AD22">
        <v>230.00210571289099</v>
      </c>
      <c r="AE22">
        <v>5.00026512145996</v>
      </c>
      <c r="AF22">
        <v>1150.072265625</v>
      </c>
      <c r="AG22">
        <v>1150.06982421875</v>
      </c>
      <c r="AH22">
        <v>6.3865527510643005E-2</v>
      </c>
      <c r="AI22">
        <v>49.999912261962898</v>
      </c>
      <c r="AJ22">
        <v>-3.0042463913559901E-3</v>
      </c>
      <c r="AK22">
        <v>1.6912076622247699E-2</v>
      </c>
      <c r="AL22" s="2">
        <v>3.83899032385671E-6</v>
      </c>
      <c r="AM22" s="2">
        <v>5.9172338140456296E-9</v>
      </c>
      <c r="AN22" s="2">
        <v>6.6119213215642998E-8</v>
      </c>
      <c r="AO22" s="2">
        <v>-1.0375997838707501E-8</v>
      </c>
      <c r="AP22">
        <v>74.660995483398395</v>
      </c>
      <c r="AQ22">
        <v>59.491992950439503</v>
      </c>
      <c r="AR22">
        <v>1.8480733036994899E-2</v>
      </c>
      <c r="AS22" s="2">
        <v>3.2591326544206801E-6</v>
      </c>
      <c r="AT22" s="2">
        <v>7.9685085196956607E-9</v>
      </c>
      <c r="AU22" s="2">
        <v>6.0644708810286803E-8</v>
      </c>
      <c r="AV22" s="2">
        <v>2.8055004985816401E-9</v>
      </c>
      <c r="AW22">
        <v>74.694252014160199</v>
      </c>
      <c r="AX22">
        <v>-17.799644470214801</v>
      </c>
      <c r="AY22" s="2">
        <v>3.4028230607370999E+38</v>
      </c>
      <c r="AZ22" s="2">
        <v>3.4028230607370999E+38</v>
      </c>
      <c r="BA22">
        <v>1150.072265625</v>
      </c>
      <c r="BB22">
        <v>1150.06982421875</v>
      </c>
      <c r="BC22">
        <v>6.3865512609481798E-2</v>
      </c>
      <c r="BD22" s="2">
        <v>3.4028230607370999E+38</v>
      </c>
      <c r="BE22" s="2">
        <v>3.4028230607370999E+38</v>
      </c>
      <c r="BF22">
        <v>230.00250244140599</v>
      </c>
      <c r="BG22">
        <v>5.0002527236938503</v>
      </c>
      <c r="BH22">
        <v>1150.07250976562</v>
      </c>
      <c r="BI22">
        <v>1150.06469726562</v>
      </c>
      <c r="BJ22">
        <v>6.24302960932255E-2</v>
      </c>
      <c r="BK22">
        <v>49.999912261962898</v>
      </c>
      <c r="BL22">
        <v>-3.1102465000003598E-3</v>
      </c>
      <c r="BM22">
        <v>1.44209237769246E-2</v>
      </c>
      <c r="BN22" s="2">
        <v>3.8245561881922202E-6</v>
      </c>
      <c r="BO22" s="2">
        <v>3.3740608085253102E-9</v>
      </c>
      <c r="BP22" s="2">
        <v>5.5117343578103801E-8</v>
      </c>
      <c r="BQ22" s="2">
        <v>-2.4953648036785101E-9</v>
      </c>
      <c r="BR22">
        <v>74.672836303710895</v>
      </c>
      <c r="BS22">
        <v>40.705352783203097</v>
      </c>
      <c r="BT22">
        <v>1.5257247723638999E-2</v>
      </c>
      <c r="BU22" s="2">
        <v>3.24839243148745E-6</v>
      </c>
      <c r="BV22" s="2">
        <v>2.7320299356148301E-9</v>
      </c>
      <c r="BW22" s="2">
        <v>4.74808778960778E-8</v>
      </c>
      <c r="BX22" s="2">
        <v>1.1189011939194401E-9</v>
      </c>
      <c r="BY22">
        <v>74.842956542968807</v>
      </c>
      <c r="BZ22">
        <v>-19.1791801452637</v>
      </c>
      <c r="CA22" s="2">
        <v>3.4028230607370999E+38</v>
      </c>
      <c r="CB22" s="2">
        <v>3.4028230607370999E+38</v>
      </c>
      <c r="CC22">
        <v>1150.07250976562</v>
      </c>
      <c r="CD22">
        <v>1150.06469726562</v>
      </c>
      <c r="CE22">
        <v>6.2430292367935201E-2</v>
      </c>
      <c r="CF22" s="2">
        <v>3.4028230607370999E+38</v>
      </c>
      <c r="CG22" s="2">
        <v>3.4028230607370999E+38</v>
      </c>
      <c r="CH22">
        <v>230.00193786621099</v>
      </c>
      <c r="CI22">
        <v>5.0002517700195304</v>
      </c>
      <c r="CJ22">
        <v>1150.06945800781</v>
      </c>
      <c r="CK22">
        <v>1150.06689453125</v>
      </c>
      <c r="CL22">
        <v>6.01384192705154E-2</v>
      </c>
      <c r="CM22">
        <v>49.999912261962898</v>
      </c>
      <c r="CN22">
        <v>-2.9960619285702701E-3</v>
      </c>
      <c r="CO22">
        <v>1.7293993383646001E-2</v>
      </c>
      <c r="CP22" s="2">
        <v>3.89158594771288E-6</v>
      </c>
      <c r="CQ22" s="2">
        <v>1.03138324547558E-8</v>
      </c>
      <c r="CR22" s="2">
        <v>6.8088702676050201E-8</v>
      </c>
      <c r="CS22" s="2">
        <v>-4.5986250363228001E-9</v>
      </c>
      <c r="CT22">
        <v>74.7392578125</v>
      </c>
      <c r="CU22">
        <v>27.502080917358398</v>
      </c>
      <c r="CV22">
        <v>1.9161250442266499E-2</v>
      </c>
      <c r="CW22" s="2">
        <v>3.27682323586487E-6</v>
      </c>
      <c r="CX22" s="2">
        <v>9.1037088978396208E-9</v>
      </c>
      <c r="CY22" s="2">
        <v>6.2566563485688702E-8</v>
      </c>
      <c r="CZ22" s="2">
        <v>8.2762934283664402E-9</v>
      </c>
      <c r="DA22">
        <v>74.819664001464801</v>
      </c>
      <c r="DB22">
        <v>-46.315109252929702</v>
      </c>
      <c r="DC22" s="2">
        <v>3.4028230607370999E+38</v>
      </c>
      <c r="DD22" s="2">
        <v>3.4028230607370999E+38</v>
      </c>
      <c r="DE22">
        <v>1150.06945800781</v>
      </c>
      <c r="DF22">
        <v>1150.06689453125</v>
      </c>
      <c r="DG22">
        <v>6.01384192705154E-2</v>
      </c>
      <c r="DH22" s="2">
        <v>3.4028230607370999E+38</v>
      </c>
      <c r="DI22" s="2">
        <v>3.4028230607370999E+38</v>
      </c>
      <c r="DJ22">
        <v>230.00199890136699</v>
      </c>
      <c r="DK22">
        <v>5.0002493858337402</v>
      </c>
      <c r="DL22">
        <v>1150.06518554688</v>
      </c>
      <c r="DM22">
        <v>1150.06286621094</v>
      </c>
      <c r="DN22">
        <v>6.0146544128656401E-2</v>
      </c>
      <c r="DO22">
        <v>49.999904632568402</v>
      </c>
      <c r="DP22">
        <v>-2.8750661294907301E-3</v>
      </c>
      <c r="DQ22">
        <v>1.5913225710391998E-2</v>
      </c>
      <c r="DR22" s="2">
        <v>3.7878592138440598E-6</v>
      </c>
      <c r="DS22" s="2">
        <v>8.48486614302146E-9</v>
      </c>
      <c r="DT22" s="2">
        <v>6.1071851575889E-8</v>
      </c>
      <c r="DU22" s="2">
        <v>-5.8169545569253196E-12</v>
      </c>
      <c r="DV22">
        <v>74.691604614257798</v>
      </c>
      <c r="DW22">
        <v>3.9254527539014802E-2</v>
      </c>
      <c r="DX22">
        <v>1.7269510775804499E-2</v>
      </c>
      <c r="DY22" s="2">
        <v>3.2209773053182302E-6</v>
      </c>
      <c r="DZ22" s="2">
        <v>5.7827684862843398E-9</v>
      </c>
      <c r="EA22" s="2">
        <v>5.7337391723422102E-8</v>
      </c>
      <c r="EB22" s="2">
        <v>8.1871949220158108E-9</v>
      </c>
      <c r="EC22">
        <v>74.782135009765597</v>
      </c>
      <c r="ED22">
        <v>-48.449073791503899</v>
      </c>
      <c r="EE22" s="2">
        <v>3.4028230607370999E+38</v>
      </c>
      <c r="EF22" s="2">
        <v>3.4028230607370999E+38</v>
      </c>
      <c r="EG22">
        <v>1150.06518554688</v>
      </c>
      <c r="EH22">
        <v>1150.06286621094</v>
      </c>
      <c r="EI22">
        <v>6.0146551579236998E-2</v>
      </c>
      <c r="EJ22" s="2">
        <v>3.4028230607370999E+38</v>
      </c>
      <c r="EK22" s="2">
        <v>3.4028230607370999E+38</v>
      </c>
      <c r="EL22">
        <v>123</v>
      </c>
      <c r="EM22">
        <v>230.00241088867199</v>
      </c>
      <c r="EN22">
        <v>5.0002503395080602</v>
      </c>
      <c r="EO22">
        <v>1150.0712890625</v>
      </c>
      <c r="EP22">
        <v>1150.06884765625</v>
      </c>
      <c r="EQ22">
        <v>5.93071058392525E-2</v>
      </c>
      <c r="ER22">
        <v>49.999931335449197</v>
      </c>
      <c r="ES22">
        <v>-2.9546518344432098E-3</v>
      </c>
      <c r="ET22">
        <v>1</v>
      </c>
      <c r="EU22" s="2">
        <v>3.4028230607370999E+38</v>
      </c>
      <c r="EV22">
        <v>0</v>
      </c>
      <c r="EW22">
        <v>230.00096130371099</v>
      </c>
      <c r="EX22">
        <v>1150.06262207031</v>
      </c>
      <c r="EY22">
        <v>1150.06018066406</v>
      </c>
      <c r="EZ22">
        <v>9.9173456430435195E-2</v>
      </c>
      <c r="FA22">
        <v>-2.2843370679765901E-3</v>
      </c>
      <c r="FB22">
        <v>1.7045781016349799E-2</v>
      </c>
      <c r="FC22" s="2">
        <v>3.7746381167380601E-6</v>
      </c>
      <c r="FD22" s="2">
        <v>1.03206136969902E-8</v>
      </c>
      <c r="FE22" s="2">
        <v>6.4320374804083298E-8</v>
      </c>
      <c r="FF22" s="2">
        <v>-1.2818184291774101E-9</v>
      </c>
      <c r="FG22">
        <v>74.749549865722699</v>
      </c>
      <c r="FH22">
        <v>7.0593991279602104</v>
      </c>
      <c r="FI22">
        <v>0.159448206424713</v>
      </c>
      <c r="FJ22" s="2">
        <v>3.4028230607370999E+38</v>
      </c>
      <c r="FK22">
        <v>-58.329185485839801</v>
      </c>
      <c r="FL22">
        <v>2.09599547088146E-2</v>
      </c>
      <c r="FM22">
        <v>0</v>
      </c>
      <c r="FN22">
        <v>0</v>
      </c>
      <c r="FO22">
        <v>0</v>
      </c>
      <c r="FP22">
        <v>-1.24059442896396E-4</v>
      </c>
      <c r="FQ22">
        <v>1.9198017194867099E-2</v>
      </c>
      <c r="FR22" s="2">
        <v>3.3112632991105801E-6</v>
      </c>
      <c r="FS22" s="2">
        <v>1.03570894083305E-8</v>
      </c>
      <c r="FT22" s="2">
        <v>6.3636484526341506E-8</v>
      </c>
      <c r="FU22" s="2">
        <v>8.3642399673067303E-9</v>
      </c>
      <c r="FV22">
        <v>74.676467895507798</v>
      </c>
      <c r="FW22">
        <v>-37.956424713134801</v>
      </c>
      <c r="FX22">
        <v>0.17994646728038799</v>
      </c>
      <c r="FY22" s="2">
        <v>3.4028230607370999E+38</v>
      </c>
      <c r="FZ22">
        <v>-36.121257781982401</v>
      </c>
      <c r="GA22">
        <v>229.55406188964801</v>
      </c>
      <c r="GB22" s="2">
        <v>3.6115030965788699E-9</v>
      </c>
      <c r="GC22">
        <v>7.5455429032444997E-4</v>
      </c>
      <c r="GD22" s="2">
        <v>1.2307107555287199E-9</v>
      </c>
      <c r="GE22" s="2">
        <v>-4.8392786993645098E-5</v>
      </c>
      <c r="GF22" s="2">
        <v>3.4028230607370999E+38</v>
      </c>
      <c r="GG22" s="2">
        <v>3.4028230607370999E+38</v>
      </c>
      <c r="GH22">
        <v>1150.06848144531</v>
      </c>
      <c r="GI22">
        <v>1150.06604003906</v>
      </c>
      <c r="GJ22">
        <v>5.5028211325407E-2</v>
      </c>
      <c r="GK22" s="2">
        <v>3.4028230607370999E+38</v>
      </c>
      <c r="GL22" s="2">
        <v>3.4028230607370999E+38</v>
      </c>
      <c r="GM22" s="2">
        <v>3.4028230607370999E+38</v>
      </c>
      <c r="GN22" s="2">
        <v>3.4028230607370999E+38</v>
      </c>
      <c r="GO22" s="2">
        <v>3.4028230607370999E+38</v>
      </c>
      <c r="GP22" s="2">
        <v>3.4028230607370999E+38</v>
      </c>
      <c r="GQ22">
        <v>1150.08459472656</v>
      </c>
      <c r="GR22">
        <v>1150.08459472656</v>
      </c>
      <c r="GS22">
        <v>0.105483219027519</v>
      </c>
      <c r="GT22">
        <v>1.96336978115141E-3</v>
      </c>
      <c r="GX22">
        <f t="shared" si="1"/>
        <v>230.00209960937499</v>
      </c>
      <c r="GY22">
        <f t="shared" si="2"/>
        <v>5.0002550125122083</v>
      </c>
      <c r="GZ22">
        <f t="shared" si="3"/>
        <v>1150.069970703124</v>
      </c>
      <c r="HA22">
        <f t="shared" si="4"/>
        <v>1150.0664550781241</v>
      </c>
      <c r="HB22">
        <f t="shared" si="5"/>
        <v>6.1407534778118146E-2</v>
      </c>
      <c r="HC22">
        <f t="shared" si="6"/>
        <v>49.999915313720713</v>
      </c>
      <c r="HD22">
        <f t="shared" si="7"/>
        <v>-2.9995114076882602E-3</v>
      </c>
      <c r="HW22" s="10">
        <f>(GX22/Data!$S22-1)*1000000</f>
        <v>23.263413052365678</v>
      </c>
      <c r="HX22" s="10">
        <f>(GY22/Data!$T22-1)*1000000</f>
        <v>9.3741122162427359</v>
      </c>
      <c r="HY22" s="10">
        <f>(GZ22/Data!$BW22-1)*1000000</f>
        <v>33.34491187634292</v>
      </c>
      <c r="HZ22" s="10">
        <f>(HA22/(Data!$S22*Data!$T22)-1)*1000000</f>
        <v>30.293127815772536</v>
      </c>
      <c r="IA22" s="7">
        <f>(HB22/IF(HD22&gt;0, -Data!$BX22,Data!$BX22)-1)*1000000</f>
        <v>1459218.023700835</v>
      </c>
      <c r="IB22" s="10"/>
      <c r="IC22" s="9">
        <f>(HD22-Data!$U22)</f>
        <v>-1.7554624076882603E-3</v>
      </c>
    </row>
    <row r="23" spans="1:237" x14ac:dyDescent="0.2">
      <c r="A23">
        <v>23</v>
      </c>
      <c r="B23">
        <v>230.00193786621099</v>
      </c>
      <c r="C23">
        <v>5.0002679824829102</v>
      </c>
      <c r="D23">
        <v>1150.07312011719</v>
      </c>
      <c r="E23">
        <v>1150.06774902344</v>
      </c>
      <c r="F23">
        <v>6.4444355666637407E-2</v>
      </c>
      <c r="G23">
        <v>49.999923706054702</v>
      </c>
      <c r="H23">
        <v>-3.21057718247175E-3</v>
      </c>
      <c r="I23">
        <v>1.53644168749452E-2</v>
      </c>
      <c r="J23" s="2">
        <v>3.87164345738711E-6</v>
      </c>
      <c r="K23" s="2">
        <v>2.4317761138092899E-9</v>
      </c>
      <c r="L23" s="2">
        <v>5.8157510807177499E-8</v>
      </c>
      <c r="M23" s="2">
        <v>-6.09732930811901E-9</v>
      </c>
      <c r="N23">
        <v>74.661972045898395</v>
      </c>
      <c r="O23">
        <v>71.268150329589801</v>
      </c>
      <c r="P23">
        <v>1.63362380117178E-2</v>
      </c>
      <c r="Q23" s="2">
        <v>3.1460010632144998E-6</v>
      </c>
      <c r="R23" s="2">
        <v>5.0184061350932999E-9</v>
      </c>
      <c r="S23" s="2">
        <v>5.1795343125604598E-8</v>
      </c>
      <c r="T23" s="2">
        <v>7.3423811475237203E-10</v>
      </c>
      <c r="U23">
        <v>74.722999572753906</v>
      </c>
      <c r="V23">
        <v>-6.3030929565429696</v>
      </c>
      <c r="W23" s="2">
        <v>3.4028230607370999E+38</v>
      </c>
      <c r="X23" s="2">
        <v>3.4028230607370999E+38</v>
      </c>
      <c r="Y23">
        <v>1150.07312011719</v>
      </c>
      <c r="Z23">
        <v>1150.06774902344</v>
      </c>
      <c r="AA23">
        <v>6.4444348216056796E-2</v>
      </c>
      <c r="AB23" s="2">
        <v>3.4028230607370999E+38</v>
      </c>
      <c r="AC23" s="2">
        <v>3.4028230607370999E+38</v>
      </c>
      <c r="AD23">
        <v>230.00186157226599</v>
      </c>
      <c r="AE23">
        <v>5.0002646446228001</v>
      </c>
      <c r="AF23">
        <v>1150.07312011719</v>
      </c>
      <c r="AG23">
        <v>1150.07055664062</v>
      </c>
      <c r="AH23">
        <v>5.9833511710166903E-2</v>
      </c>
      <c r="AI23">
        <v>49.999946594238303</v>
      </c>
      <c r="AJ23">
        <v>-2.94208014383912E-3</v>
      </c>
      <c r="AK23">
        <v>1.7849579453468298E-2</v>
      </c>
      <c r="AL23" s="2">
        <v>3.9167834984254998E-6</v>
      </c>
      <c r="AM23" s="2">
        <v>9.7877448368421905E-9</v>
      </c>
      <c r="AN23" s="2">
        <v>6.9249679768290701E-8</v>
      </c>
      <c r="AO23" s="2">
        <v>-6.05510575013568E-9</v>
      </c>
      <c r="AP23">
        <v>74.824028015136705</v>
      </c>
      <c r="AQ23">
        <v>26.6225681304932</v>
      </c>
      <c r="AR23">
        <v>1.9616287201643001E-2</v>
      </c>
      <c r="AS23" s="2">
        <v>3.2601876682747401E-6</v>
      </c>
      <c r="AT23" s="2">
        <v>1.2081186717694E-8</v>
      </c>
      <c r="AU23" s="2">
        <v>6.39851691630611E-8</v>
      </c>
      <c r="AV23" s="2">
        <v>5.9405507180088096E-9</v>
      </c>
      <c r="AW23">
        <v>74.763946533203097</v>
      </c>
      <c r="AX23">
        <v>-27.7852993011475</v>
      </c>
      <c r="AY23" s="2">
        <v>3.4028230607370999E+38</v>
      </c>
      <c r="AZ23" s="2">
        <v>3.4028230607370999E+38</v>
      </c>
      <c r="BA23">
        <v>1150.07312011719</v>
      </c>
      <c r="BB23">
        <v>1150.07055664062</v>
      </c>
      <c r="BC23">
        <v>5.9833507984876598E-2</v>
      </c>
      <c r="BD23" s="2">
        <v>3.4028230607370999E+38</v>
      </c>
      <c r="BE23" s="2">
        <v>3.4028230607370999E+38</v>
      </c>
      <c r="BF23">
        <v>230.002029418945</v>
      </c>
      <c r="BG23">
        <v>5.00026512145996</v>
      </c>
      <c r="BH23">
        <v>1150.07336425781</v>
      </c>
      <c r="BI23">
        <v>1150.07080078125</v>
      </c>
      <c r="BJ23">
        <v>6.2051858752965899E-2</v>
      </c>
      <c r="BK23">
        <v>49.999935150146499</v>
      </c>
      <c r="BL23">
        <v>-3.36481723934412E-3</v>
      </c>
      <c r="BM23">
        <v>1.4443847350776201E-2</v>
      </c>
      <c r="BN23" s="2">
        <v>3.8855960156070102E-6</v>
      </c>
      <c r="BO23" s="2">
        <v>3.8459244677824203E-9</v>
      </c>
      <c r="BP23" s="2">
        <v>5.6111016277782302E-8</v>
      </c>
      <c r="BQ23" s="2">
        <v>-4.54290605134133E-9</v>
      </c>
      <c r="BR23">
        <v>74.732330322265597</v>
      </c>
      <c r="BS23">
        <v>43.586261749267599</v>
      </c>
      <c r="BT23">
        <v>1.5214722603559499E-2</v>
      </c>
      <c r="BU23" s="2">
        <v>3.2531165743421302E-6</v>
      </c>
      <c r="BV23" s="2">
        <v>2.4672599518993399E-9</v>
      </c>
      <c r="BW23" s="2">
        <v>4.9512387079175797E-8</v>
      </c>
      <c r="BX23" s="2">
        <v>1.7587769018945199E-9</v>
      </c>
      <c r="BY23">
        <v>74.643775939941406</v>
      </c>
      <c r="BZ23">
        <v>-25.424043655395501</v>
      </c>
      <c r="CA23" s="2">
        <v>3.4028230607370999E+38</v>
      </c>
      <c r="CB23" s="2">
        <v>3.4028230607370999E+38</v>
      </c>
      <c r="CC23">
        <v>1150.07336425781</v>
      </c>
      <c r="CD23">
        <v>1150.07080078125</v>
      </c>
      <c r="CE23">
        <v>6.2051855027675601E-2</v>
      </c>
      <c r="CF23" s="2">
        <v>3.4028230607370999E+38</v>
      </c>
      <c r="CG23" s="2">
        <v>3.4028230607370999E+38</v>
      </c>
      <c r="CH23">
        <v>230.00207519531199</v>
      </c>
      <c r="CI23">
        <v>5.00024461746216</v>
      </c>
      <c r="CJ23">
        <v>1150.06823730469</v>
      </c>
      <c r="CK23">
        <v>1150.06787109375</v>
      </c>
      <c r="CL23">
        <v>6.0091894119978E-2</v>
      </c>
      <c r="CM23">
        <v>49.999973297119098</v>
      </c>
      <c r="CN23">
        <v>-2.9937396757304699E-3</v>
      </c>
      <c r="CO23">
        <v>1.5877537429332698E-2</v>
      </c>
      <c r="CP23" s="2">
        <v>3.80034225599957E-6</v>
      </c>
      <c r="CQ23" s="2">
        <v>8.2714191051991293E-9</v>
      </c>
      <c r="CR23" s="2">
        <v>5.9651370065694196E-8</v>
      </c>
      <c r="CS23" s="2">
        <v>1.23563617671074E-10</v>
      </c>
      <c r="CT23">
        <v>74.752700805664105</v>
      </c>
      <c r="CU23">
        <v>-0.95011222362518299</v>
      </c>
      <c r="CV23">
        <v>1.69805511832237E-2</v>
      </c>
      <c r="CW23" s="2">
        <v>3.2003911201172699E-6</v>
      </c>
      <c r="CX23" s="2">
        <v>6.1762919223440299E-9</v>
      </c>
      <c r="CY23" s="2">
        <v>5.4528019433064401E-8</v>
      </c>
      <c r="CZ23" s="2">
        <v>6.2952674184657603E-9</v>
      </c>
      <c r="DA23">
        <v>74.773063659667997</v>
      </c>
      <c r="DB23">
        <v>-50.181106567382798</v>
      </c>
      <c r="DC23" s="2">
        <v>3.4028230607370999E+38</v>
      </c>
      <c r="DD23" s="2">
        <v>3.4028230607370999E+38</v>
      </c>
      <c r="DE23">
        <v>1150.06823730469</v>
      </c>
      <c r="DF23">
        <v>1150.06787109375</v>
      </c>
      <c r="DG23">
        <v>6.0091897845268201E-2</v>
      </c>
      <c r="DH23" s="2">
        <v>3.4028230607370999E+38</v>
      </c>
      <c r="DI23" s="2">
        <v>3.4028230607370999E+38</v>
      </c>
      <c r="DJ23">
        <v>230.00204467773401</v>
      </c>
      <c r="DK23">
        <v>5.0002603530883798</v>
      </c>
      <c r="DL23">
        <v>1150.07104492188</v>
      </c>
      <c r="DM23">
        <v>1150.06848144531</v>
      </c>
      <c r="DN23">
        <v>6.0151513665914501E-2</v>
      </c>
      <c r="DO23">
        <v>49.999946594238303</v>
      </c>
      <c r="DP23">
        <v>-3.1566142570227402E-3</v>
      </c>
      <c r="DQ23">
        <v>1.4754399657249499E-2</v>
      </c>
      <c r="DR23" s="2">
        <v>3.8716098060831402E-6</v>
      </c>
      <c r="DS23" s="2">
        <v>3.8509289090882199E-9</v>
      </c>
      <c r="DT23" s="2">
        <v>5.7861512914314497E-8</v>
      </c>
      <c r="DU23" s="2">
        <v>-6.44188391518696E-9</v>
      </c>
      <c r="DV23">
        <v>74.635246276855497</v>
      </c>
      <c r="DW23">
        <v>67.313667297363295</v>
      </c>
      <c r="DX23">
        <v>1.6405716538429298E-2</v>
      </c>
      <c r="DY23" s="2">
        <v>3.15293505082082E-6</v>
      </c>
      <c r="DZ23" s="2">
        <v>4.9895731990545797E-9</v>
      </c>
      <c r="EA23" s="2">
        <v>5.1710141946159598E-8</v>
      </c>
      <c r="EB23" s="2">
        <v>4.4895423489954598E-10</v>
      </c>
      <c r="EC23">
        <v>74.852188110351605</v>
      </c>
      <c r="ED23">
        <v>-4.9901504516601598</v>
      </c>
      <c r="EE23" s="2">
        <v>3.4028230607370999E+38</v>
      </c>
      <c r="EF23" s="2">
        <v>3.4028230607370999E+38</v>
      </c>
      <c r="EG23">
        <v>1150.07104492188</v>
      </c>
      <c r="EH23">
        <v>1150.06848144531</v>
      </c>
      <c r="EI23">
        <v>6.0151506215333897E-2</v>
      </c>
      <c r="EJ23" s="2">
        <v>3.4028230607370999E+38</v>
      </c>
      <c r="EK23" s="2">
        <v>3.4028230607370999E+38</v>
      </c>
      <c r="EL23">
        <v>123</v>
      </c>
      <c r="EM23">
        <v>230.00205993652301</v>
      </c>
      <c r="EN23">
        <v>5.0002412796020499</v>
      </c>
      <c r="EO23">
        <v>1150.06762695312</v>
      </c>
      <c r="EP23">
        <v>1150.07043457031</v>
      </c>
      <c r="EQ23">
        <v>6.0244500637054402E-2</v>
      </c>
      <c r="ER23">
        <v>49.9999809265137</v>
      </c>
      <c r="ES23">
        <v>-3.0013362411409599E-3</v>
      </c>
      <c r="ET23">
        <v>1</v>
      </c>
      <c r="EU23" s="2">
        <v>3.4028230607370999E+38</v>
      </c>
      <c r="EV23">
        <v>0</v>
      </c>
      <c r="EW23">
        <v>230.00701904296901</v>
      </c>
      <c r="EX23">
        <v>1150.091796875</v>
      </c>
      <c r="EY23">
        <v>1150.08911132812</v>
      </c>
      <c r="EZ23">
        <v>0.106185644865036</v>
      </c>
      <c r="FA23">
        <v>1.49773119483143E-3</v>
      </c>
      <c r="FB23">
        <v>1.6710296273231499E-2</v>
      </c>
      <c r="FC23" s="2">
        <v>3.9322349039139201E-6</v>
      </c>
      <c r="FD23" s="2">
        <v>4.4157286716028904E-9</v>
      </c>
      <c r="FE23" s="2">
        <v>6.5730432652344501E-8</v>
      </c>
      <c r="FF23" s="2">
        <v>-1.0322814603114201E-8</v>
      </c>
      <c r="FG23">
        <v>74.690956115722699</v>
      </c>
      <c r="FH23">
        <v>65.472671508789105</v>
      </c>
      <c r="FI23">
        <v>7.0325575768947601E-2</v>
      </c>
      <c r="FJ23" s="2">
        <v>3.4028230607370999E+38</v>
      </c>
      <c r="FK23">
        <v>-45.470485687255902</v>
      </c>
      <c r="FL23">
        <v>2.1332046017050701E-2</v>
      </c>
      <c r="FM23">
        <v>0</v>
      </c>
      <c r="FN23">
        <v>0</v>
      </c>
      <c r="FO23">
        <v>0</v>
      </c>
      <c r="FP23">
        <v>-1.25075835967436E-4</v>
      </c>
      <c r="FQ23">
        <v>1.9449068233370798E-2</v>
      </c>
      <c r="FR23" s="2">
        <v>3.2294719858327902E-6</v>
      </c>
      <c r="FS23" s="2">
        <v>1.02884927244418E-8</v>
      </c>
      <c r="FT23" s="2">
        <v>6.0760356745959103E-8</v>
      </c>
      <c r="FU23" s="2">
        <v>6.2612408591178304E-9</v>
      </c>
      <c r="FV23">
        <v>74.742218017578097</v>
      </c>
      <c r="FW23">
        <v>-30.2759113311768</v>
      </c>
      <c r="FX23">
        <v>0.16486404836177801</v>
      </c>
      <c r="FY23" s="2">
        <v>3.4028230607370999E+38</v>
      </c>
      <c r="FZ23">
        <v>9.82073879241943</v>
      </c>
      <c r="GA23">
        <v>229.68341064453099</v>
      </c>
      <c r="GB23" s="2">
        <v>1.1237250019391399E-9</v>
      </c>
      <c r="GC23">
        <v>7.2575989179313205E-4</v>
      </c>
      <c r="GD23" s="2">
        <v>-9.5492806370667293E-12</v>
      </c>
      <c r="GE23" s="2">
        <v>-4.9671220040181699E-5</v>
      </c>
      <c r="GF23" s="2">
        <v>3.4028230607370999E+38</v>
      </c>
      <c r="GG23" s="2">
        <v>3.4028230607370999E+38</v>
      </c>
      <c r="GH23">
        <v>1150.07165527344</v>
      </c>
      <c r="GI23">
        <v>1150.06921386719</v>
      </c>
      <c r="GJ23">
        <v>5.6298129260540002E-2</v>
      </c>
      <c r="GK23" s="2">
        <v>3.4028230607370999E+38</v>
      </c>
      <c r="GL23" s="2">
        <v>3.4028230607370999E+38</v>
      </c>
      <c r="GM23" s="2">
        <v>3.4028230607370999E+38</v>
      </c>
      <c r="GN23" s="2">
        <v>3.4028230607370999E+38</v>
      </c>
      <c r="GO23" s="2">
        <v>3.4028230607370999E+38</v>
      </c>
      <c r="GP23" s="2">
        <v>3.4028230607370999E+38</v>
      </c>
      <c r="GQ23">
        <v>1150.07958984375</v>
      </c>
      <c r="GR23">
        <v>1150.07958984375</v>
      </c>
      <c r="GS23">
        <v>0.104474782943726</v>
      </c>
      <c r="GT23">
        <v>2.3838591005187501E-4</v>
      </c>
      <c r="GX23">
        <f t="shared" si="1"/>
        <v>230.00198974609356</v>
      </c>
      <c r="GY23">
        <f t="shared" si="2"/>
        <v>5.0002605438232424</v>
      </c>
      <c r="GZ23">
        <f t="shared" si="3"/>
        <v>1150.0717773437523</v>
      </c>
      <c r="HA23">
        <f t="shared" si="4"/>
        <v>1150.0690917968739</v>
      </c>
      <c r="HB23">
        <f t="shared" si="5"/>
        <v>6.1314626783132542E-2</v>
      </c>
      <c r="HC23">
        <f t="shared" si="6"/>
        <v>49.999945068359381</v>
      </c>
      <c r="HD23">
        <f t="shared" si="7"/>
        <v>-3.1335656996816395E-3</v>
      </c>
      <c r="HW23" s="10">
        <f>(GX23/Data!$S23-1)*1000000</f>
        <v>22.117454764103428</v>
      </c>
      <c r="HX23" s="10">
        <f>(GY23/Data!$T23-1)*1000000</f>
        <v>9.3787638977271826</v>
      </c>
      <c r="HY23" s="10">
        <f>(GZ23/Data!$BW23-1)*1000000</f>
        <v>33.145415748503382</v>
      </c>
      <c r="HZ23" s="10">
        <f>(HA23/(Data!$S23*Data!$T23)-1)*1000000</f>
        <v>30.815983959486815</v>
      </c>
      <c r="IA23" s="7">
        <f>(HB23/IF(HD23&gt;0, -Data!$BX23,Data!$BX23)-1)*1000000</f>
        <v>1505802.4006208223</v>
      </c>
      <c r="IB23" s="10"/>
      <c r="IC23" s="9">
        <f>(HD23-Data!$U23)</f>
        <v>-1.9144936996816394E-3</v>
      </c>
    </row>
    <row r="24" spans="1:237" x14ac:dyDescent="0.2">
      <c r="A24">
        <v>24</v>
      </c>
      <c r="B24">
        <v>230.00193786621099</v>
      </c>
      <c r="C24">
        <v>5.0002698898315403</v>
      </c>
      <c r="D24">
        <v>574.98370361328102</v>
      </c>
      <c r="E24">
        <v>1150.07116699219</v>
      </c>
      <c r="F24">
        <v>996.02099609375</v>
      </c>
      <c r="G24">
        <v>49.999973297119098</v>
      </c>
      <c r="H24">
        <v>-60.002853393554702</v>
      </c>
      <c r="I24">
        <v>1.44528299570084E-2</v>
      </c>
      <c r="J24" s="2">
        <v>3.8895950638106999E-6</v>
      </c>
      <c r="K24" s="2">
        <v>7.6037860452515799E-9</v>
      </c>
      <c r="L24" s="2">
        <v>5.6792917035863899E-8</v>
      </c>
      <c r="M24" s="2">
        <v>3.9762073633653497E-9</v>
      </c>
      <c r="N24">
        <v>74.766975402832003</v>
      </c>
      <c r="O24">
        <v>-29.275987625122099</v>
      </c>
      <c r="P24">
        <v>1.5174080617725801E-2</v>
      </c>
      <c r="Q24" s="2">
        <v>3.16564182867296E-6</v>
      </c>
      <c r="R24" s="2">
        <v>2.2115718145698801E-9</v>
      </c>
      <c r="S24" s="2">
        <v>4.76312003172552E-8</v>
      </c>
      <c r="T24" s="2">
        <v>1.9427628394907999E-9</v>
      </c>
      <c r="U24">
        <v>74.729446411132798</v>
      </c>
      <c r="V24">
        <v>-51.968246459960902</v>
      </c>
      <c r="W24" s="2">
        <v>3.4028230607370999E+38</v>
      </c>
      <c r="X24" s="2">
        <v>3.4028230607370999E+38</v>
      </c>
      <c r="Y24">
        <v>574.98370361328102</v>
      </c>
      <c r="Z24">
        <v>1150.07116699219</v>
      </c>
      <c r="AA24">
        <v>996.02099609375</v>
      </c>
      <c r="AB24" s="2">
        <v>3.4028230607370999E+38</v>
      </c>
      <c r="AC24" s="2">
        <v>3.4028230607370999E+38</v>
      </c>
      <c r="AD24">
        <v>230.00166320800801</v>
      </c>
      <c r="AE24">
        <v>5.0002527236938503</v>
      </c>
      <c r="AF24">
        <v>574.97717285156205</v>
      </c>
      <c r="AG24">
        <v>1150.06311035156</v>
      </c>
      <c r="AH24">
        <v>996.01739501953102</v>
      </c>
      <c r="AI24">
        <v>49.999954223632798</v>
      </c>
      <c r="AJ24">
        <v>-60.003055572509801</v>
      </c>
      <c r="AK24">
        <v>1.7479170113802001E-2</v>
      </c>
      <c r="AL24" s="2">
        <v>3.74758701582323E-6</v>
      </c>
      <c r="AM24" s="2">
        <v>1.32674333741534E-8</v>
      </c>
      <c r="AN24" s="2">
        <v>6.5588714903697096E-8</v>
      </c>
      <c r="AO24" s="2">
        <v>1.12412168462583E-8</v>
      </c>
      <c r="AP24">
        <v>74.745155334472699</v>
      </c>
      <c r="AQ24">
        <v>-38.5639457702637</v>
      </c>
      <c r="AR24">
        <v>1.9321521744132E-2</v>
      </c>
      <c r="AS24" s="2">
        <v>3.27823568113672E-6</v>
      </c>
      <c r="AT24" s="2">
        <v>2.29370145099494E-9</v>
      </c>
      <c r="AU24" s="2">
        <v>6.1570517573272796E-8</v>
      </c>
      <c r="AV24" s="2">
        <v>8.8842666556843092E-9</v>
      </c>
      <c r="AW24">
        <v>74.845169067382798</v>
      </c>
      <c r="AX24">
        <v>-77.349021911621094</v>
      </c>
      <c r="AY24" s="2">
        <v>3.4028230607370999E+38</v>
      </c>
      <c r="AZ24" s="2">
        <v>3.4028230607370999E+38</v>
      </c>
      <c r="BA24">
        <v>574.97717285156205</v>
      </c>
      <c r="BB24">
        <v>1150.06311035156</v>
      </c>
      <c r="BC24">
        <v>996.01739501953102</v>
      </c>
      <c r="BD24" s="2">
        <v>3.4028230607370999E+38</v>
      </c>
      <c r="BE24" s="2">
        <v>3.4028230607370999E+38</v>
      </c>
      <c r="BF24">
        <v>230.00181579589801</v>
      </c>
      <c r="BG24">
        <v>5.0002598762512198</v>
      </c>
      <c r="BH24">
        <v>574.98687744140602</v>
      </c>
      <c r="BI24">
        <v>1150.06823730469</v>
      </c>
      <c r="BJ24">
        <v>996.019775390625</v>
      </c>
      <c r="BK24">
        <v>49.999927520752003</v>
      </c>
      <c r="BL24">
        <v>-60.003089904785199</v>
      </c>
      <c r="BM24">
        <v>1.73740442842245E-2</v>
      </c>
      <c r="BN24" s="2">
        <v>3.8258199310803303E-6</v>
      </c>
      <c r="BO24" s="2">
        <v>1.2174240282547501E-8</v>
      </c>
      <c r="BP24" s="2">
        <v>6.6590054359494402E-8</v>
      </c>
      <c r="BQ24" s="2">
        <v>1.12797584606028E-8</v>
      </c>
      <c r="BR24">
        <v>74.785438537597699</v>
      </c>
      <c r="BS24">
        <v>-44.234813690185497</v>
      </c>
      <c r="BT24">
        <v>1.92051064223051E-2</v>
      </c>
      <c r="BU24" s="2">
        <v>3.2196671782003199E-6</v>
      </c>
      <c r="BV24" s="2">
        <v>3.8604262009300799E-9</v>
      </c>
      <c r="BW24" s="2">
        <v>6.2685728607903002E-8</v>
      </c>
      <c r="BX24" s="2">
        <v>9.3317904514833605E-9</v>
      </c>
      <c r="BY24">
        <v>74.667686462402301</v>
      </c>
      <c r="BZ24">
        <v>-64.262306213378906</v>
      </c>
      <c r="CA24" s="2">
        <v>3.4028230607370999E+38</v>
      </c>
      <c r="CB24" s="2">
        <v>3.4028230607370999E+38</v>
      </c>
      <c r="CC24">
        <v>574.98687744140602</v>
      </c>
      <c r="CD24">
        <v>1150.06823730469</v>
      </c>
      <c r="CE24">
        <v>996.019775390625</v>
      </c>
      <c r="CF24" s="2">
        <v>3.4028230607370999E+38</v>
      </c>
      <c r="CG24" s="2">
        <v>3.4028230607370999E+38</v>
      </c>
      <c r="CH24">
        <v>230.00129699707</v>
      </c>
      <c r="CI24">
        <v>5.0002593994140598</v>
      </c>
      <c r="CJ24">
        <v>574.98211669921898</v>
      </c>
      <c r="CK24">
        <v>1150.06774902344</v>
      </c>
      <c r="CL24">
        <v>996.01770019531205</v>
      </c>
      <c r="CM24">
        <v>49.999923706054702</v>
      </c>
      <c r="CN24">
        <v>-60.003105163574197</v>
      </c>
      <c r="CO24">
        <v>1.71942003071308E-2</v>
      </c>
      <c r="CP24" s="2">
        <v>3.7876770875300302E-6</v>
      </c>
      <c r="CQ24" s="2">
        <v>1.15694467339722E-8</v>
      </c>
      <c r="CR24" s="2">
        <v>6.5069549748386595E-8</v>
      </c>
      <c r="CS24" s="2">
        <v>9.4954195617447096E-9</v>
      </c>
      <c r="CT24">
        <v>74.665077209472699</v>
      </c>
      <c r="CU24">
        <v>-41.687751770019503</v>
      </c>
      <c r="CV24">
        <v>1.8776450306177101E-2</v>
      </c>
      <c r="CW24" s="2">
        <v>3.1939996461005602E-6</v>
      </c>
      <c r="CX24" s="2">
        <v>2.9335534001972999E-9</v>
      </c>
      <c r="CY24" s="2">
        <v>6.0607824536873496E-8</v>
      </c>
      <c r="CZ24" s="2">
        <v>9.5281897927179704E-9</v>
      </c>
      <c r="DA24">
        <v>74.807716369628906</v>
      </c>
      <c r="DB24">
        <v>-70.925308227539105</v>
      </c>
      <c r="DC24" s="2">
        <v>3.4028230607370999E+38</v>
      </c>
      <c r="DD24" s="2">
        <v>3.4028230607370999E+38</v>
      </c>
      <c r="DE24">
        <v>574.98211669921898</v>
      </c>
      <c r="DF24">
        <v>1150.06774902344</v>
      </c>
      <c r="DG24">
        <v>996.01770019531205</v>
      </c>
      <c r="DH24" s="2">
        <v>3.4028230607370999E+38</v>
      </c>
      <c r="DI24" s="2">
        <v>3.4028230607370999E+38</v>
      </c>
      <c r="DJ24">
        <v>230.00205993652301</v>
      </c>
      <c r="DK24">
        <v>5.0002698898315403</v>
      </c>
      <c r="DL24">
        <v>574.98638916015602</v>
      </c>
      <c r="DM24">
        <v>1150.0712890625</v>
      </c>
      <c r="DN24">
        <v>996.02099609375</v>
      </c>
      <c r="DO24">
        <v>49.999946594238303</v>
      </c>
      <c r="DP24">
        <v>-60.002933502197301</v>
      </c>
      <c r="DQ24">
        <v>1.6231594607234001E-2</v>
      </c>
      <c r="DR24" s="2">
        <v>3.86728606827091E-6</v>
      </c>
      <c r="DS24" s="2">
        <v>1.0847059250807E-8</v>
      </c>
      <c r="DT24" s="2">
        <v>6.1280331919988398E-8</v>
      </c>
      <c r="DU24" s="2">
        <v>2.5695889860344298E-9</v>
      </c>
      <c r="DV24">
        <v>74.709709167480497</v>
      </c>
      <c r="DW24">
        <v>-14.317934989929199</v>
      </c>
      <c r="DX24">
        <v>1.7172107473015799E-2</v>
      </c>
      <c r="DY24" s="2">
        <v>3.1624513212591401E-6</v>
      </c>
      <c r="DZ24" s="2">
        <v>3.7872740499267399E-9</v>
      </c>
      <c r="EA24" s="2">
        <v>5.5844246560354798E-8</v>
      </c>
      <c r="EB24" s="2">
        <v>4.6368198169943803E-9</v>
      </c>
      <c r="EC24">
        <v>74.763031005859403</v>
      </c>
      <c r="ED24">
        <v>-54.609500885009801</v>
      </c>
      <c r="EE24" s="2">
        <v>3.4028230607370999E+38</v>
      </c>
      <c r="EF24" s="2">
        <v>3.4028230607370999E+38</v>
      </c>
      <c r="EG24">
        <v>574.98638916015602</v>
      </c>
      <c r="EH24">
        <v>1150.0712890625</v>
      </c>
      <c r="EI24">
        <v>996.02099609375</v>
      </c>
      <c r="EJ24" s="2">
        <v>3.4028230607370999E+38</v>
      </c>
      <c r="EK24" s="2">
        <v>3.4028230607370999E+38</v>
      </c>
      <c r="EL24">
        <v>123</v>
      </c>
      <c r="EM24">
        <v>230.00189208984401</v>
      </c>
      <c r="EN24">
        <v>5.0002512931823704</v>
      </c>
      <c r="EO24">
        <v>574.98504638671898</v>
      </c>
      <c r="EP24">
        <v>1150.07104492188</v>
      </c>
      <c r="EQ24">
        <v>996.021728515625</v>
      </c>
      <c r="ER24">
        <v>49.999946594238303</v>
      </c>
      <c r="ES24">
        <v>-60.002994537353501</v>
      </c>
      <c r="ET24">
        <v>0.499955654144287</v>
      </c>
      <c r="EU24" s="2">
        <v>3.4028230607370999E+38</v>
      </c>
      <c r="EV24">
        <v>0</v>
      </c>
      <c r="EW24">
        <v>230.00715637207</v>
      </c>
      <c r="EX24">
        <v>574.97174072265602</v>
      </c>
      <c r="EY24">
        <v>1150.09814453125</v>
      </c>
      <c r="EZ24">
        <v>996.04748535156205</v>
      </c>
      <c r="FA24">
        <v>-1.0382129112258599E-3</v>
      </c>
      <c r="FB24">
        <v>1.6078209504485099E-2</v>
      </c>
      <c r="FC24" s="2">
        <v>3.8927514651732096E-6</v>
      </c>
      <c r="FD24" s="2">
        <v>1.29138149063124E-8</v>
      </c>
      <c r="FE24" s="2">
        <v>6.2623854546472999E-8</v>
      </c>
      <c r="FF24" s="2">
        <v>3.7520835327598004E-9</v>
      </c>
      <c r="FG24">
        <v>74.755912780761705</v>
      </c>
      <c r="FH24">
        <v>-18.111146926879901</v>
      </c>
      <c r="FI24">
        <v>0.20362553000450101</v>
      </c>
      <c r="FJ24" s="2">
        <v>3.4028230607370999E+38</v>
      </c>
      <c r="FK24">
        <v>-10.0718021392822</v>
      </c>
      <c r="FL24">
        <v>2.0462375134229702E-2</v>
      </c>
      <c r="FM24">
        <v>0</v>
      </c>
      <c r="FN24">
        <v>0</v>
      </c>
      <c r="FO24">
        <v>0</v>
      </c>
      <c r="FP24" s="2">
        <v>7.1517766627948704E-5</v>
      </c>
      <c r="FQ24">
        <v>1.7992911860346801E-2</v>
      </c>
      <c r="FR24" s="2">
        <v>3.2392592856922399E-6</v>
      </c>
      <c r="FS24" s="2">
        <v>5.4300617335911697E-9</v>
      </c>
      <c r="FT24" s="2">
        <v>5.8348859965917701E-8</v>
      </c>
      <c r="FU24" s="2">
        <v>7.5421739964554002E-9</v>
      </c>
      <c r="FV24">
        <v>74.765457153320298</v>
      </c>
      <c r="FW24">
        <v>-53.430828094482401</v>
      </c>
      <c r="FX24">
        <v>9.8357230424880995E-2</v>
      </c>
      <c r="FY24" s="2">
        <v>3.4028230607370999E+38</v>
      </c>
      <c r="FZ24">
        <v>-73.846710205078097</v>
      </c>
      <c r="GA24">
        <v>229.68873596191401</v>
      </c>
      <c r="GB24" s="2">
        <v>1.4942705961473699E-9</v>
      </c>
      <c r="GC24">
        <v>7.4561551446095098E-4</v>
      </c>
      <c r="GD24" s="2">
        <v>2.27457030987921E-9</v>
      </c>
      <c r="GE24" s="2">
        <v>-9.4142218586057397E-5</v>
      </c>
      <c r="GF24" s="2">
        <v>3.4028230607370999E+38</v>
      </c>
      <c r="GG24" s="2">
        <v>3.4028230607370999E+38</v>
      </c>
      <c r="GH24">
        <v>574.98498535156205</v>
      </c>
      <c r="GI24">
        <v>1150.06872558594</v>
      </c>
      <c r="GJ24">
        <v>996.02020263671898</v>
      </c>
      <c r="GK24" s="2">
        <v>3.4028230607370999E+38</v>
      </c>
      <c r="GL24" s="2">
        <v>3.4028230607370999E+38</v>
      </c>
      <c r="GM24" s="2">
        <v>3.4028230607370999E+38</v>
      </c>
      <c r="GN24" s="2">
        <v>3.4028230607370999E+38</v>
      </c>
      <c r="GO24" s="2">
        <v>3.4028230607370999E+38</v>
      </c>
      <c r="GP24" s="2">
        <v>3.4028230607370999E+38</v>
      </c>
      <c r="GQ24">
        <v>574.954833984375</v>
      </c>
      <c r="GR24">
        <v>574.954833984375</v>
      </c>
      <c r="GS24">
        <v>996.041259765625</v>
      </c>
      <c r="GT24">
        <v>-2.5454810820519898E-3</v>
      </c>
      <c r="GX24">
        <f t="shared" si="1"/>
        <v>230.00175476074202</v>
      </c>
      <c r="GY24">
        <f t="shared" si="2"/>
        <v>5.0002623558044421</v>
      </c>
      <c r="GZ24">
        <f t="shared" si="3"/>
        <v>574.98325195312486</v>
      </c>
      <c r="HA24">
        <f t="shared" si="4"/>
        <v>1150.0683105468761</v>
      </c>
      <c r="HB24">
        <f t="shared" si="5"/>
        <v>996.01937255859377</v>
      </c>
      <c r="HC24">
        <f t="shared" si="6"/>
        <v>49.999945068359381</v>
      </c>
      <c r="HD24">
        <f t="shared" si="7"/>
        <v>-60.003007507324241</v>
      </c>
      <c r="HW24" s="10">
        <f>(GX24/Data!$S24-1)*1000000</f>
        <v>21.840139670992187</v>
      </c>
      <c r="HX24" s="10">
        <f>(GY24/Data!$T24-1)*1000000</f>
        <v>45.89145895028679</v>
      </c>
      <c r="HY24" s="10">
        <f>(GZ24/Data!$BW24-1)*1000000</f>
        <v>-63.919944375712134</v>
      </c>
      <c r="HZ24" s="10">
        <f>(HA24/(Data!$S24*Data!$T24)-1)*1000000</f>
        <v>67.032115353971022</v>
      </c>
      <c r="IA24" s="7">
        <f>(HB24/IF(HD24&gt;0, -Data!$BX24,Data!$BX24)-1)*1000000</f>
        <v>112.29482095997945</v>
      </c>
      <c r="IB24" s="10"/>
      <c r="IC24" s="9">
        <f>(HD24-Data!$U24)</f>
        <v>-4.4107773242387793E-3</v>
      </c>
    </row>
    <row r="25" spans="1:237" x14ac:dyDescent="0.2">
      <c r="A25">
        <v>25</v>
      </c>
      <c r="B25">
        <v>230.00175476074199</v>
      </c>
      <c r="C25">
        <v>5.00024461746216</v>
      </c>
      <c r="D25">
        <v>574.98040771484398</v>
      </c>
      <c r="E25">
        <v>1150.06457519531</v>
      </c>
      <c r="F25">
        <v>996.01483154296898</v>
      </c>
      <c r="G25">
        <v>49.999946594238303</v>
      </c>
      <c r="H25">
        <v>-60.002960205078097</v>
      </c>
      <c r="I25">
        <v>1.77302621304989E-2</v>
      </c>
      <c r="J25" s="2">
        <v>3.8191524254216296E-6</v>
      </c>
      <c r="K25" s="2">
        <v>1.4078817223151E-8</v>
      </c>
      <c r="L25" s="2">
        <v>6.7681639848160597E-8</v>
      </c>
      <c r="M25" s="2">
        <v>1.1040874881018701E-8</v>
      </c>
      <c r="N25">
        <v>74.611701965332003</v>
      </c>
      <c r="O25">
        <v>-37.532535552978501</v>
      </c>
      <c r="P25">
        <v>1.9515139982104301E-2</v>
      </c>
      <c r="Q25" s="2">
        <v>3.2594937238172899E-6</v>
      </c>
      <c r="R25" s="2">
        <v>5.41809264120729E-9</v>
      </c>
      <c r="S25" s="2">
        <v>6.3565089192252305E-8</v>
      </c>
      <c r="T25" s="2">
        <v>8.9116527490773495E-9</v>
      </c>
      <c r="U25">
        <v>74.896987915039105</v>
      </c>
      <c r="V25">
        <v>-66.098678588867202</v>
      </c>
      <c r="W25" s="2">
        <v>3.4028230607370999E+38</v>
      </c>
      <c r="X25" s="2">
        <v>3.4028230607370999E+38</v>
      </c>
      <c r="Y25">
        <v>574.98040771484398</v>
      </c>
      <c r="Z25">
        <v>1150.06457519531</v>
      </c>
      <c r="AA25">
        <v>996.01483154296898</v>
      </c>
      <c r="AB25" s="2">
        <v>3.4028230607370999E+38</v>
      </c>
      <c r="AC25" s="2">
        <v>3.4028230607370999E+38</v>
      </c>
      <c r="AD25">
        <v>230.00205993652301</v>
      </c>
      <c r="AE25">
        <v>5.0002803802490199</v>
      </c>
      <c r="AF25">
        <v>574.98455810546898</v>
      </c>
      <c r="AG25">
        <v>1150.07409667969</v>
      </c>
      <c r="AH25">
        <v>996.02392578125</v>
      </c>
      <c r="AI25">
        <v>49.999946594238303</v>
      </c>
      <c r="AJ25">
        <v>-60.003253936767599</v>
      </c>
      <c r="AK25">
        <v>1.42182176932693E-2</v>
      </c>
      <c r="AL25" s="2">
        <v>3.8309772207867397E-6</v>
      </c>
      <c r="AM25" s="2">
        <v>6.2898997121863001E-9</v>
      </c>
      <c r="AN25" s="2">
        <v>5.4535306048819601E-8</v>
      </c>
      <c r="AO25" s="2">
        <v>4.8567576627078804E-9</v>
      </c>
      <c r="AP25">
        <v>74.638236999511705</v>
      </c>
      <c r="AQ25">
        <v>-30.564647674560501</v>
      </c>
      <c r="AR25">
        <v>1.5320373699069001E-2</v>
      </c>
      <c r="AS25" s="2">
        <v>3.12448310069158E-6</v>
      </c>
      <c r="AT25" s="2">
        <v>1.3767340600878699E-9</v>
      </c>
      <c r="AU25" s="2">
        <v>4.9073172192493102E-8</v>
      </c>
      <c r="AV25" s="2">
        <v>1.9300132603206099E-9</v>
      </c>
      <c r="AW25">
        <v>74.743019104003906</v>
      </c>
      <c r="AX25">
        <v>-88.888862609863295</v>
      </c>
      <c r="AY25" s="2">
        <v>3.4028230607370999E+38</v>
      </c>
      <c r="AZ25" s="2">
        <v>3.4028230607370999E+38</v>
      </c>
      <c r="BA25">
        <v>574.98455810546898</v>
      </c>
      <c r="BB25">
        <v>1150.07409667969</v>
      </c>
      <c r="BC25">
        <v>996.02392578125</v>
      </c>
      <c r="BD25" s="2">
        <v>3.4028230607370999E+38</v>
      </c>
      <c r="BE25" s="2">
        <v>3.4028230607370999E+38</v>
      </c>
      <c r="BF25">
        <v>230.00224304199199</v>
      </c>
      <c r="BG25">
        <v>5.00026178359985</v>
      </c>
      <c r="BH25">
        <v>574.98693847656205</v>
      </c>
      <c r="BI25">
        <v>1150.06970214844</v>
      </c>
      <c r="BJ25">
        <v>996.01885986328102</v>
      </c>
      <c r="BK25">
        <v>49.999904632568402</v>
      </c>
      <c r="BL25">
        <v>-60.002956390380902</v>
      </c>
      <c r="BM25">
        <v>1.7648605629801799E-2</v>
      </c>
      <c r="BN25" s="2">
        <v>3.80827486878843E-6</v>
      </c>
      <c r="BO25" s="2">
        <v>1.52968002709031E-8</v>
      </c>
      <c r="BP25" s="2">
        <v>6.60241141758888E-8</v>
      </c>
      <c r="BQ25" s="2">
        <v>6.1995608646725503E-9</v>
      </c>
      <c r="BR25">
        <v>74.707046508789105</v>
      </c>
      <c r="BS25">
        <v>-21.672523498535199</v>
      </c>
      <c r="BT25">
        <v>1.91483274102211E-2</v>
      </c>
      <c r="BU25" s="2">
        <v>3.1778188258613202E-6</v>
      </c>
      <c r="BV25" s="2">
        <v>6.2393055166864997E-9</v>
      </c>
      <c r="BW25" s="2">
        <v>6.0844072891086398E-8</v>
      </c>
      <c r="BX25" s="2">
        <v>9.5986996129226993E-9</v>
      </c>
      <c r="BY25">
        <v>74.743598937988295</v>
      </c>
      <c r="BZ25">
        <v>-58.402183532714801</v>
      </c>
      <c r="CA25" s="2">
        <v>3.4028230607370999E+38</v>
      </c>
      <c r="CB25" s="2">
        <v>3.4028230607370999E+38</v>
      </c>
      <c r="CC25">
        <v>574.98693847656205</v>
      </c>
      <c r="CD25">
        <v>1150.06970214844</v>
      </c>
      <c r="CE25">
        <v>996.01885986328102</v>
      </c>
      <c r="CF25" s="2">
        <v>3.4028230607370999E+38</v>
      </c>
      <c r="CG25" s="2">
        <v>3.4028230607370999E+38</v>
      </c>
      <c r="CH25">
        <v>230.00213623046901</v>
      </c>
      <c r="CI25">
        <v>5.0002717971801802</v>
      </c>
      <c r="CJ25">
        <v>574.9853515625</v>
      </c>
      <c r="CK25">
        <v>1150.07250976562</v>
      </c>
      <c r="CL25">
        <v>996.02252197265602</v>
      </c>
      <c r="CM25">
        <v>49.999927520752003</v>
      </c>
      <c r="CN25">
        <v>-60.002983093261697</v>
      </c>
      <c r="CO25">
        <v>1.4604676514864001E-2</v>
      </c>
      <c r="CP25" s="2">
        <v>3.8845023482281198E-6</v>
      </c>
      <c r="CQ25" s="2">
        <v>5.6713544971387397E-9</v>
      </c>
      <c r="CR25" s="2">
        <v>5.5806459897667102E-8</v>
      </c>
      <c r="CS25" s="2">
        <v>5.2954636231561397E-9</v>
      </c>
      <c r="CT25">
        <v>74.769668579101605</v>
      </c>
      <c r="CU25">
        <v>-42.618049621582003</v>
      </c>
      <c r="CV25">
        <v>1.54720367863774E-2</v>
      </c>
      <c r="CW25" s="2">
        <v>3.2319553611159799E-6</v>
      </c>
      <c r="CX25" s="2">
        <v>1.27833676977218E-9</v>
      </c>
      <c r="CY25" s="2">
        <v>4.9164960103098598E-8</v>
      </c>
      <c r="CZ25" s="2">
        <v>3.29100657836534E-9</v>
      </c>
      <c r="DA25">
        <v>74.765525817871094</v>
      </c>
      <c r="DB25">
        <v>-68.772186279296903</v>
      </c>
      <c r="DC25" s="2">
        <v>3.4028230607370999E+38</v>
      </c>
      <c r="DD25" s="2">
        <v>3.4028230607370999E+38</v>
      </c>
      <c r="DE25">
        <v>574.9853515625</v>
      </c>
      <c r="DF25">
        <v>1150.07250976562</v>
      </c>
      <c r="DG25">
        <v>996.02252197265602</v>
      </c>
      <c r="DH25" s="2">
        <v>3.4028230607370999E+38</v>
      </c>
      <c r="DI25" s="2">
        <v>3.4028230607370999E+38</v>
      </c>
      <c r="DJ25">
        <v>230.00210571289099</v>
      </c>
      <c r="DK25">
        <v>5.00026512145996</v>
      </c>
      <c r="DL25">
        <v>574.983154296875</v>
      </c>
      <c r="DM25">
        <v>1150.07263183594</v>
      </c>
      <c r="DN25">
        <v>996.02154541015602</v>
      </c>
      <c r="DO25">
        <v>49.999973297119098</v>
      </c>
      <c r="DP25">
        <v>-60.002967834472699</v>
      </c>
      <c r="DQ25">
        <v>1.42428362742066E-2</v>
      </c>
      <c r="DR25" s="2">
        <v>3.9435144572053096E-6</v>
      </c>
      <c r="DS25" s="2">
        <v>6.9526535639852202E-9</v>
      </c>
      <c r="DT25" s="2">
        <v>5.6051916885735402E-8</v>
      </c>
      <c r="DU25" s="2">
        <v>4.04310185331269E-9</v>
      </c>
      <c r="DV25">
        <v>74.810348510742202</v>
      </c>
      <c r="DW25">
        <v>-32.105869293212898</v>
      </c>
      <c r="DX25">
        <v>1.52235832065344E-2</v>
      </c>
      <c r="DY25" s="2">
        <v>3.2416623980679998E-6</v>
      </c>
      <c r="DZ25" s="2">
        <v>2.09896211522675E-9</v>
      </c>
      <c r="EA25" s="2">
        <v>4.7963762739300397E-8</v>
      </c>
      <c r="EB25" s="2">
        <v>2.3064412602025198E-9</v>
      </c>
      <c r="EC25">
        <v>74.621925354003906</v>
      </c>
      <c r="ED25">
        <v>-41.6520805358887</v>
      </c>
      <c r="EE25" s="2">
        <v>3.4028230607370999E+38</v>
      </c>
      <c r="EF25" s="2">
        <v>3.4028230607370999E+38</v>
      </c>
      <c r="EG25">
        <v>574.983154296875</v>
      </c>
      <c r="EH25">
        <v>1150.07263183594</v>
      </c>
      <c r="EI25">
        <v>996.02154541015602</v>
      </c>
      <c r="EJ25" s="2">
        <v>3.4028230607370999E+38</v>
      </c>
      <c r="EK25" s="2">
        <v>3.4028230607370999E+38</v>
      </c>
      <c r="EL25">
        <v>123</v>
      </c>
      <c r="EM25">
        <v>230.002365112305</v>
      </c>
      <c r="EN25">
        <v>5.00026607513428</v>
      </c>
      <c r="EO25">
        <v>574.98675537109398</v>
      </c>
      <c r="EP25">
        <v>1150.07275390625</v>
      </c>
      <c r="EQ25">
        <v>996.021728515625</v>
      </c>
      <c r="ER25">
        <v>49.999969482421903</v>
      </c>
      <c r="ES25">
        <v>-60.002994537353501</v>
      </c>
      <c r="ET25">
        <v>0.49995541572570801</v>
      </c>
      <c r="EU25" s="2">
        <v>3.4028230607370999E+38</v>
      </c>
      <c r="EV25">
        <v>0</v>
      </c>
      <c r="EW25">
        <v>230.00332641601599</v>
      </c>
      <c r="EX25">
        <v>574.96496582031205</v>
      </c>
      <c r="EY25">
        <v>1150.0732421875</v>
      </c>
      <c r="EZ25">
        <v>996.02734375</v>
      </c>
      <c r="FA25">
        <v>-5.7390006259083704E-4</v>
      </c>
      <c r="FB25">
        <v>1.41941541805863E-2</v>
      </c>
      <c r="FC25" s="2">
        <v>3.8646776374662303E-6</v>
      </c>
      <c r="FD25" s="2">
        <v>5.2731485844503798E-9</v>
      </c>
      <c r="FE25" s="2">
        <v>5.5449461910939102E-8</v>
      </c>
      <c r="FF25" s="2">
        <v>5.5507309859592599E-9</v>
      </c>
      <c r="FG25">
        <v>74.710655212402301</v>
      </c>
      <c r="FH25">
        <v>-42.297676086425803</v>
      </c>
      <c r="FI25">
        <v>0.106957919895649</v>
      </c>
      <c r="FJ25" s="2">
        <v>3.4028230607370999E+38</v>
      </c>
      <c r="FK25">
        <v>-89.815811157226605</v>
      </c>
      <c r="FL25">
        <v>2.0275173708796501E-2</v>
      </c>
      <c r="FM25">
        <v>0</v>
      </c>
      <c r="FN25">
        <v>0</v>
      </c>
      <c r="FO25">
        <v>0</v>
      </c>
      <c r="FP25" s="2">
        <v>9.0562665718607605E-5</v>
      </c>
      <c r="FQ25">
        <v>1.54448067769408E-2</v>
      </c>
      <c r="FR25" s="2">
        <v>3.23851145367371E-6</v>
      </c>
      <c r="FS25" s="2">
        <v>7.3171635417423896E-10</v>
      </c>
      <c r="FT25" s="2">
        <v>4.9361801757186199E-8</v>
      </c>
      <c r="FU25" s="2">
        <v>3.0587097299417101E-9</v>
      </c>
      <c r="FV25">
        <v>74.7415771484375</v>
      </c>
      <c r="FW25">
        <v>-61.275009155273402</v>
      </c>
      <c r="FX25">
        <v>3.3960063010454199E-2</v>
      </c>
      <c r="FY25" s="2">
        <v>3.4028230607370999E+38</v>
      </c>
      <c r="FZ25">
        <v>31.603622436523398</v>
      </c>
      <c r="GA25">
        <v>229.66419982910199</v>
      </c>
      <c r="GB25" s="2">
        <v>-4.7248494006168998E-10</v>
      </c>
      <c r="GC25">
        <v>7.2106334846466801E-4</v>
      </c>
      <c r="GD25" s="2">
        <v>-3.9286782160807801E-10</v>
      </c>
      <c r="GE25" s="2">
        <v>-8.4269224316813106E-5</v>
      </c>
      <c r="GF25" s="2">
        <v>3.4028230607370999E+38</v>
      </c>
      <c r="GG25" s="2">
        <v>3.4028230607370999E+38</v>
      </c>
      <c r="GH25">
        <v>574.98455810546898</v>
      </c>
      <c r="GI25">
        <v>1150.07214355469</v>
      </c>
      <c r="GJ25">
        <v>996.023193359375</v>
      </c>
      <c r="GK25" s="2">
        <v>3.4028230607370999E+38</v>
      </c>
      <c r="GL25" s="2">
        <v>3.4028230607370999E+38</v>
      </c>
      <c r="GM25" s="2">
        <v>3.4028230607370999E+38</v>
      </c>
      <c r="GN25" s="2">
        <v>3.4028230607370999E+38</v>
      </c>
      <c r="GO25" s="2">
        <v>3.4028230607370999E+38</v>
      </c>
      <c r="GP25" s="2">
        <v>3.4028230607370999E+38</v>
      </c>
      <c r="GQ25">
        <v>574.95538330078102</v>
      </c>
      <c r="GR25">
        <v>574.95538330078102</v>
      </c>
      <c r="GS25">
        <v>996.01806640625</v>
      </c>
      <c r="GT25">
        <v>-1.8492920789867601E-3</v>
      </c>
      <c r="GX25">
        <f t="shared" si="1"/>
        <v>230.00205993652338</v>
      </c>
      <c r="GY25">
        <f t="shared" si="2"/>
        <v>5.000264739990234</v>
      </c>
      <c r="GZ25">
        <f t="shared" si="3"/>
        <v>574.98408203124995</v>
      </c>
      <c r="HA25">
        <f t="shared" si="4"/>
        <v>1150.0707031250001</v>
      </c>
      <c r="HB25">
        <f t="shared" si="5"/>
        <v>996.02033691406245</v>
      </c>
      <c r="HC25">
        <f t="shared" si="6"/>
        <v>49.999939727783229</v>
      </c>
      <c r="HD25">
        <f t="shared" si="7"/>
        <v>-60.003024291992197</v>
      </c>
      <c r="HW25" s="10">
        <f>(GX25/Data!$S25-1)*1000000</f>
        <v>22.808735617552145</v>
      </c>
      <c r="HX25" s="10">
        <f>(GY25/Data!$T25-1)*1000000</f>
        <v>40.96110707063616</v>
      </c>
      <c r="HY25" s="10">
        <f>(GZ25/Data!$BW25-1)*1000000</f>
        <v>-63.11788287616249</v>
      </c>
      <c r="HZ25" s="10">
        <f>(HA25/(Data!$S25*Data!$T25)-1)*1000000</f>
        <v>63.347036413530233</v>
      </c>
      <c r="IA25" s="7">
        <f>(HB25/IF(HD25&gt;0, -Data!$BX25,Data!$BX25)-1)*1000000</f>
        <v>105.78956661078109</v>
      </c>
      <c r="IB25" s="10"/>
      <c r="IC25" s="9">
        <f>(HD25-Data!$U25)</f>
        <v>-4.2580819921980151E-3</v>
      </c>
    </row>
    <row r="26" spans="1:237" x14ac:dyDescent="0.2">
      <c r="A26">
        <v>26</v>
      </c>
      <c r="B26">
        <v>230.00238037109401</v>
      </c>
      <c r="C26">
        <v>5.0002627372741699</v>
      </c>
      <c r="D26">
        <v>574.98620605468795</v>
      </c>
      <c r="E26">
        <v>1150.07507324219</v>
      </c>
      <c r="F26">
        <v>996.02581787109398</v>
      </c>
      <c r="G26">
        <v>49.999927520752003</v>
      </c>
      <c r="H26">
        <v>-60.003036499023402</v>
      </c>
      <c r="I26">
        <v>1.5073963440954701E-2</v>
      </c>
      <c r="J26" s="2">
        <v>3.9412270780303499E-6</v>
      </c>
      <c r="K26" s="2">
        <v>1.02153103753722E-8</v>
      </c>
      <c r="L26" s="2">
        <v>5.9703111787712299E-8</v>
      </c>
      <c r="M26" s="2">
        <v>2.0424968383281302E-9</v>
      </c>
      <c r="N26">
        <v>74.732933044433594</v>
      </c>
      <c r="O26">
        <v>-14.5771732330322</v>
      </c>
      <c r="P26">
        <v>1.6179941594600698E-2</v>
      </c>
      <c r="Q26" s="2">
        <v>3.1333256629295601E-6</v>
      </c>
      <c r="R26" s="2">
        <v>3.3353495521026798E-9</v>
      </c>
      <c r="S26" s="2">
        <v>5.0701846276979301E-8</v>
      </c>
      <c r="T26" s="2">
        <v>3.7130682972730301E-9</v>
      </c>
      <c r="U26">
        <v>74.819419860839801</v>
      </c>
      <c r="V26">
        <v>-45.459861755371101</v>
      </c>
      <c r="W26" s="2">
        <v>3.4028230607370999E+38</v>
      </c>
      <c r="X26" s="2">
        <v>3.4028230607370999E+38</v>
      </c>
      <c r="Y26">
        <v>574.98620605468795</v>
      </c>
      <c r="Z26">
        <v>1150.07507324219</v>
      </c>
      <c r="AA26">
        <v>996.02581787109398</v>
      </c>
      <c r="AB26" s="2">
        <v>3.4028230607370999E+38</v>
      </c>
      <c r="AC26" s="2">
        <v>3.4028230607370999E+38</v>
      </c>
      <c r="AD26">
        <v>230.00212097168</v>
      </c>
      <c r="AE26">
        <v>5.0002427101135298</v>
      </c>
      <c r="AF26">
        <v>574.978271484375</v>
      </c>
      <c r="AG26">
        <v>1150.06408691406</v>
      </c>
      <c r="AH26">
        <v>996.02264404296898</v>
      </c>
      <c r="AI26">
        <v>49.999935150146499</v>
      </c>
      <c r="AJ26">
        <v>-60.003139495849602</v>
      </c>
      <c r="AK26">
        <v>1.55516313388944E-2</v>
      </c>
      <c r="AL26" s="2">
        <v>3.8246744225034499E-6</v>
      </c>
      <c r="AM26" s="2">
        <v>8.0210131869762302E-9</v>
      </c>
      <c r="AN26" s="2">
        <v>5.9503697968921201E-8</v>
      </c>
      <c r="AO26" s="2">
        <v>9.3876293405514794E-9</v>
      </c>
      <c r="AP26">
        <v>74.808441162109403</v>
      </c>
      <c r="AQ26">
        <v>-47.301780700683601</v>
      </c>
      <c r="AR26">
        <v>1.6964914277195899E-2</v>
      </c>
      <c r="AS26" s="2">
        <v>3.25996961691999E-6</v>
      </c>
      <c r="AT26" s="2">
        <v>9.6622998491113797E-10</v>
      </c>
      <c r="AU26" s="2">
        <v>5.4726253750914098E-8</v>
      </c>
      <c r="AV26" s="2">
        <v>5.0727186895471699E-9</v>
      </c>
      <c r="AW26">
        <v>74.809005737304702</v>
      </c>
      <c r="AX26">
        <v>-88.740142822265597</v>
      </c>
      <c r="AY26" s="2">
        <v>3.4028230607370999E+38</v>
      </c>
      <c r="AZ26" s="2">
        <v>3.4028230607370999E+38</v>
      </c>
      <c r="BA26">
        <v>574.978271484375</v>
      </c>
      <c r="BB26">
        <v>1150.06408691406</v>
      </c>
      <c r="BC26">
        <v>996.02264404296898</v>
      </c>
      <c r="BD26" s="2">
        <v>3.4028230607370999E+38</v>
      </c>
      <c r="BE26" s="2">
        <v>3.4028230607370999E+38</v>
      </c>
      <c r="BF26">
        <v>230.00247192382801</v>
      </c>
      <c r="BG26">
        <v>5.0002675056457502</v>
      </c>
      <c r="BH26">
        <v>574.98425292968795</v>
      </c>
      <c r="BI26">
        <v>1150.07116699219</v>
      </c>
      <c r="BJ26">
        <v>996.01971435546898</v>
      </c>
      <c r="BK26">
        <v>49.999931335449197</v>
      </c>
      <c r="BL26">
        <v>-60.003185272216797</v>
      </c>
      <c r="BM26">
        <v>1.4906003139913099E-2</v>
      </c>
      <c r="BN26" s="2">
        <v>3.8227813092817104E-6</v>
      </c>
      <c r="BO26" s="2">
        <v>7.3667352218365101E-9</v>
      </c>
      <c r="BP26" s="2">
        <v>5.6922949909221603E-8</v>
      </c>
      <c r="BQ26" s="2">
        <v>6.74062894390204E-9</v>
      </c>
      <c r="BR26">
        <v>74.611656188964801</v>
      </c>
      <c r="BS26">
        <v>-45.367458343505902</v>
      </c>
      <c r="BT26">
        <v>1.6172539442777599E-2</v>
      </c>
      <c r="BU26" s="2">
        <v>3.1398683404404399E-6</v>
      </c>
      <c r="BV26" s="2">
        <v>-3.9838563004046498E-10</v>
      </c>
      <c r="BW26" s="2">
        <v>5.1976329018543799E-8</v>
      </c>
      <c r="BX26" s="2">
        <v>3.5913181317681599E-9</v>
      </c>
      <c r="BY26">
        <v>74.699172973632798</v>
      </c>
      <c r="BZ26">
        <v>-75.220756530761705</v>
      </c>
      <c r="CA26" s="2">
        <v>3.4028230607370999E+38</v>
      </c>
      <c r="CB26" s="2">
        <v>3.4028230607370999E+38</v>
      </c>
      <c r="CC26">
        <v>574.98419189453102</v>
      </c>
      <c r="CD26">
        <v>1150.07116699219</v>
      </c>
      <c r="CE26">
        <v>996.01971435546898</v>
      </c>
      <c r="CF26" s="2">
        <v>3.4028230607370999E+38</v>
      </c>
      <c r="CG26" s="2">
        <v>3.4028230607370999E+38</v>
      </c>
      <c r="CH26">
        <v>230.00177001953099</v>
      </c>
      <c r="CI26">
        <v>5.0002717971801802</v>
      </c>
      <c r="CJ26">
        <v>574.98480224609398</v>
      </c>
      <c r="CK26">
        <v>1150.07080078125</v>
      </c>
      <c r="CL26">
        <v>996.02087402343795</v>
      </c>
      <c r="CM26">
        <v>49.999958038330099</v>
      </c>
      <c r="CN26">
        <v>-60.003036499023402</v>
      </c>
      <c r="CO26">
        <v>1.47547004744411E-2</v>
      </c>
      <c r="CP26" s="2">
        <v>3.9512765397375898E-6</v>
      </c>
      <c r="CQ26" s="2">
        <v>8.5199038935002103E-9</v>
      </c>
      <c r="CR26" s="2">
        <v>5.9160754517506602E-8</v>
      </c>
      <c r="CS26" s="2">
        <v>1.6618616482944001E-9</v>
      </c>
      <c r="CT26">
        <v>74.649154663085895</v>
      </c>
      <c r="CU26">
        <v>-11.550879478454601</v>
      </c>
      <c r="CV26">
        <v>1.6149565577507002E-2</v>
      </c>
      <c r="CW26" s="2">
        <v>3.2654270398779802E-6</v>
      </c>
      <c r="CX26" s="2">
        <v>3.1247315845917001E-9</v>
      </c>
      <c r="CY26" s="2">
        <v>5.1382905041919003E-8</v>
      </c>
      <c r="CZ26" s="2">
        <v>3.29197025195072E-9</v>
      </c>
      <c r="DA26">
        <v>74.724929809570298</v>
      </c>
      <c r="DB26">
        <v>-43.281932830810497</v>
      </c>
      <c r="DC26" s="2">
        <v>3.4028230607370999E+38</v>
      </c>
      <c r="DD26" s="2">
        <v>3.4028230607370999E+38</v>
      </c>
      <c r="DE26">
        <v>574.98480224609398</v>
      </c>
      <c r="DF26">
        <v>1150.07080078125</v>
      </c>
      <c r="DG26">
        <v>996.02087402343795</v>
      </c>
      <c r="DH26" s="2">
        <v>3.4028230607370999E+38</v>
      </c>
      <c r="DI26" s="2">
        <v>3.4028230607370999E+38</v>
      </c>
      <c r="DJ26">
        <v>230.00149536132801</v>
      </c>
      <c r="DK26">
        <v>5.0002527236938503</v>
      </c>
      <c r="DL26">
        <v>574.98089599609398</v>
      </c>
      <c r="DM26">
        <v>1150.06604003906</v>
      </c>
      <c r="DN26">
        <v>996.01641845703102</v>
      </c>
      <c r="DO26">
        <v>49.999954223632798</v>
      </c>
      <c r="DP26">
        <v>-60.002960205078097</v>
      </c>
      <c r="DQ26">
        <v>1.7531476914882702E-2</v>
      </c>
      <c r="DR26" s="2">
        <v>3.8880170905031298E-6</v>
      </c>
      <c r="DS26" s="2">
        <v>1.4945728210591399E-8</v>
      </c>
      <c r="DT26" s="2">
        <v>6.8178771073235098E-8</v>
      </c>
      <c r="DU26" s="2">
        <v>5.4112403446993101E-9</v>
      </c>
      <c r="DV26">
        <v>74.627296447753906</v>
      </c>
      <c r="DW26">
        <v>-19.061094284057599</v>
      </c>
      <c r="DX26">
        <v>1.90261974930763E-2</v>
      </c>
      <c r="DY26" s="2">
        <v>3.2925249797699499E-6</v>
      </c>
      <c r="DZ26" s="2">
        <v>4.4566257351163999E-9</v>
      </c>
      <c r="EA26" s="2">
        <v>6.1156306685461499E-8</v>
      </c>
      <c r="EB26" s="2">
        <v>7.6100388213262704E-9</v>
      </c>
      <c r="EC26">
        <v>74.768867492675795</v>
      </c>
      <c r="ED26">
        <v>-56.722248077392599</v>
      </c>
      <c r="EE26" s="2">
        <v>3.4028230607370999E+38</v>
      </c>
      <c r="EF26" s="2">
        <v>3.4028230607370999E+38</v>
      </c>
      <c r="EG26">
        <v>574.98089599609398</v>
      </c>
      <c r="EH26">
        <v>1150.06604003906</v>
      </c>
      <c r="EI26">
        <v>996.01641845703102</v>
      </c>
      <c r="EJ26" s="2">
        <v>3.4028230607370999E+38</v>
      </c>
      <c r="EK26" s="2">
        <v>3.4028230607370999E+38</v>
      </c>
      <c r="EL26">
        <v>123</v>
      </c>
      <c r="EM26">
        <v>230.00189208984401</v>
      </c>
      <c r="EN26">
        <v>5.0002627372741699</v>
      </c>
      <c r="EO26">
        <v>574.98895263671898</v>
      </c>
      <c r="EP26">
        <v>1150.06945800781</v>
      </c>
      <c r="EQ26">
        <v>996.01641845703102</v>
      </c>
      <c r="ER26">
        <v>49.999931335449197</v>
      </c>
      <c r="ES26">
        <v>-60.002933502197301</v>
      </c>
      <c r="ET26">
        <v>0.49995610117912298</v>
      </c>
      <c r="EU26" s="2">
        <v>3.4028230607370999E+38</v>
      </c>
      <c r="EV26">
        <v>0</v>
      </c>
      <c r="EW26">
        <v>230.00497436523401</v>
      </c>
      <c r="EX26">
        <v>574.94610595703102</v>
      </c>
      <c r="EY26">
        <v>1150.08227539062</v>
      </c>
      <c r="EZ26">
        <v>996.03399658203102</v>
      </c>
      <c r="FA26">
        <v>-3.4262905828654801E-3</v>
      </c>
      <c r="FB26">
        <v>1.7477018758654601E-2</v>
      </c>
      <c r="FC26" s="2">
        <v>3.8595881051151099E-6</v>
      </c>
      <c r="FD26" s="2">
        <v>1.42164200411798E-8</v>
      </c>
      <c r="FE26" s="2">
        <v>6.74447662163402E-8</v>
      </c>
      <c r="FF26" s="2">
        <v>9.6449737085890807E-9</v>
      </c>
      <c r="FG26">
        <v>74.630905151367202</v>
      </c>
      <c r="FH26">
        <v>-31.7757377624512</v>
      </c>
      <c r="FI26">
        <v>0.22897839546203599</v>
      </c>
      <c r="FJ26" s="2">
        <v>3.4028230607370999E+38</v>
      </c>
      <c r="FK26">
        <v>21.562177658081101</v>
      </c>
      <c r="FL26">
        <v>2.0901469513773901E-2</v>
      </c>
      <c r="FM26">
        <v>0</v>
      </c>
      <c r="FN26">
        <v>0</v>
      </c>
      <c r="FO26">
        <v>0</v>
      </c>
      <c r="FP26" s="2">
        <v>6.4132458646781702E-5</v>
      </c>
      <c r="FQ26">
        <v>1.94601137191057E-2</v>
      </c>
      <c r="FR26" s="2">
        <v>3.12268934976601E-6</v>
      </c>
      <c r="FS26" s="2">
        <v>5.2880158030177402E-9</v>
      </c>
      <c r="FT26" s="2">
        <v>6.0829783876670302E-8</v>
      </c>
      <c r="FU26" s="2">
        <v>9.5769392416400495E-9</v>
      </c>
      <c r="FV26">
        <v>74.828506469726605</v>
      </c>
      <c r="FW26">
        <v>-68.436332702636705</v>
      </c>
      <c r="FX26">
        <v>5.9601720422506298E-2</v>
      </c>
      <c r="FY26" s="2">
        <v>3.4028230607370999E+38</v>
      </c>
      <c r="FZ26">
        <v>20.500419616699201</v>
      </c>
      <c r="GA26">
        <v>229.50866699218801</v>
      </c>
      <c r="GB26" s="2">
        <v>1.7611496705427501E-9</v>
      </c>
      <c r="GC26">
        <v>7.4541423236951199E-4</v>
      </c>
      <c r="GD26" s="2">
        <v>1.0184425525139299E-9</v>
      </c>
      <c r="GE26" s="2">
        <v>-9.8972370324190706E-5</v>
      </c>
      <c r="GF26" s="2">
        <v>3.4028230607370999E+38</v>
      </c>
      <c r="GG26" s="2">
        <v>3.4028230607370999E+38</v>
      </c>
      <c r="GH26">
        <v>574.98492431640602</v>
      </c>
      <c r="GI26">
        <v>1150.06799316406</v>
      </c>
      <c r="GJ26">
        <v>996.01690673828102</v>
      </c>
      <c r="GK26" s="2">
        <v>3.4028230607370999E+38</v>
      </c>
      <c r="GL26" s="2">
        <v>3.4028230607370999E+38</v>
      </c>
      <c r="GM26" s="2">
        <v>3.4028230607370999E+38</v>
      </c>
      <c r="GN26" s="2">
        <v>3.4028230607370999E+38</v>
      </c>
      <c r="GO26" s="2">
        <v>3.4028230607370999E+38</v>
      </c>
      <c r="GP26" s="2">
        <v>3.4028230607370999E+38</v>
      </c>
      <c r="GQ26">
        <v>574.940673828125</v>
      </c>
      <c r="GR26">
        <v>574.940673828125</v>
      </c>
      <c r="GS26">
        <v>996.02355957031205</v>
      </c>
      <c r="GT26">
        <v>-3.7248907610774001E-3</v>
      </c>
      <c r="GX26">
        <f t="shared" si="1"/>
        <v>230.00204772949218</v>
      </c>
      <c r="GY26">
        <f t="shared" si="2"/>
        <v>5.0002594947814964</v>
      </c>
      <c r="GZ26">
        <f t="shared" si="3"/>
        <v>574.9828857421877</v>
      </c>
      <c r="HA26">
        <f t="shared" si="4"/>
        <v>1150.0694335937501</v>
      </c>
      <c r="HB26">
        <f t="shared" si="5"/>
        <v>996.0210937500002</v>
      </c>
      <c r="HC26">
        <f t="shared" si="6"/>
        <v>49.999941253662122</v>
      </c>
      <c r="HD26">
        <f t="shared" si="7"/>
        <v>-60.003071594238257</v>
      </c>
      <c r="HW26" s="10">
        <f>(GX26/Data!$S26-1)*1000000</f>
        <v>22.873056449101981</v>
      </c>
      <c r="HX26" s="10">
        <f>(GY26/Data!$T26-1)*1000000</f>
        <v>41.906937581881465</v>
      </c>
      <c r="HY26" s="10">
        <f>(GZ26/Data!$BW26-1)*1000000</f>
        <v>-61.553795809521361</v>
      </c>
      <c r="HZ26" s="10">
        <f>(HA26/(Data!$S26*Data!$T26)-1)*1000000</f>
        <v>64.355398851745349</v>
      </c>
      <c r="IA26" s="7">
        <f>(HB26/IF(HD26&gt;0, -Data!$BX26,Data!$BX26)-1)*1000000</f>
        <v>108.15072035641471</v>
      </c>
      <c r="IB26" s="10"/>
      <c r="IC26" s="9">
        <f>(HD26-Data!$U26)</f>
        <v>-4.254674238254097E-3</v>
      </c>
    </row>
    <row r="27" spans="1:237" x14ac:dyDescent="0.2">
      <c r="A27">
        <v>27</v>
      </c>
      <c r="B27">
        <v>230.00155639648401</v>
      </c>
      <c r="C27">
        <v>5.0002641677856401</v>
      </c>
      <c r="D27">
        <v>920.09442138671898</v>
      </c>
      <c r="E27">
        <v>1150.06799316406</v>
      </c>
      <c r="F27">
        <v>-690.00433349609398</v>
      </c>
      <c r="G27">
        <v>49.999988555908203</v>
      </c>
      <c r="H27">
        <v>36.867565155029297</v>
      </c>
      <c r="I27">
        <v>1.73594113439322E-2</v>
      </c>
      <c r="J27" s="2">
        <v>3.9397523323714301E-6</v>
      </c>
      <c r="K27" s="2">
        <v>-4.6676346121543599E-10</v>
      </c>
      <c r="L27" s="2">
        <v>6.8280222365046899E-8</v>
      </c>
      <c r="M27" s="2">
        <v>-1.4069661880000699E-8</v>
      </c>
      <c r="N27">
        <v>74.669357299804702</v>
      </c>
      <c r="O27">
        <v>91.900100708007798</v>
      </c>
      <c r="P27">
        <v>1.9163150340318701E-2</v>
      </c>
      <c r="Q27" s="2">
        <v>3.2394609661423601E-6</v>
      </c>
      <c r="R27" s="2">
        <v>8.6569702517635993E-9</v>
      </c>
      <c r="S27" s="2">
        <v>6.1931189065944597E-8</v>
      </c>
      <c r="T27" s="2">
        <v>9.9046437718186594E-10</v>
      </c>
      <c r="U27">
        <v>74.7662353515625</v>
      </c>
      <c r="V27">
        <v>-3.9442906379699698</v>
      </c>
      <c r="W27" s="2">
        <v>3.4028230607370999E+38</v>
      </c>
      <c r="X27" s="2">
        <v>3.4028230607370999E+38</v>
      </c>
      <c r="Y27">
        <v>920.09436035156205</v>
      </c>
      <c r="Z27">
        <v>1150.06799316406</v>
      </c>
      <c r="AA27">
        <v>-690.00439453125</v>
      </c>
      <c r="AB27" s="2">
        <v>3.4028230607370999E+38</v>
      </c>
      <c r="AC27" s="2">
        <v>3.4028230607370999E+38</v>
      </c>
      <c r="AD27">
        <v>230.00221252441401</v>
      </c>
      <c r="AE27">
        <v>5.0002470016479501</v>
      </c>
      <c r="AF27">
        <v>920.08905029296898</v>
      </c>
      <c r="AG27">
        <v>1150.06469726562</v>
      </c>
      <c r="AH27">
        <v>-690.004150390625</v>
      </c>
      <c r="AI27">
        <v>49.999912261962898</v>
      </c>
      <c r="AJ27">
        <v>36.867401123046903</v>
      </c>
      <c r="AK27">
        <v>1.50161515921354E-2</v>
      </c>
      <c r="AL27" s="2">
        <v>3.7852535115234799E-6</v>
      </c>
      <c r="AM27" s="2">
        <v>4.2729708660260704E-9</v>
      </c>
      <c r="AN27" s="2">
        <v>5.6882228705035198E-8</v>
      </c>
      <c r="AO27" s="2">
        <v>-3.4726077569047199E-9</v>
      </c>
      <c r="AP27">
        <v>74.724441528320298</v>
      </c>
      <c r="AQ27">
        <v>45.875438690185497</v>
      </c>
      <c r="AR27">
        <v>1.60912293940783E-2</v>
      </c>
      <c r="AS27" s="2">
        <v>3.3187475310114699E-6</v>
      </c>
      <c r="AT27" s="2">
        <v>6.6723071512342399E-9</v>
      </c>
      <c r="AU27" s="2">
        <v>5.1636131814802899E-8</v>
      </c>
      <c r="AV27" s="2">
        <v>3.7816034748061603E-9</v>
      </c>
      <c r="AW27">
        <v>74.720298767089801</v>
      </c>
      <c r="AX27">
        <v>-29.542871475219702</v>
      </c>
      <c r="AY27" s="2">
        <v>3.4028230607370999E+38</v>
      </c>
      <c r="AZ27" s="2">
        <v>3.4028230607370999E+38</v>
      </c>
      <c r="BA27">
        <v>920.08905029296898</v>
      </c>
      <c r="BB27">
        <v>1150.06469726562</v>
      </c>
      <c r="BC27">
        <v>-690.00421142578102</v>
      </c>
      <c r="BD27" s="2">
        <v>3.4028230607370999E+38</v>
      </c>
      <c r="BE27" s="2">
        <v>3.4028230607370999E+38</v>
      </c>
      <c r="BF27">
        <v>230.002029418945</v>
      </c>
      <c r="BG27">
        <v>5.0002369880676296</v>
      </c>
      <c r="BH27">
        <v>920.08752441406205</v>
      </c>
      <c r="BI27">
        <v>1150.06420898438</v>
      </c>
      <c r="BJ27">
        <v>-690.00653076171898</v>
      </c>
      <c r="BK27">
        <v>49.9998970031738</v>
      </c>
      <c r="BL27">
        <v>36.867633819580099</v>
      </c>
      <c r="BM27">
        <v>1.4713896438479399E-2</v>
      </c>
      <c r="BN27" s="2">
        <v>3.7843847167096101E-6</v>
      </c>
      <c r="BO27" s="2">
        <v>2.2062449644977298E-9</v>
      </c>
      <c r="BP27" s="2">
        <v>5.6075830201507402E-8</v>
      </c>
      <c r="BQ27" s="2">
        <v>-4.9715902505909104E-9</v>
      </c>
      <c r="BR27">
        <v>74.785316467285199</v>
      </c>
      <c r="BS27">
        <v>56.211498260497997</v>
      </c>
      <c r="BT27">
        <v>1.5869103372097002E-2</v>
      </c>
      <c r="BU27" s="2">
        <v>3.1930999284668398E-6</v>
      </c>
      <c r="BV27" s="2">
        <v>4.8388377749120098E-9</v>
      </c>
      <c r="BW27" s="2">
        <v>5.0651564720283198E-8</v>
      </c>
      <c r="BX27" s="2">
        <v>1.61417013089249E-9</v>
      </c>
      <c r="BY27">
        <v>74.700744628906193</v>
      </c>
      <c r="BZ27">
        <v>-24.517850875854499</v>
      </c>
      <c r="CA27" s="2">
        <v>3.4028230607370999E+38</v>
      </c>
      <c r="CB27" s="2">
        <v>3.4028230607370999E+38</v>
      </c>
      <c r="CC27">
        <v>920.08752441406205</v>
      </c>
      <c r="CD27">
        <v>1150.06420898438</v>
      </c>
      <c r="CE27">
        <v>-690.006591796875</v>
      </c>
      <c r="CF27" s="2">
        <v>3.4028230607370999E+38</v>
      </c>
      <c r="CG27" s="2">
        <v>3.4028230607370999E+38</v>
      </c>
      <c r="CH27">
        <v>230.001708984375</v>
      </c>
      <c r="CI27">
        <v>5.0002336502075204</v>
      </c>
      <c r="CJ27">
        <v>920.08721923828102</v>
      </c>
      <c r="CK27">
        <v>1150.06555175781</v>
      </c>
      <c r="CL27">
        <v>-690.010986328125</v>
      </c>
      <c r="CM27">
        <v>50.0000190734863</v>
      </c>
      <c r="CN27">
        <v>36.867630004882798</v>
      </c>
      <c r="CO27">
        <v>1.50445271283388E-2</v>
      </c>
      <c r="CP27" s="2">
        <v>3.8598627725150402E-6</v>
      </c>
      <c r="CQ27" s="2">
        <v>2.9592868155958699E-9</v>
      </c>
      <c r="CR27" s="2">
        <v>5.7578120049583998E-8</v>
      </c>
      <c r="CS27" s="2">
        <v>-4.4643488905649098E-9</v>
      </c>
      <c r="CT27">
        <v>74.803916931152301</v>
      </c>
      <c r="CU27">
        <v>61.462318420410199</v>
      </c>
      <c r="CV27">
        <v>1.6254741698503501E-2</v>
      </c>
      <c r="CW27" s="2">
        <v>3.2834398098202702E-6</v>
      </c>
      <c r="CX27" s="2">
        <v>5.6062909870035996E-9</v>
      </c>
      <c r="CY27" s="2">
        <v>5.1635435482921801E-8</v>
      </c>
      <c r="CZ27" s="2">
        <v>3.4778060431506198E-9</v>
      </c>
      <c r="DA27">
        <v>74.759208679199205</v>
      </c>
      <c r="DB27">
        <v>-34.465797424316399</v>
      </c>
      <c r="DC27" s="2">
        <v>3.4028230607370999E+38</v>
      </c>
      <c r="DD27" s="2">
        <v>3.4028230607370999E+38</v>
      </c>
      <c r="DE27">
        <v>920.08721923828102</v>
      </c>
      <c r="DF27">
        <v>1150.06555175781</v>
      </c>
      <c r="DG27">
        <v>-690.01104736328102</v>
      </c>
      <c r="DH27" s="2">
        <v>3.4028230607370999E+38</v>
      </c>
      <c r="DI27" s="2">
        <v>3.4028230607370999E+38</v>
      </c>
      <c r="DJ27">
        <v>230.00158691406199</v>
      </c>
      <c r="DK27">
        <v>5.0002403259277299</v>
      </c>
      <c r="DL27">
        <v>920.085205078125</v>
      </c>
      <c r="DM27">
        <v>1150.0625</v>
      </c>
      <c r="DN27">
        <v>-690.001953125</v>
      </c>
      <c r="DO27">
        <v>49.999927520752003</v>
      </c>
      <c r="DP27">
        <v>36.867298126220703</v>
      </c>
      <c r="DQ27">
        <v>1.4364500530064101E-2</v>
      </c>
      <c r="DR27" s="2">
        <v>3.7749700823042101E-6</v>
      </c>
      <c r="DS27" s="2">
        <v>1.86448745331802E-9</v>
      </c>
      <c r="DT27" s="2">
        <v>5.5620798633526601E-8</v>
      </c>
      <c r="DU27" s="2">
        <v>-4.3159773532863702E-9</v>
      </c>
      <c r="DV27">
        <v>74.717453002929702</v>
      </c>
      <c r="DW27">
        <v>76.325309753417997</v>
      </c>
      <c r="DX27">
        <v>1.56742185354233E-2</v>
      </c>
      <c r="DY27" s="2">
        <v>3.2641082725604099E-6</v>
      </c>
      <c r="DZ27" s="2">
        <v>4.6222745631041603E-9</v>
      </c>
      <c r="EA27" s="2">
        <v>5.0656751682254299E-8</v>
      </c>
      <c r="EB27" s="2">
        <v>2.3818498284811101E-9</v>
      </c>
      <c r="EC27">
        <v>74.763198852539105</v>
      </c>
      <c r="ED27">
        <v>-19.339439392089801</v>
      </c>
      <c r="EE27" s="2">
        <v>3.4028230607370999E+38</v>
      </c>
      <c r="EF27" s="2">
        <v>3.4028230607370999E+38</v>
      </c>
      <c r="EG27">
        <v>920.085205078125</v>
      </c>
      <c r="EH27">
        <v>1150.0625</v>
      </c>
      <c r="EI27">
        <v>-690.00201416015602</v>
      </c>
      <c r="EJ27" s="2">
        <v>3.4028230607370999E+38</v>
      </c>
      <c r="EK27" s="2">
        <v>3.4028230607370999E+38</v>
      </c>
      <c r="EL27">
        <v>123</v>
      </c>
      <c r="EM27">
        <v>230.00210571289099</v>
      </c>
      <c r="EN27">
        <v>5.0002374649047896</v>
      </c>
      <c r="EO27">
        <v>920.08825683593795</v>
      </c>
      <c r="EP27">
        <v>1150.06372070312</v>
      </c>
      <c r="EQ27">
        <v>-690.00128173828102</v>
      </c>
      <c r="ER27">
        <v>49.999923706054702</v>
      </c>
      <c r="ES27">
        <v>36.867294311523402</v>
      </c>
      <c r="ET27">
        <v>0.80003374814987205</v>
      </c>
      <c r="EU27" s="2">
        <v>3.4028230607370999E+38</v>
      </c>
      <c r="EV27">
        <v>0</v>
      </c>
      <c r="EW27">
        <v>230.00308227539099</v>
      </c>
      <c r="EX27">
        <v>920.10498046875</v>
      </c>
      <c r="EY27">
        <v>1150.07080078125</v>
      </c>
      <c r="EZ27">
        <v>-689.98516845703102</v>
      </c>
      <c r="FA27">
        <v>-4.3122257920913398E-4</v>
      </c>
      <c r="FB27">
        <v>1.42774116247892E-2</v>
      </c>
      <c r="FC27" s="2">
        <v>3.8610487536061597E-6</v>
      </c>
      <c r="FD27" s="2">
        <v>-1.0249221471525499E-9</v>
      </c>
      <c r="FE27" s="2">
        <v>5.5152170830297103E-8</v>
      </c>
      <c r="FF27" s="2">
        <v>-5.6801958692176396E-9</v>
      </c>
      <c r="FG27">
        <v>74.761398315429702</v>
      </c>
      <c r="FH27">
        <v>97.043533325195298</v>
      </c>
      <c r="FI27">
        <v>-1.25955389812589E-2</v>
      </c>
      <c r="FJ27" s="2">
        <v>3.4028230607370999E+38</v>
      </c>
      <c r="FK27">
        <v>-73.733863830566406</v>
      </c>
      <c r="FL27">
        <v>1.9723707810044299E-2</v>
      </c>
      <c r="FM27">
        <v>0</v>
      </c>
      <c r="FN27">
        <v>0</v>
      </c>
      <c r="FO27">
        <v>0</v>
      </c>
      <c r="FP27">
        <v>-1.73671025549993E-4</v>
      </c>
      <c r="FQ27">
        <v>1.53975831344724E-2</v>
      </c>
      <c r="FR27" s="2">
        <v>3.20096182804264E-6</v>
      </c>
      <c r="FS27" s="2">
        <v>3.8732932416962698E-9</v>
      </c>
      <c r="FT27" s="2">
        <v>4.9293284121176799E-8</v>
      </c>
      <c r="FU27" s="2">
        <v>-1.57814072920814E-9</v>
      </c>
      <c r="FV27">
        <v>74.753616333007798</v>
      </c>
      <c r="FW27">
        <v>19.704740524291999</v>
      </c>
      <c r="FX27">
        <v>8.5175521671772003E-2</v>
      </c>
      <c r="FY27" s="2">
        <v>3.4028230607370999E+38</v>
      </c>
      <c r="FZ27">
        <v>47.442527770996101</v>
      </c>
      <c r="GA27">
        <v>229.755294799805</v>
      </c>
      <c r="GB27" s="2">
        <v>1.04706032733048E-9</v>
      </c>
      <c r="GC27">
        <v>7.2174373781308499E-4</v>
      </c>
      <c r="GD27" s="2">
        <v>-1.0099245745243101E-10</v>
      </c>
      <c r="GE27" s="2">
        <v>2.1846759409527301E-5</v>
      </c>
      <c r="GF27" s="2">
        <v>3.4028230607370999E+38</v>
      </c>
      <c r="GG27" s="2">
        <v>3.4028230607370999E+38</v>
      </c>
      <c r="GH27">
        <v>920.08905029296898</v>
      </c>
      <c r="GI27">
        <v>1150.06408691406</v>
      </c>
      <c r="GJ27">
        <v>-690.0078125</v>
      </c>
      <c r="GK27" s="2">
        <v>3.4028230607370999E+38</v>
      </c>
      <c r="GL27" s="2">
        <v>3.4028230607370999E+38</v>
      </c>
      <c r="GM27" s="2">
        <v>3.4028230607370999E+38</v>
      </c>
      <c r="GN27" s="2">
        <v>3.4028230607370999E+38</v>
      </c>
      <c r="GO27" s="2">
        <v>3.4028230607370999E+38</v>
      </c>
      <c r="GP27" s="2">
        <v>3.4028230607370999E+38</v>
      </c>
      <c r="GQ27">
        <v>920.11962890625</v>
      </c>
      <c r="GR27">
        <v>920.11962890625</v>
      </c>
      <c r="GS27">
        <v>-689.97985839843795</v>
      </c>
      <c r="GT27">
        <v>1.36416428722441E-3</v>
      </c>
      <c r="GX27">
        <f t="shared" si="1"/>
        <v>230.00181884765598</v>
      </c>
      <c r="GY27">
        <f t="shared" si="2"/>
        <v>5.0002444267272939</v>
      </c>
      <c r="GZ27">
        <f t="shared" si="3"/>
        <v>920.08868408203125</v>
      </c>
      <c r="HA27">
        <f t="shared" si="4"/>
        <v>1150.0649902343741</v>
      </c>
      <c r="HB27">
        <f t="shared" si="5"/>
        <v>-690.00559082031259</v>
      </c>
      <c r="HC27">
        <f t="shared" si="6"/>
        <v>49.999948883056639</v>
      </c>
      <c r="HD27">
        <f t="shared" si="7"/>
        <v>36.867505645751962</v>
      </c>
      <c r="HW27" s="10">
        <f>(GX27/Data!$S27-1)*1000000</f>
        <v>21.905296416102615</v>
      </c>
      <c r="HX27" s="10">
        <f>(GY27/Data!$T27-1)*1000000</f>
        <v>44.223939322129979</v>
      </c>
      <c r="HY27" s="10">
        <f>(GZ27/Data!$BW27-1)*1000000</f>
        <v>69.158205595609701</v>
      </c>
      <c r="HZ27" s="10">
        <f>(HA27/(Data!$S27*Data!$T27)-1)*1000000</f>
        <v>65.849683807073234</v>
      </c>
      <c r="IA27" s="7">
        <f>(HB27/IF(HD27&gt;0, -Data!$BX27,Data!$BX27)-1)*1000000</f>
        <v>82.448332524798218</v>
      </c>
      <c r="IB27" s="10"/>
      <c r="IC27" s="9">
        <f>(HD27-Data!$U27)</f>
        <v>4.0154575196282849E-4</v>
      </c>
    </row>
    <row r="28" spans="1:237" x14ac:dyDescent="0.2">
      <c r="A28">
        <v>28</v>
      </c>
      <c r="B28">
        <v>230.001953125</v>
      </c>
      <c r="C28">
        <v>5.0002532005310103</v>
      </c>
      <c r="D28">
        <v>920.08850097656205</v>
      </c>
      <c r="E28">
        <v>1150.0634765625</v>
      </c>
      <c r="F28">
        <v>-690.00091552734398</v>
      </c>
      <c r="G28">
        <v>49.999946594238303</v>
      </c>
      <c r="H28">
        <v>36.867160797119098</v>
      </c>
      <c r="I28">
        <v>1.7201982438564301E-2</v>
      </c>
      <c r="J28" s="2">
        <v>3.8939560909057002E-6</v>
      </c>
      <c r="K28" s="2">
        <v>-3.2697680119042599E-9</v>
      </c>
      <c r="L28" s="2">
        <v>6.7341254350594695E-8</v>
      </c>
      <c r="M28" s="2">
        <v>-1.3566863188429999E-8</v>
      </c>
      <c r="N28">
        <v>74.691337585449205</v>
      </c>
      <c r="O28">
        <v>105.50065612793</v>
      </c>
      <c r="P28">
        <v>1.85916945338249E-2</v>
      </c>
      <c r="Q28" s="2">
        <v>3.2583882330072798E-6</v>
      </c>
      <c r="R28" s="2">
        <v>6.2560383540244402E-9</v>
      </c>
      <c r="S28" s="2">
        <v>6.1101978587885202E-8</v>
      </c>
      <c r="T28" s="2">
        <v>-1.22024612636551E-9</v>
      </c>
      <c r="U28">
        <v>74.767112731933594</v>
      </c>
      <c r="V28">
        <v>11.380175590515099</v>
      </c>
      <c r="W28" s="2">
        <v>3.4028230607370999E+38</v>
      </c>
      <c r="X28" s="2">
        <v>3.4028230607370999E+38</v>
      </c>
      <c r="Y28">
        <v>920.08843994140602</v>
      </c>
      <c r="Z28">
        <v>1150.0634765625</v>
      </c>
      <c r="AA28">
        <v>-690.0009765625</v>
      </c>
      <c r="AB28" s="2">
        <v>3.4028230607370999E+38</v>
      </c>
      <c r="AC28" s="2">
        <v>3.4028230607370999E+38</v>
      </c>
      <c r="AD28">
        <v>230.00190734863301</v>
      </c>
      <c r="AE28">
        <v>5.00026559829712</v>
      </c>
      <c r="AF28">
        <v>920.09143066406205</v>
      </c>
      <c r="AG28">
        <v>1150.06884765625</v>
      </c>
      <c r="AH28">
        <v>-690.00830078125</v>
      </c>
      <c r="AI28">
        <v>49.999946594238303</v>
      </c>
      <c r="AJ28">
        <v>36.867401123046903</v>
      </c>
      <c r="AK28">
        <v>1.6568956896662702E-2</v>
      </c>
      <c r="AL28" s="2">
        <v>3.89487422580714E-6</v>
      </c>
      <c r="AM28" s="2">
        <v>-3.2857569998156999E-9</v>
      </c>
      <c r="AN28" s="2">
        <v>6.4475663918983601E-8</v>
      </c>
      <c r="AO28" s="2">
        <v>-1.4528153791104599E-8</v>
      </c>
      <c r="AP28">
        <v>74.717346191406193</v>
      </c>
      <c r="AQ28">
        <v>105.318901062012</v>
      </c>
      <c r="AR28">
        <v>1.7853876575827599E-2</v>
      </c>
      <c r="AS28" s="2">
        <v>3.2509713037143199E-6</v>
      </c>
      <c r="AT28" s="2">
        <v>6.5776681879015103E-9</v>
      </c>
      <c r="AU28" s="2">
        <v>5.7696148303421102E-8</v>
      </c>
      <c r="AV28" s="2">
        <v>-9.0936586039091997E-10</v>
      </c>
      <c r="AW28">
        <v>74.814392089843807</v>
      </c>
      <c r="AX28">
        <v>15.069698333740201</v>
      </c>
      <c r="AY28" s="2">
        <v>3.4028230607370999E+38</v>
      </c>
      <c r="AZ28" s="2">
        <v>3.4028230607370999E+38</v>
      </c>
      <c r="BA28">
        <v>920.09136962890602</v>
      </c>
      <c r="BB28">
        <v>1150.06884765625</v>
      </c>
      <c r="BC28">
        <v>-690.00836181640602</v>
      </c>
      <c r="BD28" s="2">
        <v>3.4028230607370999E+38</v>
      </c>
      <c r="BE28" s="2">
        <v>3.4028230607370999E+38</v>
      </c>
      <c r="BF28">
        <v>230.00186157226599</v>
      </c>
      <c r="BG28">
        <v>5.0002388954162598</v>
      </c>
      <c r="BH28">
        <v>920.08685302734398</v>
      </c>
      <c r="BI28">
        <v>1150.064453125</v>
      </c>
      <c r="BJ28">
        <v>-690.00500488281205</v>
      </c>
      <c r="BK28">
        <v>49.999908447265597</v>
      </c>
      <c r="BL28">
        <v>36.867435455322301</v>
      </c>
      <c r="BM28">
        <v>1.4385687187314001E-2</v>
      </c>
      <c r="BN28" s="2">
        <v>3.8108894386823501E-6</v>
      </c>
      <c r="BO28" s="2">
        <v>1.3660617081967501E-9</v>
      </c>
      <c r="BP28" s="2">
        <v>5.4722470110846202E-8</v>
      </c>
      <c r="BQ28" s="2">
        <v>-3.9355549930064601E-9</v>
      </c>
      <c r="BR28">
        <v>74.722511291503906</v>
      </c>
      <c r="BS28">
        <v>69.56201171875</v>
      </c>
      <c r="BT28">
        <v>1.55252199620008E-2</v>
      </c>
      <c r="BU28" s="2">
        <v>3.2149443995876898E-6</v>
      </c>
      <c r="BV28" s="2">
        <v>3.5875211690239402E-9</v>
      </c>
      <c r="BW28" s="2">
        <v>4.9947903590918901E-8</v>
      </c>
      <c r="BX28" s="2">
        <v>7.5040984537366698E-10</v>
      </c>
      <c r="BY28">
        <v>74.704910278320298</v>
      </c>
      <c r="BZ28">
        <v>-12.275508880615201</v>
      </c>
      <c r="CA28" s="2">
        <v>3.4028230607370999E+38</v>
      </c>
      <c r="CB28" s="2">
        <v>3.4028230607370999E+38</v>
      </c>
      <c r="CC28">
        <v>920.08685302734398</v>
      </c>
      <c r="CD28">
        <v>1150.064453125</v>
      </c>
      <c r="CE28">
        <v>-690.00506591796898</v>
      </c>
      <c r="CF28" s="2">
        <v>3.4028230607370999E+38</v>
      </c>
      <c r="CG28" s="2">
        <v>3.4028230607370999E+38</v>
      </c>
      <c r="CH28">
        <v>230.00169372558599</v>
      </c>
      <c r="CI28">
        <v>5.0002670288085902</v>
      </c>
      <c r="CJ28">
        <v>920.08819580078102</v>
      </c>
      <c r="CK28">
        <v>1150.0654296875</v>
      </c>
      <c r="CL28">
        <v>-690.007568359375</v>
      </c>
      <c r="CM28">
        <v>49.9999389648438</v>
      </c>
      <c r="CN28">
        <v>36.867397308349602</v>
      </c>
      <c r="CO28">
        <v>1.7627442255616198E-2</v>
      </c>
      <c r="CP28" s="2">
        <v>3.9274350456253202E-6</v>
      </c>
      <c r="CQ28" s="2">
        <v>-1.3809141547263501E-12</v>
      </c>
      <c r="CR28" s="2">
        <v>6.9313415451688303E-8</v>
      </c>
      <c r="CS28" s="2">
        <v>-1.49753542899589E-8</v>
      </c>
      <c r="CT28">
        <v>74.768211364746094</v>
      </c>
      <c r="CU28">
        <v>93.647277832031193</v>
      </c>
      <c r="CV28">
        <v>1.9600383937358901E-2</v>
      </c>
      <c r="CW28" s="2">
        <v>3.1694246445113099E-6</v>
      </c>
      <c r="CX28" s="2">
        <v>9.4416110485440202E-9</v>
      </c>
      <c r="CY28" s="2">
        <v>6.2206758855154502E-8</v>
      </c>
      <c r="CZ28" s="2">
        <v>1.4821277538601399E-9</v>
      </c>
      <c r="DA28">
        <v>74.8416748046875</v>
      </c>
      <c r="DB28">
        <v>-9.1270513534545898</v>
      </c>
      <c r="DC28" s="2">
        <v>3.4028230607370999E+38</v>
      </c>
      <c r="DD28" s="2">
        <v>3.4028230607370999E+38</v>
      </c>
      <c r="DE28">
        <v>920.088134765625</v>
      </c>
      <c r="DF28">
        <v>1150.0654296875</v>
      </c>
      <c r="DG28">
        <v>-690.00762939453102</v>
      </c>
      <c r="DH28" s="2">
        <v>3.4028230607370999E+38</v>
      </c>
      <c r="DI28" s="2">
        <v>3.4028230607370999E+38</v>
      </c>
      <c r="DJ28">
        <v>230.00152587890599</v>
      </c>
      <c r="DK28">
        <v>5.0002284049987802</v>
      </c>
      <c r="DL28">
        <v>920.086181640625</v>
      </c>
      <c r="DM28">
        <v>1150.06176757812</v>
      </c>
      <c r="DN28">
        <v>-690.00384521484398</v>
      </c>
      <c r="DO28">
        <v>49.9999389648438</v>
      </c>
      <c r="DP28">
        <v>36.867507934570298</v>
      </c>
      <c r="DQ28">
        <v>1.52439447119832E-2</v>
      </c>
      <c r="DR28" s="2">
        <v>3.8731282074877501E-6</v>
      </c>
      <c r="DS28" s="2">
        <v>-3.62017704702566E-9</v>
      </c>
      <c r="DT28" s="2">
        <v>5.9017121856186297E-8</v>
      </c>
      <c r="DU28" s="2">
        <v>-1.09994404695613E-8</v>
      </c>
      <c r="DV28">
        <v>74.657096862792997</v>
      </c>
      <c r="DW28">
        <v>114.588829040527</v>
      </c>
      <c r="DX28">
        <v>1.64423920214176E-2</v>
      </c>
      <c r="DY28" s="2">
        <v>3.1412687349074999E-6</v>
      </c>
      <c r="DZ28" s="2">
        <v>3.6981961937243601E-9</v>
      </c>
      <c r="EA28" s="2">
        <v>5.4711197350343401E-8</v>
      </c>
      <c r="EB28" s="2">
        <v>-1.6735562935465999E-9</v>
      </c>
      <c r="EC28">
        <v>74.766197204589801</v>
      </c>
      <c r="ED28">
        <v>23.909650802612301</v>
      </c>
      <c r="EE28" s="2">
        <v>3.4028230607370999E+38</v>
      </c>
      <c r="EF28" s="2">
        <v>3.4028230607370999E+38</v>
      </c>
      <c r="EG28">
        <v>920.08612060546898</v>
      </c>
      <c r="EH28">
        <v>1150.06176757812</v>
      </c>
      <c r="EI28">
        <v>-690.00390625</v>
      </c>
      <c r="EJ28" s="2">
        <v>3.4028230607370999E+38</v>
      </c>
      <c r="EK28" s="2">
        <v>3.4028230607370999E+38</v>
      </c>
      <c r="EL28">
        <v>123</v>
      </c>
      <c r="EM28">
        <v>230.00141906738301</v>
      </c>
      <c r="EN28">
        <v>5.0002546310424796</v>
      </c>
      <c r="EO28">
        <v>920.09124755859398</v>
      </c>
      <c r="EP28">
        <v>1150.064453125</v>
      </c>
      <c r="EQ28">
        <v>-690.00250244140602</v>
      </c>
      <c r="ER28">
        <v>49.999889373779297</v>
      </c>
      <c r="ES28">
        <v>36.8672904968262</v>
      </c>
      <c r="ET28">
        <v>0.80003291368484497</v>
      </c>
      <c r="EU28" s="2">
        <v>3.4028230607370999E+38</v>
      </c>
      <c r="EV28">
        <v>0</v>
      </c>
      <c r="EW28">
        <v>230.00665283203099</v>
      </c>
      <c r="EX28">
        <v>920.13537597656205</v>
      </c>
      <c r="EY28">
        <v>1150.08776855469</v>
      </c>
      <c r="EZ28">
        <v>-689.96130371093795</v>
      </c>
      <c r="FA28">
        <v>3.3580739982426201E-3</v>
      </c>
      <c r="FB28">
        <v>1.70645173639059E-2</v>
      </c>
      <c r="FC28" s="2">
        <v>3.9088922676455704E-6</v>
      </c>
      <c r="FD28" s="2">
        <v>-2.8153166464761601E-9</v>
      </c>
      <c r="FE28" s="2">
        <v>6.8062618652220395E-8</v>
      </c>
      <c r="FF28" s="2">
        <v>-1.5302463296507102E-8</v>
      </c>
      <c r="FG28">
        <v>74.726951599121094</v>
      </c>
      <c r="FH28">
        <v>103.657684326172</v>
      </c>
      <c r="FI28">
        <v>-5.4631572216749198E-2</v>
      </c>
      <c r="FJ28" s="2">
        <v>3.4028230607370999E+38</v>
      </c>
      <c r="FK28">
        <v>27.892452239990199</v>
      </c>
      <c r="FL28">
        <v>2.0022761076688801E-2</v>
      </c>
      <c r="FM28">
        <v>0</v>
      </c>
      <c r="FN28">
        <v>0</v>
      </c>
      <c r="FO28">
        <v>0</v>
      </c>
      <c r="FP28">
        <v>-1.9720125419553399E-4</v>
      </c>
      <c r="FQ28">
        <v>1.9130013883113899E-2</v>
      </c>
      <c r="FR28" s="2">
        <v>3.1420538562087998E-6</v>
      </c>
      <c r="FS28" s="2">
        <v>8.4734859129298506E-9</v>
      </c>
      <c r="FT28" s="2">
        <v>6.3687920714983206E-8</v>
      </c>
      <c r="FU28" s="2">
        <v>2.2964896650989898E-9</v>
      </c>
      <c r="FV28">
        <v>74.738487243652301</v>
      </c>
      <c r="FW28">
        <v>-13.913239479064901</v>
      </c>
      <c r="FX28">
        <v>0.15152223408222201</v>
      </c>
      <c r="FY28" s="2">
        <v>3.4028230607370999E+38</v>
      </c>
      <c r="FZ28">
        <v>-36.562705993652301</v>
      </c>
      <c r="GA28">
        <v>229.56507873535199</v>
      </c>
      <c r="GB28" s="2">
        <v>1.29094368528371E-9</v>
      </c>
      <c r="GC28">
        <v>7.5562566053122304E-4</v>
      </c>
      <c r="GD28" s="2">
        <v>4.3998449328341802E-10</v>
      </c>
      <c r="GE28" s="2">
        <v>3.9815613490645799E-6</v>
      </c>
      <c r="GF28" s="2">
        <v>3.4028230607370999E+38</v>
      </c>
      <c r="GG28" s="2">
        <v>3.4028230607370999E+38</v>
      </c>
      <c r="GH28">
        <v>920.09320068359398</v>
      </c>
      <c r="GI28">
        <v>1150.06848144531</v>
      </c>
      <c r="GJ28">
        <v>-690.00469970703102</v>
      </c>
      <c r="GK28" s="2">
        <v>3.4028230607370999E+38</v>
      </c>
      <c r="GL28" s="2">
        <v>3.4028230607370999E+38</v>
      </c>
      <c r="GM28" s="2">
        <v>3.4028230607370999E+38</v>
      </c>
      <c r="GN28" s="2">
        <v>3.4028230607370999E+38</v>
      </c>
      <c r="GO28" s="2">
        <v>3.4028230607370999E+38</v>
      </c>
      <c r="GP28" s="2">
        <v>3.4028230607370999E+38</v>
      </c>
      <c r="GQ28">
        <v>920.12255859375</v>
      </c>
      <c r="GR28">
        <v>920.12255859375</v>
      </c>
      <c r="GS28">
        <v>-689.957275390625</v>
      </c>
      <c r="GT28">
        <v>1.9394184928387399E-3</v>
      </c>
      <c r="GX28">
        <f t="shared" si="1"/>
        <v>230.00178833007823</v>
      </c>
      <c r="GY28">
        <f t="shared" si="2"/>
        <v>5.0002506256103514</v>
      </c>
      <c r="GZ28">
        <f t="shared" si="3"/>
        <v>920.08823242187486</v>
      </c>
      <c r="HA28">
        <f t="shared" si="4"/>
        <v>1150.064794921874</v>
      </c>
      <c r="HB28">
        <f t="shared" si="5"/>
        <v>-690.005126953125</v>
      </c>
      <c r="HC28">
        <f t="shared" si="6"/>
        <v>49.999935913085963</v>
      </c>
      <c r="HD28">
        <f t="shared" si="7"/>
        <v>36.867380523681639</v>
      </c>
      <c r="HW28" s="10">
        <f>(GX28/Data!$S28-1)*1000000</f>
        <v>21.888700560523944</v>
      </c>
      <c r="HX28" s="10">
        <f>(GY28/Data!$T28-1)*1000000</f>
        <v>42.107584485195915</v>
      </c>
      <c r="HY28" s="10">
        <f>(GZ28/Data!$BW28-1)*1000000</f>
        <v>67.359296753277675</v>
      </c>
      <c r="HZ28" s="10">
        <f>(HA28/(Data!$S28*Data!$T28)-1)*1000000</f>
        <v>62.439747580578242</v>
      </c>
      <c r="IA28" s="7">
        <f>(HB28/IF(HD28&gt;0, -Data!$BX28,Data!$BX28)-1)*1000000</f>
        <v>75.099361408037524</v>
      </c>
      <c r="IB28" s="10"/>
      <c r="IC28" s="9">
        <f>(HD28-Data!$U28)</f>
        <v>1.2879368163964955E-4</v>
      </c>
    </row>
    <row r="29" spans="1:237" x14ac:dyDescent="0.2">
      <c r="A29">
        <v>29</v>
      </c>
      <c r="B29">
        <v>230.00166320800801</v>
      </c>
      <c r="C29">
        <v>5.0002384185790998</v>
      </c>
      <c r="D29">
        <v>920.08514404296898</v>
      </c>
      <c r="E29">
        <v>1150.06274414062</v>
      </c>
      <c r="F29">
        <v>-690.00640869140602</v>
      </c>
      <c r="G29">
        <v>49.999824523925803</v>
      </c>
      <c r="H29">
        <v>36.867210388183601</v>
      </c>
      <c r="I29">
        <v>1.5851758420467401E-2</v>
      </c>
      <c r="J29" s="2">
        <v>3.8918014979572001E-6</v>
      </c>
      <c r="K29" s="2">
        <v>-4.41445147103536E-9</v>
      </c>
      <c r="L29" s="2">
        <v>6.1761099345858397E-8</v>
      </c>
      <c r="M29" s="2">
        <v>-1.2764512113960801E-8</v>
      </c>
      <c r="N29">
        <v>74.745750427246094</v>
      </c>
      <c r="O29">
        <v>108.736358642578</v>
      </c>
      <c r="P29">
        <v>1.7136923968792E-2</v>
      </c>
      <c r="Q29" s="2">
        <v>3.1757988381286901E-6</v>
      </c>
      <c r="R29" s="2">
        <v>5.1223159047708602E-9</v>
      </c>
      <c r="S29" s="2">
        <v>5.5880203575497898E-8</v>
      </c>
      <c r="T29" s="2">
        <v>-2.8595938950104499E-9</v>
      </c>
      <c r="U29">
        <v>74.843017578125</v>
      </c>
      <c r="V29">
        <v>31.183019638061499</v>
      </c>
      <c r="W29" s="2">
        <v>3.4028230607370999E+38</v>
      </c>
      <c r="X29" s="2">
        <v>3.4028230607370999E+38</v>
      </c>
      <c r="Y29">
        <v>920.08508300781205</v>
      </c>
      <c r="Z29">
        <v>1150.06274414062</v>
      </c>
      <c r="AA29">
        <v>-690.00646972656205</v>
      </c>
      <c r="AB29" s="2">
        <v>3.4028230607370999E+38</v>
      </c>
      <c r="AC29" s="2">
        <v>3.4028230607370999E+38</v>
      </c>
      <c r="AD29">
        <v>230.00177001953099</v>
      </c>
      <c r="AE29">
        <v>5.0002317428588903</v>
      </c>
      <c r="AF29">
        <v>920.08868408203102</v>
      </c>
      <c r="AG29">
        <v>1150.06652832031</v>
      </c>
      <c r="AH29">
        <v>-690.005859375</v>
      </c>
      <c r="AI29">
        <v>49.9999389648438</v>
      </c>
      <c r="AJ29">
        <v>36.867401123046903</v>
      </c>
      <c r="AK29">
        <v>1.58751849085093E-2</v>
      </c>
      <c r="AL29" s="2">
        <v>3.8622488318651398E-6</v>
      </c>
      <c r="AM29" s="2">
        <v>-5.2964974628366698E-9</v>
      </c>
      <c r="AN29" s="2">
        <v>6.1320847066781399E-8</v>
      </c>
      <c r="AO29" s="2">
        <v>-1.38203137822757E-8</v>
      </c>
      <c r="AP29">
        <v>74.783653259277301</v>
      </c>
      <c r="AQ29">
        <v>111.91041564941401</v>
      </c>
      <c r="AR29">
        <v>1.7110388725996E-2</v>
      </c>
      <c r="AS29" s="2">
        <v>3.1628378565073898E-6</v>
      </c>
      <c r="AT29" s="2">
        <v>4.4229655493666103E-9</v>
      </c>
      <c r="AU29" s="2">
        <v>5.4733423127117897E-8</v>
      </c>
      <c r="AV29" s="2">
        <v>-2.74090439233987E-9</v>
      </c>
      <c r="AW29">
        <v>74.719749450683594</v>
      </c>
      <c r="AX29">
        <v>34.838047027587898</v>
      </c>
      <c r="AY29" s="2">
        <v>3.4028230607370999E+38</v>
      </c>
      <c r="AZ29" s="2">
        <v>3.4028230607370999E+38</v>
      </c>
      <c r="BA29">
        <v>920.088623046875</v>
      </c>
      <c r="BB29">
        <v>1150.06652832031</v>
      </c>
      <c r="BC29">
        <v>-690.00592041015602</v>
      </c>
      <c r="BD29" s="2">
        <v>3.4028230607370999E+38</v>
      </c>
      <c r="BE29" s="2">
        <v>3.4028230607370999E+38</v>
      </c>
      <c r="BF29">
        <v>230.00141906738301</v>
      </c>
      <c r="BG29">
        <v>5.0002393722534197</v>
      </c>
      <c r="BH29">
        <v>920.089111328125</v>
      </c>
      <c r="BI29">
        <v>1150.06811523438</v>
      </c>
      <c r="BJ29">
        <v>-690.0009765625</v>
      </c>
      <c r="BK29">
        <v>50.000015258789098</v>
      </c>
      <c r="BL29">
        <v>36.867076873779297</v>
      </c>
      <c r="BM29">
        <v>1.7030963674187698E-2</v>
      </c>
      <c r="BN29" s="2">
        <v>3.90764125768328E-6</v>
      </c>
      <c r="BO29" s="2">
        <v>-6.0011046132402198E-10</v>
      </c>
      <c r="BP29" s="2">
        <v>6.6593841552276003E-8</v>
      </c>
      <c r="BQ29" s="2">
        <v>-1.31570248029789E-8</v>
      </c>
      <c r="BR29">
        <v>74.767791748046903</v>
      </c>
      <c r="BS29">
        <v>93.747611999511705</v>
      </c>
      <c r="BT29">
        <v>1.86379421502352E-2</v>
      </c>
      <c r="BU29" s="2">
        <v>3.1775271054357299E-6</v>
      </c>
      <c r="BV29" s="2">
        <v>7.5234058982687202E-9</v>
      </c>
      <c r="BW29" s="2">
        <v>6.0009035962593797E-8</v>
      </c>
      <c r="BX29" s="2">
        <v>-4.0843070592266899E-10</v>
      </c>
      <c r="BY29">
        <v>74.775001525878906</v>
      </c>
      <c r="BZ29">
        <v>-0.887883901596069</v>
      </c>
      <c r="CA29" s="2">
        <v>3.4028230607370999E+38</v>
      </c>
      <c r="CB29" s="2">
        <v>3.4028230607370999E+38</v>
      </c>
      <c r="CC29">
        <v>920.08905029296898</v>
      </c>
      <c r="CD29">
        <v>1150.06811523438</v>
      </c>
      <c r="CE29">
        <v>-690.00103759765602</v>
      </c>
      <c r="CF29" s="2">
        <v>3.4028230607370999E+38</v>
      </c>
      <c r="CG29" s="2">
        <v>3.4028230607370999E+38</v>
      </c>
      <c r="CH29">
        <v>230.00152587890599</v>
      </c>
      <c r="CI29">
        <v>5.0002493858337402</v>
      </c>
      <c r="CJ29">
        <v>920.090087890625</v>
      </c>
      <c r="CK29">
        <v>1150.06518554688</v>
      </c>
      <c r="CL29">
        <v>-690.00531005859398</v>
      </c>
      <c r="CM29">
        <v>49.999969482421903</v>
      </c>
      <c r="CN29">
        <v>36.867282867431598</v>
      </c>
      <c r="CO29">
        <v>1.64107363671064E-2</v>
      </c>
      <c r="CP29" s="2">
        <v>3.8835610212117899E-6</v>
      </c>
      <c r="CQ29" s="2">
        <v>-3.3140339361636998E-9</v>
      </c>
      <c r="CR29" s="2">
        <v>6.3777690684219097E-8</v>
      </c>
      <c r="CS29" s="2">
        <v>-1.48284620138384E-8</v>
      </c>
      <c r="CT29">
        <v>74.726623535156193</v>
      </c>
      <c r="CU29">
        <v>105.83169555664099</v>
      </c>
      <c r="CV29">
        <v>1.7535073682665801E-2</v>
      </c>
      <c r="CW29" s="2">
        <v>3.1637475785828399E-6</v>
      </c>
      <c r="CX29" s="2">
        <v>5.8758651277912602E-9</v>
      </c>
      <c r="CY29" s="2">
        <v>5.7542401066257298E-8</v>
      </c>
      <c r="CZ29" s="2">
        <v>-1.6620325116178899E-9</v>
      </c>
      <c r="DA29">
        <v>74.819541931152301</v>
      </c>
      <c r="DB29">
        <v>15.2127141952515</v>
      </c>
      <c r="DC29" s="2">
        <v>3.4028230607370999E+38</v>
      </c>
      <c r="DD29" s="2">
        <v>3.4028230607370999E+38</v>
      </c>
      <c r="DE29">
        <v>920.09002685546898</v>
      </c>
      <c r="DF29">
        <v>1150.06518554688</v>
      </c>
      <c r="DG29">
        <v>-690.00537109375</v>
      </c>
      <c r="DH29" s="2">
        <v>3.4028230607370999E+38</v>
      </c>
      <c r="DI29" s="2">
        <v>3.4028230607370999E+38</v>
      </c>
      <c r="DJ29">
        <v>230.00181579589801</v>
      </c>
      <c r="DK29">
        <v>5.0002379417419398</v>
      </c>
      <c r="DL29">
        <v>920.08740234375</v>
      </c>
      <c r="DM29">
        <v>1150.06469726562</v>
      </c>
      <c r="DN29">
        <v>-690.00427246093795</v>
      </c>
      <c r="DO29">
        <v>49.999862670898402</v>
      </c>
      <c r="DP29">
        <v>36.867401123046903</v>
      </c>
      <c r="DQ29">
        <v>1.6668176278471902E-2</v>
      </c>
      <c r="DR29" s="2">
        <v>3.9018677853164297E-6</v>
      </c>
      <c r="DS29" s="2">
        <v>-2.0573065473428199E-9</v>
      </c>
      <c r="DT29" s="2">
        <v>6.4213338646368396E-8</v>
      </c>
      <c r="DU29" s="2">
        <v>-1.30070132442484E-8</v>
      </c>
      <c r="DV29">
        <v>74.684501647949205</v>
      </c>
      <c r="DW29">
        <v>100.538764953613</v>
      </c>
      <c r="DX29">
        <v>1.8175058066844899E-2</v>
      </c>
      <c r="DY29" s="2">
        <v>3.1690231026004801E-6</v>
      </c>
      <c r="DZ29" s="2">
        <v>7.0774297533659997E-9</v>
      </c>
      <c r="EA29" s="2">
        <v>5.87990207634448E-8</v>
      </c>
      <c r="EB29" s="2">
        <v>-1.1017053935802301E-9</v>
      </c>
      <c r="EC29">
        <v>74.784675598144503</v>
      </c>
      <c r="ED29">
        <v>16.222110748291001</v>
      </c>
      <c r="EE29" s="2">
        <v>3.4028230607370999E+38</v>
      </c>
      <c r="EF29" s="2">
        <v>3.4028230607370999E+38</v>
      </c>
      <c r="EG29">
        <v>920.08734130859398</v>
      </c>
      <c r="EH29">
        <v>1150.06469726562</v>
      </c>
      <c r="EI29">
        <v>-690.00433349609398</v>
      </c>
      <c r="EJ29" s="2">
        <v>3.4028230607370999E+38</v>
      </c>
      <c r="EK29" s="2">
        <v>3.4028230607370999E+38</v>
      </c>
      <c r="EL29">
        <v>123</v>
      </c>
      <c r="EM29">
        <v>230.00189208984401</v>
      </c>
      <c r="EN29">
        <v>5.0002574920654297</v>
      </c>
      <c r="EO29">
        <v>920.09344482421898</v>
      </c>
      <c r="EP29">
        <v>1150.06750488281</v>
      </c>
      <c r="EQ29">
        <v>-690.00329589843795</v>
      </c>
      <c r="ER29">
        <v>49.999923706054702</v>
      </c>
      <c r="ES29">
        <v>36.867343902587898</v>
      </c>
      <c r="ET29">
        <v>0.80003350973129295</v>
      </c>
      <c r="EU29" s="2">
        <v>3.4028230607370999E+38</v>
      </c>
      <c r="EV29">
        <v>0</v>
      </c>
      <c r="EW29">
        <v>230.006759643555</v>
      </c>
      <c r="EX29">
        <v>920.13531494140602</v>
      </c>
      <c r="EY29">
        <v>1150.09033203125</v>
      </c>
      <c r="EZ29">
        <v>-689.96661376953102</v>
      </c>
      <c r="FA29">
        <v>3.3785435371100898E-3</v>
      </c>
      <c r="FB29">
        <v>1.6979534178972199E-2</v>
      </c>
      <c r="FC29" s="2">
        <v>3.9249930523510599E-6</v>
      </c>
      <c r="FD29" s="2">
        <v>-4.1676653239619604E-9</v>
      </c>
      <c r="FE29" s="2">
        <v>6.6644439300489506E-8</v>
      </c>
      <c r="FF29" s="2">
        <v>-1.5260003038974901E-8</v>
      </c>
      <c r="FG29">
        <v>74.681991577148395</v>
      </c>
      <c r="FH29">
        <v>101.424369812012</v>
      </c>
      <c r="FI29">
        <v>-4.6316031366586699E-2</v>
      </c>
      <c r="FJ29" s="2">
        <v>3.4028230607370999E+38</v>
      </c>
      <c r="FK29">
        <v>-26.7475471496582</v>
      </c>
      <c r="FL29">
        <v>2.0561110228300102E-2</v>
      </c>
      <c r="FM29">
        <v>0</v>
      </c>
      <c r="FN29">
        <v>0</v>
      </c>
      <c r="FO29">
        <v>0</v>
      </c>
      <c r="FP29">
        <v>-1.9517246983014001E-4</v>
      </c>
      <c r="FQ29">
        <v>1.8845776095986401E-2</v>
      </c>
      <c r="FR29" s="2">
        <v>3.1963422770786599E-6</v>
      </c>
      <c r="FS29" s="2">
        <v>6.2834670799816203E-9</v>
      </c>
      <c r="FT29" s="2">
        <v>6.0195738171842095E-8</v>
      </c>
      <c r="FU29" s="2">
        <v>-1.6139236613810199E-9</v>
      </c>
      <c r="FV29">
        <v>74.824478149414105</v>
      </c>
      <c r="FW29">
        <v>3.4088070392608598</v>
      </c>
      <c r="FX29">
        <v>0.10698372870683701</v>
      </c>
      <c r="FY29" s="2">
        <v>3.4028230607370999E+38</v>
      </c>
      <c r="FZ29">
        <v>-26.33957862854</v>
      </c>
      <c r="GA29">
        <v>229.48027038574199</v>
      </c>
      <c r="GB29" s="2">
        <v>-4.3412721334457099E-11</v>
      </c>
      <c r="GC29">
        <v>7.3313026223331701E-4</v>
      </c>
      <c r="GD29" s="2">
        <v>-7.5612444083716902E-10</v>
      </c>
      <c r="GE29" s="2">
        <v>8.0863637776929005E-6</v>
      </c>
      <c r="GF29" s="2">
        <v>3.4028230607370999E+38</v>
      </c>
      <c r="GG29" s="2">
        <v>3.4028230607370999E+38</v>
      </c>
      <c r="GH29">
        <v>920.08544921875</v>
      </c>
      <c r="GI29">
        <v>1150.06481933594</v>
      </c>
      <c r="GJ29">
        <v>-690.00695800781205</v>
      </c>
      <c r="GK29" s="2">
        <v>3.4028230607370999E+38</v>
      </c>
      <c r="GL29" s="2">
        <v>3.4028230607370999E+38</v>
      </c>
      <c r="GM29" s="2">
        <v>3.4028230607370999E+38</v>
      </c>
      <c r="GN29" s="2">
        <v>3.4028230607370999E+38</v>
      </c>
      <c r="GO29" s="2">
        <v>3.4028230607370999E+38</v>
      </c>
      <c r="GP29" s="2">
        <v>3.4028230607370999E+38</v>
      </c>
      <c r="GQ29">
        <v>920.13537597656205</v>
      </c>
      <c r="GR29">
        <v>920.13537597656205</v>
      </c>
      <c r="GS29">
        <v>-689.957763671875</v>
      </c>
      <c r="GT29">
        <v>3.3920549321919701E-3</v>
      </c>
      <c r="GX29">
        <f t="shared" si="1"/>
        <v>230.00163879394523</v>
      </c>
      <c r="GY29">
        <f t="shared" si="2"/>
        <v>5.000239372253418</v>
      </c>
      <c r="GZ29">
        <f t="shared" si="3"/>
        <v>920.08808593749995</v>
      </c>
      <c r="HA29">
        <f t="shared" si="4"/>
        <v>1150.0654541015622</v>
      </c>
      <c r="HB29">
        <f t="shared" si="5"/>
        <v>-690.00456542968755</v>
      </c>
      <c r="HC29">
        <f t="shared" si="6"/>
        <v>49.999922180175801</v>
      </c>
      <c r="HD29">
        <f t="shared" si="7"/>
        <v>36.867274475097659</v>
      </c>
      <c r="HW29" s="10">
        <f>(GX29/Data!$S29-1)*1000000</f>
        <v>21.371147685966818</v>
      </c>
      <c r="HX29" s="10">
        <f>(GY29/Data!$T29-1)*1000000</f>
        <v>39.343515059631073</v>
      </c>
      <c r="HY29" s="10">
        <f>(GZ29/Data!$BW29-1)*1000000</f>
        <v>67.323670900343302</v>
      </c>
      <c r="HZ29" s="10">
        <f>(HA29/(Data!$S29*Data!$T29)-1)*1000000</f>
        <v>62.632141705432076</v>
      </c>
      <c r="IA29" s="7">
        <f>(HB29/IF(HD29&gt;0, -Data!$BX29,Data!$BX29)-1)*1000000</f>
        <v>73.008223141934891</v>
      </c>
      <c r="IB29" s="10"/>
      <c r="IC29" s="9">
        <f>(HD29-Data!$U29)</f>
        <v>-1.5784902338111806E-5</v>
      </c>
    </row>
    <row r="30" spans="1:237" x14ac:dyDescent="0.2">
      <c r="A30">
        <v>30</v>
      </c>
      <c r="B30">
        <v>230.00184631347699</v>
      </c>
      <c r="C30">
        <v>2.0001106262207</v>
      </c>
      <c r="D30">
        <v>-2.68917959183455E-2</v>
      </c>
      <c r="E30">
        <v>460.02890014648398</v>
      </c>
      <c r="F30">
        <v>460.02713012695301</v>
      </c>
      <c r="G30">
        <v>49.999923706054702</v>
      </c>
      <c r="H30">
        <v>-90.003753662109403</v>
      </c>
      <c r="I30">
        <v>1.62308197468519E-2</v>
      </c>
      <c r="J30" s="2">
        <v>3.5657574244396499E-6</v>
      </c>
      <c r="K30" s="2">
        <v>1.316501907489E-9</v>
      </c>
      <c r="L30" s="2">
        <v>5.7376421835897398E-8</v>
      </c>
      <c r="M30" s="2">
        <v>5.29023047590726E-9</v>
      </c>
      <c r="N30">
        <v>74.827102661132798</v>
      </c>
      <c r="O30">
        <v>-71.569198608398395</v>
      </c>
      <c r="P30">
        <v>1.7661033198237398E-2</v>
      </c>
      <c r="Q30" s="2">
        <v>3.09257279695885E-6</v>
      </c>
      <c r="R30" s="2">
        <v>6.1778648863253197E-10</v>
      </c>
      <c r="S30" s="2">
        <v>5.3970676816561503E-8</v>
      </c>
      <c r="T30" s="2">
        <v>3.0150075769341798E-9</v>
      </c>
      <c r="U30">
        <v>74.688064575195298</v>
      </c>
      <c r="V30">
        <v>-58.8884468078613</v>
      </c>
      <c r="W30" s="2">
        <v>3.4028230607370999E+38</v>
      </c>
      <c r="X30" s="2">
        <v>3.4028230607370999E+38</v>
      </c>
      <c r="Y30">
        <v>-2.6891794055700299E-2</v>
      </c>
      <c r="Z30">
        <v>460.02890014648398</v>
      </c>
      <c r="AA30">
        <v>460.02713012695301</v>
      </c>
      <c r="AB30" s="2">
        <v>3.4028230607370999E+38</v>
      </c>
      <c r="AC30" s="2">
        <v>3.4028230607370999E+38</v>
      </c>
      <c r="AD30">
        <v>230.00196838378901</v>
      </c>
      <c r="AE30">
        <v>2.0001063346862802</v>
      </c>
      <c r="AF30">
        <v>-2.9957028105854999E-2</v>
      </c>
      <c r="AG30">
        <v>460.02819824218801</v>
      </c>
      <c r="AH30">
        <v>460.02899169921898</v>
      </c>
      <c r="AI30">
        <v>49.999954223632798</v>
      </c>
      <c r="AJ30">
        <v>-90.003318786621094</v>
      </c>
      <c r="AK30">
        <v>1.4370163902640299E-2</v>
      </c>
      <c r="AL30" s="2">
        <v>3.6276005630497799E-6</v>
      </c>
      <c r="AM30" s="2">
        <v>2.5550899174220401E-9</v>
      </c>
      <c r="AN30" s="2">
        <v>5.1692122582380801E-8</v>
      </c>
      <c r="AO30" s="2">
        <v>2.3273296623216298E-9</v>
      </c>
      <c r="AP30">
        <v>74.806976318359403</v>
      </c>
      <c r="AQ30">
        <v>-36.791091918945298</v>
      </c>
      <c r="AR30">
        <v>1.5401530079543599E-2</v>
      </c>
      <c r="AS30" s="2">
        <v>3.09290498989867E-6</v>
      </c>
      <c r="AT30" s="2">
        <v>1.0611106437963299E-9</v>
      </c>
      <c r="AU30" s="2">
        <v>4.6821167387633997E-8</v>
      </c>
      <c r="AV30" s="2">
        <v>1.35798350342498E-9</v>
      </c>
      <c r="AW30">
        <v>74.776939392089801</v>
      </c>
      <c r="AX30">
        <v>-65.635208129882798</v>
      </c>
      <c r="AY30" s="2">
        <v>3.4028230607370999E+38</v>
      </c>
      <c r="AZ30" s="2">
        <v>3.4028230607370999E+38</v>
      </c>
      <c r="BA30">
        <v>-2.9957026243209801E-2</v>
      </c>
      <c r="BB30">
        <v>460.02819824218801</v>
      </c>
      <c r="BC30">
        <v>460.02899169921898</v>
      </c>
      <c r="BD30" s="2">
        <v>3.4028230607370999E+38</v>
      </c>
      <c r="BE30" s="2">
        <v>3.4028230607370999E+38</v>
      </c>
      <c r="BF30">
        <v>230.00201416015599</v>
      </c>
      <c r="BG30">
        <v>2.0001082420349099</v>
      </c>
      <c r="BH30">
        <v>-2.65701450407505E-2</v>
      </c>
      <c r="BI30">
        <v>460.02813720703102</v>
      </c>
      <c r="BJ30">
        <v>460.02853393554699</v>
      </c>
      <c r="BK30">
        <v>49.9998970031738</v>
      </c>
      <c r="BL30">
        <v>-90.002952575683594</v>
      </c>
      <c r="BM30">
        <v>1.6241433098912201E-2</v>
      </c>
      <c r="BN30" s="2">
        <v>3.5969130749435901E-6</v>
      </c>
      <c r="BO30" s="2">
        <v>5.2674073991454398E-9</v>
      </c>
      <c r="BP30" s="2">
        <v>5.8450950746191699E-8</v>
      </c>
      <c r="BQ30" s="2">
        <v>2.59352250786549E-9</v>
      </c>
      <c r="BR30">
        <v>74.650131225585895</v>
      </c>
      <c r="BS30">
        <v>-27.9872150421143</v>
      </c>
      <c r="BT30">
        <v>1.7641818150878001E-2</v>
      </c>
      <c r="BU30" s="2">
        <v>3.2157386158360198E-6</v>
      </c>
      <c r="BV30" s="2">
        <v>2.6306805622766702E-9</v>
      </c>
      <c r="BW30" s="2">
        <v>5.5207738824947201E-8</v>
      </c>
      <c r="BX30" s="2">
        <v>1.9155463881759302E-9</v>
      </c>
      <c r="BY30">
        <v>74.683898925781193</v>
      </c>
      <c r="BZ30">
        <v>-61.612174987792997</v>
      </c>
      <c r="CA30" s="2">
        <v>3.4028230607370999E+38</v>
      </c>
      <c r="CB30" s="2">
        <v>3.4028230607370999E+38</v>
      </c>
      <c r="CC30">
        <v>-2.65701375901699E-2</v>
      </c>
      <c r="CD30">
        <v>460.02813720703102</v>
      </c>
      <c r="CE30">
        <v>460.02853393554699</v>
      </c>
      <c r="CF30" s="2">
        <v>3.4028230607370999E+38</v>
      </c>
      <c r="CG30" s="2">
        <v>3.4028230607370999E+38</v>
      </c>
      <c r="CH30">
        <v>230.00199890136699</v>
      </c>
      <c r="CI30">
        <v>2.0001077651977499</v>
      </c>
      <c r="CJ30">
        <v>-2.4733886122703601E-2</v>
      </c>
      <c r="CK30">
        <v>460.02938842773398</v>
      </c>
      <c r="CL30">
        <v>460.02963256835898</v>
      </c>
      <c r="CM30">
        <v>49.999904632568402</v>
      </c>
      <c r="CN30">
        <v>-90.003860473632798</v>
      </c>
      <c r="CO30">
        <v>1.4355506747960999E-2</v>
      </c>
      <c r="CP30" s="2">
        <v>3.5799471334030399E-6</v>
      </c>
      <c r="CQ30" s="2">
        <v>1.1949033984492999E-9</v>
      </c>
      <c r="CR30" s="2">
        <v>5.2188124044505497E-8</v>
      </c>
      <c r="CS30" s="2">
        <v>2.6828366195275099E-9</v>
      </c>
      <c r="CT30">
        <v>74.734802246093807</v>
      </c>
      <c r="CU30">
        <v>-80.735580444335895</v>
      </c>
      <c r="CV30">
        <v>1.5409025363624099E-2</v>
      </c>
      <c r="CW30" s="2">
        <v>3.2006348646973501E-6</v>
      </c>
      <c r="CX30" s="2">
        <v>3.8692474224610898E-10</v>
      </c>
      <c r="CY30" s="2">
        <v>4.92538489993422E-8</v>
      </c>
      <c r="CZ30" s="2">
        <v>1.2981006269896501E-9</v>
      </c>
      <c r="DA30">
        <v>74.699951171875</v>
      </c>
      <c r="DB30">
        <v>-37.855377197265597</v>
      </c>
      <c r="DC30" s="2">
        <v>3.4028230607370999E+38</v>
      </c>
      <c r="DD30" s="2">
        <v>3.4028230607370999E+38</v>
      </c>
      <c r="DE30">
        <v>-2.4733886122703601E-2</v>
      </c>
      <c r="DF30">
        <v>460.02938842773398</v>
      </c>
      <c r="DG30">
        <v>460.02963256835898</v>
      </c>
      <c r="DH30" s="2">
        <v>3.4028230607370999E+38</v>
      </c>
      <c r="DI30" s="2">
        <v>3.4028230607370999E+38</v>
      </c>
      <c r="DJ30">
        <v>230.00164794921901</v>
      </c>
      <c r="DK30">
        <v>2.0000948905944802</v>
      </c>
      <c r="DL30">
        <v>-3.0678663402795799E-2</v>
      </c>
      <c r="DM30">
        <v>460.02484130859398</v>
      </c>
      <c r="DN30">
        <v>460.02462768554699</v>
      </c>
      <c r="DO30">
        <v>49.9999809265137</v>
      </c>
      <c r="DP30">
        <v>-90.003829956054702</v>
      </c>
      <c r="DQ30">
        <v>1.7628759145736701E-2</v>
      </c>
      <c r="DR30" s="2">
        <v>3.56548366653442E-6</v>
      </c>
      <c r="DS30" s="2">
        <v>4.1121506200170196E-9</v>
      </c>
      <c r="DT30" s="2">
        <v>6.3275962247644202E-8</v>
      </c>
      <c r="DU30" s="2">
        <v>3.88767729120332E-9</v>
      </c>
      <c r="DV30">
        <v>74.797286987304702</v>
      </c>
      <c r="DW30">
        <v>-47.051692962646499</v>
      </c>
      <c r="DX30">
        <v>1.96498781442642E-2</v>
      </c>
      <c r="DY30" s="2">
        <v>3.1875383683654899E-6</v>
      </c>
      <c r="DZ30" s="2">
        <v>1.5165645406156599E-9</v>
      </c>
      <c r="EA30" s="2">
        <v>6.2173405979137897E-8</v>
      </c>
      <c r="EB30" s="2">
        <v>4.0975534076892497E-9</v>
      </c>
      <c r="EC30">
        <v>74.823875427246094</v>
      </c>
      <c r="ED30">
        <v>-74.965484619140597</v>
      </c>
      <c r="EE30" s="2">
        <v>3.4028230607370999E+38</v>
      </c>
      <c r="EF30" s="2">
        <v>3.4028230607370999E+38</v>
      </c>
      <c r="EG30">
        <v>-3.0678657814860299E-2</v>
      </c>
      <c r="EH30">
        <v>460.02484130859398</v>
      </c>
      <c r="EI30">
        <v>460.02462768554699</v>
      </c>
      <c r="EJ30" s="2">
        <v>3.4028230607370999E+38</v>
      </c>
      <c r="EK30" s="2">
        <v>3.4028230607370999E+38</v>
      </c>
      <c r="EL30">
        <v>123</v>
      </c>
      <c r="EM30">
        <v>230.001876831055</v>
      </c>
      <c r="EN30">
        <v>2.0000958442688002</v>
      </c>
      <c r="EO30">
        <v>-2.6584511622786501E-2</v>
      </c>
      <c r="EP30">
        <v>460.02725219726602</v>
      </c>
      <c r="EQ30">
        <v>460.02716064453102</v>
      </c>
      <c r="ER30">
        <v>49.999954223632798</v>
      </c>
      <c r="ES30">
        <v>-90.002906799316406</v>
      </c>
      <c r="ET30" s="2">
        <v>-5.0478531193221001E-5</v>
      </c>
      <c r="EU30" s="2">
        <v>3.4028230607370999E+38</v>
      </c>
      <c r="EV30">
        <v>0</v>
      </c>
      <c r="EW30">
        <v>230.005294799805</v>
      </c>
      <c r="EX30">
        <v>-4.6926636248827001E-2</v>
      </c>
      <c r="EY30">
        <v>460.03631591796898</v>
      </c>
      <c r="EZ30">
        <v>460.02621459960898</v>
      </c>
      <c r="FA30">
        <v>-1.48647208698094E-3</v>
      </c>
      <c r="FB30">
        <v>1.74069218337536E-2</v>
      </c>
      <c r="FC30" s="2">
        <v>3.6194705899106301E-6</v>
      </c>
      <c r="FD30" s="2">
        <v>3.5924681007770699E-9</v>
      </c>
      <c r="FE30" s="2">
        <v>6.3049839127415894E-8</v>
      </c>
      <c r="FF30" s="2">
        <v>4.0637613274441297E-9</v>
      </c>
      <c r="FG30">
        <v>74.657150268554702</v>
      </c>
      <c r="FH30">
        <v>-42.408317565917997</v>
      </c>
      <c r="FI30">
        <v>7.1793273091316195E-2</v>
      </c>
      <c r="FJ30" s="2">
        <v>3.4028230607370999E+38</v>
      </c>
      <c r="FK30">
        <v>-36.313995361328097</v>
      </c>
      <c r="FL30">
        <v>1.9977623596787501E-2</v>
      </c>
      <c r="FM30">
        <v>0</v>
      </c>
      <c r="FN30">
        <v>0</v>
      </c>
      <c r="FO30">
        <v>0</v>
      </c>
      <c r="FP30" s="2">
        <v>5.2559247706085403E-5</v>
      </c>
      <c r="FQ30">
        <v>1.8718348816037199E-2</v>
      </c>
      <c r="FR30" s="2">
        <v>3.1565034532832202E-6</v>
      </c>
      <c r="FS30" s="2">
        <v>9.7293828549282993E-10</v>
      </c>
      <c r="FT30" s="2">
        <v>5.9018518072662099E-8</v>
      </c>
      <c r="FU30" s="2">
        <v>2.47757903082402E-9</v>
      </c>
      <c r="FV30">
        <v>74.704322814941406</v>
      </c>
      <c r="FW30">
        <v>-57.563568115234403</v>
      </c>
      <c r="FX30">
        <v>2.7265178039670001E-2</v>
      </c>
      <c r="FY30" s="2">
        <v>3.4028230607370999E+38</v>
      </c>
      <c r="FZ30">
        <v>-4.2444658279418901</v>
      </c>
      <c r="GA30">
        <v>229.61396789550801</v>
      </c>
      <c r="GB30" s="2">
        <v>-7.5238071328698197E-10</v>
      </c>
      <c r="GC30">
        <v>7.2561105480417598E-4</v>
      </c>
      <c r="GD30" s="2">
        <v>4.1791964333626202E-10</v>
      </c>
      <c r="GE30" s="2">
        <v>-3.6889909097226303E-5</v>
      </c>
      <c r="GF30" s="2">
        <v>3.4028230607370999E+38</v>
      </c>
      <c r="GG30" s="2">
        <v>3.4028230607370999E+38</v>
      </c>
      <c r="GH30">
        <v>-2.47874613851309E-2</v>
      </c>
      <c r="GI30">
        <v>460.02774047851602</v>
      </c>
      <c r="GJ30">
        <v>460.02792358398398</v>
      </c>
      <c r="GK30" s="2">
        <v>3.4028230607370999E+38</v>
      </c>
      <c r="GL30" s="2">
        <v>3.4028230607370999E+38</v>
      </c>
      <c r="GM30" s="2">
        <v>3.4028230607370999E+38</v>
      </c>
      <c r="GN30" s="2">
        <v>3.4028230607370999E+38</v>
      </c>
      <c r="GO30" s="2">
        <v>3.4028230607370999E+38</v>
      </c>
      <c r="GP30" s="2">
        <v>3.4028230607370999E+38</v>
      </c>
      <c r="GQ30">
        <v>-3.9629727602004998E-2</v>
      </c>
      <c r="GR30">
        <v>-3.9629727602004998E-2</v>
      </c>
      <c r="GS30">
        <v>460.02960205078102</v>
      </c>
      <c r="GT30">
        <v>-1.17756542749703E-3</v>
      </c>
      <c r="GX30">
        <f t="shared" si="1"/>
        <v>230.00189514160161</v>
      </c>
      <c r="GY30">
        <f t="shared" si="2"/>
        <v>2.0001055717468246</v>
      </c>
      <c r="GZ30">
        <f t="shared" si="3"/>
        <v>-2.776630371809008E-2</v>
      </c>
      <c r="HA30">
        <f t="shared" si="4"/>
        <v>460.02789306640625</v>
      </c>
      <c r="HB30">
        <f t="shared" si="5"/>
        <v>460.02778320312501</v>
      </c>
      <c r="HC30">
        <f t="shared" si="6"/>
        <v>49.999932098388676</v>
      </c>
      <c r="HD30">
        <f t="shared" si="7"/>
        <v>-90.003543090820315</v>
      </c>
      <c r="HW30" s="10">
        <f>(GX30/Data!$S30-1)*1000000</f>
        <v>22.450499908011068</v>
      </c>
      <c r="HX30" s="10">
        <f>(GY30/Data!$T30-1)*1000000</f>
        <v>71.441706121611048</v>
      </c>
      <c r="HY30" s="10">
        <f>(GZ30/Data!$BW30-1)*1000000</f>
        <v>8625186.0965974852</v>
      </c>
      <c r="HZ30" s="10">
        <f>(HA30/(Data!$S30*Data!$T30)-1)*1000000</f>
        <v>93.504843583058772</v>
      </c>
      <c r="IA30" s="7">
        <f>(HB30/IF(HD30&gt;0, -Data!$BX30,Data!$BX30)-1)*1000000</f>
        <v>93.260245136894682</v>
      </c>
      <c r="IB30" s="10"/>
      <c r="IC30" s="9">
        <f>(HD30-Data!$U30)</f>
        <v>-3.1837608203204582E-3</v>
      </c>
    </row>
    <row r="31" spans="1:237" x14ac:dyDescent="0.2">
      <c r="A31">
        <v>31</v>
      </c>
      <c r="B31">
        <v>230.00186157226599</v>
      </c>
      <c r="C31">
        <v>2.0001027584075901</v>
      </c>
      <c r="D31">
        <v>-2.9944142326712601E-2</v>
      </c>
      <c r="E31">
        <v>460.02548217773398</v>
      </c>
      <c r="F31">
        <v>460.02529907226602</v>
      </c>
      <c r="G31">
        <v>49.999954223632798</v>
      </c>
      <c r="H31">
        <v>-90.003158569335895</v>
      </c>
      <c r="I31">
        <v>1.7509790137410199E-2</v>
      </c>
      <c r="J31" s="2">
        <v>3.5611494695331199E-6</v>
      </c>
      <c r="K31" s="2">
        <v>4.65244687219979E-9</v>
      </c>
      <c r="L31" s="2">
        <v>6.2015068635901103E-8</v>
      </c>
      <c r="M31" s="2">
        <v>3.66949537422556E-9</v>
      </c>
      <c r="N31">
        <v>74.729881286621094</v>
      </c>
      <c r="O31">
        <v>-40.863918304443402</v>
      </c>
      <c r="P31">
        <v>1.9528925418853801E-2</v>
      </c>
      <c r="Q31" s="2">
        <v>3.2151267532753999E-6</v>
      </c>
      <c r="R31" s="2">
        <v>7.0952732578177802E-10</v>
      </c>
      <c r="S31" s="2">
        <v>5.9972379062855894E-8</v>
      </c>
      <c r="T31" s="2">
        <v>3.9058960510374196E-9</v>
      </c>
      <c r="U31">
        <v>74.785171508789105</v>
      </c>
      <c r="V31">
        <v>-61.958240509033203</v>
      </c>
      <c r="W31" s="2">
        <v>3.4028230607370999E+38</v>
      </c>
      <c r="X31" s="2">
        <v>3.4028230607370999E+38</v>
      </c>
      <c r="Y31">
        <v>-2.9944138601422299E-2</v>
      </c>
      <c r="Z31">
        <v>460.02548217773398</v>
      </c>
      <c r="AA31">
        <v>460.02529907226602</v>
      </c>
      <c r="AB31" s="2">
        <v>3.4028230607370999E+38</v>
      </c>
      <c r="AC31" s="2">
        <v>3.4028230607370999E+38</v>
      </c>
      <c r="AD31">
        <v>230.00183105468801</v>
      </c>
      <c r="AE31">
        <v>2.0000863075256299</v>
      </c>
      <c r="AF31">
        <v>-2.6300821453332901E-2</v>
      </c>
      <c r="AG31">
        <v>460.02871704101602</v>
      </c>
      <c r="AH31">
        <v>460.02883911132801</v>
      </c>
      <c r="AI31">
        <v>49.999935150146499</v>
      </c>
      <c r="AJ31">
        <v>-90.003273010253906</v>
      </c>
      <c r="AK31">
        <v>1.7054805532097799E-2</v>
      </c>
      <c r="AL31" s="2">
        <v>3.5837870200339201E-6</v>
      </c>
      <c r="AM31" s="2">
        <v>6.1258531580676804E-9</v>
      </c>
      <c r="AN31" s="2">
        <v>6.10800086064955E-8</v>
      </c>
      <c r="AO31" s="2">
        <v>2.7974511596084999E-9</v>
      </c>
      <c r="AP31">
        <v>74.681182861328097</v>
      </c>
      <c r="AQ31">
        <v>-26.653417587280298</v>
      </c>
      <c r="AR31">
        <v>1.8698906525969498E-2</v>
      </c>
      <c r="AS31" s="2">
        <v>3.1225272323354101E-6</v>
      </c>
      <c r="AT31" s="2">
        <v>1.4334251563497E-9</v>
      </c>
      <c r="AU31" s="2">
        <v>5.7577416612275602E-8</v>
      </c>
      <c r="AV31" s="2">
        <v>2.9540803136995898E-9</v>
      </c>
      <c r="AW31">
        <v>74.854881286621094</v>
      </c>
      <c r="AX31">
        <v>-47.521228790283203</v>
      </c>
      <c r="AY31" s="2">
        <v>3.4028230607370999E+38</v>
      </c>
      <c r="AZ31" s="2">
        <v>3.4028230607370999E+38</v>
      </c>
      <c r="BA31">
        <v>-2.6300814002752301E-2</v>
      </c>
      <c r="BB31">
        <v>460.02871704101602</v>
      </c>
      <c r="BC31">
        <v>460.02883911132801</v>
      </c>
      <c r="BD31" s="2">
        <v>3.4028230607370999E+38</v>
      </c>
      <c r="BE31" s="2">
        <v>3.4028230607370999E+38</v>
      </c>
      <c r="BF31">
        <v>230.00178527832</v>
      </c>
      <c r="BG31">
        <v>2.00012230873108</v>
      </c>
      <c r="BH31">
        <v>-2.8606740757823001E-2</v>
      </c>
      <c r="BI31">
        <v>460.031494140625</v>
      </c>
      <c r="BJ31">
        <v>460.03234863281199</v>
      </c>
      <c r="BK31">
        <v>49.999908447265597</v>
      </c>
      <c r="BL31">
        <v>-90.003890991210895</v>
      </c>
      <c r="BM31">
        <v>1.53054092079401E-2</v>
      </c>
      <c r="BN31" s="2">
        <v>3.6399060263647702E-6</v>
      </c>
      <c r="BO31" s="2">
        <v>1.0223570878764599E-9</v>
      </c>
      <c r="BP31" s="2">
        <v>5.5184518288342601E-8</v>
      </c>
      <c r="BQ31" s="2">
        <v>3.0983402510287301E-9</v>
      </c>
      <c r="BR31">
        <v>74.749794006347699</v>
      </c>
      <c r="BS31">
        <v>-79.573089599609403</v>
      </c>
      <c r="BT31">
        <v>1.63716785609722E-2</v>
      </c>
      <c r="BU31" s="2">
        <v>3.08601465803804E-6</v>
      </c>
      <c r="BV31" s="2">
        <v>6.1283444985349402E-10</v>
      </c>
      <c r="BW31" s="2">
        <v>5.0217256131190899E-8</v>
      </c>
      <c r="BX31" s="2">
        <v>1.23104326732459E-9</v>
      </c>
      <c r="BY31">
        <v>74.762237548828097</v>
      </c>
      <c r="BZ31">
        <v>-93.524948120117202</v>
      </c>
      <c r="CA31" s="2">
        <v>3.4028230607370999E+38</v>
      </c>
      <c r="CB31" s="2">
        <v>3.4028230607370999E+38</v>
      </c>
      <c r="CC31">
        <v>-2.8606740757823001E-2</v>
      </c>
      <c r="CD31">
        <v>460.031494140625</v>
      </c>
      <c r="CE31">
        <v>460.03234863281199</v>
      </c>
      <c r="CF31" s="2">
        <v>3.4028230607370999E+38</v>
      </c>
      <c r="CG31" s="2">
        <v>3.4028230607370999E+38</v>
      </c>
      <c r="CH31">
        <v>230.00199890136699</v>
      </c>
      <c r="CI31">
        <v>2.0001144409179701</v>
      </c>
      <c r="CJ31">
        <v>-2.86120381206274E-2</v>
      </c>
      <c r="CK31">
        <v>460.02987670898398</v>
      </c>
      <c r="CL31">
        <v>460.03033447265602</v>
      </c>
      <c r="CM31">
        <v>49.9998970031738</v>
      </c>
      <c r="CN31">
        <v>-90.003341674804702</v>
      </c>
      <c r="CO31">
        <v>1.43435141071677E-2</v>
      </c>
      <c r="CP31" s="2">
        <v>3.6413189263839698E-6</v>
      </c>
      <c r="CQ31" s="2">
        <v>1.15789089427665E-9</v>
      </c>
      <c r="CR31" s="2">
        <v>5.0922537297992703E-8</v>
      </c>
      <c r="CS31" s="2">
        <v>2.8255862094539502E-9</v>
      </c>
      <c r="CT31">
        <v>74.823753356933594</v>
      </c>
      <c r="CU31">
        <v>-66.043128967285199</v>
      </c>
      <c r="CV31">
        <v>1.54145443812013E-2</v>
      </c>
      <c r="CW31" s="2">
        <v>3.0450237318291299E-6</v>
      </c>
      <c r="CX31" s="2">
        <v>6.6193922565460598E-10</v>
      </c>
      <c r="CY31" s="2">
        <v>4.8117108519818397E-8</v>
      </c>
      <c r="CZ31" s="2">
        <v>1.40271394499791E-9</v>
      </c>
      <c r="DA31">
        <v>74.714012145996094</v>
      </c>
      <c r="DB31">
        <v>-78.756866455078097</v>
      </c>
      <c r="DC31" s="2">
        <v>3.4028230607370999E+38</v>
      </c>
      <c r="DD31" s="2">
        <v>3.4028230607370999E+38</v>
      </c>
      <c r="DE31">
        <v>-2.86120381206274E-2</v>
      </c>
      <c r="DF31">
        <v>460.02987670898398</v>
      </c>
      <c r="DG31">
        <v>460.03033447265602</v>
      </c>
      <c r="DH31" s="2">
        <v>3.4028230607370999E+38</v>
      </c>
      <c r="DI31" s="2">
        <v>3.4028230607370999E+38</v>
      </c>
      <c r="DJ31">
        <v>230.00190734863301</v>
      </c>
      <c r="DK31">
        <v>2.0001075267791699</v>
      </c>
      <c r="DL31">
        <v>-2.6990391314029701E-2</v>
      </c>
      <c r="DM31">
        <v>460.02783203125</v>
      </c>
      <c r="DN31">
        <v>460.02822875976602</v>
      </c>
      <c r="DO31">
        <v>49.999931335449197</v>
      </c>
      <c r="DP31">
        <v>-90.003730773925795</v>
      </c>
      <c r="DQ31">
        <v>1.66147984564304E-2</v>
      </c>
      <c r="DR31" s="2">
        <v>3.60035869562125E-6</v>
      </c>
      <c r="DS31" s="2">
        <v>5.1711142035060204E-9</v>
      </c>
      <c r="DT31" s="2">
        <v>5.9788497708268604E-8</v>
      </c>
      <c r="DU31" s="2">
        <v>3.5594154290663499E-9</v>
      </c>
      <c r="DV31">
        <v>74.715087890625</v>
      </c>
      <c r="DW31">
        <v>-36.407146453857401</v>
      </c>
      <c r="DX31">
        <v>1.79269593209028E-2</v>
      </c>
      <c r="DY31" s="2">
        <v>3.1697443318989801E-6</v>
      </c>
      <c r="DZ31" s="2">
        <v>7.23286319725958E-10</v>
      </c>
      <c r="EA31" s="2">
        <v>5.5300194645724299E-8</v>
      </c>
      <c r="EB31" s="2">
        <v>2.1771018321459199E-9</v>
      </c>
      <c r="EC31">
        <v>74.778175354003906</v>
      </c>
      <c r="ED31">
        <v>-59.640468597412102</v>
      </c>
      <c r="EE31" s="2">
        <v>3.4028230607370999E+38</v>
      </c>
      <c r="EF31" s="2">
        <v>3.4028230607370999E+38</v>
      </c>
      <c r="EG31">
        <v>-2.6990385726094201E-2</v>
      </c>
      <c r="EH31">
        <v>460.02783203125</v>
      </c>
      <c r="EI31">
        <v>460.02822875976602</v>
      </c>
      <c r="EJ31" s="2">
        <v>3.4028230607370999E+38</v>
      </c>
      <c r="EK31" s="2">
        <v>3.4028230607370999E+38</v>
      </c>
      <c r="EL31">
        <v>123</v>
      </c>
      <c r="EM31">
        <v>230.00190734863301</v>
      </c>
      <c r="EN31">
        <v>2.0001125335693399</v>
      </c>
      <c r="EO31">
        <v>-2.2470649331808101E-2</v>
      </c>
      <c r="EP31">
        <v>460.03311157226602</v>
      </c>
      <c r="EQ31">
        <v>460.03286743164102</v>
      </c>
      <c r="ER31">
        <v>49.999973297119098</v>
      </c>
      <c r="ES31">
        <v>-90.003463745117202</v>
      </c>
      <c r="ET31" s="2">
        <v>-5.5977856391109499E-5</v>
      </c>
      <c r="EU31" s="2">
        <v>3.4028230607370999E+38</v>
      </c>
      <c r="EV31">
        <v>0</v>
      </c>
      <c r="EW31">
        <v>230.00679016113301</v>
      </c>
      <c r="EX31">
        <v>-3.91265824437141E-2</v>
      </c>
      <c r="EY31">
        <v>460.03741455078102</v>
      </c>
      <c r="EZ31">
        <v>460.02993774414102</v>
      </c>
      <c r="FA31">
        <v>-7.7934580622240901E-4</v>
      </c>
      <c r="FB31">
        <v>1.5801500529050799E-2</v>
      </c>
      <c r="FC31" s="2">
        <v>3.6077365166420299E-6</v>
      </c>
      <c r="FD31" s="2">
        <v>3.99626287617139E-9</v>
      </c>
      <c r="FE31" s="2">
        <v>5.7002615960755098E-8</v>
      </c>
      <c r="FF31" s="2">
        <v>3.2241356251461201E-9</v>
      </c>
      <c r="FG31">
        <v>74.77001953125</v>
      </c>
      <c r="FH31">
        <v>-33.881275177002003</v>
      </c>
      <c r="FI31">
        <v>7.1574285626411396E-2</v>
      </c>
      <c r="FJ31" s="2">
        <v>3.4028230607370999E+38</v>
      </c>
      <c r="FK31">
        <v>-68.949638366699205</v>
      </c>
      <c r="FL31">
        <v>2.0424561575055102E-2</v>
      </c>
      <c r="FM31">
        <v>0</v>
      </c>
      <c r="FN31">
        <v>0</v>
      </c>
      <c r="FO31">
        <v>0</v>
      </c>
      <c r="FP31" s="2">
        <v>6.6003893152810606E-5</v>
      </c>
      <c r="FQ31">
        <v>1.6905408352613401E-2</v>
      </c>
      <c r="FR31" s="2">
        <v>3.1011238661449199E-6</v>
      </c>
      <c r="FS31" s="2">
        <v>5.0793402817106405E-10</v>
      </c>
      <c r="FT31" s="2">
        <v>5.2397297167772201E-8</v>
      </c>
      <c r="FU31" s="2">
        <v>1.1458018978061099E-9</v>
      </c>
      <c r="FV31">
        <v>74.757743835449205</v>
      </c>
      <c r="FW31">
        <v>-43.031692504882798</v>
      </c>
      <c r="FX31">
        <v>1.6257330775260901E-2</v>
      </c>
      <c r="FY31" s="2">
        <v>3.4028230607370999E+38</v>
      </c>
      <c r="FZ31">
        <v>-49.364089965820298</v>
      </c>
      <c r="GA31">
        <v>229.03965759277301</v>
      </c>
      <c r="GB31" s="2">
        <v>-1.7577755223596699E-11</v>
      </c>
      <c r="GC31">
        <v>7.2626699693500996E-4</v>
      </c>
      <c r="GD31" s="2">
        <v>1.93666069292497E-10</v>
      </c>
      <c r="GE31" s="2">
        <v>-2.9339122193050601E-5</v>
      </c>
      <c r="GF31" s="2">
        <v>3.4028230607370999E+38</v>
      </c>
      <c r="GG31" s="2">
        <v>3.4028230607370999E+38</v>
      </c>
      <c r="GH31">
        <v>-2.5393869727849998E-2</v>
      </c>
      <c r="GI31">
        <v>460.03073120117199</v>
      </c>
      <c r="GJ31">
        <v>460.02972412109398</v>
      </c>
      <c r="GK31" s="2">
        <v>3.4028230607370999E+38</v>
      </c>
      <c r="GL31" s="2">
        <v>3.4028230607370999E+38</v>
      </c>
      <c r="GM31" s="2">
        <v>3.4028230607370999E+38</v>
      </c>
      <c r="GN31" s="2">
        <v>3.4028230607370999E+38</v>
      </c>
      <c r="GO31" s="2">
        <v>3.4028230607370999E+38</v>
      </c>
      <c r="GP31" s="2">
        <v>3.4028230607370999E+38</v>
      </c>
      <c r="GQ31">
        <v>-3.5887897014617899E-2</v>
      </c>
      <c r="GR31">
        <v>-3.5887897014617899E-2</v>
      </c>
      <c r="GS31">
        <v>460.03234863281199</v>
      </c>
      <c r="GT31">
        <v>-4.8963463632389903E-4</v>
      </c>
      <c r="GX31">
        <f t="shared" si="1"/>
        <v>230.00187683105477</v>
      </c>
      <c r="GY31">
        <f t="shared" si="2"/>
        <v>2.0001066684722879</v>
      </c>
      <c r="GZ31">
        <f t="shared" si="3"/>
        <v>-2.8090826794505121E-2</v>
      </c>
      <c r="HA31">
        <f t="shared" si="4"/>
        <v>460.02868041992178</v>
      </c>
      <c r="HB31">
        <f t="shared" si="5"/>
        <v>460.02901000976561</v>
      </c>
      <c r="HC31">
        <f t="shared" si="6"/>
        <v>49.999925231933574</v>
      </c>
      <c r="HD31">
        <f t="shared" si="7"/>
        <v>-90.003479003906222</v>
      </c>
      <c r="HW31" s="10">
        <f>(GX31/Data!$S31-1)*1000000</f>
        <v>21.479116746769833</v>
      </c>
      <c r="HX31" s="10">
        <f>(GY31/Data!$T31-1)*1000000</f>
        <v>71.916572425667624</v>
      </c>
      <c r="HY31" s="10">
        <f>(GZ31/Data!$BW31-1)*1000000</f>
        <v>-105778203.47225688</v>
      </c>
      <c r="HZ31" s="10">
        <f>(HA31/(Data!$S31*Data!$T31)-1)*1000000</f>
        <v>94.251193698990932</v>
      </c>
      <c r="IA31" s="7">
        <f>(HB31/IF(HD31&gt;0, -Data!$BX31,Data!$BX31)-1)*1000000</f>
        <v>94.961745542132547</v>
      </c>
      <c r="IB31" s="10"/>
      <c r="IC31" s="9">
        <f>(HD31-Data!$U31)</f>
        <v>-3.512393906220268E-3</v>
      </c>
    </row>
    <row r="32" spans="1:237" x14ac:dyDescent="0.2">
      <c r="A32">
        <v>32</v>
      </c>
      <c r="B32">
        <v>230.00164794921901</v>
      </c>
      <c r="C32">
        <v>2.0001130104064901</v>
      </c>
      <c r="D32">
        <v>-2.7135333046317101E-2</v>
      </c>
      <c r="E32">
        <v>460.02871704101602</v>
      </c>
      <c r="F32">
        <v>460.02957153320301</v>
      </c>
      <c r="G32">
        <v>50.000049591064503</v>
      </c>
      <c r="H32">
        <v>-90.003364562988295</v>
      </c>
      <c r="I32">
        <v>1.6503658145666102E-2</v>
      </c>
      <c r="J32" s="2">
        <v>3.6073754472454299E-6</v>
      </c>
      <c r="K32" s="2">
        <v>3.5747358406723602E-9</v>
      </c>
      <c r="L32" s="2">
        <v>5.90659219312784E-8</v>
      </c>
      <c r="M32" s="2">
        <v>3.2387073023443199E-9</v>
      </c>
      <c r="N32">
        <v>74.780349731445298</v>
      </c>
      <c r="O32">
        <v>-37.907535552978501</v>
      </c>
      <c r="P32">
        <v>1.7902132123708701E-2</v>
      </c>
      <c r="Q32" s="2">
        <v>3.0665703434351599E-6</v>
      </c>
      <c r="R32" s="2">
        <v>1.4250837176987801E-9</v>
      </c>
      <c r="S32" s="2">
        <v>5.5519038255624797E-8</v>
      </c>
      <c r="T32" s="2">
        <v>2.7709343708437502E-9</v>
      </c>
      <c r="U32">
        <v>74.754341125488295</v>
      </c>
      <c r="V32">
        <v>-65.199264526367202</v>
      </c>
      <c r="W32" s="2">
        <v>3.4028230607370999E+38</v>
      </c>
      <c r="X32" s="2">
        <v>3.4028230607370999E+38</v>
      </c>
      <c r="Y32">
        <v>-2.7135329321026799E-2</v>
      </c>
      <c r="Z32">
        <v>460.02871704101602</v>
      </c>
      <c r="AA32">
        <v>460.02957153320301</v>
      </c>
      <c r="AB32" s="2">
        <v>3.4028230607370999E+38</v>
      </c>
      <c r="AC32" s="2">
        <v>3.4028230607370999E+38</v>
      </c>
      <c r="AD32">
        <v>230.00221252441401</v>
      </c>
      <c r="AE32">
        <v>2.0001077651977499</v>
      </c>
      <c r="AF32">
        <v>-2.9781324788928001E-2</v>
      </c>
      <c r="AG32">
        <v>460.02886962890602</v>
      </c>
      <c r="AH32">
        <v>460.02859497070301</v>
      </c>
      <c r="AI32">
        <v>49.999973297119098</v>
      </c>
      <c r="AJ32">
        <v>-90.003433227539105</v>
      </c>
      <c r="AK32">
        <v>1.42159033566713E-2</v>
      </c>
      <c r="AL32" s="2">
        <v>3.59609566658037E-6</v>
      </c>
      <c r="AM32" s="2">
        <v>1.47241130399323E-9</v>
      </c>
      <c r="AN32" s="2">
        <v>5.11283531068329E-8</v>
      </c>
      <c r="AO32" s="2">
        <v>2.5374360390628701E-9</v>
      </c>
      <c r="AP32">
        <v>74.713859558105497</v>
      </c>
      <c r="AQ32">
        <v>-62.552745819091797</v>
      </c>
      <c r="AR32">
        <v>1.5457464382052401E-2</v>
      </c>
      <c r="AS32" s="2">
        <v>3.0393271117645798E-6</v>
      </c>
      <c r="AT32" s="2">
        <v>4.25482954424794E-10</v>
      </c>
      <c r="AU32" s="2">
        <v>4.8128494967158999E-8</v>
      </c>
      <c r="AV32" s="2">
        <v>6.8207312020618402E-10</v>
      </c>
      <c r="AW32">
        <v>74.753562927246094</v>
      </c>
      <c r="AX32">
        <v>-29.242912292480501</v>
      </c>
      <c r="AY32" s="2">
        <v>3.4028230607370999E+38</v>
      </c>
      <c r="AZ32" s="2">
        <v>3.4028230607370999E+38</v>
      </c>
      <c r="BA32">
        <v>-2.97813229262829E-2</v>
      </c>
      <c r="BB32">
        <v>460.02886962890602</v>
      </c>
      <c r="BC32">
        <v>460.02859497070301</v>
      </c>
      <c r="BD32" s="2">
        <v>3.4028230607370999E+38</v>
      </c>
      <c r="BE32" s="2">
        <v>3.4028230607370999E+38</v>
      </c>
      <c r="BF32">
        <v>230.00198364257801</v>
      </c>
      <c r="BG32">
        <v>2.0001070499420202</v>
      </c>
      <c r="BH32">
        <v>-2.6943050324916801E-2</v>
      </c>
      <c r="BI32">
        <v>460.02828979492199</v>
      </c>
      <c r="BJ32">
        <v>460.02810668945301</v>
      </c>
      <c r="BK32">
        <v>49.999923706054702</v>
      </c>
      <c r="BL32">
        <v>-90.003822326660199</v>
      </c>
      <c r="BM32">
        <v>1.44411884248257E-2</v>
      </c>
      <c r="BN32" s="2">
        <v>3.6081869438930901E-6</v>
      </c>
      <c r="BO32" s="2">
        <v>2.5120727720206998E-9</v>
      </c>
      <c r="BP32" s="2">
        <v>5.2199315092593699E-8</v>
      </c>
      <c r="BQ32" s="2">
        <v>1.9429211572941102E-9</v>
      </c>
      <c r="BR32">
        <v>74.748283386230497</v>
      </c>
      <c r="BS32">
        <v>-51.669307708740199</v>
      </c>
      <c r="BT32">
        <v>1.5115267597138901E-2</v>
      </c>
      <c r="BU32" s="2">
        <v>3.0676487767777901E-6</v>
      </c>
      <c r="BV32" s="2">
        <v>-1.9470902667961799E-10</v>
      </c>
      <c r="BW32" s="2">
        <v>4.6332296221862601E-8</v>
      </c>
      <c r="BX32" s="2">
        <v>7.1397837642095396E-10</v>
      </c>
      <c r="BY32">
        <v>74.734733581542997</v>
      </c>
      <c r="BZ32">
        <v>-43.164722442627003</v>
      </c>
      <c r="CA32" s="2">
        <v>3.4028230607370999E+38</v>
      </c>
      <c r="CB32" s="2">
        <v>3.4028230607370999E+38</v>
      </c>
      <c r="CC32">
        <v>-2.6943048462271701E-2</v>
      </c>
      <c r="CD32">
        <v>460.02828979492199</v>
      </c>
      <c r="CE32">
        <v>460.02810668945301</v>
      </c>
      <c r="CF32" s="2">
        <v>3.4028230607370999E+38</v>
      </c>
      <c r="CG32" s="2">
        <v>3.4028230607370999E+38</v>
      </c>
      <c r="CH32">
        <v>230.00210571289099</v>
      </c>
      <c r="CI32">
        <v>2.0000884532928498</v>
      </c>
      <c r="CJ32">
        <v>-2.8689492493867898E-2</v>
      </c>
      <c r="CK32">
        <v>460.02359008789102</v>
      </c>
      <c r="CL32">
        <v>460.02359008789102</v>
      </c>
      <c r="CM32">
        <v>49.9999389648438</v>
      </c>
      <c r="CN32">
        <v>-90.003654479980497</v>
      </c>
      <c r="CO32">
        <v>1.6051298007369E-2</v>
      </c>
      <c r="CP32" s="2">
        <v>3.6151193398836801E-6</v>
      </c>
      <c r="CQ32" s="2">
        <v>1.4591371444438999E-9</v>
      </c>
      <c r="CR32" s="2">
        <v>5.7623211091595301E-8</v>
      </c>
      <c r="CS32" s="2">
        <v>3.8671572610837798E-9</v>
      </c>
      <c r="CT32">
        <v>74.826347351074205</v>
      </c>
      <c r="CU32">
        <v>-82.044319152832003</v>
      </c>
      <c r="CV32">
        <v>1.7381124198436699E-2</v>
      </c>
      <c r="CW32" s="2">
        <v>3.1064835184224602E-6</v>
      </c>
      <c r="CX32" s="2">
        <v>2.46998921316077E-10</v>
      </c>
      <c r="CY32" s="2">
        <v>5.4006598304567901E-8</v>
      </c>
      <c r="CZ32" s="2">
        <v>2.40188202660363E-9</v>
      </c>
      <c r="DA32">
        <v>74.799522399902301</v>
      </c>
      <c r="DB32">
        <v>-79.129226684570298</v>
      </c>
      <c r="DC32" s="2">
        <v>3.4028230607370999E+38</v>
      </c>
      <c r="DD32" s="2">
        <v>3.4028230607370999E+38</v>
      </c>
      <c r="DE32">
        <v>-2.8689492493867898E-2</v>
      </c>
      <c r="DF32">
        <v>460.02359008789102</v>
      </c>
      <c r="DG32">
        <v>460.02359008789102</v>
      </c>
      <c r="DH32" s="2">
        <v>3.4028230607370999E+38</v>
      </c>
      <c r="DI32" s="2">
        <v>3.4028230607370999E+38</v>
      </c>
      <c r="DJ32">
        <v>230.00189208984401</v>
      </c>
      <c r="DK32">
        <v>2.0001292228698699</v>
      </c>
      <c r="DL32">
        <v>-2.7327984571456899E-2</v>
      </c>
      <c r="DM32">
        <v>460.02917480468801</v>
      </c>
      <c r="DN32">
        <v>460.02917480468801</v>
      </c>
      <c r="DO32">
        <v>49.9999389648438</v>
      </c>
      <c r="DP32">
        <v>-90.003479003906193</v>
      </c>
      <c r="DQ32">
        <v>1.5410693362355199E-2</v>
      </c>
      <c r="DR32" s="2">
        <v>3.61450543095998E-6</v>
      </c>
      <c r="DS32" s="2">
        <v>4.3077261757673601E-9</v>
      </c>
      <c r="DT32" s="2">
        <v>5.5708319735003897E-8</v>
      </c>
      <c r="DU32" s="2">
        <v>3.3714082636748799E-9</v>
      </c>
      <c r="DV32">
        <v>74.701713562011705</v>
      </c>
      <c r="DW32">
        <v>-43.414115905761697</v>
      </c>
      <c r="DX32">
        <v>1.67832225561142E-2</v>
      </c>
      <c r="DY32" s="2">
        <v>3.1281763313018001E-6</v>
      </c>
      <c r="DZ32" s="2">
        <v>1.2012431049868201E-9</v>
      </c>
      <c r="EA32" s="2">
        <v>4.94738330303335E-8</v>
      </c>
      <c r="EB32" s="2">
        <v>1.36735900380103E-9</v>
      </c>
      <c r="EC32">
        <v>74.697959899902301</v>
      </c>
      <c r="ED32">
        <v>-53.840892791747997</v>
      </c>
      <c r="EE32" s="2">
        <v>3.4028230607370999E+38</v>
      </c>
      <c r="EF32" s="2">
        <v>3.4028230607370999E+38</v>
      </c>
      <c r="EG32">
        <v>-2.73279808461666E-2</v>
      </c>
      <c r="EH32">
        <v>460.02917480468801</v>
      </c>
      <c r="EI32">
        <v>460.02917480468801</v>
      </c>
      <c r="EJ32" s="2">
        <v>3.4028230607370999E+38</v>
      </c>
      <c r="EK32" s="2">
        <v>3.4028230607370999E+38</v>
      </c>
      <c r="EL32">
        <v>123</v>
      </c>
      <c r="EM32">
        <v>230.00196838378901</v>
      </c>
      <c r="EN32">
        <v>2.0001232624053999</v>
      </c>
      <c r="EO32">
        <v>-2.5571428239345599E-2</v>
      </c>
      <c r="EP32">
        <v>460.03210449218801</v>
      </c>
      <c r="EQ32">
        <v>460.03332519531199</v>
      </c>
      <c r="ER32">
        <v>49.9998779296875</v>
      </c>
      <c r="ES32">
        <v>-90.003715515136705</v>
      </c>
      <c r="ET32" s="2">
        <v>-6.4681182266213E-5</v>
      </c>
      <c r="EU32" s="2">
        <v>3.4028230607370999E+38</v>
      </c>
      <c r="EV32">
        <v>0</v>
      </c>
      <c r="EW32">
        <v>230.00552368164099</v>
      </c>
      <c r="EX32">
        <v>-3.7045538425445598E-2</v>
      </c>
      <c r="EY32">
        <v>460.03726196289102</v>
      </c>
      <c r="EZ32">
        <v>460.0322265625</v>
      </c>
      <c r="FA32">
        <v>-4.6371156349778202E-4</v>
      </c>
      <c r="FB32">
        <v>1.5012642368674301E-2</v>
      </c>
      <c r="FC32" s="2">
        <v>3.60712351721304E-6</v>
      </c>
      <c r="FD32" s="2">
        <v>5.3619055861986503E-9</v>
      </c>
      <c r="FE32" s="2">
        <v>5.38565174679206E-8</v>
      </c>
      <c r="FF32" s="2">
        <v>2.8178954725177602E-9</v>
      </c>
      <c r="FG32">
        <v>74.722808837890597</v>
      </c>
      <c r="FH32">
        <v>-44.178707122802699</v>
      </c>
      <c r="FI32">
        <v>4.5644138008356101E-2</v>
      </c>
      <c r="FJ32" s="2">
        <v>3.4028230607370999E+38</v>
      </c>
      <c r="FK32">
        <v>-34.931102752685497</v>
      </c>
      <c r="FL32">
        <v>1.9912891089916201E-2</v>
      </c>
      <c r="FM32">
        <v>0</v>
      </c>
      <c r="FN32">
        <v>0</v>
      </c>
      <c r="FO32">
        <v>0</v>
      </c>
      <c r="FP32" s="2">
        <v>7.1124544774647802E-5</v>
      </c>
      <c r="FQ32">
        <v>1.5839371830225001E-2</v>
      </c>
      <c r="FR32" s="2">
        <v>3.0482858619507199E-6</v>
      </c>
      <c r="FS32" s="2">
        <v>1.96790117534817E-9</v>
      </c>
      <c r="FT32" s="2">
        <v>4.9430436632746899E-8</v>
      </c>
      <c r="FU32" s="2">
        <v>9.2910545923530197E-10</v>
      </c>
      <c r="FV32">
        <v>74.796195983886705</v>
      </c>
      <c r="FW32">
        <v>-86.726791381835895</v>
      </c>
      <c r="FX32">
        <v>1.75222207326442E-3</v>
      </c>
      <c r="FY32" s="2">
        <v>3.4028230607370999E+38</v>
      </c>
      <c r="FZ32">
        <v>-58.446239471435497</v>
      </c>
      <c r="GA32">
        <v>229.48887634277301</v>
      </c>
      <c r="GB32" s="2">
        <v>-7.7571638001927599E-10</v>
      </c>
      <c r="GC32">
        <v>7.2017696220427795E-4</v>
      </c>
      <c r="GD32" s="2">
        <v>-6.6365790640787695E-10</v>
      </c>
      <c r="GE32" s="2">
        <v>-2.5554676540195901E-5</v>
      </c>
      <c r="GF32" s="2">
        <v>3.4028230607370999E+38</v>
      </c>
      <c r="GG32" s="2">
        <v>3.4028230607370999E+38</v>
      </c>
      <c r="GH32">
        <v>-2.6107335463166199E-2</v>
      </c>
      <c r="GI32">
        <v>460.02978515625</v>
      </c>
      <c r="GJ32">
        <v>460.030029296875</v>
      </c>
      <c r="GK32" s="2">
        <v>3.4028230607370999E+38</v>
      </c>
      <c r="GL32" s="2">
        <v>3.4028230607370999E+38</v>
      </c>
      <c r="GM32" s="2">
        <v>3.4028230607370999E+38</v>
      </c>
      <c r="GN32" s="2">
        <v>3.4028230607370999E+38</v>
      </c>
      <c r="GO32" s="2">
        <v>3.4028230607370999E+38</v>
      </c>
      <c r="GP32" s="2">
        <v>3.4028230607370999E+38</v>
      </c>
      <c r="GQ32">
        <v>-3.8353543728589998E-2</v>
      </c>
      <c r="GR32">
        <v>-3.8870543241500903E-2</v>
      </c>
      <c r="GS32">
        <v>460.02938842773398</v>
      </c>
      <c r="GT32">
        <v>-1.4175428077578501E-4</v>
      </c>
      <c r="GX32">
        <f t="shared" si="1"/>
        <v>230.0019683837892</v>
      </c>
      <c r="GY32">
        <f t="shared" si="2"/>
        <v>2.0001091003417959</v>
      </c>
      <c r="GZ32">
        <f t="shared" si="3"/>
        <v>-2.7975437045097341E-2</v>
      </c>
      <c r="HA32">
        <f t="shared" si="4"/>
        <v>460.02772827148465</v>
      </c>
      <c r="HB32">
        <f t="shared" si="5"/>
        <v>460.02780761718759</v>
      </c>
      <c r="HC32">
        <f t="shared" si="6"/>
        <v>49.99996490478518</v>
      </c>
      <c r="HD32">
        <f t="shared" si="7"/>
        <v>-90.003550720214861</v>
      </c>
      <c r="HW32" s="10">
        <f>(GX32/Data!$S32-1)*1000000</f>
        <v>22.248494969678845</v>
      </c>
      <c r="HX32" s="10">
        <f>(GY32/Data!$T32-1)*1000000</f>
        <v>91.73358155245559</v>
      </c>
      <c r="HY32" s="10">
        <f>(GZ32/Data!$BW32-1)*1000000</f>
        <v>-17200345.512268838</v>
      </c>
      <c r="HZ32" s="10">
        <f>(HA32/(Data!$S32*Data!$T32)-1)*1000000</f>
        <v>111.15399640648782</v>
      </c>
      <c r="IA32" s="7">
        <f>(HB32/IF(HD32&gt;0, -Data!$BX32,Data!$BX32)-1)*1000000</f>
        <v>111.32026469340417</v>
      </c>
      <c r="IB32" s="10"/>
      <c r="IC32" s="9">
        <f>(HD32-Data!$U32)</f>
        <v>-3.7658202148662667E-3</v>
      </c>
    </row>
    <row r="33" spans="1:237" x14ac:dyDescent="0.2">
      <c r="A33">
        <v>33</v>
      </c>
      <c r="B33">
        <v>230.00186157226599</v>
      </c>
      <c r="C33">
        <v>2.0000867843627899</v>
      </c>
      <c r="D33">
        <v>398.37881469726602</v>
      </c>
      <c r="E33">
        <v>460.023681640625</v>
      </c>
      <c r="F33">
        <v>230.03683471679699</v>
      </c>
      <c r="G33">
        <v>49.999954223632798</v>
      </c>
      <c r="H33">
        <v>-30.003484725952099</v>
      </c>
      <c r="I33">
        <v>1.48189077153802E-2</v>
      </c>
      <c r="J33" s="2">
        <v>3.5710143038158999E-6</v>
      </c>
      <c r="K33" s="2">
        <v>3.1457227933628899E-9</v>
      </c>
      <c r="L33" s="2">
        <v>5.29237773605473E-8</v>
      </c>
      <c r="M33" s="2">
        <v>1.68591740568047E-9</v>
      </c>
      <c r="N33">
        <v>74.756538391113295</v>
      </c>
      <c r="O33">
        <v>-41.472068786621101</v>
      </c>
      <c r="P33">
        <v>1.6042623668909101E-2</v>
      </c>
      <c r="Q33" s="2">
        <v>3.2178072615352002E-6</v>
      </c>
      <c r="R33" s="2">
        <v>1.9298003195444802E-9</v>
      </c>
      <c r="S33" s="2">
        <v>5.0235584581059798E-8</v>
      </c>
      <c r="T33" s="2">
        <v>2.7951447822971398E-9</v>
      </c>
      <c r="U33">
        <v>74.799354553222699</v>
      </c>
      <c r="V33">
        <v>-45.530899047851598</v>
      </c>
      <c r="W33" s="2">
        <v>3.4028230607370999E+38</v>
      </c>
      <c r="X33" s="2">
        <v>3.4028230607370999E+38</v>
      </c>
      <c r="Y33">
        <v>398.37881469726602</v>
      </c>
      <c r="Z33">
        <v>460.023681640625</v>
      </c>
      <c r="AA33">
        <v>230.03683471679699</v>
      </c>
      <c r="AB33" s="2">
        <v>3.4028230607370999E+38</v>
      </c>
      <c r="AC33" s="2">
        <v>3.4028230607370999E+38</v>
      </c>
      <c r="AD33">
        <v>230.00196838378901</v>
      </c>
      <c r="AE33">
        <v>2.00011086463928</v>
      </c>
      <c r="AF33">
        <v>398.38336181640602</v>
      </c>
      <c r="AG33">
        <v>460.02914428710898</v>
      </c>
      <c r="AH33">
        <v>230.040283203125</v>
      </c>
      <c r="AI33">
        <v>49.9999389648438</v>
      </c>
      <c r="AJ33">
        <v>-30.003553390502901</v>
      </c>
      <c r="AK33">
        <v>1.5521825291216399E-2</v>
      </c>
      <c r="AL33" s="2">
        <v>3.6135149912297501E-6</v>
      </c>
      <c r="AM33" s="2">
        <v>3.1401092837057798E-9</v>
      </c>
      <c r="AN33" s="2">
        <v>5.4040416586076403E-8</v>
      </c>
      <c r="AO33" s="2">
        <v>1.6838992422663099E-9</v>
      </c>
      <c r="AP33">
        <v>74.763687133789105</v>
      </c>
      <c r="AQ33">
        <v>-31.748052597045898</v>
      </c>
      <c r="AR33">
        <v>1.7068224027752901E-2</v>
      </c>
      <c r="AS33" s="2">
        <v>3.1788752039574298E-6</v>
      </c>
      <c r="AT33" s="2">
        <v>3.5431775291527902E-9</v>
      </c>
      <c r="AU33" s="2">
        <v>5.2582262100031598E-8</v>
      </c>
      <c r="AV33" s="2">
        <v>3.06749470269096E-9</v>
      </c>
      <c r="AW33">
        <v>74.800193786621094</v>
      </c>
      <c r="AX33">
        <v>-54.523044586181598</v>
      </c>
      <c r="AY33" s="2">
        <v>3.4028230607370999E+38</v>
      </c>
      <c r="AZ33" s="2">
        <v>3.4028230607370999E+38</v>
      </c>
      <c r="BA33">
        <v>398.38336181640602</v>
      </c>
      <c r="BB33">
        <v>460.02914428710898</v>
      </c>
      <c r="BC33">
        <v>230.040283203125</v>
      </c>
      <c r="BD33" s="2">
        <v>3.4028230607370999E+38</v>
      </c>
      <c r="BE33" s="2">
        <v>3.4028230607370999E+38</v>
      </c>
      <c r="BF33">
        <v>230.00143432617199</v>
      </c>
      <c r="BG33">
        <v>2.0001089572906499</v>
      </c>
      <c r="BH33">
        <v>398.38433837890602</v>
      </c>
      <c r="BI33">
        <v>460.02877807617199</v>
      </c>
      <c r="BJ33">
        <v>230.03742980957</v>
      </c>
      <c r="BK33">
        <v>49.999866485595703</v>
      </c>
      <c r="BL33">
        <v>-30.002965927123999</v>
      </c>
      <c r="BM33">
        <v>1.7223011702299101E-2</v>
      </c>
      <c r="BN33" s="2">
        <v>3.5647956337925301E-6</v>
      </c>
      <c r="BO33" s="2">
        <v>3.9527470185873897E-9</v>
      </c>
      <c r="BP33" s="2">
        <v>6.18450499700884E-8</v>
      </c>
      <c r="BQ33" s="2">
        <v>6.4095084795212601E-10</v>
      </c>
      <c r="BR33">
        <v>74.8323974609375</v>
      </c>
      <c r="BS33">
        <v>-17.115917205810501</v>
      </c>
      <c r="BT33">
        <v>1.9098775461316098E-2</v>
      </c>
      <c r="BU33" s="2">
        <v>3.1219635729939901E-6</v>
      </c>
      <c r="BV33" s="2">
        <v>3.05321479210363E-9</v>
      </c>
      <c r="BW33" s="2">
        <v>5.9611728886466206E-8</v>
      </c>
      <c r="BX33" s="2">
        <v>4.0636933817950202E-9</v>
      </c>
      <c r="BY33">
        <v>74.686203002929702</v>
      </c>
      <c r="BZ33">
        <v>-57.5509033203125</v>
      </c>
      <c r="CA33" s="2">
        <v>3.4028230607370999E+38</v>
      </c>
      <c r="CB33" s="2">
        <v>3.4028230607370999E+38</v>
      </c>
      <c r="CC33">
        <v>398.38433837890602</v>
      </c>
      <c r="CD33">
        <v>460.02877807617199</v>
      </c>
      <c r="CE33">
        <v>230.03742980957</v>
      </c>
      <c r="CF33" s="2">
        <v>3.4028230607370999E+38</v>
      </c>
      <c r="CG33" s="2">
        <v>3.4028230607370999E+38</v>
      </c>
      <c r="CH33">
        <v>230.002029418945</v>
      </c>
      <c r="CI33">
        <v>2.0001049041747998</v>
      </c>
      <c r="CJ33">
        <v>398.381103515625</v>
      </c>
      <c r="CK33">
        <v>460.02792358398398</v>
      </c>
      <c r="CL33">
        <v>230.04048156738301</v>
      </c>
      <c r="CM33">
        <v>49.999954223632798</v>
      </c>
      <c r="CN33">
        <v>-30.0034484863281</v>
      </c>
      <c r="CO33">
        <v>1.4302598312497101E-2</v>
      </c>
      <c r="CP33" s="2">
        <v>3.6042224564880598E-6</v>
      </c>
      <c r="CQ33" s="2">
        <v>2.2240262964601201E-9</v>
      </c>
      <c r="CR33" s="2">
        <v>5.1560480329726501E-8</v>
      </c>
      <c r="CS33" s="2">
        <v>7.1297540094050801E-10</v>
      </c>
      <c r="CT33">
        <v>74.6837158203125</v>
      </c>
      <c r="CU33">
        <v>-20.011734008789102</v>
      </c>
      <c r="CV33">
        <v>1.5351768583059301E-2</v>
      </c>
      <c r="CW33" s="2">
        <v>3.1495576422457799E-6</v>
      </c>
      <c r="CX33" s="2">
        <v>8.1222950587544998E-10</v>
      </c>
      <c r="CY33" s="2">
        <v>4.8412310604817301E-8</v>
      </c>
      <c r="CZ33" s="2">
        <v>8.6751200667478698E-10</v>
      </c>
      <c r="DA33">
        <v>74.636444091796903</v>
      </c>
      <c r="DB33">
        <v>-22.876123428344702</v>
      </c>
      <c r="DC33" s="2">
        <v>3.4028230607370999E+38</v>
      </c>
      <c r="DD33" s="2">
        <v>3.4028230607370999E+38</v>
      </c>
      <c r="DE33">
        <v>398.381103515625</v>
      </c>
      <c r="DF33">
        <v>460.02792358398398</v>
      </c>
      <c r="DG33">
        <v>230.04048156738301</v>
      </c>
      <c r="DH33" s="2">
        <v>3.4028230607370999E+38</v>
      </c>
      <c r="DI33" s="2">
        <v>3.4028230607370999E+38</v>
      </c>
      <c r="DJ33">
        <v>230.00151062011699</v>
      </c>
      <c r="DK33">
        <v>2.0001082420349099</v>
      </c>
      <c r="DL33">
        <v>398.38018798828102</v>
      </c>
      <c r="DM33">
        <v>460.02780151367199</v>
      </c>
      <c r="DN33">
        <v>230.041259765625</v>
      </c>
      <c r="DO33">
        <v>49.999935150146499</v>
      </c>
      <c r="DP33">
        <v>-30.003755569458001</v>
      </c>
      <c r="DQ33">
        <v>1.4690456911921499E-2</v>
      </c>
      <c r="DR33" s="2">
        <v>3.6458143313211601E-6</v>
      </c>
      <c r="DS33" s="2">
        <v>3.7222054327656902E-9</v>
      </c>
      <c r="DT33" s="2">
        <v>5.1694776459498799E-8</v>
      </c>
      <c r="DU33" s="2">
        <v>1.8095235310155999E-9</v>
      </c>
      <c r="DV33">
        <v>74.747245788574205</v>
      </c>
      <c r="DW33">
        <v>-29.444898605346701</v>
      </c>
      <c r="DX33">
        <v>1.6069889068603498E-2</v>
      </c>
      <c r="DY33" s="2">
        <v>3.1073586796992501E-6</v>
      </c>
      <c r="DZ33" s="2">
        <v>1.97139105040378E-9</v>
      </c>
      <c r="EA33" s="2">
        <v>4.9962821435656197E-8</v>
      </c>
      <c r="EB33" s="2">
        <v>2.20982099286005E-9</v>
      </c>
      <c r="EC33">
        <v>74.819839477539105</v>
      </c>
      <c r="ED33">
        <v>-39.039752960205099</v>
      </c>
      <c r="EE33" s="2">
        <v>3.4028230607370999E+38</v>
      </c>
      <c r="EF33" s="2">
        <v>3.4028230607370999E+38</v>
      </c>
      <c r="EG33">
        <v>398.38018798828102</v>
      </c>
      <c r="EH33">
        <v>460.02780151367199</v>
      </c>
      <c r="EI33">
        <v>230.041259765625</v>
      </c>
      <c r="EJ33" s="2">
        <v>3.4028230607370999E+38</v>
      </c>
      <c r="EK33" s="2">
        <v>3.4028230607370999E+38</v>
      </c>
      <c r="EL33">
        <v>123</v>
      </c>
      <c r="EM33">
        <v>230.00222778320301</v>
      </c>
      <c r="EN33">
        <v>2.0001122951507599</v>
      </c>
      <c r="EO33">
        <v>398.38388061523398</v>
      </c>
      <c r="EP33">
        <v>460.02902221679699</v>
      </c>
      <c r="EQ33">
        <v>230.04118347168</v>
      </c>
      <c r="ER33">
        <v>49.999954223632798</v>
      </c>
      <c r="ES33">
        <v>-30.003782272338899</v>
      </c>
      <c r="ET33">
        <v>0.86599737405777</v>
      </c>
      <c r="EU33" s="2">
        <v>3.4028230607370999E+38</v>
      </c>
      <c r="EV33">
        <v>0</v>
      </c>
      <c r="EW33">
        <v>230.00119018554699</v>
      </c>
      <c r="EX33">
        <v>398.37994384765602</v>
      </c>
      <c r="EY33">
        <v>460.03070068359398</v>
      </c>
      <c r="EZ33">
        <v>230.04298400878901</v>
      </c>
      <c r="FA33">
        <v>-7.16885726433247E-4</v>
      </c>
      <c r="FB33">
        <v>1.4548166655004E-2</v>
      </c>
      <c r="FC33" s="2">
        <v>3.6020205698150701E-6</v>
      </c>
      <c r="FD33" s="2">
        <v>2.21860529947548E-9</v>
      </c>
      <c r="FE33" s="2">
        <v>5.2116682525138498E-8</v>
      </c>
      <c r="FF33" s="2">
        <v>1.06906605790158E-9</v>
      </c>
      <c r="FG33">
        <v>74.786636352539105</v>
      </c>
      <c r="FH33">
        <v>-29.584142684936499</v>
      </c>
      <c r="FI33">
        <v>6.0679141432046897E-2</v>
      </c>
      <c r="FJ33" s="2">
        <v>3.4028230607370999E+38</v>
      </c>
      <c r="FK33">
        <v>33.660850524902301</v>
      </c>
      <c r="FL33">
        <v>2.00991611927748E-2</v>
      </c>
      <c r="FM33">
        <v>0</v>
      </c>
      <c r="FN33">
        <v>0</v>
      </c>
      <c r="FO33">
        <v>0</v>
      </c>
      <c r="FP33" s="2">
        <v>4.5703004616370899E-6</v>
      </c>
      <c r="FQ33">
        <v>1.5660054981708499E-2</v>
      </c>
      <c r="FR33" s="2">
        <v>3.1289785056287698E-6</v>
      </c>
      <c r="FS33" s="2">
        <v>2.3506221413782702E-9</v>
      </c>
      <c r="FT33" s="2">
        <v>4.8959943654835998E-8</v>
      </c>
      <c r="FU33" s="2">
        <v>1.8866426199082302E-9</v>
      </c>
      <c r="FV33">
        <v>74.75146484375</v>
      </c>
      <c r="FW33">
        <v>-49.761558532714801</v>
      </c>
      <c r="FX33">
        <v>3.3321030437946299E-2</v>
      </c>
      <c r="FY33" s="2">
        <v>3.4028230607370999E+38</v>
      </c>
      <c r="FZ33">
        <v>63.680652618408203</v>
      </c>
      <c r="GA33">
        <v>228.99067687988301</v>
      </c>
      <c r="GB33" s="2">
        <v>-1.1341829558864099E-10</v>
      </c>
      <c r="GC33">
        <v>7.3605240322649501E-4</v>
      </c>
      <c r="GD33" s="2">
        <v>1.5064192948610601E-11</v>
      </c>
      <c r="GE33" s="2">
        <v>-2.5901854314724901E-5</v>
      </c>
      <c r="GF33" s="2">
        <v>3.4028230607370999E+38</v>
      </c>
      <c r="GG33" s="2">
        <v>3.4028230607370999E+38</v>
      </c>
      <c r="GH33">
        <v>398.38375854492199</v>
      </c>
      <c r="GI33">
        <v>460.02566528320301</v>
      </c>
      <c r="GJ33">
        <v>230.04034423828099</v>
      </c>
      <c r="GK33" s="2">
        <v>3.4028230607370999E+38</v>
      </c>
      <c r="GL33" s="2">
        <v>3.4028230607370999E+38</v>
      </c>
      <c r="GM33" s="2">
        <v>3.4028230607370999E+38</v>
      </c>
      <c r="GN33" s="2">
        <v>3.4028230607370999E+38</v>
      </c>
      <c r="GO33" s="2">
        <v>3.4028230607370999E+38</v>
      </c>
      <c r="GP33" s="2">
        <v>3.4028230607370999E+38</v>
      </c>
      <c r="GQ33">
        <v>398.37191772460898</v>
      </c>
      <c r="GR33">
        <v>398.37191772460898</v>
      </c>
      <c r="GS33">
        <v>230.04299926757801</v>
      </c>
      <c r="GT33">
        <v>-7.5561652192845897E-4</v>
      </c>
      <c r="GX33">
        <f t="shared" si="1"/>
        <v>230.00176086425782</v>
      </c>
      <c r="GY33">
        <f t="shared" si="2"/>
        <v>2.0001039505004856</v>
      </c>
      <c r="GZ33">
        <f t="shared" si="3"/>
        <v>398.38156127929682</v>
      </c>
      <c r="HA33">
        <f t="shared" si="4"/>
        <v>460.02746582031233</v>
      </c>
      <c r="HB33">
        <f t="shared" si="5"/>
        <v>230.03925781250001</v>
      </c>
      <c r="HC33">
        <f t="shared" si="6"/>
        <v>49.999929809570311</v>
      </c>
      <c r="HD33">
        <f t="shared" si="7"/>
        <v>-30.003441619873019</v>
      </c>
      <c r="HW33" s="10">
        <f>(GX33/Data!$S33-1)*1000000</f>
        <v>21.799718140425028</v>
      </c>
      <c r="HX33" s="10">
        <f>(GY33/Data!$T33-1)*1000000</f>
        <v>18.083637370214234</v>
      </c>
      <c r="HY33" s="10">
        <f>(GZ33/Data!$BW33-1)*1000000</f>
        <v>8.4384117911007195</v>
      </c>
      <c r="HZ33" s="10">
        <f>(HA33/(Data!$S33*Data!$T33)-1)*1000000</f>
        <v>39.960473523059648</v>
      </c>
      <c r="IA33" s="7">
        <f>(HB33/IF(HD33&gt;0, -Data!$BX33,Data!$BX33)-1)*1000000</f>
        <v>140.72540392162659</v>
      </c>
      <c r="IB33" s="10"/>
      <c r="IC33" s="9">
        <f>(HD33-Data!$U33)</f>
        <v>-3.1040798730188612E-3</v>
      </c>
    </row>
    <row r="34" spans="1:237" x14ac:dyDescent="0.2">
      <c r="A34">
        <v>34</v>
      </c>
      <c r="B34">
        <v>230.00175476074199</v>
      </c>
      <c r="C34">
        <v>2.00011086463928</v>
      </c>
      <c r="D34">
        <v>398.38430786132801</v>
      </c>
      <c r="E34">
        <v>460.02886962890602</v>
      </c>
      <c r="F34">
        <v>230.04020690918</v>
      </c>
      <c r="G34">
        <v>49.999912261962898</v>
      </c>
      <c r="H34">
        <v>-30.0037441253662</v>
      </c>
      <c r="I34">
        <v>1.6540352255106E-2</v>
      </c>
      <c r="J34" s="2">
        <v>3.5642410693981198E-6</v>
      </c>
      <c r="K34" s="2">
        <v>5.39029088031384E-9</v>
      </c>
      <c r="L34" s="2">
        <v>5.9315190981124E-8</v>
      </c>
      <c r="M34" s="2">
        <v>1.45928613637381E-9</v>
      </c>
      <c r="N34">
        <v>74.664009094238295</v>
      </c>
      <c r="O34">
        <v>-19.86252784729</v>
      </c>
      <c r="P34">
        <v>1.8277039751410502E-2</v>
      </c>
      <c r="Q34" s="2">
        <v>3.1210163342620898E-6</v>
      </c>
      <c r="R34" s="2">
        <v>3.3625411344218E-9</v>
      </c>
      <c r="S34" s="2">
        <v>5.8635503563664302E-8</v>
      </c>
      <c r="T34" s="2">
        <v>3.64896246551893E-9</v>
      </c>
      <c r="U34">
        <v>74.801063537597699</v>
      </c>
      <c r="V34">
        <v>-63.485935211181598</v>
      </c>
      <c r="W34" s="2">
        <v>3.4028230607370999E+38</v>
      </c>
      <c r="X34" s="2">
        <v>3.4028230607370999E+38</v>
      </c>
      <c r="Y34">
        <v>398.38430786132801</v>
      </c>
      <c r="Z34">
        <v>460.02886962890602</v>
      </c>
      <c r="AA34">
        <v>230.04020690918</v>
      </c>
      <c r="AB34" s="2">
        <v>3.4028230607370999E+38</v>
      </c>
      <c r="AC34" s="2">
        <v>3.4028230607370999E+38</v>
      </c>
      <c r="AD34">
        <v>230.001220703125</v>
      </c>
      <c r="AE34">
        <v>2.00012230873108</v>
      </c>
      <c r="AF34">
        <v>398.38540649414102</v>
      </c>
      <c r="AG34">
        <v>460.03030395507801</v>
      </c>
      <c r="AH34">
        <v>230.03880310058599</v>
      </c>
      <c r="AI34">
        <v>49.999893188476598</v>
      </c>
      <c r="AJ34">
        <v>-30.0034885406494</v>
      </c>
      <c r="AK34">
        <v>1.6954245045781101E-2</v>
      </c>
      <c r="AL34" s="2">
        <v>3.6502528928394899E-6</v>
      </c>
      <c r="AM34" s="2">
        <v>4.6172332623939399E-9</v>
      </c>
      <c r="AN34" s="2">
        <v>6.0712196159329297E-8</v>
      </c>
      <c r="AO34" s="2">
        <v>-1.82274539906047E-9</v>
      </c>
      <c r="AP34">
        <v>74.737579345703097</v>
      </c>
      <c r="AQ34">
        <v>6.8643460273742702</v>
      </c>
      <c r="AR34">
        <v>1.8523426726460498E-2</v>
      </c>
      <c r="AS34" s="2">
        <v>3.12846373162756E-6</v>
      </c>
      <c r="AT34" s="2">
        <v>3.3209064387307299E-9</v>
      </c>
      <c r="AU34" s="2">
        <v>5.75468384056421E-8</v>
      </c>
      <c r="AV34" s="2">
        <v>1.8815975444397298E-9</v>
      </c>
      <c r="AW34">
        <v>74.733932495117202</v>
      </c>
      <c r="AX34">
        <v>-26.9117527008057</v>
      </c>
      <c r="AY34" s="2">
        <v>3.4028230607370999E+38</v>
      </c>
      <c r="AZ34" s="2">
        <v>3.4028230607370999E+38</v>
      </c>
      <c r="BA34">
        <v>398.38540649414102</v>
      </c>
      <c r="BB34">
        <v>460.03030395507801</v>
      </c>
      <c r="BC34">
        <v>230.03878784179699</v>
      </c>
      <c r="BD34" s="2">
        <v>3.4028230607370999E+38</v>
      </c>
      <c r="BE34" s="2">
        <v>3.4028230607370999E+38</v>
      </c>
      <c r="BF34">
        <v>230.00222778320301</v>
      </c>
      <c r="BG34">
        <v>2.0001125335693399</v>
      </c>
      <c r="BH34">
        <v>398.38342285156199</v>
      </c>
      <c r="BI34">
        <v>460.03140258789102</v>
      </c>
      <c r="BJ34">
        <v>230.04263305664099</v>
      </c>
      <c r="BK34">
        <v>49.999935150146499</v>
      </c>
      <c r="BL34">
        <v>-30.003868103027301</v>
      </c>
      <c r="BM34">
        <v>1.54345883056521E-2</v>
      </c>
      <c r="BN34" s="2">
        <v>3.59325076715322E-6</v>
      </c>
      <c r="BO34" s="2">
        <v>3.7564475974249903E-9</v>
      </c>
      <c r="BP34" s="2">
        <v>5.5958818023782402E-8</v>
      </c>
      <c r="BQ34" s="2">
        <v>-1.0754770407572801E-9</v>
      </c>
      <c r="BR34">
        <v>74.7010498046875</v>
      </c>
      <c r="BS34">
        <v>8.48748779296875</v>
      </c>
      <c r="BT34">
        <v>1.67057849466801E-2</v>
      </c>
      <c r="BU34" s="2">
        <v>3.16702244163025E-6</v>
      </c>
      <c r="BV34" s="2">
        <v>2.6909503514360701E-9</v>
      </c>
      <c r="BW34" s="2">
        <v>5.1463214134628301E-8</v>
      </c>
      <c r="BX34" s="2">
        <v>8.4004359024447705E-10</v>
      </c>
      <c r="BY34">
        <v>74.805084228515597</v>
      </c>
      <c r="BZ34">
        <v>-17.336982727050799</v>
      </c>
      <c r="CA34" s="2">
        <v>3.4028230607370999E+38</v>
      </c>
      <c r="CB34" s="2">
        <v>3.4028230607370999E+38</v>
      </c>
      <c r="CC34">
        <v>398.38342285156199</v>
      </c>
      <c r="CD34">
        <v>460.03140258789102</v>
      </c>
      <c r="CE34">
        <v>230.04261779785199</v>
      </c>
      <c r="CF34" s="2">
        <v>3.4028230607370999E+38</v>
      </c>
      <c r="CG34" s="2">
        <v>3.4028230607370999E+38</v>
      </c>
      <c r="CH34">
        <v>230.00198364257801</v>
      </c>
      <c r="CI34">
        <v>2.0001156330108598</v>
      </c>
      <c r="CJ34">
        <v>398.38485717773398</v>
      </c>
      <c r="CK34">
        <v>460.0302734375</v>
      </c>
      <c r="CL34">
        <v>230.03521728515599</v>
      </c>
      <c r="CM34">
        <v>49.999946594238303</v>
      </c>
      <c r="CN34">
        <v>-30.00319480896</v>
      </c>
      <c r="CO34">
        <v>1.6341472044587101E-2</v>
      </c>
      <c r="CP34" s="2">
        <v>3.6352616916701701E-6</v>
      </c>
      <c r="CQ34" s="2">
        <v>3.79011932949425E-9</v>
      </c>
      <c r="CR34" s="2">
        <v>5.8250869017228999E-8</v>
      </c>
      <c r="CS34" s="2">
        <v>-1.4879003584766801E-9</v>
      </c>
      <c r="CT34">
        <v>74.764427185058594</v>
      </c>
      <c r="CU34">
        <v>42.425266265869098</v>
      </c>
      <c r="CV34">
        <v>1.7471127212047601E-2</v>
      </c>
      <c r="CW34" s="2">
        <v>3.1670490443502798E-6</v>
      </c>
      <c r="CX34" s="2">
        <v>3.41042882823217E-9</v>
      </c>
      <c r="CY34" s="2">
        <v>5.5487230810058503E-8</v>
      </c>
      <c r="CZ34" s="2">
        <v>1.63540136988161E-9</v>
      </c>
      <c r="DA34">
        <v>74.763832092285199</v>
      </c>
      <c r="DB34">
        <v>-43.215293884277301</v>
      </c>
      <c r="DC34" s="2">
        <v>3.4028230607370999E+38</v>
      </c>
      <c r="DD34" s="2">
        <v>3.4028230607370999E+38</v>
      </c>
      <c r="DE34">
        <v>398.38485717773398</v>
      </c>
      <c r="DF34">
        <v>460.0302734375</v>
      </c>
      <c r="DG34">
        <v>230.03520202636699</v>
      </c>
      <c r="DH34" s="2">
        <v>3.4028230607370999E+38</v>
      </c>
      <c r="DI34" s="2">
        <v>3.4028230607370999E+38</v>
      </c>
      <c r="DJ34">
        <v>230.00169372558599</v>
      </c>
      <c r="DK34">
        <v>2.0001094341278098</v>
      </c>
      <c r="DL34">
        <v>398.38504028320301</v>
      </c>
      <c r="DM34">
        <v>460.02935791015602</v>
      </c>
      <c r="DN34">
        <v>230.03579711914099</v>
      </c>
      <c r="DO34">
        <v>50.000007629394503</v>
      </c>
      <c r="DP34">
        <v>-30.004209518432599</v>
      </c>
      <c r="DQ34">
        <v>1.55086861923337E-2</v>
      </c>
      <c r="DR34" s="2">
        <v>3.60061085302732E-6</v>
      </c>
      <c r="DS34" s="2">
        <v>3.05743275141879E-9</v>
      </c>
      <c r="DT34" s="2">
        <v>5.7099079242561903E-8</v>
      </c>
      <c r="DU34" s="2">
        <v>-2.02098560109221E-9</v>
      </c>
      <c r="DV34">
        <v>74.68603515625</v>
      </c>
      <c r="DW34">
        <v>21.707349777221701</v>
      </c>
      <c r="DX34">
        <v>1.6649236902594601E-2</v>
      </c>
      <c r="DY34" s="2">
        <v>3.09609299620206E-6</v>
      </c>
      <c r="DZ34" s="2">
        <v>2.7983517725260799E-9</v>
      </c>
      <c r="EA34" s="2">
        <v>5.3708983926981098E-8</v>
      </c>
      <c r="EB34" s="2">
        <v>5.76411696151524E-10</v>
      </c>
      <c r="EC34">
        <v>74.643142700195298</v>
      </c>
      <c r="ED34">
        <v>-21.449638366699201</v>
      </c>
      <c r="EE34" s="2">
        <v>3.4028230607370999E+38</v>
      </c>
      <c r="EF34" s="2">
        <v>3.4028230607370999E+38</v>
      </c>
      <c r="EG34">
        <v>398.38504028320301</v>
      </c>
      <c r="EH34">
        <v>460.02935791015602</v>
      </c>
      <c r="EI34">
        <v>230.03578186035199</v>
      </c>
      <c r="EJ34" s="2">
        <v>3.4028230607370999E+38</v>
      </c>
      <c r="EK34" s="2">
        <v>3.4028230607370999E+38</v>
      </c>
      <c r="EL34">
        <v>123</v>
      </c>
      <c r="EM34">
        <v>230.00201416015599</v>
      </c>
      <c r="EN34">
        <v>2.00011014938354</v>
      </c>
      <c r="EO34">
        <v>398.38198852539102</v>
      </c>
      <c r="EP34">
        <v>460.02914428710898</v>
      </c>
      <c r="EQ34">
        <v>230.04216003418</v>
      </c>
      <c r="ER34">
        <v>49.999973297119098</v>
      </c>
      <c r="ES34">
        <v>-30.003826141357401</v>
      </c>
      <c r="ET34">
        <v>0.86599260568618797</v>
      </c>
      <c r="EU34" s="2">
        <v>3.4028230607370999E+38</v>
      </c>
      <c r="EV34">
        <v>0</v>
      </c>
      <c r="EW34">
        <v>230.00709533691401</v>
      </c>
      <c r="EX34">
        <v>398.38632202148398</v>
      </c>
      <c r="EY34">
        <v>460.04113769531199</v>
      </c>
      <c r="EZ34">
        <v>230.05546569824199</v>
      </c>
      <c r="FA34" s="2">
        <v>5.8728314797917796E-6</v>
      </c>
      <c r="FB34">
        <v>1.6251040622592E-2</v>
      </c>
      <c r="FC34" s="2">
        <v>3.6662781894847302E-6</v>
      </c>
      <c r="FD34" s="2">
        <v>4.34271107963013E-9</v>
      </c>
      <c r="FE34" s="2">
        <v>5.9599795321219102E-8</v>
      </c>
      <c r="FF34" s="2">
        <v>-1.2477573418934199E-9</v>
      </c>
      <c r="FG34">
        <v>74.661933898925795</v>
      </c>
      <c r="FH34">
        <v>25.425006866455099</v>
      </c>
      <c r="FI34">
        <v>6.4104393124580397E-2</v>
      </c>
      <c r="FJ34" s="2">
        <v>3.4028230607370999E+38</v>
      </c>
      <c r="FK34">
        <v>-50.918296813964801</v>
      </c>
      <c r="FL34">
        <v>2.0038496702909501E-2</v>
      </c>
      <c r="FM34">
        <v>0</v>
      </c>
      <c r="FN34">
        <v>0</v>
      </c>
      <c r="FO34">
        <v>0</v>
      </c>
      <c r="FP34" s="2">
        <v>-1.5765677744639099E-5</v>
      </c>
      <c r="FQ34">
        <v>1.78916994482279E-2</v>
      </c>
      <c r="FR34" s="2">
        <v>3.18856950798363E-6</v>
      </c>
      <c r="FS34" s="2">
        <v>2.8772348947825301E-9</v>
      </c>
      <c r="FT34" s="2">
        <v>5.6950046456449901E-8</v>
      </c>
      <c r="FU34" s="2">
        <v>2.3268797999520501E-9</v>
      </c>
      <c r="FV34">
        <v>74.662864685058594</v>
      </c>
      <c r="FW34">
        <v>-31.583633422851602</v>
      </c>
      <c r="FX34">
        <v>6.8152256309986101E-2</v>
      </c>
      <c r="FY34" s="2">
        <v>3.4028230607370999E+38</v>
      </c>
      <c r="FZ34">
        <v>7.1258511543273899</v>
      </c>
      <c r="GA34">
        <v>229.67106628418</v>
      </c>
      <c r="GB34" s="2">
        <v>-5.6917376367593399E-10</v>
      </c>
      <c r="GC34">
        <v>7.1892846608534499E-4</v>
      </c>
      <c r="GD34" s="2">
        <v>3.0245167481624001E-10</v>
      </c>
      <c r="GE34" s="2">
        <v>-3.29341310134623E-5</v>
      </c>
      <c r="GF34" s="2">
        <v>3.4028230607370999E+38</v>
      </c>
      <c r="GG34" s="2">
        <v>3.4028230607370999E+38</v>
      </c>
      <c r="GH34">
        <v>398.38302612304699</v>
      </c>
      <c r="GI34">
        <v>460.03186035156199</v>
      </c>
      <c r="GJ34">
        <v>230.04551696777301</v>
      </c>
      <c r="GK34" s="2">
        <v>3.4028230607370999E+38</v>
      </c>
      <c r="GL34" s="2">
        <v>3.4028230607370999E+38</v>
      </c>
      <c r="GM34" s="2">
        <v>3.4028230607370999E+38</v>
      </c>
      <c r="GN34" s="2">
        <v>3.4028230607370999E+38</v>
      </c>
      <c r="GO34" s="2">
        <v>3.4028230607370999E+38</v>
      </c>
      <c r="GP34" s="2">
        <v>3.4028230607370999E+38</v>
      </c>
      <c r="GQ34">
        <v>398.38619995117199</v>
      </c>
      <c r="GR34">
        <v>398.38619995117199</v>
      </c>
      <c r="GS34">
        <v>230.05909729003901</v>
      </c>
      <c r="GT34" s="2">
        <v>7.1581052907276899E-5</v>
      </c>
      <c r="GX34">
        <f t="shared" si="1"/>
        <v>230.0017761230468</v>
      </c>
      <c r="GY34">
        <f t="shared" si="2"/>
        <v>2.0001141548156736</v>
      </c>
      <c r="GZ34">
        <f t="shared" si="3"/>
        <v>398.38460693359355</v>
      </c>
      <c r="HA34">
        <f t="shared" si="4"/>
        <v>460.03004150390626</v>
      </c>
      <c r="HB34">
        <f t="shared" si="5"/>
        <v>230.03853149414081</v>
      </c>
      <c r="HC34">
        <f t="shared" si="6"/>
        <v>49.999938964843764</v>
      </c>
      <c r="HD34">
        <f t="shared" si="7"/>
        <v>-30.003701019287099</v>
      </c>
      <c r="HW34" s="10">
        <f>(GX34/Data!$S34-1)*1000000</f>
        <v>21.661271698558693</v>
      </c>
      <c r="HX34" s="10">
        <f>(GY34/Data!$T34-1)*1000000</f>
        <v>18.824187764554523</v>
      </c>
      <c r="HY34" s="10">
        <f>(GZ34/Data!$BW34-1)*1000000</f>
        <v>9.5454739621469997</v>
      </c>
      <c r="HZ34" s="10">
        <f>(HA34/(Data!$S34*Data!$T34)-1)*1000000</f>
        <v>40.993349347262509</v>
      </c>
      <c r="IA34" s="7">
        <f>(HB34/IF(HD34&gt;0, -Data!$BX34,Data!$BX34)-1)*1000000</f>
        <v>138.91513071895289</v>
      </c>
      <c r="IB34" s="10"/>
      <c r="IC34" s="9">
        <f>(HD34-Data!$U34)</f>
        <v>-3.5591192871002875E-3</v>
      </c>
    </row>
    <row r="35" spans="1:237" x14ac:dyDescent="0.2">
      <c r="A35">
        <v>35</v>
      </c>
      <c r="B35">
        <v>230.00183105468801</v>
      </c>
      <c r="C35">
        <v>2.0000946521759002</v>
      </c>
      <c r="D35">
        <v>398.38140869140602</v>
      </c>
      <c r="E35">
        <v>460.025146484375</v>
      </c>
      <c r="F35">
        <v>230.03935241699199</v>
      </c>
      <c r="G35">
        <v>49.999973297119098</v>
      </c>
      <c r="H35">
        <v>-30.0035190582275</v>
      </c>
      <c r="I35">
        <v>1.7149414867162701E-2</v>
      </c>
      <c r="J35" s="2">
        <v>3.5656562431540802E-6</v>
      </c>
      <c r="K35" s="2">
        <v>4.9898409848481201E-9</v>
      </c>
      <c r="L35" s="2">
        <v>6.0467584717116604E-8</v>
      </c>
      <c r="M35" s="2">
        <v>1.62190183505828E-9</v>
      </c>
      <c r="N35">
        <v>74.762252807617202</v>
      </c>
      <c r="O35">
        <v>-14.161923408508301</v>
      </c>
      <c r="P35">
        <v>1.8679793924093201E-2</v>
      </c>
      <c r="Q35" s="2">
        <v>3.1946765375323602E-6</v>
      </c>
      <c r="R35" s="2">
        <v>4.9711599281465599E-9</v>
      </c>
      <c r="S35" s="2">
        <v>5.7754846238822197E-8</v>
      </c>
      <c r="T35" s="2">
        <v>5.2758521995599503E-9</v>
      </c>
      <c r="U35">
        <v>74.775688171386705</v>
      </c>
      <c r="V35">
        <v>-46.770072937011697</v>
      </c>
      <c r="W35" s="2">
        <v>3.4028230607370999E+38</v>
      </c>
      <c r="X35" s="2">
        <v>3.4028230607370999E+38</v>
      </c>
      <c r="Y35">
        <v>398.38140869140602</v>
      </c>
      <c r="Z35">
        <v>460.025146484375</v>
      </c>
      <c r="AA35">
        <v>230.03935241699199</v>
      </c>
      <c r="AB35" s="2">
        <v>3.4028230607370999E+38</v>
      </c>
      <c r="AC35" s="2">
        <v>3.4028230607370999E+38</v>
      </c>
      <c r="AD35">
        <v>230.00177001953099</v>
      </c>
      <c r="AE35">
        <v>2.00011086463928</v>
      </c>
      <c r="AF35">
        <v>398.38333129882801</v>
      </c>
      <c r="AG35">
        <v>460.02935791015602</v>
      </c>
      <c r="AH35">
        <v>230.03959655761699</v>
      </c>
      <c r="AI35">
        <v>49.999927520752003</v>
      </c>
      <c r="AJ35">
        <v>-30.003543853759801</v>
      </c>
      <c r="AK35">
        <v>1.73185970634222E-2</v>
      </c>
      <c r="AL35" s="2">
        <v>3.5619584650703498E-6</v>
      </c>
      <c r="AM35" s="2">
        <v>4.8607144975676403E-9</v>
      </c>
      <c r="AN35" s="2">
        <v>6.0607291629821702E-8</v>
      </c>
      <c r="AO35" s="2">
        <v>-7.6804662629825802E-10</v>
      </c>
      <c r="AP35">
        <v>74.790061950683594</v>
      </c>
      <c r="AQ35">
        <v>9.4717588424682599</v>
      </c>
      <c r="AR35">
        <v>1.86760574579239E-2</v>
      </c>
      <c r="AS35" s="2">
        <v>3.15425086228061E-6</v>
      </c>
      <c r="AT35" s="2">
        <v>3.7759666504655301E-9</v>
      </c>
      <c r="AU35" s="2">
        <v>5.8258812885014803E-8</v>
      </c>
      <c r="AV35" s="2">
        <v>3.2630003143907499E-9</v>
      </c>
      <c r="AW35">
        <v>74.657073974609403</v>
      </c>
      <c r="AX35">
        <v>-35.813243865966797</v>
      </c>
      <c r="AY35" s="2">
        <v>3.4028230607370999E+38</v>
      </c>
      <c r="AZ35" s="2">
        <v>3.4028230607370999E+38</v>
      </c>
      <c r="BA35">
        <v>398.38333129882801</v>
      </c>
      <c r="BB35">
        <v>460.02935791015602</v>
      </c>
      <c r="BC35">
        <v>230.03958129882801</v>
      </c>
      <c r="BD35" s="2">
        <v>3.4028230607370999E+38</v>
      </c>
      <c r="BE35" s="2">
        <v>3.4028230607370999E+38</v>
      </c>
      <c r="BF35">
        <v>230.00227355957</v>
      </c>
      <c r="BG35">
        <v>2.00012254714966</v>
      </c>
      <c r="BH35">
        <v>398.38461303710898</v>
      </c>
      <c r="BI35">
        <v>460.03240966796898</v>
      </c>
      <c r="BJ35">
        <v>230.04344177246099</v>
      </c>
      <c r="BK35">
        <v>49.999893188476598</v>
      </c>
      <c r="BL35">
        <v>-30.003690719604499</v>
      </c>
      <c r="BM35">
        <v>1.4822480268776399E-2</v>
      </c>
      <c r="BN35" s="2">
        <v>3.6461854051594902E-6</v>
      </c>
      <c r="BO35" s="2">
        <v>2.8997961809551498E-9</v>
      </c>
      <c r="BP35" s="2">
        <v>5.4046996211809502E-8</v>
      </c>
      <c r="BQ35" s="2">
        <v>-2.4639784657054499E-10</v>
      </c>
      <c r="BR35">
        <v>74.786705017089801</v>
      </c>
      <c r="BS35">
        <v>5.3856902122497603</v>
      </c>
      <c r="BT35">
        <v>1.5784183517098399E-2</v>
      </c>
      <c r="BU35" s="2">
        <v>3.1587114790454498E-6</v>
      </c>
      <c r="BV35" s="2">
        <v>1.8777115418089401E-9</v>
      </c>
      <c r="BW35" s="2">
        <v>4.9969600013355402E-8</v>
      </c>
      <c r="BX35" s="2">
        <v>6.1850113919348401E-10</v>
      </c>
      <c r="BY35">
        <v>74.754814147949205</v>
      </c>
      <c r="BZ35">
        <v>-36.044303894042997</v>
      </c>
      <c r="CA35" s="2">
        <v>3.4028230607370999E+38</v>
      </c>
      <c r="CB35" s="2">
        <v>3.4028230607370999E+38</v>
      </c>
      <c r="CC35">
        <v>398.38461303710898</v>
      </c>
      <c r="CD35">
        <v>460.03240966796898</v>
      </c>
      <c r="CE35">
        <v>230.04342651367199</v>
      </c>
      <c r="CF35" s="2">
        <v>3.4028230607370999E+38</v>
      </c>
      <c r="CG35" s="2">
        <v>3.4028230607370999E+38</v>
      </c>
      <c r="CH35">
        <v>230.001708984375</v>
      </c>
      <c r="CI35">
        <v>2.0001242160797101</v>
      </c>
      <c r="CJ35">
        <v>398.38684082031199</v>
      </c>
      <c r="CK35">
        <v>460.03323364257801</v>
      </c>
      <c r="CL35">
        <v>230.04121398925801</v>
      </c>
      <c r="CM35">
        <v>49.999927520752003</v>
      </c>
      <c r="CN35">
        <v>-30.0035190582275</v>
      </c>
      <c r="CO35">
        <v>1.7833506688475598E-2</v>
      </c>
      <c r="CP35" s="2">
        <v>3.6176113553665299E-6</v>
      </c>
      <c r="CQ35" s="2">
        <v>4.7674655334617496E-9</v>
      </c>
      <c r="CR35" s="2">
        <v>6.3539282280089498E-8</v>
      </c>
      <c r="CS35" s="2">
        <v>-7.8995360253131304E-10</v>
      </c>
      <c r="CT35">
        <v>74.7938232421875</v>
      </c>
      <c r="CU35">
        <v>10.073469161987299</v>
      </c>
      <c r="CV35">
        <v>1.94321777671576E-2</v>
      </c>
      <c r="CW35" s="2">
        <v>3.1200188459479301E-6</v>
      </c>
      <c r="CX35" s="2">
        <v>5.9333604696121297E-9</v>
      </c>
      <c r="CY35" s="2">
        <v>6.2511276155419195E-8</v>
      </c>
      <c r="CZ35" s="2">
        <v>5.1102193587837502E-9</v>
      </c>
      <c r="DA35">
        <v>74.655334472656193</v>
      </c>
      <c r="DB35">
        <v>-40.7373046875</v>
      </c>
      <c r="DC35" s="2">
        <v>3.4028230607370999E+38</v>
      </c>
      <c r="DD35" s="2">
        <v>3.4028230607370999E+38</v>
      </c>
      <c r="DE35">
        <v>398.38684082031199</v>
      </c>
      <c r="DF35">
        <v>460.03323364257801</v>
      </c>
      <c r="DG35">
        <v>230.04119873046901</v>
      </c>
      <c r="DH35" s="2">
        <v>3.4028230607370999E+38</v>
      </c>
      <c r="DI35" s="2">
        <v>3.4028230607370999E+38</v>
      </c>
      <c r="DJ35">
        <v>230.00161743164099</v>
      </c>
      <c r="DK35">
        <v>2.0001084804534899</v>
      </c>
      <c r="DL35">
        <v>398.3828125</v>
      </c>
      <c r="DM35">
        <v>460.02786254882801</v>
      </c>
      <c r="DN35">
        <v>230.03732299804699</v>
      </c>
      <c r="DO35">
        <v>49.999935150146499</v>
      </c>
      <c r="DP35">
        <v>-30.003059387206999</v>
      </c>
      <c r="DQ35">
        <v>1.77639406174421E-2</v>
      </c>
      <c r="DR35" s="2">
        <v>3.5714310797629899E-6</v>
      </c>
      <c r="DS35" s="2">
        <v>5.3812114764184604E-9</v>
      </c>
      <c r="DT35" s="2">
        <v>6.3092542745835103E-8</v>
      </c>
      <c r="DU35" s="2">
        <v>-1.2460044107598401E-9</v>
      </c>
      <c r="DV35">
        <v>74.644081115722699</v>
      </c>
      <c r="DW35">
        <v>4.6116194725036603</v>
      </c>
      <c r="DX35">
        <v>1.92969478666782E-2</v>
      </c>
      <c r="DY35" s="2">
        <v>3.1218098683893901E-6</v>
      </c>
      <c r="DZ35" s="2">
        <v>4.5984931418274796E-9</v>
      </c>
      <c r="EA35" s="2">
        <v>6.1018631924980595E-8</v>
      </c>
      <c r="EB35" s="2">
        <v>3.3541303068318501E-9</v>
      </c>
      <c r="EC35">
        <v>74.77001953125</v>
      </c>
      <c r="ED35">
        <v>-50.576316833496101</v>
      </c>
      <c r="EE35" s="2">
        <v>3.4028230607370999E+38</v>
      </c>
      <c r="EF35" s="2">
        <v>3.4028230607370999E+38</v>
      </c>
      <c r="EG35">
        <v>398.3828125</v>
      </c>
      <c r="EH35">
        <v>460.02786254882801</v>
      </c>
      <c r="EI35">
        <v>230.03730773925801</v>
      </c>
      <c r="EJ35" s="2">
        <v>3.4028230607370999E+38</v>
      </c>
      <c r="EK35" s="2">
        <v>3.4028230607370999E+38</v>
      </c>
      <c r="EL35">
        <v>123</v>
      </c>
      <c r="EM35">
        <v>230.00163269043</v>
      </c>
      <c r="EN35">
        <v>2.0001237392425502</v>
      </c>
      <c r="EO35">
        <v>398.38488769531199</v>
      </c>
      <c r="EP35">
        <v>460.02792358398398</v>
      </c>
      <c r="EQ35">
        <v>230.04002380371099</v>
      </c>
      <c r="ER35">
        <v>49.999935150146499</v>
      </c>
      <c r="ES35">
        <v>-30.003742218017599</v>
      </c>
      <c r="ET35">
        <v>0.86599737405777</v>
      </c>
      <c r="EU35" s="2">
        <v>3.4028230607370999E+38</v>
      </c>
      <c r="EV35">
        <v>0</v>
      </c>
      <c r="EW35">
        <v>230.00350952148401</v>
      </c>
      <c r="EX35">
        <v>398.37771606445301</v>
      </c>
      <c r="EY35">
        <v>460.03350830078102</v>
      </c>
      <c r="EZ35">
        <v>230.05110168457</v>
      </c>
      <c r="FA35">
        <v>-8.7594048818573399E-4</v>
      </c>
      <c r="FB35">
        <v>1.73899959772825E-2</v>
      </c>
      <c r="FC35" s="2">
        <v>3.6121400626143398E-6</v>
      </c>
      <c r="FD35" s="2">
        <v>5.7269371467327801E-9</v>
      </c>
      <c r="FE35" s="2">
        <v>6.2823765745179103E-8</v>
      </c>
      <c r="FF35" s="2">
        <v>1.2628194046016E-9</v>
      </c>
      <c r="FG35">
        <v>74.788528442382798</v>
      </c>
      <c r="FH35">
        <v>-18.7532768249512</v>
      </c>
      <c r="FI35">
        <v>9.2567332088947296E-2</v>
      </c>
      <c r="FJ35" s="2">
        <v>3.4028230607370999E+38</v>
      </c>
      <c r="FK35">
        <v>4.9538979530334499</v>
      </c>
      <c r="FL35">
        <v>2.0306708291172999E-2</v>
      </c>
      <c r="FM35">
        <v>0</v>
      </c>
      <c r="FN35">
        <v>0</v>
      </c>
      <c r="FO35">
        <v>0</v>
      </c>
      <c r="FP35" s="2">
        <v>-1.45823305501835E-5</v>
      </c>
      <c r="FQ35">
        <v>1.9139515236020099E-2</v>
      </c>
      <c r="FR35" s="2">
        <v>3.0488590709865102E-6</v>
      </c>
      <c r="FS35" s="2">
        <v>3.5376426232858202E-9</v>
      </c>
      <c r="FT35" s="2">
        <v>6.0239301546971494E-8</v>
      </c>
      <c r="FU35" s="2">
        <v>4.2121373056147604E-9</v>
      </c>
      <c r="FV35">
        <v>74.721740722656193</v>
      </c>
      <c r="FW35">
        <v>-48.363842010497997</v>
      </c>
      <c r="FX35">
        <v>6.2005423009395599E-2</v>
      </c>
      <c r="FY35" s="2">
        <v>3.4028230607370999E+38</v>
      </c>
      <c r="FZ35">
        <v>-30.1596565246582</v>
      </c>
      <c r="GA35">
        <v>229.09568786621099</v>
      </c>
      <c r="GB35" s="2">
        <v>1.515721159695E-10</v>
      </c>
      <c r="GC35">
        <v>7.3105446062982104E-4</v>
      </c>
      <c r="GD35" s="2">
        <v>5.3727117199642304E-10</v>
      </c>
      <c r="GE35" s="2">
        <v>-3.4753127692965797E-5</v>
      </c>
      <c r="GF35" s="2">
        <v>3.4028230607370999E+38</v>
      </c>
      <c r="GG35" s="2">
        <v>3.4028230607370999E+38</v>
      </c>
      <c r="GH35">
        <v>398.38238525390602</v>
      </c>
      <c r="GI35">
        <v>460.03076171875</v>
      </c>
      <c r="GJ35">
        <v>230.04100036621099</v>
      </c>
      <c r="GK35" s="2">
        <v>3.4028230607370999E+38</v>
      </c>
      <c r="GL35" s="2">
        <v>3.4028230607370999E+38</v>
      </c>
      <c r="GM35" s="2">
        <v>3.4028230607370999E+38</v>
      </c>
      <c r="GN35" s="2">
        <v>3.4028230607370999E+38</v>
      </c>
      <c r="GO35" s="2">
        <v>3.4028230607370999E+38</v>
      </c>
      <c r="GP35" s="2">
        <v>3.4028230607370999E+38</v>
      </c>
      <c r="GQ35">
        <v>398.37136840820301</v>
      </c>
      <c r="GR35">
        <v>398.37136840820301</v>
      </c>
      <c r="GS35">
        <v>230.04008483886699</v>
      </c>
      <c r="GT35">
        <v>-1.0823599295690699E-3</v>
      </c>
      <c r="GX35">
        <f t="shared" si="1"/>
        <v>230.00184020996099</v>
      </c>
      <c r="GY35">
        <f t="shared" si="2"/>
        <v>2.0001121520996081</v>
      </c>
      <c r="GZ35">
        <f t="shared" si="3"/>
        <v>398.38380126953103</v>
      </c>
      <c r="HA35">
        <f t="shared" si="4"/>
        <v>460.02960205078125</v>
      </c>
      <c r="HB35">
        <f t="shared" si="5"/>
        <v>230.04018554687499</v>
      </c>
      <c r="HC35">
        <f t="shared" si="6"/>
        <v>49.99993133544924</v>
      </c>
      <c r="HD35">
        <f t="shared" si="7"/>
        <v>-30.003466415405256</v>
      </c>
      <c r="HW35" s="10">
        <f>(GX35/Data!$S35-1)*1000000</f>
        <v>21.739037607826361</v>
      </c>
      <c r="HX35" s="10">
        <f>(GY35/Data!$T35-1)*1000000</f>
        <v>14.839437885161288</v>
      </c>
      <c r="HY35" s="10">
        <f>(GZ35/Data!$BW35-1)*1000000</f>
        <v>3.0060788798191851</v>
      </c>
      <c r="HZ35" s="10">
        <f>(HA35/(Data!$S35*Data!$T35)-1)*1000000</f>
        <v>36.85366349959196</v>
      </c>
      <c r="IA35" s="7">
        <f>(HB35/IF(HD35&gt;0, -Data!$BX35,Data!$BX35)-1)*1000000</f>
        <v>146.9226421160208</v>
      </c>
      <c r="IB35" s="10"/>
      <c r="IC35" s="9">
        <f>(HD35-Data!$U35)</f>
        <v>-3.4568254052551595E-3</v>
      </c>
    </row>
    <row r="36" spans="1:237" x14ac:dyDescent="0.2">
      <c r="A36">
        <v>36</v>
      </c>
      <c r="B36">
        <v>230.00161743164099</v>
      </c>
      <c r="C36">
        <v>5.0002374649047896</v>
      </c>
      <c r="D36">
        <v>-6.2985874712467194E-2</v>
      </c>
      <c r="E36">
        <v>1150.06555175781</v>
      </c>
      <c r="F36">
        <v>1150.06628417969</v>
      </c>
      <c r="G36">
        <v>49.999954223632798</v>
      </c>
      <c r="H36">
        <v>-90.003135681152301</v>
      </c>
      <c r="I36">
        <v>1.65828410536051E-2</v>
      </c>
      <c r="J36" s="2">
        <v>3.8863299778313401E-6</v>
      </c>
      <c r="K36" s="2">
        <v>4.68583394308553E-9</v>
      </c>
      <c r="L36" s="2">
        <v>6.3133981598184605E-8</v>
      </c>
      <c r="M36" s="2">
        <v>1.2144064420738201E-8</v>
      </c>
      <c r="N36">
        <v>74.740325927734403</v>
      </c>
      <c r="O36">
        <v>-71.6019287109375</v>
      </c>
      <c r="P36">
        <v>1.7878778278827698E-2</v>
      </c>
      <c r="Q36" s="2">
        <v>3.2094771995616598E-6</v>
      </c>
      <c r="R36" s="2">
        <v>-2.12810657984619E-9</v>
      </c>
      <c r="S36" s="2">
        <v>5.7480509241258901E-8</v>
      </c>
      <c r="T36" s="2">
        <v>3.55549434338798E-9</v>
      </c>
      <c r="U36">
        <v>74.796615600585895</v>
      </c>
      <c r="V36">
        <v>-110.41009521484401</v>
      </c>
      <c r="W36" s="2">
        <v>3.4028230607370999E+38</v>
      </c>
      <c r="X36" s="2">
        <v>3.4028230607370999E+38</v>
      </c>
      <c r="Y36">
        <v>-6.2985874712467194E-2</v>
      </c>
      <c r="Z36">
        <v>1150.06555175781</v>
      </c>
      <c r="AA36">
        <v>1150.06628417969</v>
      </c>
      <c r="AB36" s="2">
        <v>3.4028230607370999E+38</v>
      </c>
      <c r="AC36" s="2">
        <v>3.4028230607370999E+38</v>
      </c>
      <c r="AD36">
        <v>230.00201416015599</v>
      </c>
      <c r="AE36">
        <v>5.0002517700195304</v>
      </c>
      <c r="AF36">
        <v>-6.2064025551080697E-2</v>
      </c>
      <c r="AG36">
        <v>1150.068359375</v>
      </c>
      <c r="AH36">
        <v>1150.06530761719</v>
      </c>
      <c r="AI36">
        <v>49.999958038330099</v>
      </c>
      <c r="AJ36">
        <v>-90.003425598144503</v>
      </c>
      <c r="AK36">
        <v>1.6634019091725301E-2</v>
      </c>
      <c r="AL36" s="2">
        <v>3.8708431020495499E-6</v>
      </c>
      <c r="AM36" s="2">
        <v>5.0197281886710202E-9</v>
      </c>
      <c r="AN36" s="2">
        <v>6.3393166271907804E-8</v>
      </c>
      <c r="AO36" s="2">
        <v>1.22995009732563E-8</v>
      </c>
      <c r="AP36">
        <v>74.706848144531193</v>
      </c>
      <c r="AQ36">
        <v>-65.691818237304702</v>
      </c>
      <c r="AR36">
        <v>1.8205119296908399E-2</v>
      </c>
      <c r="AS36" s="2">
        <v>3.15691863761458E-6</v>
      </c>
      <c r="AT36" s="2">
        <v>-2.29879693058876E-9</v>
      </c>
      <c r="AU36" s="2">
        <v>5.7735462632990702E-8</v>
      </c>
      <c r="AV36" s="2">
        <v>5.03075403557318E-9</v>
      </c>
      <c r="AW36">
        <v>74.640647888183594</v>
      </c>
      <c r="AX36">
        <v>-105.14566040039099</v>
      </c>
      <c r="AY36" s="2">
        <v>3.4028230607370999E+38</v>
      </c>
      <c r="AZ36" s="2">
        <v>3.4028230607370999E+38</v>
      </c>
      <c r="BA36">
        <v>-6.2064025551080697E-2</v>
      </c>
      <c r="BB36">
        <v>1150.068359375</v>
      </c>
      <c r="BC36">
        <v>1150.06530761719</v>
      </c>
      <c r="BD36" s="2">
        <v>3.4028230607370999E+38</v>
      </c>
      <c r="BE36" s="2">
        <v>3.4028230607370999E+38</v>
      </c>
      <c r="BF36">
        <v>230.00221252441401</v>
      </c>
      <c r="BG36">
        <v>5.0002598762512198</v>
      </c>
      <c r="BH36">
        <v>-6.0288451611995697E-2</v>
      </c>
      <c r="BI36">
        <v>1150.06896972656</v>
      </c>
      <c r="BJ36">
        <v>1150.06945800781</v>
      </c>
      <c r="BK36">
        <v>49.999954223632798</v>
      </c>
      <c r="BL36">
        <v>-90.003105163574205</v>
      </c>
      <c r="BM36">
        <v>1.54329743236303E-2</v>
      </c>
      <c r="BN36" s="2">
        <v>3.8591151678701897E-6</v>
      </c>
      <c r="BO36" s="2">
        <v>9.3798373512754601E-9</v>
      </c>
      <c r="BP36" s="2">
        <v>5.9629684301398798E-8</v>
      </c>
      <c r="BQ36" s="2">
        <v>6.52962572900151E-9</v>
      </c>
      <c r="BR36">
        <v>74.728134155273395</v>
      </c>
      <c r="BS36">
        <v>-35.6058349609375</v>
      </c>
      <c r="BT36">
        <v>1.6726011410355599E-2</v>
      </c>
      <c r="BU36" s="2">
        <v>3.13903774440405E-6</v>
      </c>
      <c r="BV36" s="2">
        <v>1.3932019982121301E-9</v>
      </c>
      <c r="BW36" s="2">
        <v>5.1801904987769402E-8</v>
      </c>
      <c r="BX36" s="2">
        <v>4.4064552007227997E-9</v>
      </c>
      <c r="BY36">
        <v>74.701202392578097</v>
      </c>
      <c r="BZ36">
        <v>-66.245834350585895</v>
      </c>
      <c r="CA36" s="2">
        <v>3.4028230607370999E+38</v>
      </c>
      <c r="CB36" s="2">
        <v>3.4028230607370999E+38</v>
      </c>
      <c r="CC36">
        <v>-6.02884441614151E-2</v>
      </c>
      <c r="CD36">
        <v>1150.06896972656</v>
      </c>
      <c r="CE36">
        <v>1150.06945800781</v>
      </c>
      <c r="CF36" s="2">
        <v>3.4028230607370999E+38</v>
      </c>
      <c r="CG36" s="2">
        <v>3.4028230607370999E+38</v>
      </c>
      <c r="CH36">
        <v>230.00215148925801</v>
      </c>
      <c r="CI36">
        <v>5.0002675056457502</v>
      </c>
      <c r="CJ36">
        <v>-6.5811775624752003E-2</v>
      </c>
      <c r="CK36">
        <v>1150.07165527344</v>
      </c>
      <c r="CL36">
        <v>1150.06860351562</v>
      </c>
      <c r="CM36">
        <v>49.999935150146499</v>
      </c>
      <c r="CN36">
        <v>-90.003128051757798</v>
      </c>
      <c r="CO36">
        <v>1.5351301059126901E-2</v>
      </c>
      <c r="CP36" s="2">
        <v>3.8648045119771302E-6</v>
      </c>
      <c r="CQ36" s="2">
        <v>3.1859115345866898E-9</v>
      </c>
      <c r="CR36" s="2">
        <v>6.0579374405733701E-8</v>
      </c>
      <c r="CS36" s="2">
        <v>8.9989526941280895E-9</v>
      </c>
      <c r="CT36">
        <v>74.625198364257798</v>
      </c>
      <c r="CU36">
        <v>-74.460952758789105</v>
      </c>
      <c r="CV36">
        <v>1.6558403149247201E-2</v>
      </c>
      <c r="CW36" s="2">
        <v>3.14951103064232E-6</v>
      </c>
      <c r="CX36" s="2">
        <v>-1.7529341311828301E-9</v>
      </c>
      <c r="CY36" s="2">
        <v>5.2944425732448501E-8</v>
      </c>
      <c r="CZ36" s="2">
        <v>3.6048772855679098E-9</v>
      </c>
      <c r="DA36">
        <v>74.725410461425795</v>
      </c>
      <c r="DB36">
        <v>-110.94719696044901</v>
      </c>
      <c r="DC36" s="2">
        <v>3.4028230607370999E+38</v>
      </c>
      <c r="DD36" s="2">
        <v>3.4028230607370999E+38</v>
      </c>
      <c r="DE36">
        <v>-6.5811775624752003E-2</v>
      </c>
      <c r="DF36">
        <v>1150.07165527344</v>
      </c>
      <c r="DG36">
        <v>1150.06860351562</v>
      </c>
      <c r="DH36" s="2">
        <v>3.4028230607370999E+38</v>
      </c>
      <c r="DI36" s="2">
        <v>3.4028230607370999E+38</v>
      </c>
      <c r="DJ36">
        <v>230.00172424316401</v>
      </c>
      <c r="DK36">
        <v>5.0002503395080602</v>
      </c>
      <c r="DL36">
        <v>-6.2139417976140997E-2</v>
      </c>
      <c r="DM36">
        <v>1150.06555175781</v>
      </c>
      <c r="DN36">
        <v>1150.06652832031</v>
      </c>
      <c r="DO36">
        <v>49.999973297119098</v>
      </c>
      <c r="DP36">
        <v>-90.003166198730497</v>
      </c>
      <c r="DQ36">
        <v>1.72044765204191E-2</v>
      </c>
      <c r="DR36" s="2">
        <v>3.8263578971964299E-6</v>
      </c>
      <c r="DS36" s="2">
        <v>8.5535623028931695E-9</v>
      </c>
      <c r="DT36" s="2">
        <v>6.5912153957015094E-8</v>
      </c>
      <c r="DU36" s="2">
        <v>1.4637318024313101E-8</v>
      </c>
      <c r="DV36">
        <v>74.693626403808594</v>
      </c>
      <c r="DW36">
        <v>-59.551342010497997</v>
      </c>
      <c r="DX36">
        <v>1.88471395522356E-2</v>
      </c>
      <c r="DY36" s="2">
        <v>3.2399138945038401E-6</v>
      </c>
      <c r="DZ36" s="2">
        <v>-1.38522970871691E-9</v>
      </c>
      <c r="EA36" s="2">
        <v>6.1169970422270099E-8</v>
      </c>
      <c r="EB36" s="2">
        <v>5.1762607533589703E-9</v>
      </c>
      <c r="EC36">
        <v>74.777183532714801</v>
      </c>
      <c r="ED36">
        <v>-109.13466644287099</v>
      </c>
      <c r="EE36" s="2">
        <v>3.4028230607370999E+38</v>
      </c>
      <c r="EF36" s="2">
        <v>3.4028230607370999E+38</v>
      </c>
      <c r="EG36">
        <v>-6.2139414250850698E-2</v>
      </c>
      <c r="EH36">
        <v>1150.06555175781</v>
      </c>
      <c r="EI36">
        <v>1150.06652832031</v>
      </c>
      <c r="EJ36" s="2">
        <v>3.4028230607370999E+38</v>
      </c>
      <c r="EK36" s="2">
        <v>3.4028230607370999E+38</v>
      </c>
      <c r="EL36">
        <v>123</v>
      </c>
      <c r="EM36">
        <v>230.00152587890599</v>
      </c>
      <c r="EN36">
        <v>5.00024318695068</v>
      </c>
      <c r="EO36">
        <v>-6.4928203821182306E-2</v>
      </c>
      <c r="EP36">
        <v>1150.06420898438</v>
      </c>
      <c r="EQ36">
        <v>1150.06604003906</v>
      </c>
      <c r="ER36">
        <v>49.9998970031738</v>
      </c>
      <c r="ES36">
        <v>-90.003250122070298</v>
      </c>
      <c r="ET36" s="2">
        <v>-5.5705502745695399E-5</v>
      </c>
      <c r="EU36" s="2">
        <v>3.4028230607370999E+38</v>
      </c>
      <c r="EV36">
        <v>0</v>
      </c>
      <c r="EW36">
        <v>230.00315856933599</v>
      </c>
      <c r="EX36">
        <v>-0.11675176024437001</v>
      </c>
      <c r="EY36">
        <v>1150.07495117188</v>
      </c>
      <c r="EZ36">
        <v>1150.04821777344</v>
      </c>
      <c r="FA36">
        <v>-4.4843461364507701E-3</v>
      </c>
      <c r="FB36">
        <v>1.7780205234885198E-2</v>
      </c>
      <c r="FC36" s="2">
        <v>3.75658146367641E-6</v>
      </c>
      <c r="FD36" s="2">
        <v>1.21759091697982E-8</v>
      </c>
      <c r="FE36" s="2">
        <v>6.9445086126051994E-8</v>
      </c>
      <c r="FF36" s="2">
        <v>1.37625777441031E-8</v>
      </c>
      <c r="FG36">
        <v>74.681114196777301</v>
      </c>
      <c r="FH36">
        <v>-48.500461578369098</v>
      </c>
      <c r="FI36">
        <v>0.159978583455086</v>
      </c>
      <c r="FJ36" s="2">
        <v>3.4028230607370999E+38</v>
      </c>
      <c r="FK36">
        <v>-54.472274780273402</v>
      </c>
      <c r="FL36">
        <v>2.10155416280031E-2</v>
      </c>
      <c r="FM36">
        <v>0</v>
      </c>
      <c r="FN36">
        <v>0</v>
      </c>
      <c r="FO36">
        <v>0</v>
      </c>
      <c r="FP36">
        <v>1.42147866426967E-4</v>
      </c>
      <c r="FQ36">
        <v>1.94436237215996E-2</v>
      </c>
      <c r="FR36" s="2">
        <v>3.17014928441495E-6</v>
      </c>
      <c r="FS36" s="2">
        <v>1.1729003324134601E-9</v>
      </c>
      <c r="FT36" s="2">
        <v>6.1589624067437398E-8</v>
      </c>
      <c r="FU36" s="2">
        <v>7.3153731960928797E-9</v>
      </c>
      <c r="FV36">
        <v>74.815757751464801</v>
      </c>
      <c r="FW36">
        <v>-85.928039550781193</v>
      </c>
      <c r="FX36">
        <v>8.2334894686937297E-3</v>
      </c>
      <c r="FY36" s="2">
        <v>3.4028230607370999E+38</v>
      </c>
      <c r="FZ36">
        <v>8.5456867218017596</v>
      </c>
      <c r="GA36">
        <v>229.17308044433599</v>
      </c>
      <c r="GB36" s="2">
        <v>-1.3169429435855299E-10</v>
      </c>
      <c r="GC36">
        <v>7.4260961264371904E-4</v>
      </c>
      <c r="GD36" s="2">
        <v>1.0284680884709E-9</v>
      </c>
      <c r="GE36" s="2">
        <v>-9.0250687208026593E-5</v>
      </c>
      <c r="GF36" s="2">
        <v>3.4028230607370999E+38</v>
      </c>
      <c r="GG36" s="2">
        <v>3.4028230607370999E+38</v>
      </c>
      <c r="GH36">
        <v>-5.8311648666858701E-2</v>
      </c>
      <c r="GI36">
        <v>1150.06567382812</v>
      </c>
      <c r="GJ36">
        <v>1150.06884765625</v>
      </c>
      <c r="GK36" s="2">
        <v>3.4028230607370999E+38</v>
      </c>
      <c r="GL36" s="2">
        <v>3.4028230607370999E+38</v>
      </c>
      <c r="GM36" s="2">
        <v>3.4028230607370999E+38</v>
      </c>
      <c r="GN36" s="2">
        <v>3.4028230607370999E+38</v>
      </c>
      <c r="GO36" s="2">
        <v>3.4028230607370999E+38</v>
      </c>
      <c r="GP36" s="2">
        <v>3.4028230607370999E+38</v>
      </c>
      <c r="GQ36">
        <v>-9.9844142794609098E-2</v>
      </c>
      <c r="GR36">
        <v>-9.9844142794609098E-2</v>
      </c>
      <c r="GS36">
        <v>1150.06665039062</v>
      </c>
      <c r="GT36">
        <v>-3.2729452941566701E-3</v>
      </c>
      <c r="GX36">
        <f t="shared" si="1"/>
        <v>230.0019439697266</v>
      </c>
      <c r="GY36">
        <f t="shared" si="2"/>
        <v>5.0002533912658702</v>
      </c>
      <c r="GZ36">
        <f t="shared" si="3"/>
        <v>-6.2657909095287317E-2</v>
      </c>
      <c r="HA36">
        <f t="shared" si="4"/>
        <v>1150.068017578124</v>
      </c>
      <c r="HB36">
        <f t="shared" si="5"/>
        <v>1150.0672363281242</v>
      </c>
      <c r="HC36">
        <f t="shared" si="6"/>
        <v>49.999954986572256</v>
      </c>
      <c r="HD36">
        <f t="shared" si="7"/>
        <v>-90.003192138671878</v>
      </c>
      <c r="HW36" s="10">
        <f>(GX36/Data!$S36-1)*1000000</f>
        <v>22.771933591236859</v>
      </c>
      <c r="HX36" s="10">
        <f>(GY36/Data!$T36-1)*1000000</f>
        <v>69.352948229406408</v>
      </c>
      <c r="HY36" s="10">
        <f>(GZ36/Data!$BW36-1)*1000000</f>
        <v>-11365379.254734358</v>
      </c>
      <c r="HZ36" s="10">
        <f>(HA36/(Data!$S36*Data!$T36)-1)*1000000</f>
        <v>92.141457925576375</v>
      </c>
      <c r="IA36" s="7">
        <f>(HB36/IF(HD36&gt;0, -Data!$BX36,Data!$BX36)-1)*1000000</f>
        <v>91.456345670204442</v>
      </c>
      <c r="IB36" s="10"/>
      <c r="IC36" s="9">
        <f>(HD36-Data!$U36)</f>
        <v>-3.4933186718717479E-3</v>
      </c>
    </row>
    <row r="37" spans="1:237" x14ac:dyDescent="0.2">
      <c r="A37">
        <v>37</v>
      </c>
      <c r="B37">
        <v>230.00221252441401</v>
      </c>
      <c r="C37">
        <v>5.00026178359985</v>
      </c>
      <c r="D37">
        <v>-6.0698237270116799E-2</v>
      </c>
      <c r="E37">
        <v>1150.06994628906</v>
      </c>
      <c r="F37">
        <v>1150.07055664062</v>
      </c>
      <c r="G37">
        <v>49.9999389648438</v>
      </c>
      <c r="H37">
        <v>-90.003089904785199</v>
      </c>
      <c r="I37">
        <v>1.48354573175311E-2</v>
      </c>
      <c r="J37" s="2">
        <v>3.9474339246226001E-6</v>
      </c>
      <c r="K37" s="2">
        <v>8.9625036281404408E-9</v>
      </c>
      <c r="L37" s="2">
        <v>5.8347279008330601E-8</v>
      </c>
      <c r="M37" s="2">
        <v>5.8252358492438799E-9</v>
      </c>
      <c r="N37">
        <v>74.660133361816406</v>
      </c>
      <c r="O37">
        <v>-32.911895751953097</v>
      </c>
      <c r="P37">
        <v>1.6111750155687301E-2</v>
      </c>
      <c r="Q37" s="2">
        <v>3.1129418402997502E-6</v>
      </c>
      <c r="R37" s="2">
        <v>1.4973483564162399E-9</v>
      </c>
      <c r="S37" s="2">
        <v>5.0172694443517698E-8</v>
      </c>
      <c r="T37" s="2">
        <v>3.5242266882562502E-9</v>
      </c>
      <c r="U37">
        <v>74.682037353515597</v>
      </c>
      <c r="V37">
        <v>-53.497825622558601</v>
      </c>
      <c r="W37" s="2">
        <v>3.4028230607370999E+38</v>
      </c>
      <c r="X37" s="2">
        <v>3.4028230607370999E+38</v>
      </c>
      <c r="Y37">
        <v>-6.0698229819536202E-2</v>
      </c>
      <c r="Z37">
        <v>1150.06994628906</v>
      </c>
      <c r="AA37">
        <v>1150.07055664062</v>
      </c>
      <c r="AB37" s="2">
        <v>3.4028230607370999E+38</v>
      </c>
      <c r="AC37" s="2">
        <v>3.4028230607370999E+38</v>
      </c>
      <c r="AD37">
        <v>230.00169372558599</v>
      </c>
      <c r="AE37">
        <v>5.0002570152282697</v>
      </c>
      <c r="AF37">
        <v>-6.3394822180271093E-2</v>
      </c>
      <c r="AG37">
        <v>1150.06689453125</v>
      </c>
      <c r="AH37">
        <v>1150.06616210938</v>
      </c>
      <c r="AI37">
        <v>49.999954223632798</v>
      </c>
      <c r="AJ37">
        <v>-90.003250122070298</v>
      </c>
      <c r="AK37">
        <v>1.71726476401091E-2</v>
      </c>
      <c r="AL37" s="2">
        <v>3.87938825952006E-6</v>
      </c>
      <c r="AM37" s="2">
        <v>8.6773921381677593E-9</v>
      </c>
      <c r="AN37" s="2">
        <v>6.7072051024297305E-8</v>
      </c>
      <c r="AO37" s="2">
        <v>1.4656033719973E-8</v>
      </c>
      <c r="AP37">
        <v>74.674629211425795</v>
      </c>
      <c r="AQ37">
        <v>-62.179962158203097</v>
      </c>
      <c r="AR37">
        <v>1.8959831446409201E-2</v>
      </c>
      <c r="AS37" s="2">
        <v>3.2028240184445201E-6</v>
      </c>
      <c r="AT37" s="2">
        <v>-1.7020430620462399E-9</v>
      </c>
      <c r="AU37" s="2">
        <v>6.0478939190033998E-8</v>
      </c>
      <c r="AV37" s="2">
        <v>5.6226929778802101E-9</v>
      </c>
      <c r="AW37">
        <v>74.783775329589801</v>
      </c>
      <c r="AX37">
        <v>-101.493003845215</v>
      </c>
      <c r="AY37" s="2">
        <v>3.4028230607370999E+38</v>
      </c>
      <c r="AZ37" s="2">
        <v>3.4028230607370999E+38</v>
      </c>
      <c r="BA37">
        <v>-6.3394822180271093E-2</v>
      </c>
      <c r="BB37">
        <v>1150.06689453125</v>
      </c>
      <c r="BC37">
        <v>1150.06616210938</v>
      </c>
      <c r="BD37" s="2">
        <v>3.4028230607370999E+38</v>
      </c>
      <c r="BE37" s="2">
        <v>3.4028230607370999E+38</v>
      </c>
      <c r="BF37">
        <v>230.001388549805</v>
      </c>
      <c r="BG37">
        <v>5.0002493858337402</v>
      </c>
      <c r="BH37">
        <v>-6.0201402753591503E-2</v>
      </c>
      <c r="BI37">
        <v>1150.068359375</v>
      </c>
      <c r="BJ37">
        <v>1150.06823730469</v>
      </c>
      <c r="BK37">
        <v>49.999851226806598</v>
      </c>
      <c r="BL37">
        <v>-90.003120422363295</v>
      </c>
      <c r="BM37">
        <v>1.7663702368736298E-2</v>
      </c>
      <c r="BN37" s="2">
        <v>3.8159655559866198E-6</v>
      </c>
      <c r="BO37" s="2">
        <v>1.27937083149732E-8</v>
      </c>
      <c r="BP37" s="2">
        <v>6.6873774073883396E-8</v>
      </c>
      <c r="BQ37" s="2">
        <v>1.11808819980297E-8</v>
      </c>
      <c r="BR37">
        <v>74.737014770507798</v>
      </c>
      <c r="BS37">
        <v>-42.231681823730497</v>
      </c>
      <c r="BT37">
        <v>1.9311543554067601E-2</v>
      </c>
      <c r="BU37" s="2">
        <v>3.2237028335657699E-6</v>
      </c>
      <c r="BV37" s="2">
        <v>2.0237480580220798E-9</v>
      </c>
      <c r="BW37" s="2">
        <v>6.1212276136757295E-8</v>
      </c>
      <c r="BX37" s="2">
        <v>8.94775098458922E-9</v>
      </c>
      <c r="BY37">
        <v>74.715148925781193</v>
      </c>
      <c r="BZ37">
        <v>-79.935089111328097</v>
      </c>
      <c r="CA37" s="2">
        <v>3.4028230607370999E+38</v>
      </c>
      <c r="CB37" s="2">
        <v>3.4028230607370999E+38</v>
      </c>
      <c r="CC37">
        <v>-6.02013915777206E-2</v>
      </c>
      <c r="CD37">
        <v>1150.068359375</v>
      </c>
      <c r="CE37">
        <v>1150.06823730469</v>
      </c>
      <c r="CF37" s="2">
        <v>3.4028230607370999E+38</v>
      </c>
      <c r="CG37" s="2">
        <v>3.4028230607370999E+38</v>
      </c>
      <c r="CH37">
        <v>230.00198364257801</v>
      </c>
      <c r="CI37">
        <v>5.0002508163452104</v>
      </c>
      <c r="CJ37">
        <v>-6.2582790851593004E-2</v>
      </c>
      <c r="CK37">
        <v>1150.06530761719</v>
      </c>
      <c r="CL37">
        <v>1150.06469726562</v>
      </c>
      <c r="CM37">
        <v>49.999996185302699</v>
      </c>
      <c r="CN37">
        <v>-90.003044128417997</v>
      </c>
      <c r="CO37">
        <v>1.7596721649169901E-2</v>
      </c>
      <c r="CP37" s="2">
        <v>3.8275306906143703E-6</v>
      </c>
      <c r="CQ37" s="2">
        <v>1.07625837131309E-8</v>
      </c>
      <c r="CR37" s="2">
        <v>6.7458522323704502E-8</v>
      </c>
      <c r="CS37" s="2">
        <v>1.46877656703737E-8</v>
      </c>
      <c r="CT37">
        <v>74.607948303222699</v>
      </c>
      <c r="CU37">
        <v>-57.647918701171903</v>
      </c>
      <c r="CV37">
        <v>1.9377136602997801E-2</v>
      </c>
      <c r="CW37" s="2">
        <v>3.2197849577641999E-6</v>
      </c>
      <c r="CX37" s="2">
        <v>-5.5093241080328405E-10</v>
      </c>
      <c r="CY37" s="2">
        <v>6.1824607655580595E-8</v>
      </c>
      <c r="CZ37" s="2">
        <v>7.7755144545221794E-9</v>
      </c>
      <c r="DA37">
        <v>74.752082824707003</v>
      </c>
      <c r="DB37">
        <v>-87.276802062988295</v>
      </c>
      <c r="DC37" s="2">
        <v>3.4028230607370999E+38</v>
      </c>
      <c r="DD37" s="2">
        <v>3.4028230607370999E+38</v>
      </c>
      <c r="DE37">
        <v>-6.2582783401012407E-2</v>
      </c>
      <c r="DF37">
        <v>1150.06530761719</v>
      </c>
      <c r="DG37">
        <v>1150.06469726562</v>
      </c>
      <c r="DH37" s="2">
        <v>3.4028230607370999E+38</v>
      </c>
      <c r="DI37" s="2">
        <v>3.4028230607370999E+38</v>
      </c>
      <c r="DJ37">
        <v>230.00192260742199</v>
      </c>
      <c r="DK37">
        <v>5.0002679824829102</v>
      </c>
      <c r="DL37">
        <v>-5.9180669486522702E-2</v>
      </c>
      <c r="DM37">
        <v>1150.07055664062</v>
      </c>
      <c r="DN37">
        <v>1150.06884765625</v>
      </c>
      <c r="DO37">
        <v>49.999954223632798</v>
      </c>
      <c r="DP37">
        <v>-90.003105163574205</v>
      </c>
      <c r="DQ37">
        <v>1.4955478720367E-2</v>
      </c>
      <c r="DR37" s="2">
        <v>3.8901043808437003E-6</v>
      </c>
      <c r="DS37" s="2">
        <v>3.4512572799627601E-9</v>
      </c>
      <c r="DT37" s="2">
        <v>5.6418588911810703E-8</v>
      </c>
      <c r="DU37" s="2">
        <v>8.4019324830819592E-9</v>
      </c>
      <c r="DV37">
        <v>74.789291381835895</v>
      </c>
      <c r="DW37">
        <v>-65.790206909179702</v>
      </c>
      <c r="DX37">
        <v>1.5801565721631099E-2</v>
      </c>
      <c r="DY37" s="2">
        <v>3.1628676424588801E-6</v>
      </c>
      <c r="DZ37" s="2">
        <v>-1.62342539411497E-9</v>
      </c>
      <c r="EA37" s="2">
        <v>5.0939132023586399E-8</v>
      </c>
      <c r="EB37" s="2">
        <v>1.5339237657840999E-9</v>
      </c>
      <c r="EC37">
        <v>74.673072814941406</v>
      </c>
      <c r="ED37">
        <v>-135.11431884765599</v>
      </c>
      <c r="EE37" s="2">
        <v>3.4028230607370999E+38</v>
      </c>
      <c r="EF37" s="2">
        <v>3.4028230607370999E+38</v>
      </c>
      <c r="EG37">
        <v>-5.9180669486522702E-2</v>
      </c>
      <c r="EH37">
        <v>1150.07055664062</v>
      </c>
      <c r="EI37">
        <v>1150.06884765625</v>
      </c>
      <c r="EJ37" s="2">
        <v>3.4028230607370999E+38</v>
      </c>
      <c r="EK37" s="2">
        <v>3.4028230607370999E+38</v>
      </c>
      <c r="EL37">
        <v>123</v>
      </c>
      <c r="EM37">
        <v>230.00183105468801</v>
      </c>
      <c r="EN37">
        <v>5.0002646446228001</v>
      </c>
      <c r="EO37">
        <v>-6.7179553210735293E-2</v>
      </c>
      <c r="EP37">
        <v>1150.07019042969</v>
      </c>
      <c r="EQ37">
        <v>1150.07019042969</v>
      </c>
      <c r="ER37">
        <v>49.999893188476598</v>
      </c>
      <c r="ES37">
        <v>-90.003105163574205</v>
      </c>
      <c r="ET37" s="2">
        <v>-5.4059182730270502E-5</v>
      </c>
      <c r="EU37" s="2">
        <v>3.4028230607370999E+38</v>
      </c>
      <c r="EV37">
        <v>0</v>
      </c>
      <c r="EW37">
        <v>230.00175476074199</v>
      </c>
      <c r="EX37">
        <v>-8.4910146892070798E-2</v>
      </c>
      <c r="EY37">
        <v>1150.0673828125</v>
      </c>
      <c r="EZ37">
        <v>1150.05700683594</v>
      </c>
      <c r="FA37">
        <v>-7.5606099562719497E-4</v>
      </c>
      <c r="FB37">
        <v>1.4400040730834E-2</v>
      </c>
      <c r="FC37" s="2">
        <v>3.8491298255394196E-6</v>
      </c>
      <c r="FD37" s="2">
        <v>3.27483506978865E-9</v>
      </c>
      <c r="FE37" s="2">
        <v>5.6325315966887501E-8</v>
      </c>
      <c r="FF37" s="2">
        <v>7.3086563467939E-9</v>
      </c>
      <c r="FG37">
        <v>74.733245849609403</v>
      </c>
      <c r="FH37">
        <v>-58.219749450683601</v>
      </c>
      <c r="FI37">
        <v>8.4369957447052002E-2</v>
      </c>
      <c r="FJ37" s="2">
        <v>3.4028230607370999E+38</v>
      </c>
      <c r="FK37">
        <v>53.022373199462898</v>
      </c>
      <c r="FL37">
        <v>2.0150408148765599E-2</v>
      </c>
      <c r="FM37">
        <v>0</v>
      </c>
      <c r="FN37">
        <v>0</v>
      </c>
      <c r="FO37">
        <v>0</v>
      </c>
      <c r="FP37">
        <v>1.6643303388264E-4</v>
      </c>
      <c r="FQ37">
        <v>1.5438174828887E-2</v>
      </c>
      <c r="FR37" s="2">
        <v>3.2082821235235302E-6</v>
      </c>
      <c r="FS37" s="2">
        <v>-4.1946662809877503E-10</v>
      </c>
      <c r="FT37" s="2">
        <v>4.9639979238236298E-8</v>
      </c>
      <c r="FU37" s="2">
        <v>2.7539923674879699E-9</v>
      </c>
      <c r="FV37">
        <v>74.685745239257798</v>
      </c>
      <c r="FW37">
        <v>-89.164619445800795</v>
      </c>
      <c r="FX37">
        <v>8.2948431372642495E-4</v>
      </c>
      <c r="FY37" s="2">
        <v>3.4028230607370999E+38</v>
      </c>
      <c r="FZ37">
        <v>-14.5606336593628</v>
      </c>
      <c r="GA37">
        <v>229.347244262695</v>
      </c>
      <c r="GB37" s="2">
        <v>-7.1031863724258001E-10</v>
      </c>
      <c r="GC37">
        <v>7.2100810939446102E-4</v>
      </c>
      <c r="GD37" s="2">
        <v>4.4039999425038399E-10</v>
      </c>
      <c r="GE37" s="2">
        <v>-7.4589923315215896E-5</v>
      </c>
      <c r="GF37" s="2">
        <v>3.4028230607370999E+38</v>
      </c>
      <c r="GG37" s="2">
        <v>3.4028230607370999E+38</v>
      </c>
      <c r="GH37">
        <v>-6.6573671996593503E-2</v>
      </c>
      <c r="GI37">
        <v>1150.06884765625</v>
      </c>
      <c r="GJ37">
        <v>1150.07214355469</v>
      </c>
      <c r="GK37" s="2">
        <v>3.4028230607370999E+38</v>
      </c>
      <c r="GL37" s="2">
        <v>3.4028230607370999E+38</v>
      </c>
      <c r="GM37" s="2">
        <v>3.4028230607370999E+38</v>
      </c>
      <c r="GN37" s="2">
        <v>3.4028230607370999E+38</v>
      </c>
      <c r="GO37" s="2">
        <v>3.4028230607370999E+38</v>
      </c>
      <c r="GP37" s="2">
        <v>3.4028230607370999E+38</v>
      </c>
      <c r="GQ37">
        <v>-7.8801579773426098E-2</v>
      </c>
      <c r="GR37">
        <v>-7.8801579773426098E-2</v>
      </c>
      <c r="GS37">
        <v>1150.05822753906</v>
      </c>
      <c r="GT37">
        <v>-7.3414255166426301E-4</v>
      </c>
      <c r="GX37">
        <f t="shared" si="1"/>
        <v>230.00184020996102</v>
      </c>
      <c r="GY37">
        <f t="shared" si="2"/>
        <v>5.0002573966979957</v>
      </c>
      <c r="GZ37">
        <f t="shared" si="3"/>
        <v>-6.1211584508419015E-2</v>
      </c>
      <c r="HA37">
        <f t="shared" si="4"/>
        <v>1150.068212890624</v>
      </c>
      <c r="HB37">
        <f t="shared" si="5"/>
        <v>1150.0677001953122</v>
      </c>
      <c r="HC37">
        <f t="shared" si="6"/>
        <v>49.999938964843736</v>
      </c>
      <c r="HD37">
        <f t="shared" si="7"/>
        <v>-90.00312194824221</v>
      </c>
      <c r="HW37" s="10">
        <f>(GX37/Data!$S37-1)*1000000</f>
        <v>22.253403946459471</v>
      </c>
      <c r="HX37" s="10">
        <f>(GY37/Data!$T37-1)*1000000</f>
        <v>66.011698841572652</v>
      </c>
      <c r="HY37" s="10">
        <f>(GZ37/Data!$BW37-1)*1000000</f>
        <v>-10433720.850529253</v>
      </c>
      <c r="HZ37" s="10">
        <f>(HA37/(Data!$S37*Data!$T37)-1)*1000000</f>
        <v>88.101459729816867</v>
      </c>
      <c r="IA37" s="7">
        <f>(HB37/IF(HD37&gt;0, -Data!$BX37,Data!$BX37)-1)*1000000</f>
        <v>87.649648686571879</v>
      </c>
      <c r="IB37" s="10"/>
      <c r="IC37" s="9">
        <f>(HD37-Data!$U37)</f>
        <v>-3.4452382422074379E-3</v>
      </c>
    </row>
    <row r="38" spans="1:237" x14ac:dyDescent="0.2">
      <c r="A38">
        <v>38</v>
      </c>
      <c r="B38">
        <v>230.00126647949199</v>
      </c>
      <c r="C38">
        <v>5.0002675056457502</v>
      </c>
      <c r="D38">
        <v>-6.2232356518506997E-2</v>
      </c>
      <c r="E38">
        <v>1150.06909179688</v>
      </c>
      <c r="F38">
        <v>1150.06921386719</v>
      </c>
      <c r="G38">
        <v>49.999969482421903</v>
      </c>
      <c r="H38">
        <v>-90.003234863281193</v>
      </c>
      <c r="I38">
        <v>1.6886634752154399E-2</v>
      </c>
      <c r="J38" s="2">
        <v>3.9234896576090301E-6</v>
      </c>
      <c r="K38" s="2">
        <v>1.5218359905588801E-8</v>
      </c>
      <c r="L38" s="2">
        <v>6.7409281712116406E-8</v>
      </c>
      <c r="M38" s="2">
        <v>1.19684839816614E-8</v>
      </c>
      <c r="N38">
        <v>74.682624816894503</v>
      </c>
      <c r="O38">
        <v>-39.7322998046875</v>
      </c>
      <c r="P38">
        <v>1.8463226035237298E-2</v>
      </c>
      <c r="Q38" s="2">
        <v>3.1839531402511099E-6</v>
      </c>
      <c r="R38" s="2">
        <v>-7.7070919091148898E-11</v>
      </c>
      <c r="S38" s="2">
        <v>5.8829634497214998E-8</v>
      </c>
      <c r="T38" s="2">
        <v>7.0757506520635599E-9</v>
      </c>
      <c r="U38">
        <v>74.714210510253906</v>
      </c>
      <c r="V38">
        <v>-75.432609558105497</v>
      </c>
      <c r="W38" s="2">
        <v>3.4028230607370999E+38</v>
      </c>
      <c r="X38" s="2">
        <v>3.4028230607370999E+38</v>
      </c>
      <c r="Y38">
        <v>-6.2232341617345803E-2</v>
      </c>
      <c r="Z38">
        <v>1150.06909179688</v>
      </c>
      <c r="AA38">
        <v>1150.06921386719</v>
      </c>
      <c r="AB38" s="2">
        <v>3.4028230607370999E+38</v>
      </c>
      <c r="AC38" s="2">
        <v>3.4028230607370999E+38</v>
      </c>
      <c r="AD38">
        <v>230.00225830078099</v>
      </c>
      <c r="AE38">
        <v>5.0002527236938503</v>
      </c>
      <c r="AF38">
        <v>-6.3578382134437603E-2</v>
      </c>
      <c r="AG38">
        <v>1150.06884765625</v>
      </c>
      <c r="AH38">
        <v>1150.06945800781</v>
      </c>
      <c r="AI38">
        <v>49.9999809265137</v>
      </c>
      <c r="AJ38">
        <v>-90.003158569335895</v>
      </c>
      <c r="AK38">
        <v>1.48548586294055E-2</v>
      </c>
      <c r="AL38" s="2">
        <v>3.8662083170493099E-6</v>
      </c>
      <c r="AM38" s="2">
        <v>2.29873653445622E-9</v>
      </c>
      <c r="AN38" s="2">
        <v>5.7393677366235398E-8</v>
      </c>
      <c r="AO38" s="2">
        <v>7.0094099413609001E-9</v>
      </c>
      <c r="AP38">
        <v>74.598823547363295</v>
      </c>
      <c r="AQ38">
        <v>-61.591560363769503</v>
      </c>
      <c r="AR38">
        <v>1.5914946794509902E-2</v>
      </c>
      <c r="AS38" s="2">
        <v>3.13361374537635E-6</v>
      </c>
      <c r="AT38" s="2">
        <v>-1.5277090703591499E-9</v>
      </c>
      <c r="AU38" s="2">
        <v>4.9902130427881301E-8</v>
      </c>
      <c r="AV38" s="2">
        <v>1.71331149267928E-9</v>
      </c>
      <c r="AW38">
        <v>74.915023803710895</v>
      </c>
      <c r="AX38">
        <v>-101.57949066162099</v>
      </c>
      <c r="AY38" s="2">
        <v>3.4028230607370999E+38</v>
      </c>
      <c r="AZ38" s="2">
        <v>3.4028230607370999E+38</v>
      </c>
      <c r="BA38">
        <v>-6.3578382134437603E-2</v>
      </c>
      <c r="BB38">
        <v>1150.06884765625</v>
      </c>
      <c r="BC38">
        <v>1150.06945800781</v>
      </c>
      <c r="BD38" s="2">
        <v>3.4028230607370999E+38</v>
      </c>
      <c r="BE38" s="2">
        <v>3.4028230607370999E+38</v>
      </c>
      <c r="BF38">
        <v>230.00180053710901</v>
      </c>
      <c r="BG38">
        <v>5.0002627372741699</v>
      </c>
      <c r="BH38">
        <v>-6.6729046404361697E-2</v>
      </c>
      <c r="BI38">
        <v>1150.06872558594</v>
      </c>
      <c r="BJ38">
        <v>1150.06970214844</v>
      </c>
      <c r="BK38">
        <v>49.9999389648438</v>
      </c>
      <c r="BL38">
        <v>-90.003227233886705</v>
      </c>
      <c r="BM38">
        <v>1.6496187075972599E-2</v>
      </c>
      <c r="BN38" s="2">
        <v>3.8341599974955898E-6</v>
      </c>
      <c r="BO38" s="2">
        <v>5.4721573938820703E-9</v>
      </c>
      <c r="BP38" s="2">
        <v>6.3270199746057201E-8</v>
      </c>
      <c r="BQ38" s="2">
        <v>1.3515103702843599E-8</v>
      </c>
      <c r="BR38">
        <v>74.555442810058594</v>
      </c>
      <c r="BS38">
        <v>-64.382301330566406</v>
      </c>
      <c r="BT38">
        <v>1.7778431996703099E-2</v>
      </c>
      <c r="BU38" s="2">
        <v>3.2351704248867501E-6</v>
      </c>
      <c r="BV38" s="2">
        <v>-7.0654643247181101E-10</v>
      </c>
      <c r="BW38" s="2">
        <v>5.8622976695232898E-8</v>
      </c>
      <c r="BX38" s="2">
        <v>3.7542839947946E-9</v>
      </c>
      <c r="BY38">
        <v>74.588142395019503</v>
      </c>
      <c r="BZ38">
        <v>-104.626358032227</v>
      </c>
      <c r="CA38" s="2">
        <v>3.4028230607370999E+38</v>
      </c>
      <c r="CB38" s="2">
        <v>3.4028230607370999E+38</v>
      </c>
      <c r="CC38">
        <v>-6.6729046404361697E-2</v>
      </c>
      <c r="CD38">
        <v>1150.06872558594</v>
      </c>
      <c r="CE38">
        <v>1150.06970214844</v>
      </c>
      <c r="CF38" s="2">
        <v>3.4028230607370999E+38</v>
      </c>
      <c r="CG38" s="2">
        <v>3.4028230607370999E+38</v>
      </c>
      <c r="CH38">
        <v>230.00213623046901</v>
      </c>
      <c r="CI38">
        <v>5.0002636909484899</v>
      </c>
      <c r="CJ38">
        <v>-6.0364339500665699E-2</v>
      </c>
      <c r="CK38">
        <v>1150.07360839844</v>
      </c>
      <c r="CL38">
        <v>1150.07373046875</v>
      </c>
      <c r="CM38">
        <v>49.999954223632798</v>
      </c>
      <c r="CN38">
        <v>-90.0030517578125</v>
      </c>
      <c r="CO38">
        <v>1.4434668235480799E-2</v>
      </c>
      <c r="CP38" s="2">
        <v>3.8804805626568901E-6</v>
      </c>
      <c r="CQ38" s="2">
        <v>5.6992002228639599E-9</v>
      </c>
      <c r="CR38" s="2">
        <v>5.4410591587839001E-8</v>
      </c>
      <c r="CS38" s="2">
        <v>6.28676044556187E-9</v>
      </c>
      <c r="CT38">
        <v>74.655479431152301</v>
      </c>
      <c r="CU38">
        <v>-48.020069122314503</v>
      </c>
      <c r="CV38">
        <v>1.5546922571957099E-2</v>
      </c>
      <c r="CW38" s="2">
        <v>3.1322849736170602E-6</v>
      </c>
      <c r="CX38" s="2">
        <v>2.6927002294563398E-10</v>
      </c>
      <c r="CY38" s="2">
        <v>4.8946109387770802E-8</v>
      </c>
      <c r="CZ38" s="2">
        <v>2.28599783547168E-9</v>
      </c>
      <c r="DA38">
        <v>74.773033142089801</v>
      </c>
      <c r="DB38">
        <v>-83.282028198242202</v>
      </c>
      <c r="DC38" s="2">
        <v>3.4028230607370999E+38</v>
      </c>
      <c r="DD38" s="2">
        <v>3.4028230607370999E+38</v>
      </c>
      <c r="DE38">
        <v>-6.0364335775375401E-2</v>
      </c>
      <c r="DF38">
        <v>1150.07360839844</v>
      </c>
      <c r="DG38">
        <v>1150.07373046875</v>
      </c>
      <c r="DH38" s="2">
        <v>3.4028230607370999E+38</v>
      </c>
      <c r="DI38" s="2">
        <v>3.4028230607370999E+38</v>
      </c>
      <c r="DJ38">
        <v>230.00199890136699</v>
      </c>
      <c r="DK38">
        <v>5.0002636909484899</v>
      </c>
      <c r="DL38">
        <v>-5.7781916111707701E-2</v>
      </c>
      <c r="DM38">
        <v>1150.07019042969</v>
      </c>
      <c r="DN38">
        <v>1150.07006835938</v>
      </c>
      <c r="DO38">
        <v>49.999954223632798</v>
      </c>
      <c r="DP38">
        <v>-90.003318786621094</v>
      </c>
      <c r="DQ38">
        <v>1.42522165551782E-2</v>
      </c>
      <c r="DR38" s="2">
        <v>3.8786283766967202E-6</v>
      </c>
      <c r="DS38" s="2">
        <v>4.3831049900688901E-9</v>
      </c>
      <c r="DT38" s="2">
        <v>5.5288900568939399E-8</v>
      </c>
      <c r="DU38" s="2">
        <v>5.5603672777237997E-9</v>
      </c>
      <c r="DV38">
        <v>74.751403808593807</v>
      </c>
      <c r="DW38">
        <v>-50.909584045410199</v>
      </c>
      <c r="DX38">
        <v>1.5527430921793E-2</v>
      </c>
      <c r="DY38" s="2">
        <v>3.0949779556976898E-6</v>
      </c>
      <c r="DZ38" s="2">
        <v>1.85300552679735E-10</v>
      </c>
      <c r="EA38" s="2">
        <v>4.7614300058285199E-8</v>
      </c>
      <c r="EB38" s="2">
        <v>1.89057125510317E-9</v>
      </c>
      <c r="EC38">
        <v>74.704566955566406</v>
      </c>
      <c r="ED38">
        <v>-85.138778686523395</v>
      </c>
      <c r="EE38" s="2">
        <v>3.4028230607370999E+38</v>
      </c>
      <c r="EF38" s="2">
        <v>3.4028230607370999E+38</v>
      </c>
      <c r="EG38">
        <v>-5.7781912386417403E-2</v>
      </c>
      <c r="EH38">
        <v>1150.07019042969</v>
      </c>
      <c r="EI38">
        <v>1150.07006835938</v>
      </c>
      <c r="EJ38" s="2">
        <v>3.4028230607370999E+38</v>
      </c>
      <c r="EK38" s="2">
        <v>3.4028230607370999E+38</v>
      </c>
      <c r="EL38">
        <v>123</v>
      </c>
      <c r="EM38">
        <v>230.00207519531199</v>
      </c>
      <c r="EN38">
        <v>5.0002574920654297</v>
      </c>
      <c r="EO38">
        <v>-6.3096299767494202E-2</v>
      </c>
      <c r="EP38">
        <v>1150.07055664062</v>
      </c>
      <c r="EQ38">
        <v>1150.07336425781</v>
      </c>
      <c r="ER38">
        <v>49.999866485595703</v>
      </c>
      <c r="ES38">
        <v>-90.003326416015597</v>
      </c>
      <c r="ET38" s="2">
        <v>-5.7837653002934503E-5</v>
      </c>
      <c r="EU38" s="2">
        <v>3.4028230607370999E+38</v>
      </c>
      <c r="EV38">
        <v>0</v>
      </c>
      <c r="EW38">
        <v>230.004470825195</v>
      </c>
      <c r="EX38">
        <v>-8.1176705658435794E-2</v>
      </c>
      <c r="EY38">
        <v>1150.08190917969</v>
      </c>
      <c r="EZ38">
        <v>1150.07214355469</v>
      </c>
      <c r="FA38">
        <v>-1.8224341329187201E-4</v>
      </c>
      <c r="FB38">
        <v>1.4515589922666499E-2</v>
      </c>
      <c r="FC38" s="2">
        <v>3.89141496270895E-6</v>
      </c>
      <c r="FD38" s="2">
        <v>7.52118989311157E-9</v>
      </c>
      <c r="FE38" s="2">
        <v>5.65055948698046E-8</v>
      </c>
      <c r="FF38" s="2">
        <v>5.8127667124097099E-9</v>
      </c>
      <c r="FG38">
        <v>74.696357727050795</v>
      </c>
      <c r="FH38">
        <v>-41.567176818847699</v>
      </c>
      <c r="FI38">
        <v>0.12828586995601701</v>
      </c>
      <c r="FJ38" s="2">
        <v>3.4028230607370999E+38</v>
      </c>
      <c r="FK38">
        <v>52.535026550292997</v>
      </c>
      <c r="FL38">
        <v>1.97792295366526E-2</v>
      </c>
      <c r="FM38">
        <v>0</v>
      </c>
      <c r="FN38">
        <v>0</v>
      </c>
      <c r="FO38">
        <v>0</v>
      </c>
      <c r="FP38">
        <v>1.6384125046897701E-4</v>
      </c>
      <c r="FQ38">
        <v>1.5719514340162302E-2</v>
      </c>
      <c r="FR38" s="2">
        <v>3.1624952043784998E-6</v>
      </c>
      <c r="FS38" s="2">
        <v>8.6804974319676396E-10</v>
      </c>
      <c r="FT38" s="2">
        <v>4.8825942400299001E-8</v>
      </c>
      <c r="FU38" s="2">
        <v>2.5645388035400199E-9</v>
      </c>
      <c r="FV38">
        <v>74.814056396484403</v>
      </c>
      <c r="FW38">
        <v>-65.908065795898395</v>
      </c>
      <c r="FX38">
        <v>2.3486308753490399E-2</v>
      </c>
      <c r="FY38" s="2">
        <v>3.4028230607370999E+38</v>
      </c>
      <c r="FZ38">
        <v>-58.667057037353501</v>
      </c>
      <c r="GA38">
        <v>229.08874511718801</v>
      </c>
      <c r="GB38" s="2">
        <v>4.0838499248963E-10</v>
      </c>
      <c r="GC38">
        <v>7.2514434577897202E-4</v>
      </c>
      <c r="GD38" s="2">
        <v>1.04054942440257E-9</v>
      </c>
      <c r="GE38" s="2">
        <v>-7.34223431209102E-5</v>
      </c>
      <c r="GF38" s="2">
        <v>3.4028230607370999E+38</v>
      </c>
      <c r="GG38" s="2">
        <v>3.4028230607370999E+38</v>
      </c>
      <c r="GH38">
        <v>-6.3955418765544905E-2</v>
      </c>
      <c r="GI38">
        <v>1150.06982421875</v>
      </c>
      <c r="GJ38">
        <v>1150.07250976562</v>
      </c>
      <c r="GK38" s="2">
        <v>3.4028230607370999E+38</v>
      </c>
      <c r="GL38" s="2">
        <v>3.4028230607370999E+38</v>
      </c>
      <c r="GM38" s="2">
        <v>3.4028230607370999E+38</v>
      </c>
      <c r="GN38" s="2">
        <v>3.4028230607370999E+38</v>
      </c>
      <c r="GO38" s="2">
        <v>3.4028230607370999E+38</v>
      </c>
      <c r="GP38" s="2">
        <v>3.4028230607370999E+38</v>
      </c>
      <c r="GQ38">
        <v>-8.5745900869369507E-2</v>
      </c>
      <c r="GR38">
        <v>-8.24464187026024E-2</v>
      </c>
      <c r="GS38">
        <v>1150.07543945312</v>
      </c>
      <c r="GT38">
        <v>-1.33124634157866E-3</v>
      </c>
      <c r="GX38">
        <f t="shared" si="1"/>
        <v>230.00189208984361</v>
      </c>
      <c r="GY38">
        <f t="shared" si="2"/>
        <v>5.00026206970215</v>
      </c>
      <c r="GZ38">
        <f t="shared" si="3"/>
        <v>-6.2137208133935938E-2</v>
      </c>
      <c r="HA38">
        <f t="shared" si="4"/>
        <v>1150.0700927734401</v>
      </c>
      <c r="HB38">
        <f t="shared" si="5"/>
        <v>1150.0704345703139</v>
      </c>
      <c r="HC38">
        <f t="shared" si="6"/>
        <v>49.999959564209007</v>
      </c>
      <c r="HD38">
        <f t="shared" si="7"/>
        <v>-90.00319824218748</v>
      </c>
      <c r="HW38" s="10">
        <f>(GX38/Data!$S38-1)*1000000</f>
        <v>21.780685838024283</v>
      </c>
      <c r="HX38" s="10">
        <f>(GY38/Data!$T38-1)*1000000</f>
        <v>76.818615019291769</v>
      </c>
      <c r="HY38" s="10">
        <f>(GZ38/Data!$BW38-1)*1000000</f>
        <v>-15867683.428520279</v>
      </c>
      <c r="HZ38" s="10">
        <f>(HA38/(Data!$S38*Data!$T38)-1)*1000000</f>
        <v>98.910374343841312</v>
      </c>
      <c r="IA38" s="7">
        <f>(HB38/IF(HD38&gt;0, -Data!$BX38,Data!$BX38)-1)*1000000</f>
        <v>99.201651975189264</v>
      </c>
      <c r="IB38" s="10"/>
      <c r="IC38" s="9">
        <f>(HD38-Data!$U38)</f>
        <v>-3.4064721874784709E-3</v>
      </c>
    </row>
    <row r="39" spans="1:237" x14ac:dyDescent="0.2">
      <c r="A39">
        <v>39</v>
      </c>
      <c r="B39">
        <v>230.001876831055</v>
      </c>
      <c r="C39">
        <v>5.0002598762512198</v>
      </c>
      <c r="D39">
        <v>995.95281982421898</v>
      </c>
      <c r="E39">
        <v>1150.06140136719</v>
      </c>
      <c r="F39">
        <v>575.08892822265602</v>
      </c>
      <c r="G39">
        <v>49.9998779296875</v>
      </c>
      <c r="H39">
        <v>-30.002874374389599</v>
      </c>
      <c r="I39">
        <v>1.7681110650301E-2</v>
      </c>
      <c r="J39" s="2">
        <v>3.8267430682026299E-6</v>
      </c>
      <c r="K39" s="2">
        <v>1.3882482718941E-8</v>
      </c>
      <c r="L39" s="2">
        <v>6.7610713472276997E-8</v>
      </c>
      <c r="M39" s="2">
        <v>1.5636120176409899E-9</v>
      </c>
      <c r="N39">
        <v>74.583625793457003</v>
      </c>
      <c r="O39">
        <v>-6.0988831520080602</v>
      </c>
      <c r="P39">
        <v>1.93990115076303E-2</v>
      </c>
      <c r="Q39" s="2">
        <v>3.2356379051634602E-6</v>
      </c>
      <c r="R39" s="2">
        <v>7.2305716969367503E-9</v>
      </c>
      <c r="S39" s="2">
        <v>6.3165899177875002E-8</v>
      </c>
      <c r="T39" s="2">
        <v>8.2996542971613996E-9</v>
      </c>
      <c r="U39">
        <v>74.807838439941406</v>
      </c>
      <c r="V39">
        <v>-42.028621673583999</v>
      </c>
      <c r="W39" s="2">
        <v>3.4028230607370999E+38</v>
      </c>
      <c r="X39" s="2">
        <v>3.4028230607370999E+38</v>
      </c>
      <c r="Y39">
        <v>995.95281982421898</v>
      </c>
      <c r="Z39">
        <v>1150.06140136719</v>
      </c>
      <c r="AA39">
        <v>575.08892822265602</v>
      </c>
      <c r="AB39" s="2">
        <v>3.4028230607370999E+38</v>
      </c>
      <c r="AC39" s="2">
        <v>3.4028230607370999E+38</v>
      </c>
      <c r="AD39">
        <v>230.00212097168</v>
      </c>
      <c r="AE39">
        <v>5.0002512931823704</v>
      </c>
      <c r="AF39">
        <v>995.95886230468795</v>
      </c>
      <c r="AG39">
        <v>1150.06689453125</v>
      </c>
      <c r="AH39">
        <v>575.08721923828102</v>
      </c>
      <c r="AI39">
        <v>49.999931335449197</v>
      </c>
      <c r="AJ39">
        <v>-30.003025054931602</v>
      </c>
      <c r="AK39">
        <v>1.7581596970558201E-2</v>
      </c>
      <c r="AL39" s="2">
        <v>3.8187404243217299E-6</v>
      </c>
      <c r="AM39" s="2">
        <v>1.28145218880604E-8</v>
      </c>
      <c r="AN39" s="2">
        <v>6.7905254752531605E-8</v>
      </c>
      <c r="AO39" s="2">
        <v>7.83077047650238E-10</v>
      </c>
      <c r="AP39">
        <v>74.759757995605497</v>
      </c>
      <c r="AQ39">
        <v>-1.1781538724899301</v>
      </c>
      <c r="AR39">
        <v>1.9604651257395699E-2</v>
      </c>
      <c r="AS39" s="2">
        <v>3.23086510434223E-6</v>
      </c>
      <c r="AT39" s="2">
        <v>8.7389118164082902E-9</v>
      </c>
      <c r="AU39" s="2">
        <v>6.2148799884198498E-8</v>
      </c>
      <c r="AV39" s="2">
        <v>1.0195859267980699E-8</v>
      </c>
      <c r="AW39">
        <v>74.642227172851605</v>
      </c>
      <c r="AX39">
        <v>-45.414432525634801</v>
      </c>
      <c r="AY39" s="2">
        <v>3.4028230607370999E+38</v>
      </c>
      <c r="AZ39" s="2">
        <v>3.4028230607370999E+38</v>
      </c>
      <c r="BA39">
        <v>995.95886230468795</v>
      </c>
      <c r="BB39">
        <v>1150.06689453125</v>
      </c>
      <c r="BC39">
        <v>575.08721923828102</v>
      </c>
      <c r="BD39" s="2">
        <v>3.4028230607370999E+38</v>
      </c>
      <c r="BE39" s="2">
        <v>3.4028230607370999E+38</v>
      </c>
      <c r="BF39">
        <v>230.00199890136699</v>
      </c>
      <c r="BG39">
        <v>5.00024318695068</v>
      </c>
      <c r="BH39">
        <v>995.95623779296898</v>
      </c>
      <c r="BI39">
        <v>1150.06506347656</v>
      </c>
      <c r="BJ39">
        <v>575.08514404296898</v>
      </c>
      <c r="BK39">
        <v>49.999969482421903</v>
      </c>
      <c r="BL39">
        <v>-30.002994537353501</v>
      </c>
      <c r="BM39">
        <v>1.5946390107274101E-2</v>
      </c>
      <c r="BN39" s="2">
        <v>3.8458224480564198E-6</v>
      </c>
      <c r="BO39" s="2">
        <v>9.7164711831965195E-9</v>
      </c>
      <c r="BP39" s="2">
        <v>6.1481500779336797E-8</v>
      </c>
      <c r="BQ39" s="2">
        <v>5.8927298596245204E-9</v>
      </c>
      <c r="BR39">
        <v>74.817672729492202</v>
      </c>
      <c r="BS39">
        <v>-32.418365478515597</v>
      </c>
      <c r="BT39">
        <v>1.70151516795158E-2</v>
      </c>
      <c r="BU39" s="2">
        <v>3.3203011753357701E-6</v>
      </c>
      <c r="BV39" s="2">
        <v>4.3954724304740003E-9</v>
      </c>
      <c r="BW39" s="2">
        <v>5.6451931129686299E-8</v>
      </c>
      <c r="BX39" s="2">
        <v>7.5703479041067096E-9</v>
      </c>
      <c r="BY39">
        <v>74.776672363281193</v>
      </c>
      <c r="BZ39">
        <v>-55.047679901122997</v>
      </c>
      <c r="CA39" s="2">
        <v>3.4028230607370999E+38</v>
      </c>
      <c r="CB39" s="2">
        <v>3.4028230607370999E+38</v>
      </c>
      <c r="CC39">
        <v>995.95623779296898</v>
      </c>
      <c r="CD39">
        <v>1150.06506347656</v>
      </c>
      <c r="CE39">
        <v>575.08514404296898</v>
      </c>
      <c r="CF39" s="2">
        <v>3.4028230607370999E+38</v>
      </c>
      <c r="CG39" s="2">
        <v>3.4028230607370999E+38</v>
      </c>
      <c r="CH39">
        <v>230.00225830078099</v>
      </c>
      <c r="CI39">
        <v>5.0002641677856401</v>
      </c>
      <c r="CJ39">
        <v>995.96228027343795</v>
      </c>
      <c r="CK39">
        <v>1150.07141113281</v>
      </c>
      <c r="CL39">
        <v>575.08929443359398</v>
      </c>
      <c r="CM39">
        <v>49.999927520752003</v>
      </c>
      <c r="CN39">
        <v>-30.003095626831101</v>
      </c>
      <c r="CO39">
        <v>1.45295485854149E-2</v>
      </c>
      <c r="CP39" s="2">
        <v>3.90662808058551E-6</v>
      </c>
      <c r="CQ39" s="2">
        <v>5.4954534256523898E-9</v>
      </c>
      <c r="CR39" s="2">
        <v>5.66896645182169E-8</v>
      </c>
      <c r="CS39" s="2">
        <v>9.0592686130541696E-11</v>
      </c>
      <c r="CT39">
        <v>74.729019165039105</v>
      </c>
      <c r="CU39">
        <v>-0.89523142576217696</v>
      </c>
      <c r="CV39">
        <v>1.5725817531347299E-2</v>
      </c>
      <c r="CW39" s="2">
        <v>3.20000981446356E-6</v>
      </c>
      <c r="CX39" s="2">
        <v>2.7371347410820598E-9</v>
      </c>
      <c r="CY39" s="2">
        <v>4.9478085628606998E-8</v>
      </c>
      <c r="CZ39" s="2">
        <v>2.19164641990233E-9</v>
      </c>
      <c r="DA39">
        <v>74.825721740722699</v>
      </c>
      <c r="DB39">
        <v>-41.208652496337898</v>
      </c>
      <c r="DC39" s="2">
        <v>3.4028230607370999E+38</v>
      </c>
      <c r="DD39" s="2">
        <v>3.4028230607370999E+38</v>
      </c>
      <c r="DE39">
        <v>995.96228027343795</v>
      </c>
      <c r="DF39">
        <v>1150.07141113281</v>
      </c>
      <c r="DG39">
        <v>575.08929443359398</v>
      </c>
      <c r="DH39" s="2">
        <v>3.4028230607370999E+38</v>
      </c>
      <c r="DI39" s="2">
        <v>3.4028230607370999E+38</v>
      </c>
      <c r="DJ39">
        <v>230.00190734863301</v>
      </c>
      <c r="DK39">
        <v>5.0002694129943803</v>
      </c>
      <c r="DL39">
        <v>995.96185302734398</v>
      </c>
      <c r="DM39">
        <v>1150.07055664062</v>
      </c>
      <c r="DN39">
        <v>575.09222412109398</v>
      </c>
      <c r="DO39">
        <v>49.999931335449197</v>
      </c>
      <c r="DP39">
        <v>-30.003099441528299</v>
      </c>
      <c r="DQ39">
        <v>1.5996951609849899E-2</v>
      </c>
      <c r="DR39" s="2">
        <v>3.9076176108210297E-6</v>
      </c>
      <c r="DS39" s="2">
        <v>9.9733536984558701E-9</v>
      </c>
      <c r="DT39" s="2">
        <v>6.4230277985188904E-8</v>
      </c>
      <c r="DU39" s="2">
        <v>-3.20767767902908E-9</v>
      </c>
      <c r="DV39">
        <v>74.697669982910199</v>
      </c>
      <c r="DW39">
        <v>18.3984699249268</v>
      </c>
      <c r="DX39">
        <v>1.7388068139553101E-2</v>
      </c>
      <c r="DY39" s="2">
        <v>3.1253212000592599E-6</v>
      </c>
      <c r="DZ39" s="2">
        <v>7.3376105191869101E-9</v>
      </c>
      <c r="EA39" s="2">
        <v>5.7922420637623899E-8</v>
      </c>
      <c r="EB39" s="2">
        <v>4.7544577164160298E-9</v>
      </c>
      <c r="EC39">
        <v>74.799102783203097</v>
      </c>
      <c r="ED39">
        <v>-32.960140228271499</v>
      </c>
      <c r="EE39" s="2">
        <v>3.4028230607370999E+38</v>
      </c>
      <c r="EF39" s="2">
        <v>3.4028230607370999E+38</v>
      </c>
      <c r="EG39">
        <v>995.96185302734398</v>
      </c>
      <c r="EH39">
        <v>1150.07055664062</v>
      </c>
      <c r="EI39">
        <v>575.09216308593795</v>
      </c>
      <c r="EJ39" s="2">
        <v>3.4028230607370999E+38</v>
      </c>
      <c r="EK39" s="2">
        <v>3.4028230607370999E+38</v>
      </c>
      <c r="EL39">
        <v>123</v>
      </c>
      <c r="EM39">
        <v>230.00201416015599</v>
      </c>
      <c r="EN39">
        <v>5.0002713203430202</v>
      </c>
      <c r="EO39">
        <v>995.96112060546898</v>
      </c>
      <c r="EP39">
        <v>1150.06945800781</v>
      </c>
      <c r="EQ39">
        <v>575.087890625</v>
      </c>
      <c r="ER39">
        <v>49.999988555908203</v>
      </c>
      <c r="ES39">
        <v>-30.003017425537099</v>
      </c>
      <c r="ET39">
        <v>0.866000056266785</v>
      </c>
      <c r="EU39" s="2">
        <v>3.4028230607370999E+38</v>
      </c>
      <c r="EV39">
        <v>0</v>
      </c>
      <c r="EW39">
        <v>230.007080078125</v>
      </c>
      <c r="EX39">
        <v>995.96179199218795</v>
      </c>
      <c r="EY39">
        <v>1150.09423828125</v>
      </c>
      <c r="EZ39">
        <v>575.13232421875</v>
      </c>
      <c r="FA39">
        <v>5.1984976744279298E-4</v>
      </c>
      <c r="FB39">
        <v>1.6911750659346601E-2</v>
      </c>
      <c r="FC39" s="2">
        <v>3.8732891880499699E-6</v>
      </c>
      <c r="FD39" s="2">
        <v>1.0807966077663901E-8</v>
      </c>
      <c r="FE39" s="2">
        <v>6.6172582080525899E-8</v>
      </c>
      <c r="FF39" s="2">
        <v>-4.17197609792197E-9</v>
      </c>
      <c r="FG39">
        <v>74.695632934570298</v>
      </c>
      <c r="FH39">
        <v>13.528018951416</v>
      </c>
      <c r="FI39">
        <v>0.17383830249309501</v>
      </c>
      <c r="FJ39" s="2">
        <v>3.4028230607370999E+38</v>
      </c>
      <c r="FK39">
        <v>-32.196689605712898</v>
      </c>
      <c r="FL39">
        <v>2.0166903734207198E-2</v>
      </c>
      <c r="FM39">
        <v>0</v>
      </c>
      <c r="FN39">
        <v>0</v>
      </c>
      <c r="FO39">
        <v>0</v>
      </c>
      <c r="FP39" s="2">
        <v>-3.2771946280263398E-5</v>
      </c>
      <c r="FQ39">
        <v>1.89301464706659E-2</v>
      </c>
      <c r="FR39" s="2">
        <v>3.1550957828585499E-6</v>
      </c>
      <c r="FS39" s="2">
        <v>8.0935969037909705E-9</v>
      </c>
      <c r="FT39" s="2">
        <v>6.0053316985886301E-8</v>
      </c>
      <c r="FU39" s="2">
        <v>7.9081896586785694E-9</v>
      </c>
      <c r="FV39">
        <v>74.7633056640625</v>
      </c>
      <c r="FW39">
        <v>0</v>
      </c>
      <c r="FX39">
        <v>0</v>
      </c>
      <c r="FY39" s="2">
        <v>3.4028230607370999E+38</v>
      </c>
      <c r="FZ39">
        <v>-52.841140747070298</v>
      </c>
      <c r="GA39">
        <v>229.26304626464801</v>
      </c>
      <c r="GB39" s="2">
        <v>1.8563645065583501E-9</v>
      </c>
      <c r="GC39">
        <v>7.48985563404858E-4</v>
      </c>
      <c r="GD39" s="2">
        <v>1.02125685685905E-9</v>
      </c>
      <c r="GE39" s="2">
        <v>-8.3599996287375702E-5</v>
      </c>
      <c r="GF39" s="2">
        <v>3.4028230607370999E+38</v>
      </c>
      <c r="GG39" s="2">
        <v>3.4028230607370999E+38</v>
      </c>
      <c r="GH39">
        <v>995.95935058593795</v>
      </c>
      <c r="GI39">
        <v>1150.06726074219</v>
      </c>
      <c r="GJ39">
        <v>575.08526611328102</v>
      </c>
      <c r="GK39" s="2">
        <v>3.4028230607370999E+38</v>
      </c>
      <c r="GL39" s="2">
        <v>3.4028230607370999E+38</v>
      </c>
      <c r="GM39" s="2">
        <v>3.4028230607370999E+38</v>
      </c>
      <c r="GN39" s="2">
        <v>3.4028230607370999E+38</v>
      </c>
      <c r="GO39" s="2">
        <v>3.4028230607370999E+38</v>
      </c>
      <c r="GP39" s="2">
        <v>3.4028230607370999E+38</v>
      </c>
      <c r="GQ39">
        <v>995.94421386718795</v>
      </c>
      <c r="GR39">
        <v>995.94720458984398</v>
      </c>
      <c r="GS39">
        <v>575.12640380859398</v>
      </c>
      <c r="GT39">
        <v>-1.1558864498511E-3</v>
      </c>
      <c r="GX39">
        <f t="shared" si="1"/>
        <v>230.00203247070323</v>
      </c>
      <c r="GY39">
        <f t="shared" si="2"/>
        <v>5.0002575874328583</v>
      </c>
      <c r="GZ39">
        <f t="shared" si="3"/>
        <v>995.95841064453157</v>
      </c>
      <c r="HA39">
        <f t="shared" si="4"/>
        <v>1150.067065429686</v>
      </c>
      <c r="HB39">
        <f t="shared" si="5"/>
        <v>575.08856201171875</v>
      </c>
      <c r="HC39">
        <f t="shared" si="6"/>
        <v>49.99992752075196</v>
      </c>
      <c r="HD39">
        <f t="shared" si="7"/>
        <v>-30.00301780700682</v>
      </c>
      <c r="HW39" s="10">
        <f>(GX39/Data!$S39-1)*1000000</f>
        <v>22.488005690490809</v>
      </c>
      <c r="HX39" s="10">
        <f>(GY39/Data!$T39-1)*1000000</f>
        <v>4.3740803634673142</v>
      </c>
      <c r="HY39" s="10">
        <f>(GZ39/Data!$BW39-1)*1000000</f>
        <v>-4.9287512625673102</v>
      </c>
      <c r="HZ39" s="10">
        <f>(HA39/(Data!$S39*Data!$T39)-1)*1000000</f>
        <v>24.825246615733931</v>
      </c>
      <c r="IA39" s="7">
        <f>(HB39/IF(HD39&gt;0, -Data!$BX39,Data!$BX39)-1)*1000000</f>
        <v>122.76140078415487</v>
      </c>
      <c r="IB39" s="10"/>
      <c r="IC39" s="9">
        <f>(HD39-Data!$U39)</f>
        <v>-3.0919570068199675E-3</v>
      </c>
    </row>
    <row r="40" spans="1:237" x14ac:dyDescent="0.2">
      <c r="A40">
        <v>40</v>
      </c>
      <c r="B40">
        <v>230.00216674804699</v>
      </c>
      <c r="C40">
        <v>5.00024509429932</v>
      </c>
      <c r="D40">
        <v>995.95599365234398</v>
      </c>
      <c r="E40">
        <v>1150.06579589844</v>
      </c>
      <c r="F40">
        <v>575.09173583984398</v>
      </c>
      <c r="G40">
        <v>49.999946594238303</v>
      </c>
      <c r="H40">
        <v>-30.0031547546387</v>
      </c>
      <c r="I40">
        <v>1.5183297917246799E-2</v>
      </c>
      <c r="J40" s="2">
        <v>3.7982918001944199E-6</v>
      </c>
      <c r="K40" s="2">
        <v>8.1462872003612607E-9</v>
      </c>
      <c r="L40" s="2">
        <v>5.7561432953434599E-8</v>
      </c>
      <c r="M40" s="2">
        <v>5.3966342505873399E-9</v>
      </c>
      <c r="N40">
        <v>74.745338439941406</v>
      </c>
      <c r="O40">
        <v>-31.138950347900401</v>
      </c>
      <c r="P40">
        <v>1.6514601185917899E-2</v>
      </c>
      <c r="Q40" s="2">
        <v>3.2908542380027901E-6</v>
      </c>
      <c r="R40" s="2">
        <v>2.5028505934443501E-9</v>
      </c>
      <c r="S40" s="2">
        <v>5.3469026539687501E-8</v>
      </c>
      <c r="T40" s="2">
        <v>5.9486890968685202E-9</v>
      </c>
      <c r="U40">
        <v>74.768997192382798</v>
      </c>
      <c r="V40">
        <v>-62.067577362060497</v>
      </c>
      <c r="W40" s="2">
        <v>3.4028230607370999E+38</v>
      </c>
      <c r="X40" s="2">
        <v>3.4028230607370999E+38</v>
      </c>
      <c r="Y40">
        <v>995.95599365234398</v>
      </c>
      <c r="Z40">
        <v>1150.06579589844</v>
      </c>
      <c r="AA40">
        <v>575.09173583984398</v>
      </c>
      <c r="AB40" s="2">
        <v>3.4028230607370999E+38</v>
      </c>
      <c r="AC40" s="2">
        <v>3.4028230607370999E+38</v>
      </c>
      <c r="AD40">
        <v>230.00173950195301</v>
      </c>
      <c r="AE40">
        <v>5.0002579689025897</v>
      </c>
      <c r="AF40">
        <v>995.95989990234398</v>
      </c>
      <c r="AG40">
        <v>1150.06323242188</v>
      </c>
      <c r="AH40">
        <v>575.08319091796898</v>
      </c>
      <c r="AI40">
        <v>49.999904632568402</v>
      </c>
      <c r="AJ40">
        <v>-30.002891540527301</v>
      </c>
      <c r="AK40">
        <v>1.7515879124403E-2</v>
      </c>
      <c r="AL40" s="2">
        <v>3.8504040276166102E-6</v>
      </c>
      <c r="AM40" s="2">
        <v>1.3088247818871E-8</v>
      </c>
      <c r="AN40" s="2">
        <v>6.7149571236768706E-8</v>
      </c>
      <c r="AO40" s="2">
        <v>4.2663756971705896E-9</v>
      </c>
      <c r="AP40">
        <v>74.717048645019503</v>
      </c>
      <c r="AQ40">
        <v>-16.065525054931602</v>
      </c>
      <c r="AR40">
        <v>1.9220894202589999E-2</v>
      </c>
      <c r="AS40" s="2">
        <v>3.2824709705892002E-6</v>
      </c>
      <c r="AT40" s="2">
        <v>7.0410108854446199E-9</v>
      </c>
      <c r="AU40" s="2">
        <v>6.1991109134851299E-8</v>
      </c>
      <c r="AV40" s="2">
        <v>1.0486282953081601E-8</v>
      </c>
      <c r="AW40">
        <v>74.691032409667997</v>
      </c>
      <c r="AX40">
        <v>-51.999473571777301</v>
      </c>
      <c r="AY40" s="2">
        <v>3.4028230607370999E+38</v>
      </c>
      <c r="AZ40" s="2">
        <v>3.4028230607370999E+38</v>
      </c>
      <c r="BA40">
        <v>995.95989990234398</v>
      </c>
      <c r="BB40">
        <v>1150.06323242188</v>
      </c>
      <c r="BC40">
        <v>575.08319091796898</v>
      </c>
      <c r="BD40" s="2">
        <v>3.4028230607370999E+38</v>
      </c>
      <c r="BE40" s="2">
        <v>3.4028230607370999E+38</v>
      </c>
      <c r="BF40">
        <v>230.00189208984401</v>
      </c>
      <c r="BG40">
        <v>5.00026607513428</v>
      </c>
      <c r="BH40">
        <v>995.96350097656205</v>
      </c>
      <c r="BI40">
        <v>1150.07165527344</v>
      </c>
      <c r="BJ40">
        <v>575.09020996093795</v>
      </c>
      <c r="BK40">
        <v>49.999935150146499</v>
      </c>
      <c r="BL40">
        <v>-30.003250122070298</v>
      </c>
      <c r="BM40">
        <v>1.4715869911015001E-2</v>
      </c>
      <c r="BN40" s="2">
        <v>3.9000196920824203E-6</v>
      </c>
      <c r="BO40" s="2">
        <v>4.4423158485074096E-9</v>
      </c>
      <c r="BP40" s="2">
        <v>5.5896560269275102E-8</v>
      </c>
      <c r="BQ40" s="2">
        <v>-2.3387911607386501E-9</v>
      </c>
      <c r="BR40">
        <v>74.661445617675795</v>
      </c>
      <c r="BS40">
        <v>15.7813377380371</v>
      </c>
      <c r="BT40">
        <v>1.6055939719080901E-2</v>
      </c>
      <c r="BU40" s="2">
        <v>3.2770028610684702E-6</v>
      </c>
      <c r="BV40" s="2">
        <v>3.69315289461269E-9</v>
      </c>
      <c r="BW40" s="2">
        <v>4.9607937313567203E-8</v>
      </c>
      <c r="BX40" s="2">
        <v>2.0688666335644298E-9</v>
      </c>
      <c r="BY40">
        <v>74.736145019531193</v>
      </c>
      <c r="BZ40">
        <v>-28.2489624023438</v>
      </c>
      <c r="CA40" s="2">
        <v>3.4028230607370999E+38</v>
      </c>
      <c r="CB40" s="2">
        <v>3.4028230607370999E+38</v>
      </c>
      <c r="CC40">
        <v>995.96350097656205</v>
      </c>
      <c r="CD40">
        <v>1150.07165527344</v>
      </c>
      <c r="CE40">
        <v>575.09014892578102</v>
      </c>
      <c r="CF40" s="2">
        <v>3.4028230607370999E+38</v>
      </c>
      <c r="CG40" s="2">
        <v>3.4028230607370999E+38</v>
      </c>
      <c r="CH40">
        <v>230.00198364257801</v>
      </c>
      <c r="CI40">
        <v>5.0002574920654297</v>
      </c>
      <c r="CJ40">
        <v>995.956787109375</v>
      </c>
      <c r="CK40">
        <v>1150.06518554688</v>
      </c>
      <c r="CL40">
        <v>575.08868408203102</v>
      </c>
      <c r="CM40">
        <v>49.999889373779297</v>
      </c>
      <c r="CN40">
        <v>-30.002887725830099</v>
      </c>
      <c r="CO40">
        <v>1.5285681001841999E-2</v>
      </c>
      <c r="CP40" s="2">
        <v>3.80727942683734E-6</v>
      </c>
      <c r="CQ40" s="2">
        <v>8.7262117531849997E-9</v>
      </c>
      <c r="CR40" s="2">
        <v>5.9752736092377705E-8</v>
      </c>
      <c r="CS40" s="2">
        <v>5.9898632720489803E-9</v>
      </c>
      <c r="CT40">
        <v>74.706413269042997</v>
      </c>
      <c r="CU40">
        <v>-30.166173934936499</v>
      </c>
      <c r="CV40">
        <v>1.6441956162452701E-2</v>
      </c>
      <c r="CW40" s="2">
        <v>3.24624352288083E-6</v>
      </c>
      <c r="CX40" s="2">
        <v>2.3808386373502799E-9</v>
      </c>
      <c r="CY40" s="2">
        <v>5.3153740964262397E-8</v>
      </c>
      <c r="CZ40" s="2">
        <v>5.8119038470749704E-9</v>
      </c>
      <c r="DA40">
        <v>74.713485717773395</v>
      </c>
      <c r="DB40">
        <v>-70.419326782226605</v>
      </c>
      <c r="DC40" s="2">
        <v>3.4028230607370999E+38</v>
      </c>
      <c r="DD40" s="2">
        <v>3.4028230607370999E+38</v>
      </c>
      <c r="DE40">
        <v>995.956787109375</v>
      </c>
      <c r="DF40">
        <v>1150.06518554688</v>
      </c>
      <c r="DG40">
        <v>575.08868408203102</v>
      </c>
      <c r="DH40" s="2">
        <v>3.4028230607370999E+38</v>
      </c>
      <c r="DI40" s="2">
        <v>3.4028230607370999E+38</v>
      </c>
      <c r="DJ40">
        <v>230.00167846679699</v>
      </c>
      <c r="DK40">
        <v>5.0002698898315403</v>
      </c>
      <c r="DL40">
        <v>995.96063232421898</v>
      </c>
      <c r="DM40">
        <v>1150.07092285156</v>
      </c>
      <c r="DN40">
        <v>575.091064453125</v>
      </c>
      <c r="DO40">
        <v>49.999958038330099</v>
      </c>
      <c r="DP40">
        <v>-30.0031337738037</v>
      </c>
      <c r="DQ40">
        <v>1.6970960423350299E-2</v>
      </c>
      <c r="DR40" s="2">
        <v>3.8609518924204201E-6</v>
      </c>
      <c r="DS40" s="2">
        <v>1.1056616067151E-8</v>
      </c>
      <c r="DT40" s="2">
        <v>6.5520268321961299E-8</v>
      </c>
      <c r="DU40" s="2">
        <v>-3.1593776483873601E-9</v>
      </c>
      <c r="DV40">
        <v>74.705215454101605</v>
      </c>
      <c r="DW40">
        <v>15.639768600463899</v>
      </c>
      <c r="DX40">
        <v>1.8278921023011201E-2</v>
      </c>
      <c r="DY40" s="2">
        <v>3.2805314731376699E-6</v>
      </c>
      <c r="DZ40" s="2">
        <v>8.0778388422686492E-9</v>
      </c>
      <c r="EA40" s="2">
        <v>5.9949513797619094E-8</v>
      </c>
      <c r="EB40" s="2">
        <v>6.1564540132508203E-9</v>
      </c>
      <c r="EC40">
        <v>74.663902282714801</v>
      </c>
      <c r="ED40">
        <v>-37.014663696289098</v>
      </c>
      <c r="EE40" s="2">
        <v>3.4028230607370999E+38</v>
      </c>
      <c r="EF40" s="2">
        <v>3.4028230607370999E+38</v>
      </c>
      <c r="EG40">
        <v>995.96063232421898</v>
      </c>
      <c r="EH40">
        <v>1150.07092285156</v>
      </c>
      <c r="EI40">
        <v>575.09100341796898</v>
      </c>
      <c r="EJ40" s="2">
        <v>3.4028230607370999E+38</v>
      </c>
      <c r="EK40" s="2">
        <v>3.4028230607370999E+38</v>
      </c>
      <c r="EL40">
        <v>123</v>
      </c>
      <c r="EM40">
        <v>230.00192260742199</v>
      </c>
      <c r="EN40">
        <v>5.0002560615539604</v>
      </c>
      <c r="EO40">
        <v>995.95684814453102</v>
      </c>
      <c r="EP40">
        <v>1150.06469726562</v>
      </c>
      <c r="EQ40">
        <v>575.08544921875</v>
      </c>
      <c r="ER40">
        <v>49.999973297119098</v>
      </c>
      <c r="ES40">
        <v>-30.003099441528299</v>
      </c>
      <c r="ET40">
        <v>0.86599987745285001</v>
      </c>
      <c r="EU40" s="2">
        <v>3.4028230607370999E+38</v>
      </c>
      <c r="EV40">
        <v>0</v>
      </c>
      <c r="EW40">
        <v>230.00759887695301</v>
      </c>
      <c r="EX40">
        <v>995.96453857421898</v>
      </c>
      <c r="EY40">
        <v>1150.09619140625</v>
      </c>
      <c r="EZ40">
        <v>575.127685546875</v>
      </c>
      <c r="FA40">
        <v>-1.8246678519062701E-4</v>
      </c>
      <c r="FB40">
        <v>1.6311870887875599E-2</v>
      </c>
      <c r="FC40" s="2">
        <v>3.9531983020424403E-6</v>
      </c>
      <c r="FD40" s="2">
        <v>7.2581154419992799E-9</v>
      </c>
      <c r="FE40" s="2">
        <v>6.4761387363887506E-8</v>
      </c>
      <c r="FF40" s="2">
        <v>-4.0585423910499702E-9</v>
      </c>
      <c r="FG40">
        <v>74.760559082031193</v>
      </c>
      <c r="FH40">
        <v>25.5405158996582</v>
      </c>
      <c r="FI40">
        <v>0.124719560146332</v>
      </c>
      <c r="FJ40" s="2">
        <v>3.4028230607370999E+38</v>
      </c>
      <c r="FK40">
        <v>-8.6658153533935494</v>
      </c>
      <c r="FL40">
        <v>2.0550681278109599E-2</v>
      </c>
      <c r="FM40">
        <v>0</v>
      </c>
      <c r="FN40">
        <v>0</v>
      </c>
      <c r="FO40">
        <v>0</v>
      </c>
      <c r="FP40" s="2">
        <v>-2.6176519895670902E-5</v>
      </c>
      <c r="FQ40">
        <v>1.75794493407011E-2</v>
      </c>
      <c r="FR40" s="2">
        <v>3.1484012197324799E-6</v>
      </c>
      <c r="FS40" s="2">
        <v>5.9309108735305902E-9</v>
      </c>
      <c r="FT40" s="2">
        <v>5.5039180324456498E-8</v>
      </c>
      <c r="FU40" s="2">
        <v>3.8523046974603403E-9</v>
      </c>
      <c r="FV40">
        <v>74.717079162597699</v>
      </c>
      <c r="FW40">
        <v>-30.420680999755898</v>
      </c>
      <c r="FX40">
        <v>9.8800078034400898E-2</v>
      </c>
      <c r="FY40" s="2">
        <v>3.4028230607370999E+38</v>
      </c>
      <c r="FZ40">
        <v>37.464443206787102</v>
      </c>
      <c r="GA40">
        <v>229.43675231933599</v>
      </c>
      <c r="GB40" s="2">
        <v>6.7468874931364605E-10</v>
      </c>
      <c r="GC40">
        <v>7.2824698872864203E-4</v>
      </c>
      <c r="GD40" s="2">
        <v>-7.0230254944903002E-10</v>
      </c>
      <c r="GE40" s="2">
        <v>-7.30565297999419E-5</v>
      </c>
      <c r="GF40" s="2">
        <v>3.4028230607370999E+38</v>
      </c>
      <c r="GG40" s="2">
        <v>3.4028230607370999E+38</v>
      </c>
      <c r="GH40">
        <v>995.95697021484398</v>
      </c>
      <c r="GI40">
        <v>1150.06530761719</v>
      </c>
      <c r="GJ40">
        <v>575.08740234375</v>
      </c>
      <c r="GK40" s="2">
        <v>3.4028230607370999E+38</v>
      </c>
      <c r="GL40" s="2">
        <v>3.4028230607370999E+38</v>
      </c>
      <c r="GM40" s="2">
        <v>3.4028230607370999E+38</v>
      </c>
      <c r="GN40" s="2">
        <v>3.4028230607370999E+38</v>
      </c>
      <c r="GO40" s="2">
        <v>3.4028230607370999E+38</v>
      </c>
      <c r="GP40" s="2">
        <v>3.4028230607370999E+38</v>
      </c>
      <c r="GQ40">
        <v>995.96868896484398</v>
      </c>
      <c r="GR40">
        <v>995.96868896484398</v>
      </c>
      <c r="GS40">
        <v>575.11975097656205</v>
      </c>
      <c r="GT40">
        <v>1.94802749319933E-4</v>
      </c>
      <c r="GX40">
        <f t="shared" si="1"/>
        <v>230.00189208984381</v>
      </c>
      <c r="GY40">
        <f t="shared" si="2"/>
        <v>5.0002593040466312</v>
      </c>
      <c r="GZ40">
        <f t="shared" si="3"/>
        <v>995.9593627929687</v>
      </c>
      <c r="HA40">
        <f t="shared" si="4"/>
        <v>1150.0673583984399</v>
      </c>
      <c r="HB40">
        <f t="shared" si="5"/>
        <v>575.08897705078141</v>
      </c>
      <c r="HC40">
        <f t="shared" si="6"/>
        <v>49.999926757812517</v>
      </c>
      <c r="HD40">
        <f t="shared" si="7"/>
        <v>-30.003063583374022</v>
      </c>
      <c r="HW40" s="10">
        <f>(GX40/Data!$S40-1)*1000000</f>
        <v>22.353315095591242</v>
      </c>
      <c r="HX40" s="10">
        <f>(GY40/Data!$T40-1)*1000000</f>
        <v>8.6424358174408411</v>
      </c>
      <c r="HY40" s="10">
        <f>(GZ40/Data!$BW40-1)*1000000</f>
        <v>-0.1261166069355113</v>
      </c>
      <c r="HZ40" s="10">
        <f>(HA40/(Data!$S40*Data!$T40)-1)*1000000</f>
        <v>29.480795019631856</v>
      </c>
      <c r="IA40" s="7">
        <f>(HB40/IF(HD40&gt;0, -Data!$BX40,Data!$BX40)-1)*1000000</f>
        <v>129.54586807145674</v>
      </c>
      <c r="IB40" s="10"/>
      <c r="IC40" s="9">
        <f>(HD40-Data!$U40)</f>
        <v>-3.1926933740216157E-3</v>
      </c>
    </row>
    <row r="41" spans="1:237" x14ac:dyDescent="0.2">
      <c r="A41">
        <v>41</v>
      </c>
      <c r="B41">
        <v>230.00192260742199</v>
      </c>
      <c r="C41">
        <v>5.0002560615539604</v>
      </c>
      <c r="D41">
        <v>995.96350097656205</v>
      </c>
      <c r="E41">
        <v>1150.07287597656</v>
      </c>
      <c r="F41">
        <v>575.08868408203102</v>
      </c>
      <c r="G41">
        <v>50.000011444091797</v>
      </c>
      <c r="H41">
        <v>-30.003202438354499</v>
      </c>
      <c r="I41">
        <v>1.44309448078275E-2</v>
      </c>
      <c r="J41" s="2">
        <v>3.8779053284088099E-6</v>
      </c>
      <c r="K41" s="2">
        <v>4.5414014770983596E-9</v>
      </c>
      <c r="L41" s="2">
        <v>5.6452655883276701E-8</v>
      </c>
      <c r="M41" s="2">
        <v>-1.58040791564673E-9</v>
      </c>
      <c r="N41">
        <v>74.670425415039105</v>
      </c>
      <c r="O41">
        <v>8.0024833679199201</v>
      </c>
      <c r="P41">
        <v>1.5068762935697999E-2</v>
      </c>
      <c r="Q41" s="2">
        <v>3.2885204745980399E-6</v>
      </c>
      <c r="R41" s="2">
        <v>4.5349444199871397E-9</v>
      </c>
      <c r="S41" s="2">
        <v>4.8452530876375002E-8</v>
      </c>
      <c r="T41" s="2">
        <v>3.09051539915117E-9</v>
      </c>
      <c r="U41">
        <v>74.786239624023395</v>
      </c>
      <c r="V41">
        <v>-49.5956840515137</v>
      </c>
      <c r="W41" s="2">
        <v>3.4028230607370999E+38</v>
      </c>
      <c r="X41" s="2">
        <v>3.4028230607370999E+38</v>
      </c>
      <c r="Y41">
        <v>995.96350097656205</v>
      </c>
      <c r="Z41">
        <v>1150.07287597656</v>
      </c>
      <c r="AA41">
        <v>575.088623046875</v>
      </c>
      <c r="AB41" s="2">
        <v>3.4028230607370999E+38</v>
      </c>
      <c r="AC41" s="2">
        <v>3.4028230607370999E+38</v>
      </c>
      <c r="AD41">
        <v>230.00184631347699</v>
      </c>
      <c r="AE41">
        <v>5.0002579689025897</v>
      </c>
      <c r="AF41">
        <v>995.96124267578102</v>
      </c>
      <c r="AG41">
        <v>1150.06311035156</v>
      </c>
      <c r="AH41">
        <v>575.08587646484398</v>
      </c>
      <c r="AI41">
        <v>49.999904632568402</v>
      </c>
      <c r="AJ41">
        <v>-30.003026962280298</v>
      </c>
      <c r="AK41">
        <v>1.69513653963804E-2</v>
      </c>
      <c r="AL41" s="2">
        <v>3.8740859054087204E-6</v>
      </c>
      <c r="AM41" s="2">
        <v>1.33972815063998E-8</v>
      </c>
      <c r="AN41" s="2">
        <v>6.6810976306896905E-8</v>
      </c>
      <c r="AO41" s="2">
        <v>-1.03200437084894E-9</v>
      </c>
      <c r="AP41">
        <v>74.701721191406193</v>
      </c>
      <c r="AQ41">
        <v>4.7053365707397496</v>
      </c>
      <c r="AR41">
        <v>1.8761377781629601E-2</v>
      </c>
      <c r="AS41" s="2">
        <v>3.29505701301969E-6</v>
      </c>
      <c r="AT41" s="2">
        <v>7.7846502577472198E-9</v>
      </c>
      <c r="AU41" s="2">
        <v>5.9478427516523899E-8</v>
      </c>
      <c r="AV41" s="2">
        <v>5.6829718708684099E-9</v>
      </c>
      <c r="AW41">
        <v>74.781951904296903</v>
      </c>
      <c r="AX41">
        <v>-41.3600883483887</v>
      </c>
      <c r="AY41" s="2">
        <v>3.4028230607370999E+38</v>
      </c>
      <c r="AZ41" s="2">
        <v>3.4028230607370999E+38</v>
      </c>
      <c r="BA41">
        <v>995.96124267578102</v>
      </c>
      <c r="BB41">
        <v>1150.06311035156</v>
      </c>
      <c r="BC41">
        <v>575.08581542968795</v>
      </c>
      <c r="BD41" s="2">
        <v>3.4028230607370999E+38</v>
      </c>
      <c r="BE41" s="2">
        <v>3.4028230607370999E+38</v>
      </c>
      <c r="BF41">
        <v>230.00207519531199</v>
      </c>
      <c r="BG41">
        <v>5.000244140625</v>
      </c>
      <c r="BH41">
        <v>995.957275390625</v>
      </c>
      <c r="BI41">
        <v>1150.06591796875</v>
      </c>
      <c r="BJ41">
        <v>575.09320068359398</v>
      </c>
      <c r="BK41">
        <v>49.9998970031738</v>
      </c>
      <c r="BL41">
        <v>-30.0033149719238</v>
      </c>
      <c r="BM41">
        <v>1.43465436995029E-2</v>
      </c>
      <c r="BN41" s="2">
        <v>3.8856096580275301E-6</v>
      </c>
      <c r="BO41" s="2">
        <v>5.3602127181307002E-9</v>
      </c>
      <c r="BP41" s="2">
        <v>5.5704131085576598E-8</v>
      </c>
      <c r="BQ41" s="2">
        <v>-2.6015237186705101E-10</v>
      </c>
      <c r="BR41">
        <v>74.671203613281193</v>
      </c>
      <c r="BS41">
        <v>2.3753190040588401</v>
      </c>
      <c r="BT41">
        <v>1.52225252240896E-2</v>
      </c>
      <c r="BU41" s="2">
        <v>3.2474852105224302E-6</v>
      </c>
      <c r="BV41" s="2">
        <v>3.14928416678129E-9</v>
      </c>
      <c r="BW41" s="2">
        <v>4.9397183232713399E-8</v>
      </c>
      <c r="BX41" s="2">
        <v>2.37235142641623E-9</v>
      </c>
      <c r="BY41">
        <v>74.809074401855497</v>
      </c>
      <c r="BZ41">
        <v>-36.484870910644503</v>
      </c>
      <c r="CA41" s="2">
        <v>3.4028230607370999E+38</v>
      </c>
      <c r="CB41" s="2">
        <v>3.4028230607370999E+38</v>
      </c>
      <c r="CC41">
        <v>995.957275390625</v>
      </c>
      <c r="CD41">
        <v>1150.06591796875</v>
      </c>
      <c r="CE41">
        <v>575.09313964843795</v>
      </c>
      <c r="CF41" s="2">
        <v>3.4028230607370999E+38</v>
      </c>
      <c r="CG41" s="2">
        <v>3.4028230607370999E+38</v>
      </c>
      <c r="CH41">
        <v>230.00148010253901</v>
      </c>
      <c r="CI41">
        <v>5.0002555847168004</v>
      </c>
      <c r="CJ41">
        <v>995.95617675781205</v>
      </c>
      <c r="CK41">
        <v>1150.06518554688</v>
      </c>
      <c r="CL41">
        <v>575.08758544921898</v>
      </c>
      <c r="CM41">
        <v>49.999946594238303</v>
      </c>
      <c r="CN41">
        <v>-30.003095626831101</v>
      </c>
      <c r="CO41">
        <v>1.7192261293530499E-2</v>
      </c>
      <c r="CP41" s="2">
        <v>3.8110620153020098E-6</v>
      </c>
      <c r="CQ41" s="2">
        <v>1.31151116633532E-8</v>
      </c>
      <c r="CR41" s="2">
        <v>6.4913756148143902E-8</v>
      </c>
      <c r="CS41" s="2">
        <v>6.4268541599688003E-9</v>
      </c>
      <c r="CT41">
        <v>74.745254516601605</v>
      </c>
      <c r="CU41">
        <v>-25.044603347778299</v>
      </c>
      <c r="CV41">
        <v>1.8682254478335401E-2</v>
      </c>
      <c r="CW41" s="2">
        <v>3.2004168133426E-6</v>
      </c>
      <c r="CX41" s="2">
        <v>7.0222516690421302E-9</v>
      </c>
      <c r="CY41" s="2">
        <v>6.0211284846900499E-8</v>
      </c>
      <c r="CZ41" s="2">
        <v>9.7338102023059003E-9</v>
      </c>
      <c r="DA41">
        <v>74.798614501953097</v>
      </c>
      <c r="DB41">
        <v>-54.833976745605497</v>
      </c>
      <c r="DC41" s="2">
        <v>3.4028230607370999E+38</v>
      </c>
      <c r="DD41" s="2">
        <v>3.4028230607370999E+38</v>
      </c>
      <c r="DE41">
        <v>995.95617675781205</v>
      </c>
      <c r="DF41">
        <v>1150.06518554688</v>
      </c>
      <c r="DG41">
        <v>575.08758544921898</v>
      </c>
      <c r="DH41" s="2">
        <v>3.4028230607370999E+38</v>
      </c>
      <c r="DI41" s="2">
        <v>3.4028230607370999E+38</v>
      </c>
      <c r="DJ41">
        <v>230.00140380859401</v>
      </c>
      <c r="DK41">
        <v>5.0002636909484899</v>
      </c>
      <c r="DL41">
        <v>995.9599609375</v>
      </c>
      <c r="DM41">
        <v>1150.07739257812</v>
      </c>
      <c r="DN41">
        <v>575.091796875</v>
      </c>
      <c r="DO41">
        <v>50.000034332275398</v>
      </c>
      <c r="DP41">
        <v>-30.003026962280298</v>
      </c>
      <c r="DQ41">
        <v>1.5555263496935401E-2</v>
      </c>
      <c r="DR41" s="2">
        <v>3.8581179069296897E-6</v>
      </c>
      <c r="DS41" s="2">
        <v>8.1231439352791296E-9</v>
      </c>
      <c r="DT41" s="2">
        <v>6.0004900603871594E-8</v>
      </c>
      <c r="DU41" s="2">
        <v>-4.0171195259119899E-9</v>
      </c>
      <c r="DV41">
        <v>74.699600219726605</v>
      </c>
      <c r="DW41">
        <v>27.592931747436499</v>
      </c>
      <c r="DX41">
        <v>1.6946177929639799E-2</v>
      </c>
      <c r="DY41" s="2">
        <v>3.1716333523945701E-6</v>
      </c>
      <c r="DZ41" s="2">
        <v>5.0844568555419301E-9</v>
      </c>
      <c r="EA41" s="2">
        <v>5.37306767967038E-8</v>
      </c>
      <c r="EB41" s="2">
        <v>3.72526032244025E-9</v>
      </c>
      <c r="EC41">
        <v>74.659950256347699</v>
      </c>
      <c r="ED41">
        <v>-35.414554595947301</v>
      </c>
      <c r="EE41" s="2">
        <v>3.4028230607370999E+38</v>
      </c>
      <c r="EF41" s="2">
        <v>3.4028230607370999E+38</v>
      </c>
      <c r="EG41">
        <v>995.9599609375</v>
      </c>
      <c r="EH41">
        <v>1150.07739257812</v>
      </c>
      <c r="EI41">
        <v>575.09173583984398</v>
      </c>
      <c r="EJ41" s="2">
        <v>3.4028230607370999E+38</v>
      </c>
      <c r="EK41" s="2">
        <v>3.4028230607370999E+38</v>
      </c>
      <c r="EL41">
        <v>123</v>
      </c>
      <c r="EM41">
        <v>230.001708984375</v>
      </c>
      <c r="EN41">
        <v>5.0002689361572301</v>
      </c>
      <c r="EO41">
        <v>995.95935058593795</v>
      </c>
      <c r="EP41">
        <v>1150.06982421875</v>
      </c>
      <c r="EQ41">
        <v>575.09332275390602</v>
      </c>
      <c r="ER41">
        <v>49.999935150146499</v>
      </c>
      <c r="ES41">
        <v>-30.0032634735107</v>
      </c>
      <c r="ET41">
        <v>0.86599892377853405</v>
      </c>
      <c r="EU41" s="2">
        <v>3.4028230607370999E+38</v>
      </c>
      <c r="EV41">
        <v>0</v>
      </c>
      <c r="EW41">
        <v>230.00663757324199</v>
      </c>
      <c r="EX41">
        <v>995.96569824218795</v>
      </c>
      <c r="EY41">
        <v>1150.09106445312</v>
      </c>
      <c r="EZ41">
        <v>575.11853027343795</v>
      </c>
      <c r="FA41" s="2">
        <v>-2.96861344395438E-6</v>
      </c>
      <c r="FB41">
        <v>1.5513741411268701E-2</v>
      </c>
      <c r="FC41" s="2">
        <v>3.8675943869748204E-6</v>
      </c>
      <c r="FD41" s="2">
        <v>5.7772604478145703E-9</v>
      </c>
      <c r="FE41" s="2">
        <v>5.8719667350715099E-8</v>
      </c>
      <c r="FF41" s="2">
        <v>-3.6903358147100099E-9</v>
      </c>
      <c r="FG41">
        <v>74.829994201660199</v>
      </c>
      <c r="FH41">
        <v>28.5021667480469</v>
      </c>
      <c r="FI41">
        <v>0.108947686851025</v>
      </c>
      <c r="FJ41" s="2">
        <v>3.4028230607370999E+38</v>
      </c>
      <c r="FK41">
        <v>-29.636726379394499</v>
      </c>
      <c r="FL41">
        <v>2.0157046616077399E-2</v>
      </c>
      <c r="FM41">
        <v>0</v>
      </c>
      <c r="FN41">
        <v>0</v>
      </c>
      <c r="FO41">
        <v>0</v>
      </c>
      <c r="FP41" s="2">
        <v>-1.9115488612442301E-5</v>
      </c>
      <c r="FQ41">
        <v>1.64745692163706E-2</v>
      </c>
      <c r="FR41" s="2">
        <v>3.1762560865900001E-6</v>
      </c>
      <c r="FS41" s="2">
        <v>5.0753654612378804E-9</v>
      </c>
      <c r="FT41" s="2">
        <v>5.1099842579560599E-8</v>
      </c>
      <c r="FU41" s="2">
        <v>2.6524733520716398E-9</v>
      </c>
      <c r="FV41">
        <v>74.754257202148395</v>
      </c>
      <c r="FW41">
        <v>-28.142826080322301</v>
      </c>
      <c r="FX41">
        <v>9.7039759159088093E-2</v>
      </c>
      <c r="FY41" s="2">
        <v>3.4028230607370999E+38</v>
      </c>
      <c r="FZ41">
        <v>-43.295967102050803</v>
      </c>
      <c r="GA41">
        <v>229.70262145996099</v>
      </c>
      <c r="GB41" s="2">
        <v>6.8448025025702505E-10</v>
      </c>
      <c r="GC41">
        <v>7.2776235174387704E-4</v>
      </c>
      <c r="GD41" s="2">
        <v>2.0412004031467001E-10</v>
      </c>
      <c r="GE41" s="2">
        <v>-6.9124762376304702E-5</v>
      </c>
      <c r="GF41" s="2">
        <v>3.4028230607370999E+38</v>
      </c>
      <c r="GG41" s="2">
        <v>3.4028230607370999E+38</v>
      </c>
      <c r="GH41">
        <v>995.95953369140602</v>
      </c>
      <c r="GI41">
        <v>1150.06958007812</v>
      </c>
      <c r="GJ41">
        <v>575.08355712890602</v>
      </c>
      <c r="GK41" s="2">
        <v>3.4028230607370999E+38</v>
      </c>
      <c r="GL41" s="2">
        <v>3.4028230607370999E+38</v>
      </c>
      <c r="GM41" s="2">
        <v>3.4028230607370999E+38</v>
      </c>
      <c r="GN41" s="2">
        <v>3.4028230607370999E+38</v>
      </c>
      <c r="GO41" s="2">
        <v>3.4028230607370999E+38</v>
      </c>
      <c r="GP41" s="2">
        <v>3.4028230607370999E+38</v>
      </c>
      <c r="GQ41">
        <v>995.96771240234398</v>
      </c>
      <c r="GR41">
        <v>995.96771240234398</v>
      </c>
      <c r="GS41">
        <v>575.12213134765602</v>
      </c>
      <c r="GT41">
        <v>-2.8342357836663701E-4</v>
      </c>
      <c r="GX41">
        <f t="shared" si="1"/>
        <v>230.00174560546878</v>
      </c>
      <c r="GY41">
        <f t="shared" si="2"/>
        <v>5.0002554893493683</v>
      </c>
      <c r="GZ41">
        <f t="shared" si="3"/>
        <v>995.95963134765589</v>
      </c>
      <c r="HA41">
        <f t="shared" si="4"/>
        <v>1150.0688964843739</v>
      </c>
      <c r="HB41">
        <f t="shared" si="5"/>
        <v>575.08942871093757</v>
      </c>
      <c r="HC41">
        <f t="shared" si="6"/>
        <v>49.999958801269536</v>
      </c>
      <c r="HD41">
        <f t="shared" si="7"/>
        <v>-30.003133392333996</v>
      </c>
      <c r="HW41" s="10">
        <f>(GX41/Data!$S41-1)*1000000</f>
        <v>21.559020590311562</v>
      </c>
      <c r="HX41" s="10">
        <f>(GY41/Data!$T41-1)*1000000</f>
        <v>6.6755733312273691</v>
      </c>
      <c r="HY41" s="10">
        <f>(GZ41/Data!$BW41-1)*1000000</f>
        <v>-3.3211600695137733</v>
      </c>
      <c r="HZ41" s="10">
        <f>(HA41/(Data!$S41*Data!$T41)-1)*1000000</f>
        <v>29.456840356489877</v>
      </c>
      <c r="IA41" s="7">
        <f>(HB41/IF(HD41&gt;0, -Data!$BX41,Data!$BX41)-1)*1000000</f>
        <v>135.28162823028822</v>
      </c>
      <c r="IB41" s="10"/>
      <c r="IC41" s="9">
        <f>(HD41-Data!$U41)</f>
        <v>-3.4712623339956394E-3</v>
      </c>
    </row>
    <row r="42" spans="1:237" x14ac:dyDescent="0.2">
      <c r="A42">
        <v>42</v>
      </c>
      <c r="B42">
        <v>230.00204467773401</v>
      </c>
      <c r="C42">
        <v>2.0001082420349099</v>
      </c>
      <c r="D42">
        <v>-276.04376220703102</v>
      </c>
      <c r="E42">
        <v>460.02874755859398</v>
      </c>
      <c r="F42">
        <v>368.00762939453102</v>
      </c>
      <c r="G42">
        <v>49.999973297119098</v>
      </c>
      <c r="H42">
        <v>-126.873977661133</v>
      </c>
      <c r="I42">
        <v>1.7139222472906099E-2</v>
      </c>
      <c r="J42" s="2">
        <v>3.5764494441537E-6</v>
      </c>
      <c r="K42" s="2">
        <v>-6.4274618960524797E-10</v>
      </c>
      <c r="L42" s="2">
        <v>6.0898592835201297E-8</v>
      </c>
      <c r="M42" s="2">
        <v>4.5282981808725303E-9</v>
      </c>
      <c r="N42">
        <v>74.763320922851605</v>
      </c>
      <c r="O42">
        <v>-103.88869476318401</v>
      </c>
      <c r="P42">
        <v>1.8803559243679002E-2</v>
      </c>
      <c r="Q42" s="2">
        <v>3.1658082662033802E-6</v>
      </c>
      <c r="R42" s="2">
        <v>2.7094207086242299E-11</v>
      </c>
      <c r="S42" s="2">
        <v>5.7020141497332601E-8</v>
      </c>
      <c r="T42" s="2">
        <v>2.24136087467741E-9</v>
      </c>
      <c r="U42">
        <v>74.712921142578097</v>
      </c>
      <c r="V42">
        <v>-110.684539794922</v>
      </c>
      <c r="W42" s="2">
        <v>3.4028230607370999E+38</v>
      </c>
      <c r="X42" s="2">
        <v>3.4028230607370999E+38</v>
      </c>
      <c r="Y42">
        <v>-276.04379272460898</v>
      </c>
      <c r="Z42">
        <v>460.02874755859398</v>
      </c>
      <c r="AA42">
        <v>368.00762939453102</v>
      </c>
      <c r="AB42" s="2">
        <v>3.4028230607370999E+38</v>
      </c>
      <c r="AC42" s="2">
        <v>3.4028230607370999E+38</v>
      </c>
      <c r="AD42">
        <v>230.00192260742199</v>
      </c>
      <c r="AE42">
        <v>2.00011134147644</v>
      </c>
      <c r="AF42">
        <v>-276.0498046875</v>
      </c>
      <c r="AG42">
        <v>460.029052734375</v>
      </c>
      <c r="AH42">
        <v>368.00305175781199</v>
      </c>
      <c r="AI42">
        <v>49.999885559082003</v>
      </c>
      <c r="AJ42">
        <v>-126.87384033203099</v>
      </c>
      <c r="AK42">
        <v>1.67123209685087E-2</v>
      </c>
      <c r="AL42" s="2">
        <v>3.60448757419363E-6</v>
      </c>
      <c r="AM42" s="2">
        <v>-2.6802848829277098E-9</v>
      </c>
      <c r="AN42" s="2">
        <v>5.9854492917565896E-8</v>
      </c>
      <c r="AO42" s="2">
        <v>3.2094509272440101E-9</v>
      </c>
      <c r="AP42">
        <v>74.755470275878906</v>
      </c>
      <c r="AQ42">
        <v>-115.809539794922</v>
      </c>
      <c r="AR42">
        <v>1.8175546079874001E-2</v>
      </c>
      <c r="AS42" s="2">
        <v>3.15291117658489E-6</v>
      </c>
      <c r="AT42" s="2">
        <v>-8.17807654929226E-10</v>
      </c>
      <c r="AU42" s="2">
        <v>5.7209085468912202E-8</v>
      </c>
      <c r="AV42" s="2">
        <v>1.2620618994319001E-9</v>
      </c>
      <c r="AW42">
        <v>74.727630615234403</v>
      </c>
      <c r="AX42">
        <v>-102.73675537109401</v>
      </c>
      <c r="AY42" s="2">
        <v>3.4028230607370999E+38</v>
      </c>
      <c r="AZ42" s="2">
        <v>3.4028230607370999E+38</v>
      </c>
      <c r="BA42">
        <v>-276.04983520507801</v>
      </c>
      <c r="BB42">
        <v>460.029052734375</v>
      </c>
      <c r="BC42">
        <v>368.00305175781199</v>
      </c>
      <c r="BD42" s="2">
        <v>3.4028230607370999E+38</v>
      </c>
      <c r="BE42" s="2">
        <v>3.4028230607370999E+38</v>
      </c>
      <c r="BF42">
        <v>230.00151062011699</v>
      </c>
      <c r="BG42">
        <v>2.0001144409179701</v>
      </c>
      <c r="BH42">
        <v>-276.04519653320301</v>
      </c>
      <c r="BI42">
        <v>460.03033447265602</v>
      </c>
      <c r="BJ42">
        <v>368.00769042968801</v>
      </c>
      <c r="BK42">
        <v>50.000076293945298</v>
      </c>
      <c r="BL42">
        <v>-126.87387084960901</v>
      </c>
      <c r="BM42">
        <v>1.7722930759191499E-2</v>
      </c>
      <c r="BN42" s="2">
        <v>3.6384617487783501E-6</v>
      </c>
      <c r="BO42" s="2">
        <v>2.4937858444928898E-9</v>
      </c>
      <c r="BP42" s="2">
        <v>6.2560850722093204E-8</v>
      </c>
      <c r="BQ42" s="2">
        <v>5.0288848640889203E-9</v>
      </c>
      <c r="BR42">
        <v>74.736976623535199</v>
      </c>
      <c r="BS42">
        <v>-69.508857727050795</v>
      </c>
      <c r="BT42">
        <v>1.9349152222275699E-2</v>
      </c>
      <c r="BU42" s="2">
        <v>3.1255672183760899E-6</v>
      </c>
      <c r="BV42" s="2">
        <v>-2.57454141339153E-10</v>
      </c>
      <c r="BW42" s="2">
        <v>6.2637717235247705E-8</v>
      </c>
      <c r="BX42" s="2">
        <v>2.26675855863334E-9</v>
      </c>
      <c r="BY42">
        <v>74.779830932617202</v>
      </c>
      <c r="BZ42">
        <v>-90.403999328613295</v>
      </c>
      <c r="CA42" s="2">
        <v>3.4028230607370999E+38</v>
      </c>
      <c r="CB42" s="2">
        <v>3.4028230607370999E+38</v>
      </c>
      <c r="CC42">
        <v>-276.04522705078102</v>
      </c>
      <c r="CD42">
        <v>460.03033447265602</v>
      </c>
      <c r="CE42">
        <v>368.00769042968801</v>
      </c>
      <c r="CF42" s="2">
        <v>3.4028230607370999E+38</v>
      </c>
      <c r="CG42" s="2">
        <v>3.4028230607370999E+38</v>
      </c>
      <c r="CH42">
        <v>230.001388549805</v>
      </c>
      <c r="CI42">
        <v>2.00010418891907</v>
      </c>
      <c r="CJ42">
        <v>-276.04406738281199</v>
      </c>
      <c r="CK42">
        <v>460.02648925781199</v>
      </c>
      <c r="CL42">
        <v>368.00497436523398</v>
      </c>
      <c r="CM42">
        <v>49.999935150146499</v>
      </c>
      <c r="CN42">
        <v>-126.87370300293</v>
      </c>
      <c r="CO42">
        <v>1.62905361503363E-2</v>
      </c>
      <c r="CP42" s="2">
        <v>3.6000360523757999E-6</v>
      </c>
      <c r="CQ42" s="2">
        <v>-2.3736455023737302E-9</v>
      </c>
      <c r="CR42" s="2">
        <v>5.8804324964967203E-8</v>
      </c>
      <c r="CS42" s="2">
        <v>3.2645950387433198E-9</v>
      </c>
      <c r="CT42">
        <v>74.812446594238295</v>
      </c>
      <c r="CU42">
        <v>-132.54995727539099</v>
      </c>
      <c r="CV42">
        <v>1.76489315927029E-2</v>
      </c>
      <c r="CW42" s="2">
        <v>3.0983076158008801E-6</v>
      </c>
      <c r="CX42" s="2">
        <v>-6.2317090376851101E-10</v>
      </c>
      <c r="CY42" s="2">
        <v>5.4662216086853699E-8</v>
      </c>
      <c r="CZ42" s="2">
        <v>6.5405231230997205E-10</v>
      </c>
      <c r="DA42">
        <v>74.7978515625</v>
      </c>
      <c r="DB42">
        <v>-156.317947387695</v>
      </c>
      <c r="DC42" s="2">
        <v>3.4028230607370999E+38</v>
      </c>
      <c r="DD42" s="2">
        <v>3.4028230607370999E+38</v>
      </c>
      <c r="DE42">
        <v>-276.04409790039102</v>
      </c>
      <c r="DF42">
        <v>460.02648925781199</v>
      </c>
      <c r="DG42">
        <v>368.00497436523398</v>
      </c>
      <c r="DH42" s="2">
        <v>3.4028230607370999E+38</v>
      </c>
      <c r="DI42" s="2">
        <v>3.4028230607370999E+38</v>
      </c>
      <c r="DJ42">
        <v>230.00199890136699</v>
      </c>
      <c r="DK42">
        <v>2.00011038780212</v>
      </c>
      <c r="DL42">
        <v>-276.04699707031199</v>
      </c>
      <c r="DM42">
        <v>460.02911376953102</v>
      </c>
      <c r="DN42">
        <v>368.00567626953102</v>
      </c>
      <c r="DO42">
        <v>49.999954223632798</v>
      </c>
      <c r="DP42">
        <v>-126.874145507812</v>
      </c>
      <c r="DQ42">
        <v>1.5789123252034201E-2</v>
      </c>
      <c r="DR42" s="2">
        <v>3.6063843253941698E-6</v>
      </c>
      <c r="DS42" s="2">
        <v>-1.79838455238723E-9</v>
      </c>
      <c r="DT42" s="2">
        <v>5.6934322145707503E-8</v>
      </c>
      <c r="DU42" s="2">
        <v>3.03995295602988E-9</v>
      </c>
      <c r="DV42">
        <v>74.873283386230497</v>
      </c>
      <c r="DW42">
        <v>-113.804527282715</v>
      </c>
      <c r="DX42">
        <v>1.7077878117561299E-2</v>
      </c>
      <c r="DY42" s="2">
        <v>3.1425672659679498E-6</v>
      </c>
      <c r="DZ42" s="2">
        <v>9.1662094581224096E-10</v>
      </c>
      <c r="EA42" s="2">
        <v>5.3541775457688299E-8</v>
      </c>
      <c r="EB42" s="2">
        <v>9.5654850706949901E-10</v>
      </c>
      <c r="EC42">
        <v>74.784973144531193</v>
      </c>
      <c r="ED42">
        <v>-141.49208068847699</v>
      </c>
      <c r="EE42" s="2">
        <v>3.4028230607370999E+38</v>
      </c>
      <c r="EF42" s="2">
        <v>3.4028230607370999E+38</v>
      </c>
      <c r="EG42">
        <v>-276.04702758789102</v>
      </c>
      <c r="EH42">
        <v>460.02911376953102</v>
      </c>
      <c r="EI42">
        <v>368.00567626953102</v>
      </c>
      <c r="EJ42" s="2">
        <v>3.4028230607370999E+38</v>
      </c>
      <c r="EK42" s="2">
        <v>3.4028230607370999E+38</v>
      </c>
      <c r="EL42">
        <v>123</v>
      </c>
      <c r="EM42">
        <v>230.001876831055</v>
      </c>
      <c r="EN42">
        <v>2.00012254714966</v>
      </c>
      <c r="EO42">
        <v>-276.046875</v>
      </c>
      <c r="EP42">
        <v>460.03125</v>
      </c>
      <c r="EQ42">
        <v>368.00817871093801</v>
      </c>
      <c r="ER42">
        <v>49.999923706054702</v>
      </c>
      <c r="ES42">
        <v>-126.87409210205099</v>
      </c>
      <c r="ET42">
        <v>-0.60006356239318803</v>
      </c>
      <c r="EU42" s="2">
        <v>3.4028230607370999E+38</v>
      </c>
      <c r="EV42">
        <v>0</v>
      </c>
      <c r="EW42">
        <v>230.001052856445</v>
      </c>
      <c r="EX42">
        <v>-276.06253051757801</v>
      </c>
      <c r="EY42">
        <v>460.02804565429699</v>
      </c>
      <c r="EZ42">
        <v>367.98739624023398</v>
      </c>
      <c r="FA42">
        <v>-1.1340416967868801E-3</v>
      </c>
      <c r="FB42">
        <v>1.7018850892782201E-2</v>
      </c>
      <c r="FC42" s="2">
        <v>3.5628829664346999E-6</v>
      </c>
      <c r="FD42" s="2">
        <v>-1.5635707173444801E-9</v>
      </c>
      <c r="FE42" s="2">
        <v>6.0678040370021296E-8</v>
      </c>
      <c r="FF42" s="2">
        <v>4.0786445332230398E-9</v>
      </c>
      <c r="FG42">
        <v>74.689125061035199</v>
      </c>
      <c r="FH42">
        <v>-106.22428894043</v>
      </c>
      <c r="FI42">
        <v>-2.1212670952081701E-2</v>
      </c>
      <c r="FJ42" s="2">
        <v>3.4028230607370999E+38</v>
      </c>
      <c r="FK42">
        <v>8.0249519348144496</v>
      </c>
      <c r="FL42">
        <v>2.08425987511873E-2</v>
      </c>
      <c r="FM42">
        <v>0</v>
      </c>
      <c r="FN42">
        <v>0</v>
      </c>
      <c r="FO42">
        <v>0</v>
      </c>
      <c r="FP42" s="2">
        <v>7.0618421887047602E-5</v>
      </c>
      <c r="FQ42">
        <v>1.9325047731399501E-2</v>
      </c>
      <c r="FR42" s="2">
        <v>3.1314266379922599E-6</v>
      </c>
      <c r="FS42" s="2">
        <v>-1.11711273564907E-9</v>
      </c>
      <c r="FT42" s="2">
        <v>6.0251458933180402E-8</v>
      </c>
      <c r="FU42" s="2">
        <v>2.26801710745406E-9</v>
      </c>
      <c r="FV42">
        <v>74.815483093261705</v>
      </c>
      <c r="FW42">
        <v>-97.637580871582003</v>
      </c>
      <c r="FX42">
        <v>-5.1830052398145199E-3</v>
      </c>
      <c r="FY42" s="2">
        <v>3.4028230607370999E+38</v>
      </c>
      <c r="FZ42">
        <v>-14.588719367981</v>
      </c>
      <c r="GA42">
        <v>229.52395629882801</v>
      </c>
      <c r="GB42" s="2">
        <v>-7.2823930219456698E-10</v>
      </c>
      <c r="GC42">
        <v>7.2227773489430503E-4</v>
      </c>
      <c r="GD42" s="2">
        <v>2.6517160689465398E-10</v>
      </c>
      <c r="GE42" s="2">
        <v>-3.17670310323592E-5</v>
      </c>
      <c r="GF42" s="2">
        <v>3.4028230607370999E+38</v>
      </c>
      <c r="GG42" s="2">
        <v>3.4028230607370999E+38</v>
      </c>
      <c r="GH42">
        <v>-276.04495239257801</v>
      </c>
      <c r="GI42">
        <v>460.02633666992199</v>
      </c>
      <c r="GJ42">
        <v>368.00369262695301</v>
      </c>
      <c r="GK42" s="2">
        <v>3.4028230607370999E+38</v>
      </c>
      <c r="GL42" s="2">
        <v>3.4028230607370999E+38</v>
      </c>
      <c r="GM42" s="2">
        <v>3.4028230607370999E+38</v>
      </c>
      <c r="GN42" s="2">
        <v>3.4028230607370999E+38</v>
      </c>
      <c r="GO42" s="2">
        <v>3.4028230607370999E+38</v>
      </c>
      <c r="GP42" s="2">
        <v>3.4028230607370999E+38</v>
      </c>
      <c r="GQ42">
        <v>-276.06326293945301</v>
      </c>
      <c r="GR42">
        <v>-276.06805419921898</v>
      </c>
      <c r="GS42">
        <v>367.98944091796898</v>
      </c>
      <c r="GT42">
        <v>-1.4510054606944301E-3</v>
      </c>
      <c r="GX42">
        <f t="shared" si="1"/>
        <v>230.00177307128902</v>
      </c>
      <c r="GY42">
        <f t="shared" si="2"/>
        <v>2.0001097202301019</v>
      </c>
      <c r="GZ42">
        <f t="shared" si="3"/>
        <v>-276.04596557617162</v>
      </c>
      <c r="HA42">
        <f t="shared" si="4"/>
        <v>460.02874755859358</v>
      </c>
      <c r="HB42">
        <f t="shared" si="5"/>
        <v>368.00580444335918</v>
      </c>
      <c r="HC42">
        <f t="shared" si="6"/>
        <v>49.999964904785145</v>
      </c>
      <c r="HD42">
        <f t="shared" si="7"/>
        <v>-126.87390747070302</v>
      </c>
      <c r="HW42" s="10">
        <f>(GX42/Data!$S42-1)*1000000</f>
        <v>21.033633689881981</v>
      </c>
      <c r="HX42" s="10">
        <f>(GY42/Data!$T42-1)*1000000</f>
        <v>77.829902648263172</v>
      </c>
      <c r="HY42" s="10">
        <f>(GZ42/Data!$BW42-1)*1000000</f>
        <v>124.2446591065427</v>
      </c>
      <c r="HZ42" s="10">
        <f>(HA42/(Data!$S42*Data!$T42)-1)*1000000</f>
        <v>98.790319689623374</v>
      </c>
      <c r="IA42" s="7">
        <f>(HB42/IF(HD42&gt;0, -Data!$BX42,Data!$BX42)-1)*1000000</f>
        <v>96.269551232763817</v>
      </c>
      <c r="IB42" s="10"/>
      <c r="IC42" s="9">
        <f>(HD42-Data!$U42)</f>
        <v>-6.3297070302326119E-4</v>
      </c>
    </row>
    <row r="43" spans="1:237" x14ac:dyDescent="0.2">
      <c r="A43">
        <v>43</v>
      </c>
      <c r="B43">
        <v>230.00175476074199</v>
      </c>
      <c r="C43">
        <v>2.0001142024993901</v>
      </c>
      <c r="D43">
        <v>-276.04324340820301</v>
      </c>
      <c r="E43">
        <v>460.02682495117199</v>
      </c>
      <c r="F43">
        <v>368.00332641601602</v>
      </c>
      <c r="G43">
        <v>49.999923706054702</v>
      </c>
      <c r="H43">
        <v>-126.874061584473</v>
      </c>
      <c r="I43">
        <v>1.6339922323822999E-2</v>
      </c>
      <c r="J43" s="2">
        <v>3.6105577692069299E-6</v>
      </c>
      <c r="K43" s="2">
        <v>-2.6325750468458901E-9</v>
      </c>
      <c r="L43" s="2">
        <v>5.8966307392438499E-8</v>
      </c>
      <c r="M43" s="2">
        <v>3.5480323123948698E-9</v>
      </c>
      <c r="N43">
        <v>74.718109130859403</v>
      </c>
      <c r="O43">
        <v>-128.88819885253901</v>
      </c>
      <c r="P43">
        <v>1.7596175894141201E-2</v>
      </c>
      <c r="Q43" s="2">
        <v>3.0915120987629099E-6</v>
      </c>
      <c r="R43" s="2">
        <v>6.9386457690612195E-10</v>
      </c>
      <c r="S43" s="2">
        <v>5.4399503568447498E-8</v>
      </c>
      <c r="T43" s="2">
        <v>1.3376656449182201E-9</v>
      </c>
      <c r="U43">
        <v>74.723289489746094</v>
      </c>
      <c r="V43">
        <v>-62.144477844238303</v>
      </c>
      <c r="W43" s="2">
        <v>3.4028230607370999E+38</v>
      </c>
      <c r="X43" s="2">
        <v>3.4028230607370999E+38</v>
      </c>
      <c r="Y43">
        <v>-276.04327392578102</v>
      </c>
      <c r="Z43">
        <v>460.02682495117199</v>
      </c>
      <c r="AA43">
        <v>368.00332641601602</v>
      </c>
      <c r="AB43" s="2">
        <v>3.4028230607370999E+38</v>
      </c>
      <c r="AC43" s="2">
        <v>3.4028230607370999E+38</v>
      </c>
      <c r="AD43">
        <v>230.00207519531199</v>
      </c>
      <c r="AE43">
        <v>2.0001306533813499</v>
      </c>
      <c r="AF43">
        <v>-276.05343627929699</v>
      </c>
      <c r="AG43">
        <v>460.02908325195301</v>
      </c>
      <c r="AH43">
        <v>368.007080078125</v>
      </c>
      <c r="AI43">
        <v>49.999866485595703</v>
      </c>
      <c r="AJ43">
        <v>-126.87385559082</v>
      </c>
      <c r="AK43">
        <v>1.45245753228664E-2</v>
      </c>
      <c r="AL43" s="2">
        <v>3.5236553230788601E-6</v>
      </c>
      <c r="AM43" s="2">
        <v>1.36081768076224E-9</v>
      </c>
      <c r="AN43" s="2">
        <v>5.2145402662517901E-8</v>
      </c>
      <c r="AO43" s="2">
        <v>2.8874542756796001E-9</v>
      </c>
      <c r="AP43">
        <v>74.801025390625</v>
      </c>
      <c r="AQ43">
        <v>-49.415824890136697</v>
      </c>
      <c r="AR43">
        <v>1.5607708133757101E-2</v>
      </c>
      <c r="AS43" s="2">
        <v>3.0543180855602301E-6</v>
      </c>
      <c r="AT43" s="2">
        <v>1.2434257790072699E-10</v>
      </c>
      <c r="AU43" s="2">
        <v>4.8493387083681201E-8</v>
      </c>
      <c r="AV43" s="2">
        <v>5.0711246313284195E-10</v>
      </c>
      <c r="AW43">
        <v>74.793762207031193</v>
      </c>
      <c r="AX43">
        <v>-114.703262329102</v>
      </c>
      <c r="AY43" s="2">
        <v>3.4028230607370999E+38</v>
      </c>
      <c r="AZ43" s="2">
        <v>3.4028230607370999E+38</v>
      </c>
      <c r="BA43">
        <v>-276.05343627929699</v>
      </c>
      <c r="BB43">
        <v>460.02908325195301</v>
      </c>
      <c r="BC43">
        <v>368.007080078125</v>
      </c>
      <c r="BD43" s="2">
        <v>3.4028230607370999E+38</v>
      </c>
      <c r="BE43" s="2">
        <v>3.4028230607370999E+38</v>
      </c>
      <c r="BF43">
        <v>230.00173950195301</v>
      </c>
      <c r="BG43">
        <v>2.0001130104064901</v>
      </c>
      <c r="BH43">
        <v>-276.04718017578102</v>
      </c>
      <c r="BI43">
        <v>460.02923583984398</v>
      </c>
      <c r="BJ43">
        <v>368.00894165039102</v>
      </c>
      <c r="BK43">
        <v>49.999988555908203</v>
      </c>
      <c r="BL43">
        <v>-126.87378692627</v>
      </c>
      <c r="BM43">
        <v>1.5664130449294999E-2</v>
      </c>
      <c r="BN43" s="2">
        <v>3.5777618450083499E-6</v>
      </c>
      <c r="BO43" s="2">
        <v>2.6724111812370699E-9</v>
      </c>
      <c r="BP43" s="2">
        <v>5.7141139819805202E-8</v>
      </c>
      <c r="BQ43" s="2">
        <v>4.0819325697327696E-9</v>
      </c>
      <c r="BR43">
        <v>74.813850402832003</v>
      </c>
      <c r="BS43">
        <v>-56.358325958252003</v>
      </c>
      <c r="BT43">
        <v>1.6981272026896501E-2</v>
      </c>
      <c r="BU43" s="2">
        <v>3.0764269922656202E-6</v>
      </c>
      <c r="BV43" s="2">
        <v>-3.05306280257156E-10</v>
      </c>
      <c r="BW43" s="2">
        <v>5.49301191199447E-8</v>
      </c>
      <c r="BX43" s="2">
        <v>1.13524223355199E-9</v>
      </c>
      <c r="BY43">
        <v>74.730270385742202</v>
      </c>
      <c r="BZ43">
        <v>-132.73481750488301</v>
      </c>
      <c r="CA43" s="2">
        <v>3.4028230607370999E+38</v>
      </c>
      <c r="CB43" s="2">
        <v>3.4028230607370999E+38</v>
      </c>
      <c r="CC43">
        <v>-276.04721069335898</v>
      </c>
      <c r="CD43">
        <v>460.02923583984398</v>
      </c>
      <c r="CE43">
        <v>368.00894165039102</v>
      </c>
      <c r="CF43" s="2">
        <v>3.4028230607370999E+38</v>
      </c>
      <c r="CG43" s="2">
        <v>3.4028230607370999E+38</v>
      </c>
      <c r="CH43">
        <v>230.00196838378901</v>
      </c>
      <c r="CI43">
        <v>2.0001058578491202</v>
      </c>
      <c r="CJ43">
        <v>-276.04751586914102</v>
      </c>
      <c r="CK43">
        <v>460.02935791015602</v>
      </c>
      <c r="CL43">
        <v>368.00521850585898</v>
      </c>
      <c r="CM43">
        <v>49.999935150146499</v>
      </c>
      <c r="CN43">
        <v>-126.873977661133</v>
      </c>
      <c r="CO43">
        <v>1.7092296853661499E-2</v>
      </c>
      <c r="CP43" s="2">
        <v>3.61089360012556E-6</v>
      </c>
      <c r="CQ43" s="2">
        <v>-1.2556655715201301E-9</v>
      </c>
      <c r="CR43" s="2">
        <v>6.1776013637882001E-8</v>
      </c>
      <c r="CS43" s="2">
        <v>3.9954493047389397E-9</v>
      </c>
      <c r="CT43">
        <v>74.817596435546903</v>
      </c>
      <c r="CU43">
        <v>-99.491050720214801</v>
      </c>
      <c r="CV43">
        <v>1.9005378708243401E-2</v>
      </c>
      <c r="CW43" s="2">
        <v>3.0594767395086798E-6</v>
      </c>
      <c r="CX43" s="2">
        <v>-2.3069146593002201E-10</v>
      </c>
      <c r="CY43" s="2">
        <v>5.8138223124615298E-8</v>
      </c>
      <c r="CZ43" s="2">
        <v>7.4570000174745101E-10</v>
      </c>
      <c r="DA43">
        <v>74.740013122558594</v>
      </c>
      <c r="DB43">
        <v>-120.88022613525401</v>
      </c>
      <c r="DC43" s="2">
        <v>3.4028230607370999E+38</v>
      </c>
      <c r="DD43" s="2">
        <v>3.4028230607370999E+38</v>
      </c>
      <c r="DE43">
        <v>-276.04754638671898</v>
      </c>
      <c r="DF43">
        <v>460.02935791015602</v>
      </c>
      <c r="DG43">
        <v>368.00521850585898</v>
      </c>
      <c r="DH43" s="2">
        <v>3.4028230607370999E+38</v>
      </c>
      <c r="DI43" s="2">
        <v>3.4028230607370999E+38</v>
      </c>
      <c r="DJ43">
        <v>230.00186157226599</v>
      </c>
      <c r="DK43">
        <v>2.0000815391540501</v>
      </c>
      <c r="DL43">
        <v>-276.03875732421898</v>
      </c>
      <c r="DM43">
        <v>460.02719116210898</v>
      </c>
      <c r="DN43">
        <v>368.00616455078102</v>
      </c>
      <c r="DO43">
        <v>49.9999389648438</v>
      </c>
      <c r="DP43">
        <v>-126.87368011474599</v>
      </c>
      <c r="DQ43">
        <v>1.7708403989672699E-2</v>
      </c>
      <c r="DR43" s="2">
        <v>3.63336425834859E-6</v>
      </c>
      <c r="DS43" s="2">
        <v>-1.7079921921237E-9</v>
      </c>
      <c r="DT43" s="2">
        <v>6.4131242538678595E-8</v>
      </c>
      <c r="DU43" s="2">
        <v>4.1037200304572302E-9</v>
      </c>
      <c r="DV43">
        <v>74.725181579589801</v>
      </c>
      <c r="DW43">
        <v>-93.102310180664105</v>
      </c>
      <c r="DX43">
        <v>1.9697774201631501E-2</v>
      </c>
      <c r="DY43" s="2">
        <v>3.12515726363927E-6</v>
      </c>
      <c r="DZ43" s="2">
        <v>-7.1069955476232797E-10</v>
      </c>
      <c r="EA43" s="2">
        <v>6.0042005145533E-8</v>
      </c>
      <c r="EB43" s="2">
        <v>2.6749820136728898E-9</v>
      </c>
      <c r="EC43">
        <v>74.798332214355497</v>
      </c>
      <c r="ED43">
        <v>-86.489349365234403</v>
      </c>
      <c r="EE43" s="2">
        <v>3.4028230607370999E+38</v>
      </c>
      <c r="EF43" s="2">
        <v>3.4028230607370999E+38</v>
      </c>
      <c r="EG43">
        <v>-276.03878784179699</v>
      </c>
      <c r="EH43">
        <v>460.02719116210898</v>
      </c>
      <c r="EI43">
        <v>368.00616455078102</v>
      </c>
      <c r="EJ43" s="2">
        <v>3.4028230607370999E+38</v>
      </c>
      <c r="EK43" s="2">
        <v>3.4028230607370999E+38</v>
      </c>
      <c r="EL43">
        <v>123</v>
      </c>
      <c r="EM43">
        <v>230.002197265625</v>
      </c>
      <c r="EN43">
        <v>2.0001022815704301</v>
      </c>
      <c r="EO43">
        <v>-276.04364013671898</v>
      </c>
      <c r="EP43">
        <v>460.02764892578102</v>
      </c>
      <c r="EQ43">
        <v>368.00820922851602</v>
      </c>
      <c r="ER43">
        <v>50.0000190734863</v>
      </c>
      <c r="ES43">
        <v>-126.87376403808599</v>
      </c>
      <c r="ET43">
        <v>-0.60005861520767201</v>
      </c>
      <c r="EU43" s="2">
        <v>3.4028230607370999E+38</v>
      </c>
      <c r="EV43">
        <v>0</v>
      </c>
      <c r="EW43">
        <v>230.00163269043</v>
      </c>
      <c r="EX43">
        <v>-276.06317138671898</v>
      </c>
      <c r="EY43">
        <v>460.02947998046898</v>
      </c>
      <c r="EZ43">
        <v>367.98474121093801</v>
      </c>
      <c r="FA43">
        <v>-9.5100019825622396E-4</v>
      </c>
      <c r="FB43">
        <v>1.7307277768850299E-2</v>
      </c>
      <c r="FC43" s="2">
        <v>3.5489517813402901E-6</v>
      </c>
      <c r="FD43" s="2">
        <v>-6.1327626310614402E-10</v>
      </c>
      <c r="FE43" s="2">
        <v>6.0094890841355703E-8</v>
      </c>
      <c r="FF43" s="2">
        <v>3.4728369069370001E-9</v>
      </c>
      <c r="FG43">
        <v>74.789413452148395</v>
      </c>
      <c r="FH43">
        <v>-112.01222991943401</v>
      </c>
      <c r="FI43">
        <v>-2.8327254578471201E-2</v>
      </c>
      <c r="FJ43" s="2">
        <v>3.4028230607370999E+38</v>
      </c>
      <c r="FK43">
        <v>23.399051666259801</v>
      </c>
      <c r="FL43">
        <v>1.9950594753027E-2</v>
      </c>
      <c r="FM43">
        <v>0</v>
      </c>
      <c r="FN43">
        <v>0</v>
      </c>
      <c r="FO43">
        <v>0</v>
      </c>
      <c r="FP43" s="2">
        <v>7.64250071370043E-5</v>
      </c>
      <c r="FQ43">
        <v>1.7937541007995599E-2</v>
      </c>
      <c r="FR43" s="2">
        <v>3.0587159471906501E-6</v>
      </c>
      <c r="FS43" s="2">
        <v>5.8733196084404002E-10</v>
      </c>
      <c r="FT43" s="2">
        <v>5.5553446287603901E-8</v>
      </c>
      <c r="FU43" s="2">
        <v>1.57218560392636E-9</v>
      </c>
      <c r="FV43">
        <v>74.759292602539105</v>
      </c>
      <c r="FW43">
        <v>-73.635665893554702</v>
      </c>
      <c r="FX43">
        <v>8.3101354539394396E-3</v>
      </c>
      <c r="FY43" s="2">
        <v>3.4028230607370999E+38</v>
      </c>
      <c r="FZ43">
        <v>31.247421264648398</v>
      </c>
      <c r="GA43">
        <v>229.72148132324199</v>
      </c>
      <c r="GB43" s="2">
        <v>-3.9808401020024999E-10</v>
      </c>
      <c r="GC43">
        <v>7.3280930519104004E-4</v>
      </c>
      <c r="GD43" s="2">
        <v>1.52501722361365E-9</v>
      </c>
      <c r="GE43" s="2">
        <v>-1.8686718249227899E-5</v>
      </c>
      <c r="GF43" s="2">
        <v>3.4028230607370999E+38</v>
      </c>
      <c r="GG43" s="2">
        <v>3.4028230607370999E+38</v>
      </c>
      <c r="GH43">
        <v>-276.04684448242199</v>
      </c>
      <c r="GI43">
        <v>460.02899169921898</v>
      </c>
      <c r="GJ43">
        <v>368.00592041015602</v>
      </c>
      <c r="GK43" s="2">
        <v>3.4028230607370999E+38</v>
      </c>
      <c r="GL43" s="2">
        <v>3.4028230607370999E+38</v>
      </c>
      <c r="GM43" s="2">
        <v>3.4028230607370999E+38</v>
      </c>
      <c r="GN43" s="2">
        <v>3.4028230607370999E+38</v>
      </c>
      <c r="GO43" s="2">
        <v>3.4028230607370999E+38</v>
      </c>
      <c r="GP43" s="2">
        <v>3.4028230607370999E+38</v>
      </c>
      <c r="GQ43">
        <v>-276.05288696289102</v>
      </c>
      <c r="GR43">
        <v>-276.05288696289102</v>
      </c>
      <c r="GS43">
        <v>367.99200439453102</v>
      </c>
      <c r="GT43" s="2">
        <v>8.2044434748240696E-6</v>
      </c>
      <c r="GX43">
        <f t="shared" si="1"/>
        <v>230.0018798828124</v>
      </c>
      <c r="GY43">
        <f t="shared" si="2"/>
        <v>2.0001090526580798</v>
      </c>
      <c r="GZ43">
        <f t="shared" si="3"/>
        <v>-276.04602661132822</v>
      </c>
      <c r="HA43">
        <f t="shared" si="4"/>
        <v>460.02833862304681</v>
      </c>
      <c r="HB43">
        <f t="shared" si="5"/>
        <v>368.00614624023444</v>
      </c>
      <c r="HC43">
        <f t="shared" si="6"/>
        <v>49.999930572509776</v>
      </c>
      <c r="HD43">
        <f t="shared" si="7"/>
        <v>-126.87387237548839</v>
      </c>
      <c r="HW43" s="10">
        <f>(GX43/Data!$S43-1)*1000000</f>
        <v>21.650651838900359</v>
      </c>
      <c r="HX43" s="10">
        <f>(GY43/Data!$T43-1)*1000000</f>
        <v>78.503211154323793</v>
      </c>
      <c r="HY43" s="10">
        <f>(GZ43/Data!$BW43-1)*1000000</f>
        <v>126.94426227710665</v>
      </c>
      <c r="HZ43" s="10">
        <f>(HA43/(Data!$S43*Data!$T43)-1)*1000000</f>
        <v>99.061045685244764</v>
      </c>
      <c r="IA43" s="7">
        <f>(HB43/IF(HD43&gt;0, -Data!$BX43,Data!$BX43)-1)*1000000</f>
        <v>97.616702865899185</v>
      </c>
      <c r="IB43" s="10"/>
      <c r="IC43" s="9">
        <f>(HD43-Data!$U43)</f>
        <v>-6.5457548838310231E-4</v>
      </c>
    </row>
    <row r="44" spans="1:237" x14ac:dyDescent="0.2">
      <c r="A44">
        <v>44</v>
      </c>
      <c r="B44">
        <v>230.00173950195301</v>
      </c>
      <c r="C44">
        <v>2.0001196861267099</v>
      </c>
      <c r="D44">
        <v>-276.04641723632801</v>
      </c>
      <c r="E44">
        <v>460.03073120117199</v>
      </c>
      <c r="F44">
        <v>368.00833129882801</v>
      </c>
      <c r="G44">
        <v>49.9999389648438</v>
      </c>
      <c r="H44">
        <v>-126.874153137207</v>
      </c>
      <c r="I44">
        <v>1.54215851798654E-2</v>
      </c>
      <c r="J44" s="2">
        <v>3.5744585602515102E-6</v>
      </c>
      <c r="K44" s="2">
        <v>-1.38302569396842E-9</v>
      </c>
      <c r="L44" s="2">
        <v>5.4254417847232597E-8</v>
      </c>
      <c r="M44" s="2">
        <v>2.05747774373322E-9</v>
      </c>
      <c r="N44">
        <v>74.623931884765597</v>
      </c>
      <c r="O44">
        <v>-141.459716796875</v>
      </c>
      <c r="P44">
        <v>1.6444107517600101E-2</v>
      </c>
      <c r="Q44" s="2">
        <v>3.13693703901663E-6</v>
      </c>
      <c r="R44" s="2">
        <v>-2.0785083376662101E-10</v>
      </c>
      <c r="S44" s="2">
        <v>5.1470284034849101E-8</v>
      </c>
      <c r="T44" s="2">
        <v>7.0349776004619002E-10</v>
      </c>
      <c r="U44">
        <v>74.759323120117202</v>
      </c>
      <c r="V44">
        <v>-137.38031005859401</v>
      </c>
      <c r="W44" s="2">
        <v>3.4028230607370999E+38</v>
      </c>
      <c r="X44" s="2">
        <v>3.4028230607370999E+38</v>
      </c>
      <c r="Y44">
        <v>-276.04644775390602</v>
      </c>
      <c r="Z44">
        <v>460.03073120117199</v>
      </c>
      <c r="AA44">
        <v>368.00833129882801</v>
      </c>
      <c r="AB44" s="2">
        <v>3.4028230607370999E+38</v>
      </c>
      <c r="AC44" s="2">
        <v>3.4028230607370999E+38</v>
      </c>
      <c r="AD44">
        <v>230.00157165527301</v>
      </c>
      <c r="AE44">
        <v>2.00011205673218</v>
      </c>
      <c r="AF44">
        <v>-276.04641723632801</v>
      </c>
      <c r="AG44">
        <v>460.02963256835898</v>
      </c>
      <c r="AH44">
        <v>368.00677490234398</v>
      </c>
      <c r="AI44">
        <v>49.999923706054702</v>
      </c>
      <c r="AJ44">
        <v>-126.874351501465</v>
      </c>
      <c r="AK44">
        <v>1.6980640590190901E-2</v>
      </c>
      <c r="AL44" s="2">
        <v>3.5975601804238998E-6</v>
      </c>
      <c r="AM44" s="2">
        <v>3.4680669447340101E-9</v>
      </c>
      <c r="AN44" s="2">
        <v>6.0514715016779506E-8</v>
      </c>
      <c r="AO44" s="2">
        <v>5.6881996890467698E-9</v>
      </c>
      <c r="AP44">
        <v>74.814735412597699</v>
      </c>
      <c r="AQ44">
        <v>-53.160984039306598</v>
      </c>
      <c r="AR44">
        <v>1.8814645707607301E-2</v>
      </c>
      <c r="AS44" s="2">
        <v>3.1627616863261201E-6</v>
      </c>
      <c r="AT44" s="2">
        <v>1.4187908625729101E-9</v>
      </c>
      <c r="AU44" s="2">
        <v>5.8038743588895198E-8</v>
      </c>
      <c r="AV44" s="2">
        <v>1.6775190125883899E-9</v>
      </c>
      <c r="AW44">
        <v>74.759918212890597</v>
      </c>
      <c r="AX44">
        <v>-126.34791564941401</v>
      </c>
      <c r="AY44" s="2">
        <v>3.4028230607370999E+38</v>
      </c>
      <c r="AZ44" s="2">
        <v>3.4028230607370999E+38</v>
      </c>
      <c r="BA44">
        <v>-276.04641723632801</v>
      </c>
      <c r="BB44">
        <v>460.02963256835898</v>
      </c>
      <c r="BC44">
        <v>368.00677490234398</v>
      </c>
      <c r="BD44" s="2">
        <v>3.4028230607370999E+38</v>
      </c>
      <c r="BE44" s="2">
        <v>3.4028230607370999E+38</v>
      </c>
      <c r="BF44">
        <v>230.00169372558599</v>
      </c>
      <c r="BG44">
        <v>2.00010442733765</v>
      </c>
      <c r="BH44">
        <v>-276.04678344726602</v>
      </c>
      <c r="BI44">
        <v>460.03005981445301</v>
      </c>
      <c r="BJ44">
        <v>368.00717163085898</v>
      </c>
      <c r="BK44">
        <v>49.999935150146499</v>
      </c>
      <c r="BL44">
        <v>-126.87400817871099</v>
      </c>
      <c r="BM44">
        <v>1.7148669809103002E-2</v>
      </c>
      <c r="BN44" s="2">
        <v>3.58793317900563E-6</v>
      </c>
      <c r="BO44" s="2">
        <v>-3.6737152209198598E-10</v>
      </c>
      <c r="BP44" s="2">
        <v>6.1491860492424206E-8</v>
      </c>
      <c r="BQ44" s="2">
        <v>4.6358721306205602E-9</v>
      </c>
      <c r="BR44">
        <v>74.7022705078125</v>
      </c>
      <c r="BS44">
        <v>-106.734870910645</v>
      </c>
      <c r="BT44">
        <v>1.8832804635167101E-2</v>
      </c>
      <c r="BU44" s="2">
        <v>3.1106458209251299E-6</v>
      </c>
      <c r="BV44" s="2">
        <v>-1.32697386412417E-9</v>
      </c>
      <c r="BW44" s="2">
        <v>5.8596011598410802E-8</v>
      </c>
      <c r="BX44" s="2">
        <v>1.7948257324818E-9</v>
      </c>
      <c r="BY44">
        <v>74.730697631835895</v>
      </c>
      <c r="BZ44">
        <v>-121.20680999755901</v>
      </c>
      <c r="CA44" s="2">
        <v>3.4028230607370999E+38</v>
      </c>
      <c r="CB44" s="2">
        <v>3.4028230607370999E+38</v>
      </c>
      <c r="CC44">
        <v>-276.04681396484398</v>
      </c>
      <c r="CD44">
        <v>460.03005981445301</v>
      </c>
      <c r="CE44">
        <v>368.00717163085898</v>
      </c>
      <c r="CF44" s="2">
        <v>3.4028230607370999E+38</v>
      </c>
      <c r="CG44" s="2">
        <v>3.4028230607370999E+38</v>
      </c>
      <c r="CH44">
        <v>230.00201416015599</v>
      </c>
      <c r="CI44">
        <v>2.0001161098480198</v>
      </c>
      <c r="CJ44">
        <v>-276.04718017578102</v>
      </c>
      <c r="CK44">
        <v>460.030517578125</v>
      </c>
      <c r="CL44">
        <v>368.00714111328102</v>
      </c>
      <c r="CM44">
        <v>49.999931335449197</v>
      </c>
      <c r="CN44">
        <v>-126.873977661133</v>
      </c>
      <c r="CO44">
        <v>1.53443235903978E-2</v>
      </c>
      <c r="CP44" s="2">
        <v>3.60464105142455E-6</v>
      </c>
      <c r="CQ44" s="2">
        <v>-1.3589556147053399E-9</v>
      </c>
      <c r="CR44" s="2">
        <v>5.6923045832490997E-8</v>
      </c>
      <c r="CS44" s="2">
        <v>3.7701357591401996E-9</v>
      </c>
      <c r="CT44">
        <v>74.782936096191406</v>
      </c>
      <c r="CU44">
        <v>-115.909255981445</v>
      </c>
      <c r="CV44">
        <v>1.6994459554553001E-2</v>
      </c>
      <c r="CW44" s="2">
        <v>3.1585993838234601E-6</v>
      </c>
      <c r="CX44" s="2">
        <v>-4.2140327338735502E-10</v>
      </c>
      <c r="CY44" s="2">
        <v>5.2142052453518799E-8</v>
      </c>
      <c r="CZ44" s="2">
        <v>1.1393453958064E-9</v>
      </c>
      <c r="DA44">
        <v>74.788581848144503</v>
      </c>
      <c r="DB44">
        <v>-150.33856201171901</v>
      </c>
      <c r="DC44" s="2">
        <v>3.4028230607370999E+38</v>
      </c>
      <c r="DD44" s="2">
        <v>3.4028230607370999E+38</v>
      </c>
      <c r="DE44">
        <v>-276.04721069335898</v>
      </c>
      <c r="DF44">
        <v>460.030517578125</v>
      </c>
      <c r="DG44">
        <v>368.00714111328102</v>
      </c>
      <c r="DH44" s="2">
        <v>3.4028230607370999E+38</v>
      </c>
      <c r="DI44" s="2">
        <v>3.4028230607370999E+38</v>
      </c>
      <c r="DJ44">
        <v>230.00180053710901</v>
      </c>
      <c r="DK44">
        <v>2.0001137256622301</v>
      </c>
      <c r="DL44">
        <v>-276.04553222656199</v>
      </c>
      <c r="DM44">
        <v>460.02963256835898</v>
      </c>
      <c r="DN44">
        <v>368.00769042968801</v>
      </c>
      <c r="DO44">
        <v>49.999958038330099</v>
      </c>
      <c r="DP44">
        <v>-126.87377166748</v>
      </c>
      <c r="DQ44">
        <v>1.5706405043602E-2</v>
      </c>
      <c r="DR44" s="2">
        <v>3.6060246202396199E-6</v>
      </c>
      <c r="DS44" s="2">
        <v>-1.9787071980914598E-9</v>
      </c>
      <c r="DT44" s="2">
        <v>5.6867893505341298E-8</v>
      </c>
      <c r="DU44" s="2">
        <v>2.8862494616532798E-9</v>
      </c>
      <c r="DV44">
        <v>74.754745483398395</v>
      </c>
      <c r="DW44">
        <v>-134.63774108886699</v>
      </c>
      <c r="DX44">
        <v>1.69737916439772E-2</v>
      </c>
      <c r="DY44" s="2">
        <v>3.12854922412953E-6</v>
      </c>
      <c r="DZ44" s="2">
        <v>3.6337591269308699E-10</v>
      </c>
      <c r="EA44" s="2">
        <v>5.3073414107984698E-8</v>
      </c>
      <c r="EB44" s="2">
        <v>4.4011971844781799E-10</v>
      </c>
      <c r="EC44">
        <v>74.802810668945298</v>
      </c>
      <c r="ED44">
        <v>-97.504051208496094</v>
      </c>
      <c r="EE44" s="2">
        <v>3.4028230607370999E+38</v>
      </c>
      <c r="EF44" s="2">
        <v>3.4028230607370999E+38</v>
      </c>
      <c r="EG44">
        <v>-276.04556274414102</v>
      </c>
      <c r="EH44">
        <v>460.02963256835898</v>
      </c>
      <c r="EI44">
        <v>368.00769042968801</v>
      </c>
      <c r="EJ44" s="2">
        <v>3.4028230607370999E+38</v>
      </c>
      <c r="EK44" s="2">
        <v>3.4028230607370999E+38</v>
      </c>
      <c r="EL44">
        <v>123</v>
      </c>
      <c r="EM44">
        <v>230.00228881835901</v>
      </c>
      <c r="EN44">
        <v>2.0001082420349099</v>
      </c>
      <c r="EO44">
        <v>-276.04440307617199</v>
      </c>
      <c r="EP44">
        <v>460.03112792968801</v>
      </c>
      <c r="EQ44">
        <v>368.00985717773398</v>
      </c>
      <c r="ER44">
        <v>49.999908447265597</v>
      </c>
      <c r="ES44">
        <v>-126.873565673828</v>
      </c>
      <c r="ET44">
        <v>-0.600064337253571</v>
      </c>
      <c r="EU44" s="2">
        <v>3.4028230607370999E+38</v>
      </c>
      <c r="EV44">
        <v>0</v>
      </c>
      <c r="EW44">
        <v>230.00032043457</v>
      </c>
      <c r="EX44">
        <v>-276.06231689453102</v>
      </c>
      <c r="EY44">
        <v>460.02700805664102</v>
      </c>
      <c r="EZ44">
        <v>367.98635864257801</v>
      </c>
      <c r="FA44">
        <v>-8.4060709923505805E-4</v>
      </c>
      <c r="FB44">
        <v>1.7038125544786498E-2</v>
      </c>
      <c r="FC44" s="2">
        <v>3.5884204407921099E-6</v>
      </c>
      <c r="FD44" s="2">
        <v>-2.8861049106154699E-9</v>
      </c>
      <c r="FE44" s="2">
        <v>6.2500234321305497E-8</v>
      </c>
      <c r="FF44" s="2">
        <v>3.5285008248564501E-9</v>
      </c>
      <c r="FG44">
        <v>74.704360961914105</v>
      </c>
      <c r="FH44">
        <v>-96.025558471679702</v>
      </c>
      <c r="FI44">
        <v>-6.7421118728816501E-3</v>
      </c>
      <c r="FJ44" s="2">
        <v>3.4028230607370999E+38</v>
      </c>
      <c r="FK44">
        <v>12.184444427490201</v>
      </c>
      <c r="FL44">
        <v>1.99599955230951E-2</v>
      </c>
      <c r="FM44">
        <v>0</v>
      </c>
      <c r="FN44">
        <v>0</v>
      </c>
      <c r="FO44">
        <v>0</v>
      </c>
      <c r="FP44" s="2">
        <v>6.5612905018497299E-5</v>
      </c>
      <c r="FQ44">
        <v>1.9415417686104799E-2</v>
      </c>
      <c r="FR44" s="2">
        <v>3.0259004688559799E-6</v>
      </c>
      <c r="FS44" s="2">
        <v>3.1132935118804999E-10</v>
      </c>
      <c r="FT44" s="2">
        <v>5.9373778782401099E-8</v>
      </c>
      <c r="FU44" s="2">
        <v>2.6755353488283601E-9</v>
      </c>
      <c r="FV44">
        <v>74.803131103515597</v>
      </c>
      <c r="FW44">
        <v>-91.812324523925795</v>
      </c>
      <c r="FX44">
        <v>-1.3054056325927401E-3</v>
      </c>
      <c r="FY44" s="2">
        <v>3.4028230607370999E+38</v>
      </c>
      <c r="FZ44">
        <v>-5.9141998291015598</v>
      </c>
      <c r="GA44">
        <v>229.00962829589801</v>
      </c>
      <c r="GB44" s="2">
        <v>-2.8548252650750798E-10</v>
      </c>
      <c r="GC44">
        <v>7.0823368150740905E-4</v>
      </c>
      <c r="GD44" s="2">
        <v>9.4234320346941993E-10</v>
      </c>
      <c r="GE44" s="2">
        <v>-2.7170157409273102E-5</v>
      </c>
      <c r="GF44" s="2">
        <v>3.4028230607370999E+38</v>
      </c>
      <c r="GG44" s="2">
        <v>3.4028230607370999E+38</v>
      </c>
      <c r="GH44">
        <v>-276.04843139648398</v>
      </c>
      <c r="GI44">
        <v>460.02374267578102</v>
      </c>
      <c r="GJ44">
        <v>368.00231933593801</v>
      </c>
      <c r="GK44" s="2">
        <v>3.4028230607370999E+38</v>
      </c>
      <c r="GL44" s="2">
        <v>3.4028230607370999E+38</v>
      </c>
      <c r="GM44" s="2">
        <v>3.4028230607370999E+38</v>
      </c>
      <c r="GN44" s="2">
        <v>3.4028230607370999E+38</v>
      </c>
      <c r="GO44" s="2">
        <v>3.4028230607370999E+38</v>
      </c>
      <c r="GP44" s="2">
        <v>3.4028230607370999E+38</v>
      </c>
      <c r="GQ44">
        <v>-276.059814453125</v>
      </c>
      <c r="GR44">
        <v>-276.059814453125</v>
      </c>
      <c r="GS44">
        <v>367.99786376953102</v>
      </c>
      <c r="GT44">
        <v>-1.08030007686466E-3</v>
      </c>
      <c r="GX44">
        <f t="shared" si="1"/>
        <v>230.00176391601539</v>
      </c>
      <c r="GY44">
        <f t="shared" si="2"/>
        <v>2.0001132011413576</v>
      </c>
      <c r="GZ44">
        <f t="shared" si="3"/>
        <v>-276.04646606445306</v>
      </c>
      <c r="HA44">
        <f t="shared" si="4"/>
        <v>460.03011474609355</v>
      </c>
      <c r="HB44">
        <f t="shared" si="5"/>
        <v>368.00742187499998</v>
      </c>
      <c r="HC44">
        <f t="shared" si="6"/>
        <v>49.999937438964857</v>
      </c>
      <c r="HD44">
        <f t="shared" si="7"/>
        <v>-126.8740524291992</v>
      </c>
      <c r="HW44" s="10">
        <f>(GX44/Data!$S44-1)*1000000</f>
        <v>21.343404958296119</v>
      </c>
      <c r="HX44" s="10">
        <f>(GY44/Data!$T44-1)*1000000</f>
        <v>77.079649077216317</v>
      </c>
      <c r="HY44" s="10">
        <f>(GZ44/Data!$BW44-1)*1000000</f>
        <v>121.24053649098521</v>
      </c>
      <c r="HZ44" s="10">
        <f>(HA44/(Data!$S44*Data!$T44)-1)*1000000</f>
        <v>99.621374552549824</v>
      </c>
      <c r="IA44" s="7">
        <f>(HB44/IF(HD44&gt;0, -Data!$BX44,Data!$BX44)-1)*1000000</f>
        <v>100.02938712916354</v>
      </c>
      <c r="IB44" s="10"/>
      <c r="IC44" s="9">
        <f>(HD44-Data!$U44)</f>
        <v>-6.6292919919419546E-4</v>
      </c>
    </row>
    <row r="45" spans="1:237" x14ac:dyDescent="0.2">
      <c r="A45">
        <v>45</v>
      </c>
      <c r="B45">
        <v>230.00129699707</v>
      </c>
      <c r="C45">
        <v>5.0002388954162598</v>
      </c>
      <c r="D45">
        <v>-690.107177734375</v>
      </c>
      <c r="E45">
        <v>1150.06298828125</v>
      </c>
      <c r="F45">
        <v>920.01214599609398</v>
      </c>
      <c r="G45">
        <v>49.999973297119098</v>
      </c>
      <c r="H45">
        <v>-126.87380218505901</v>
      </c>
      <c r="I45">
        <v>1.7312804237008102E-2</v>
      </c>
      <c r="J45" s="2">
        <v>3.8177431633812401E-6</v>
      </c>
      <c r="K45" s="2">
        <v>-3.0414453178195799E-9</v>
      </c>
      <c r="L45" s="2">
        <v>6.6163998724277904E-8</v>
      </c>
      <c r="M45" s="2">
        <v>1.1652931952710299E-8</v>
      </c>
      <c r="N45">
        <v>74.701187133789105</v>
      </c>
      <c r="O45">
        <v>-97.762245178222699</v>
      </c>
      <c r="P45">
        <v>1.8837252631783499E-2</v>
      </c>
      <c r="Q45" s="2">
        <v>3.16052432935976E-6</v>
      </c>
      <c r="R45" s="2">
        <v>-4.6673802600594197E-9</v>
      </c>
      <c r="S45" s="2">
        <v>6.0892531905665197E-8</v>
      </c>
      <c r="T45" s="2">
        <v>8.2293871717098496E-10</v>
      </c>
      <c r="U45">
        <v>74.714340209960895</v>
      </c>
      <c r="V45">
        <v>-165.07890319824199</v>
      </c>
      <c r="W45" s="2">
        <v>3.4028230607370999E+38</v>
      </c>
      <c r="X45" s="2">
        <v>3.4028230607370999E+38</v>
      </c>
      <c r="Y45">
        <v>-690.10723876953102</v>
      </c>
      <c r="Z45">
        <v>1150.06298828125</v>
      </c>
      <c r="AA45">
        <v>920.01214599609398</v>
      </c>
      <c r="AB45" s="2">
        <v>3.4028230607370999E+38</v>
      </c>
      <c r="AC45" s="2">
        <v>3.4028230607370999E+38</v>
      </c>
      <c r="AD45">
        <v>230.00166320800801</v>
      </c>
      <c r="AE45">
        <v>5.0002570152282697</v>
      </c>
      <c r="AF45">
        <v>-690.10614013671898</v>
      </c>
      <c r="AG45">
        <v>1150.06750488281</v>
      </c>
      <c r="AH45">
        <v>920.01666259765602</v>
      </c>
      <c r="AI45">
        <v>49.999923706054702</v>
      </c>
      <c r="AJ45">
        <v>-126.87362670898401</v>
      </c>
      <c r="AK45">
        <v>1.4934230595827099E-2</v>
      </c>
      <c r="AL45" s="2">
        <v>3.8710572880518199E-6</v>
      </c>
      <c r="AM45" s="2">
        <v>-2.40045072708028E-9</v>
      </c>
      <c r="AN45" s="2">
        <v>5.8287760396069597E-8</v>
      </c>
      <c r="AO45" s="2">
        <v>7.0827042009113897E-9</v>
      </c>
      <c r="AP45">
        <v>74.608673095703097</v>
      </c>
      <c r="AQ45">
        <v>-111.6552734375</v>
      </c>
      <c r="AR45">
        <v>1.6126355156302501E-2</v>
      </c>
      <c r="AS45" s="2">
        <v>3.1093386496650102E-6</v>
      </c>
      <c r="AT45" s="2">
        <v>-3.5365963491074101E-9</v>
      </c>
      <c r="AU45" s="2">
        <v>5.0722725575269598E-8</v>
      </c>
      <c r="AV45" s="2">
        <v>-2.4933055620124399E-10</v>
      </c>
      <c r="AW45">
        <v>74.7974853515625</v>
      </c>
      <c r="AX45">
        <v>168.89682006835901</v>
      </c>
      <c r="AY45" s="2">
        <v>3.4028230607370999E+38</v>
      </c>
      <c r="AZ45" s="2">
        <v>3.4028230607370999E+38</v>
      </c>
      <c r="BA45">
        <v>-690.106201171875</v>
      </c>
      <c r="BB45">
        <v>1150.06750488281</v>
      </c>
      <c r="BC45">
        <v>920.0166015625</v>
      </c>
      <c r="BD45" s="2">
        <v>3.4028230607370999E+38</v>
      </c>
      <c r="BE45" s="2">
        <v>3.4028230607370999E+38</v>
      </c>
      <c r="BF45">
        <v>230.00172424316401</v>
      </c>
      <c r="BG45">
        <v>5.0002636909484899</v>
      </c>
      <c r="BH45">
        <v>-690.10400390625</v>
      </c>
      <c r="BI45">
        <v>1150.06774902344</v>
      </c>
      <c r="BJ45">
        <v>920.01818847656205</v>
      </c>
      <c r="BK45">
        <v>49.999954223632798</v>
      </c>
      <c r="BL45">
        <v>-126.873733520508</v>
      </c>
      <c r="BM45">
        <v>1.44185833632946E-2</v>
      </c>
      <c r="BN45" s="2">
        <v>3.8787093217251797E-6</v>
      </c>
      <c r="BO45" s="2">
        <v>-8.0174622496542704E-10</v>
      </c>
      <c r="BP45" s="2">
        <v>5.6254823022072702E-8</v>
      </c>
      <c r="BQ45" s="2">
        <v>6.8277721254617096E-9</v>
      </c>
      <c r="BR45">
        <v>74.687515258789105</v>
      </c>
      <c r="BS45">
        <v>-95.209770202636705</v>
      </c>
      <c r="BT45">
        <v>1.5613405033946001E-2</v>
      </c>
      <c r="BU45" s="2">
        <v>3.1698327802587301E-6</v>
      </c>
      <c r="BV45" s="2">
        <v>-8.1302081733625197E-10</v>
      </c>
      <c r="BW45" s="2">
        <v>4.9010317582087697E-8</v>
      </c>
      <c r="BX45" s="2">
        <v>-9.2023522135775703E-10</v>
      </c>
      <c r="BY45">
        <v>74.817886352539105</v>
      </c>
      <c r="BZ45">
        <v>131.46034240722699</v>
      </c>
      <c r="CA45" s="2">
        <v>3.4028230607370999E+38</v>
      </c>
      <c r="CB45" s="2">
        <v>3.4028230607370999E+38</v>
      </c>
      <c r="CC45">
        <v>-690.10406494140602</v>
      </c>
      <c r="CD45">
        <v>1150.06774902344</v>
      </c>
      <c r="CE45">
        <v>920.01812744140602</v>
      </c>
      <c r="CF45" s="2">
        <v>3.4028230607370999E+38</v>
      </c>
      <c r="CG45" s="2">
        <v>3.4028230607370999E+38</v>
      </c>
      <c r="CH45">
        <v>230.00189208984401</v>
      </c>
      <c r="CI45">
        <v>5.00024509429932</v>
      </c>
      <c r="CJ45">
        <v>-690.10638427734398</v>
      </c>
      <c r="CK45">
        <v>1150.07067871094</v>
      </c>
      <c r="CL45">
        <v>920.02038574218795</v>
      </c>
      <c r="CM45">
        <v>49.999954223632798</v>
      </c>
      <c r="CN45">
        <v>-126.873542785645</v>
      </c>
      <c r="CO45">
        <v>1.44647900015116E-2</v>
      </c>
      <c r="CP45" s="2">
        <v>3.8794069041614404E-6</v>
      </c>
      <c r="CQ45" s="2">
        <v>-8.9413615400601998E-10</v>
      </c>
      <c r="CR45" s="2">
        <v>5.6125681879848297E-8</v>
      </c>
      <c r="CS45" s="2">
        <v>5.5480393612583603E-9</v>
      </c>
      <c r="CT45">
        <v>74.681915283203097</v>
      </c>
      <c r="CU45">
        <v>-112.651405334473</v>
      </c>
      <c r="CV45">
        <v>1.56709514558315E-2</v>
      </c>
      <c r="CW45" s="2">
        <v>3.1650629352952798E-6</v>
      </c>
      <c r="CX45" s="2">
        <v>-1.67375102666512E-9</v>
      </c>
      <c r="CY45" s="2">
        <v>4.9512856037381399E-8</v>
      </c>
      <c r="CZ45" s="2">
        <v>-2.5255281199676502E-10</v>
      </c>
      <c r="DA45">
        <v>74.718490600585895</v>
      </c>
      <c r="DB45">
        <v>170.61581420898401</v>
      </c>
      <c r="DC45" s="2">
        <v>3.4028230607370999E+38</v>
      </c>
      <c r="DD45" s="2">
        <v>3.4028230607370999E+38</v>
      </c>
      <c r="DE45">
        <v>-690.1064453125</v>
      </c>
      <c r="DF45">
        <v>1150.07067871094</v>
      </c>
      <c r="DG45">
        <v>920.02032470703102</v>
      </c>
      <c r="DH45" s="2">
        <v>3.4028230607370999E+38</v>
      </c>
      <c r="DI45" s="2">
        <v>3.4028230607370999E+38</v>
      </c>
      <c r="DJ45">
        <v>230.00193786621099</v>
      </c>
      <c r="DK45">
        <v>5.0002751350402797</v>
      </c>
      <c r="DL45">
        <v>-690.10821533203102</v>
      </c>
      <c r="DM45">
        <v>1150.0712890625</v>
      </c>
      <c r="DN45">
        <v>920.02038574218795</v>
      </c>
      <c r="DO45">
        <v>49.999954223632798</v>
      </c>
      <c r="DP45">
        <v>-126.873649597168</v>
      </c>
      <c r="DQ45">
        <v>1.4198154211044299E-2</v>
      </c>
      <c r="DR45" s="2">
        <v>3.8869907257321799E-6</v>
      </c>
      <c r="DS45" s="2">
        <v>1.5481655957216801E-9</v>
      </c>
      <c r="DT45" s="2">
        <v>5.5978130575340401E-8</v>
      </c>
      <c r="DU45" s="2">
        <v>5.6310200946541003E-9</v>
      </c>
      <c r="DV45">
        <v>74.766952514648395</v>
      </c>
      <c r="DW45">
        <v>-85.638267517089801</v>
      </c>
      <c r="DX45">
        <v>1.54195101931691E-2</v>
      </c>
      <c r="DY45" s="2">
        <v>3.1114509511098702E-6</v>
      </c>
      <c r="DZ45" s="2">
        <v>-6.4832933466263398E-10</v>
      </c>
      <c r="EA45" s="2">
        <v>4.8776009009543499E-8</v>
      </c>
      <c r="EB45" s="2">
        <v>-6.1529920047931303E-11</v>
      </c>
      <c r="EC45">
        <v>74.729354858398395</v>
      </c>
      <c r="ED45">
        <v>169.94885253906199</v>
      </c>
      <c r="EE45" s="2">
        <v>3.4028230607370999E+38</v>
      </c>
      <c r="EF45" s="2">
        <v>3.4028230607370999E+38</v>
      </c>
      <c r="EG45">
        <v>-690.10827636718795</v>
      </c>
      <c r="EH45">
        <v>1150.0712890625</v>
      </c>
      <c r="EI45">
        <v>920.02032470703102</v>
      </c>
      <c r="EJ45" s="2">
        <v>3.4028230607370999E+38</v>
      </c>
      <c r="EK45" s="2">
        <v>3.4028230607370999E+38</v>
      </c>
      <c r="EL45">
        <v>123</v>
      </c>
      <c r="EM45">
        <v>230.00216674804699</v>
      </c>
      <c r="EN45">
        <v>5.00026655197144</v>
      </c>
      <c r="EO45">
        <v>-690.1044921875</v>
      </c>
      <c r="EP45">
        <v>1150.06677246094</v>
      </c>
      <c r="EQ45">
        <v>920.015869140625</v>
      </c>
      <c r="ER45">
        <v>49.999935150146499</v>
      </c>
      <c r="ES45">
        <v>-126.873542785645</v>
      </c>
      <c r="ET45">
        <v>-0.60005652904510498</v>
      </c>
      <c r="EU45" s="2">
        <v>3.4028230607370999E+38</v>
      </c>
      <c r="EV45">
        <v>0</v>
      </c>
      <c r="EW45">
        <v>230.00184631347699</v>
      </c>
      <c r="EX45">
        <v>-690.12487792968795</v>
      </c>
      <c r="EY45">
        <v>1150.06726074219</v>
      </c>
      <c r="EZ45">
        <v>919.995361328125</v>
      </c>
      <c r="FA45">
        <v>3.1161200604401502E-4</v>
      </c>
      <c r="FB45">
        <v>1.45543199032545E-2</v>
      </c>
      <c r="FC45" s="2">
        <v>3.8991693145362703E-6</v>
      </c>
      <c r="FD45" s="2">
        <v>-9.3277163770721906E-10</v>
      </c>
      <c r="FE45" s="2">
        <v>5.6794341674049098E-8</v>
      </c>
      <c r="FF45" s="2">
        <v>6.2838907410878197E-9</v>
      </c>
      <c r="FG45">
        <v>74.710029602050795</v>
      </c>
      <c r="FH45">
        <v>-95.727783203125</v>
      </c>
      <c r="FI45">
        <v>-1.11151840537786E-2</v>
      </c>
      <c r="FJ45" s="2">
        <v>3.4028230607370999E+38</v>
      </c>
      <c r="FK45">
        <v>23.413389205932599</v>
      </c>
      <c r="FL45">
        <v>1.9634561613202099E-2</v>
      </c>
      <c r="FM45">
        <v>0</v>
      </c>
      <c r="FN45">
        <v>0</v>
      </c>
      <c r="FO45">
        <v>0</v>
      </c>
      <c r="FP45">
        <v>2.0516688528005001E-4</v>
      </c>
      <c r="FQ45">
        <v>1.60932615399361E-2</v>
      </c>
      <c r="FR45" s="2">
        <v>3.1744557418278402E-6</v>
      </c>
      <c r="FS45" s="2">
        <v>-2.6200512870388998E-9</v>
      </c>
      <c r="FT45" s="2">
        <v>4.9692445713844797E-8</v>
      </c>
      <c r="FU45" s="2">
        <v>-2.8232955903706399E-11</v>
      </c>
      <c r="FV45">
        <v>74.746139526367202</v>
      </c>
      <c r="FW45">
        <v>179.54748535156199</v>
      </c>
      <c r="FX45">
        <v>-7.19351917505264E-2</v>
      </c>
      <c r="FY45" s="2">
        <v>3.4028230607370999E+38</v>
      </c>
      <c r="FZ45">
        <v>6.1055197715759304</v>
      </c>
      <c r="GA45">
        <v>229.09750366210901</v>
      </c>
      <c r="GB45" s="2">
        <v>-1.14092690850498E-9</v>
      </c>
      <c r="GC45">
        <v>7.1709643816575397E-4</v>
      </c>
      <c r="GD45" s="2">
        <v>-2.0958712543262E-10</v>
      </c>
      <c r="GE45" s="2">
        <v>-3.8707377825630802E-5</v>
      </c>
      <c r="GF45" s="2">
        <v>3.4028230607370999E+38</v>
      </c>
      <c r="GG45" s="2">
        <v>3.4028230607370999E+38</v>
      </c>
      <c r="GH45">
        <v>-690.10302734375</v>
      </c>
      <c r="GI45">
        <v>1150.06713867188</v>
      </c>
      <c r="GJ45">
        <v>920.01544189453102</v>
      </c>
      <c r="GK45" s="2">
        <v>3.4028230607370999E+38</v>
      </c>
      <c r="GL45" s="2">
        <v>3.4028230607370999E+38</v>
      </c>
      <c r="GM45" s="2">
        <v>3.4028230607370999E+38</v>
      </c>
      <c r="GN45" s="2">
        <v>3.4028230607370999E+38</v>
      </c>
      <c r="GO45" s="2">
        <v>3.4028230607370999E+38</v>
      </c>
      <c r="GP45" s="2">
        <v>3.4028230607370999E+38</v>
      </c>
      <c r="GQ45">
        <v>-690.12902832031205</v>
      </c>
      <c r="GR45">
        <v>-690.12902832031205</v>
      </c>
      <c r="GS45">
        <v>919.98455810546898</v>
      </c>
      <c r="GT45">
        <v>5.3807359654456399E-4</v>
      </c>
      <c r="GX45">
        <f t="shared" si="1"/>
        <v>230.00170288085937</v>
      </c>
      <c r="GY45">
        <f t="shared" si="2"/>
        <v>5.0002559661865238</v>
      </c>
      <c r="GZ45">
        <f t="shared" si="3"/>
        <v>-690.10638427734375</v>
      </c>
      <c r="HA45">
        <f t="shared" si="4"/>
        <v>1150.068041992188</v>
      </c>
      <c r="HB45">
        <f t="shared" si="5"/>
        <v>920.01755371093748</v>
      </c>
      <c r="HC45">
        <f t="shared" si="6"/>
        <v>49.99995193481444</v>
      </c>
      <c r="HD45">
        <f t="shared" si="7"/>
        <v>-126.87367095947279</v>
      </c>
      <c r="HW45" s="10">
        <f>(GX45/Data!$S45-1)*1000000</f>
        <v>21.428043371907179</v>
      </c>
      <c r="HX45" s="10">
        <f>(GY45/Data!$T45-1)*1000000</f>
        <v>67.852767623444166</v>
      </c>
      <c r="HY45" s="10">
        <f>(GZ45/Data!$BW45-1)*1000000</f>
        <v>125.74494276029746</v>
      </c>
      <c r="HZ45" s="10">
        <f>(HA45/(Data!$S45*Data!$T45)-1)*1000000</f>
        <v>89.851785995964661</v>
      </c>
      <c r="IA45" s="7">
        <f>(HB45/IF(HD45&gt;0, -Data!$BX45,Data!$BX45)-1)*1000000</f>
        <v>83.011731565330038</v>
      </c>
      <c r="IB45" s="10"/>
      <c r="IC45" s="9">
        <f>(HD45-Data!$U45)</f>
        <v>-1.2332594727837431E-3</v>
      </c>
    </row>
    <row r="46" spans="1:237" x14ac:dyDescent="0.2">
      <c r="A46">
        <v>46</v>
      </c>
      <c r="B46">
        <v>230.001541137695</v>
      </c>
      <c r="C46">
        <v>5.00024509429932</v>
      </c>
      <c r="D46">
        <v>-690.10528564453102</v>
      </c>
      <c r="E46">
        <v>1150.0634765625</v>
      </c>
      <c r="F46">
        <v>920.01403808593795</v>
      </c>
      <c r="G46">
        <v>49.999931335449197</v>
      </c>
      <c r="H46">
        <v>-126.873695373535</v>
      </c>
      <c r="I46">
        <v>1.7188590019941299E-2</v>
      </c>
      <c r="J46" s="2">
        <v>3.80280084755213E-6</v>
      </c>
      <c r="K46" s="2">
        <v>-2.4106889817687699E-9</v>
      </c>
      <c r="L46" s="2">
        <v>6.6090969141896494E-8</v>
      </c>
      <c r="M46" s="2">
        <v>1.2059127030283899E-8</v>
      </c>
      <c r="N46">
        <v>74.682540893554702</v>
      </c>
      <c r="O46">
        <v>-97.979911804199205</v>
      </c>
      <c r="P46">
        <v>1.8811175599694301E-2</v>
      </c>
      <c r="Q46" s="2">
        <v>3.2023160656535799E-6</v>
      </c>
      <c r="R46" s="2">
        <v>-4.3868380039668897E-9</v>
      </c>
      <c r="S46" s="2">
        <v>5.9037976285480902E-8</v>
      </c>
      <c r="T46" s="2">
        <v>2.0361865527007698E-9</v>
      </c>
      <c r="U46">
        <v>74.731330871582003</v>
      </c>
      <c r="V46">
        <v>-154.762451171875</v>
      </c>
      <c r="W46" s="2">
        <v>3.4028230607370999E+38</v>
      </c>
      <c r="X46" s="2">
        <v>3.4028230607370999E+38</v>
      </c>
      <c r="Y46">
        <v>-690.10534667968795</v>
      </c>
      <c r="Z46">
        <v>1150.0634765625</v>
      </c>
      <c r="AA46">
        <v>920.01403808593795</v>
      </c>
      <c r="AB46" s="2">
        <v>3.4028230607370999E+38</v>
      </c>
      <c r="AC46" s="2">
        <v>3.4028230607370999E+38</v>
      </c>
      <c r="AD46">
        <v>230.00177001953099</v>
      </c>
      <c r="AE46">
        <v>5.00026512145996</v>
      </c>
      <c r="AF46">
        <v>-690.10882568359398</v>
      </c>
      <c r="AG46">
        <v>1150.06982421875</v>
      </c>
      <c r="AH46">
        <v>920.01873779296898</v>
      </c>
      <c r="AI46">
        <v>49.999946594238303</v>
      </c>
      <c r="AJ46">
        <v>-126.873527526855</v>
      </c>
      <c r="AK46">
        <v>1.42276380211115E-2</v>
      </c>
      <c r="AL46" s="2">
        <v>3.8016810322005801E-6</v>
      </c>
      <c r="AM46" s="2">
        <v>-1.26346936385469E-11</v>
      </c>
      <c r="AN46" s="2">
        <v>5.4078622468978197E-8</v>
      </c>
      <c r="AO46" s="2">
        <v>6.4810490307820601E-9</v>
      </c>
      <c r="AP46">
        <v>74.759941101074205</v>
      </c>
      <c r="AQ46">
        <v>-90.051544189453097</v>
      </c>
      <c r="AR46">
        <v>1.523850671947E-2</v>
      </c>
      <c r="AS46" s="2">
        <v>3.1882484563538999E-6</v>
      </c>
      <c r="AT46" s="2">
        <v>-2.1387478454926201E-9</v>
      </c>
      <c r="AU46" s="2">
        <v>4.8605514280097903E-8</v>
      </c>
      <c r="AV46" s="2">
        <v>4.0711298221474098E-10</v>
      </c>
      <c r="AW46">
        <v>74.76708984375</v>
      </c>
      <c r="AX46">
        <v>-170.98468017578099</v>
      </c>
      <c r="AY46" s="2">
        <v>3.4028230607370999E+38</v>
      </c>
      <c r="AZ46" s="2">
        <v>3.4028230607370999E+38</v>
      </c>
      <c r="BA46">
        <v>-690.10888671875</v>
      </c>
      <c r="BB46">
        <v>1150.06982421875</v>
      </c>
      <c r="BC46">
        <v>920.01873779296898</v>
      </c>
      <c r="BD46" s="2">
        <v>3.4028230607370999E+38</v>
      </c>
      <c r="BE46" s="2">
        <v>3.4028230607370999E+38</v>
      </c>
      <c r="BF46">
        <v>230.00192260742199</v>
      </c>
      <c r="BG46">
        <v>5.0002322196960396</v>
      </c>
      <c r="BH46">
        <v>-690.09954833984398</v>
      </c>
      <c r="BI46">
        <v>1150.06469726562</v>
      </c>
      <c r="BJ46">
        <v>920.01867675781205</v>
      </c>
      <c r="BK46">
        <v>49.999923706054702</v>
      </c>
      <c r="BL46">
        <v>-126.87329864502</v>
      </c>
      <c r="BM46">
        <v>1.5833029523491901E-2</v>
      </c>
      <c r="BN46" s="2">
        <v>3.83428277928033E-6</v>
      </c>
      <c r="BO46" s="2">
        <v>8.1171602772656099E-9</v>
      </c>
      <c r="BP46" s="2">
        <v>6.0965788861722103E-8</v>
      </c>
      <c r="BQ46" s="2">
        <v>9.6952907924219306E-9</v>
      </c>
      <c r="BR46">
        <v>74.625534057617202</v>
      </c>
      <c r="BS46">
        <v>-50.938747406005902</v>
      </c>
      <c r="BT46">
        <v>1.70760173350573E-2</v>
      </c>
      <c r="BU46" s="2">
        <v>3.1117988328333E-6</v>
      </c>
      <c r="BV46" s="2">
        <v>-1.2249845582346099E-9</v>
      </c>
      <c r="BW46" s="2">
        <v>5.3468728111738502E-8</v>
      </c>
      <c r="BX46" s="2">
        <v>3.1183771120879601E-9</v>
      </c>
      <c r="BY46">
        <v>74.810371398925795</v>
      </c>
      <c r="BZ46">
        <v>-111.44626617431599</v>
      </c>
      <c r="CA46" s="2">
        <v>3.4028230607370999E+38</v>
      </c>
      <c r="CB46" s="2">
        <v>3.4028230607370999E+38</v>
      </c>
      <c r="CC46">
        <v>-690.099609375</v>
      </c>
      <c r="CD46">
        <v>1150.06469726562</v>
      </c>
      <c r="CE46">
        <v>920.01867675781205</v>
      </c>
      <c r="CF46" s="2">
        <v>3.4028230607370999E+38</v>
      </c>
      <c r="CG46" s="2">
        <v>3.4028230607370999E+38</v>
      </c>
      <c r="CH46">
        <v>230.00181579589801</v>
      </c>
      <c r="CI46">
        <v>5.0002532005310103</v>
      </c>
      <c r="CJ46">
        <v>-690.107666015625</v>
      </c>
      <c r="CK46">
        <v>1150.06652832031</v>
      </c>
      <c r="CL46">
        <v>920.015625</v>
      </c>
      <c r="CM46">
        <v>49.999973297119098</v>
      </c>
      <c r="CN46">
        <v>-126.87362670898401</v>
      </c>
      <c r="CO46">
        <v>1.6117911785840999E-2</v>
      </c>
      <c r="CP46" s="2">
        <v>3.82019607059192E-6</v>
      </c>
      <c r="CQ46" s="2">
        <v>-2.0743327056038701E-9</v>
      </c>
      <c r="CR46" s="2">
        <v>6.1557287267532996E-8</v>
      </c>
      <c r="CS46" s="2">
        <v>9.61276125366339E-9</v>
      </c>
      <c r="CT46">
        <v>74.714187622070298</v>
      </c>
      <c r="CU46">
        <v>-100.777381896973</v>
      </c>
      <c r="CV46">
        <v>1.7853815108537702E-2</v>
      </c>
      <c r="CW46" s="2">
        <v>3.1271340503735701E-6</v>
      </c>
      <c r="CX46" s="2">
        <v>-3.4782969837721099E-9</v>
      </c>
      <c r="CY46" s="2">
        <v>5.5847031887878997E-8</v>
      </c>
      <c r="CZ46" s="2">
        <v>-9.6364716206665001E-10</v>
      </c>
      <c r="DA46">
        <v>74.730400085449205</v>
      </c>
      <c r="DB46">
        <v>166.42539978027301</v>
      </c>
      <c r="DC46" s="2">
        <v>3.4028230607370999E+38</v>
      </c>
      <c r="DD46" s="2">
        <v>3.4028230607370999E+38</v>
      </c>
      <c r="DE46">
        <v>-690.10772705078102</v>
      </c>
      <c r="DF46">
        <v>1150.06652832031</v>
      </c>
      <c r="DG46">
        <v>920.01556396484398</v>
      </c>
      <c r="DH46" s="2">
        <v>3.4028230607370999E+38</v>
      </c>
      <c r="DI46" s="2">
        <v>3.4028230607370999E+38</v>
      </c>
      <c r="DJ46">
        <v>230.00230407714801</v>
      </c>
      <c r="DK46">
        <v>5.0002574920654297</v>
      </c>
      <c r="DL46">
        <v>-690.10357666015602</v>
      </c>
      <c r="DM46">
        <v>1150.06628417969</v>
      </c>
      <c r="DN46">
        <v>920.01794433593795</v>
      </c>
      <c r="DO46">
        <v>49.999973297119098</v>
      </c>
      <c r="DP46">
        <v>-126.87351226806599</v>
      </c>
      <c r="DQ46">
        <v>1.4312271028757101E-2</v>
      </c>
      <c r="DR46" s="2">
        <v>3.8809776015113997E-6</v>
      </c>
      <c r="DS46" s="2">
        <v>2.3622164224690298E-9</v>
      </c>
      <c r="DT46" s="2">
        <v>5.5101011753322402E-8</v>
      </c>
      <c r="DU46" s="2">
        <v>5.6967381922845603E-9</v>
      </c>
      <c r="DV46">
        <v>74.7340087890625</v>
      </c>
      <c r="DW46">
        <v>-69.925743103027301</v>
      </c>
      <c r="DX46">
        <v>1.54222287237644E-2</v>
      </c>
      <c r="DY46" s="2">
        <v>3.0804992547928102E-6</v>
      </c>
      <c r="DZ46" s="2">
        <v>-1.63900881755552E-9</v>
      </c>
      <c r="EA46" s="2">
        <v>4.8891109827309298E-8</v>
      </c>
      <c r="EB46" s="2">
        <v>4.6956361021699401E-10</v>
      </c>
      <c r="EC46">
        <v>74.789817810058594</v>
      </c>
      <c r="ED46">
        <v>-162.85615539550801</v>
      </c>
      <c r="EE46" s="2">
        <v>3.4028230607370999E+38</v>
      </c>
      <c r="EF46" s="2">
        <v>3.4028230607370999E+38</v>
      </c>
      <c r="EG46">
        <v>-690.10363769531205</v>
      </c>
      <c r="EH46">
        <v>1150.06628417969</v>
      </c>
      <c r="EI46">
        <v>920.01794433593795</v>
      </c>
      <c r="EJ46" s="2">
        <v>3.4028230607370999E+38</v>
      </c>
      <c r="EK46" s="2">
        <v>3.4028230607370999E+38</v>
      </c>
      <c r="EL46">
        <v>123</v>
      </c>
      <c r="EM46">
        <v>230.00184631347699</v>
      </c>
      <c r="EN46">
        <v>5.0002517700195304</v>
      </c>
      <c r="EO46">
        <v>-690.106201171875</v>
      </c>
      <c r="EP46">
        <v>1150.06799316406</v>
      </c>
      <c r="EQ46">
        <v>920.01867675781205</v>
      </c>
      <c r="ER46">
        <v>50.000034332275398</v>
      </c>
      <c r="ES46">
        <v>-126.873908996582</v>
      </c>
      <c r="ET46">
        <v>-0.60006117820739702</v>
      </c>
      <c r="EU46" s="2">
        <v>3.4028230607370999E+38</v>
      </c>
      <c r="EV46">
        <v>0</v>
      </c>
      <c r="EW46">
        <v>230.00515747070301</v>
      </c>
      <c r="EX46">
        <v>-690.12945556640602</v>
      </c>
      <c r="EY46">
        <v>1150.0810546875</v>
      </c>
      <c r="EZ46">
        <v>920.00439453125</v>
      </c>
      <c r="FA46">
        <v>-1.3048707041889401E-3</v>
      </c>
      <c r="FB46">
        <v>1.4779625460505499E-2</v>
      </c>
      <c r="FC46" s="2">
        <v>3.8800362744950698E-6</v>
      </c>
      <c r="FD46" s="2">
        <v>6.7143988147222403E-9</v>
      </c>
      <c r="FE46" s="2">
        <v>5.8675407643704602E-8</v>
      </c>
      <c r="FF46" s="2">
        <v>9.4339887013461504E-9</v>
      </c>
      <c r="FG46">
        <v>74.776237487792997</v>
      </c>
      <c r="FH46">
        <v>-50.908138275146499</v>
      </c>
      <c r="FI46">
        <v>0.130585372447968</v>
      </c>
      <c r="FJ46" s="2">
        <v>3.4028230607370999E+38</v>
      </c>
      <c r="FK46">
        <v>-68.650108337402301</v>
      </c>
      <c r="FL46">
        <v>2.02949773520231E-2</v>
      </c>
      <c r="FM46">
        <v>0</v>
      </c>
      <c r="FN46">
        <v>0</v>
      </c>
      <c r="FO46">
        <v>0</v>
      </c>
      <c r="FP46">
        <v>1.9774163956753899E-4</v>
      </c>
      <c r="FQ46">
        <v>1.64386183023453E-2</v>
      </c>
      <c r="FR46" s="2">
        <v>3.1253562156052799E-6</v>
      </c>
      <c r="FS46" s="2">
        <v>-1.18350329536554E-9</v>
      </c>
      <c r="FT46" s="2">
        <v>5.13764746301604E-8</v>
      </c>
      <c r="FU46" s="2">
        <v>3.2808322725230701E-9</v>
      </c>
      <c r="FV46">
        <v>74.613113403320298</v>
      </c>
      <c r="FW46">
        <v>-117.544143676758</v>
      </c>
      <c r="FX46">
        <v>-3.2757651060819598E-2</v>
      </c>
      <c r="FY46" s="2">
        <v>3.4028230607370999E+38</v>
      </c>
      <c r="FZ46">
        <v>63.222255706787102</v>
      </c>
      <c r="GA46">
        <v>229.15702819824199</v>
      </c>
      <c r="GB46" s="2">
        <v>-9.6743235644680701E-10</v>
      </c>
      <c r="GC46">
        <v>7.2231690865010001E-4</v>
      </c>
      <c r="GD46" s="2">
        <v>1.0888953072552001E-9</v>
      </c>
      <c r="GE46" s="2">
        <v>-4.1739269363461103E-5</v>
      </c>
      <c r="GF46" s="2">
        <v>3.4028230607370999E+38</v>
      </c>
      <c r="GG46" s="2">
        <v>3.4028230607370999E+38</v>
      </c>
      <c r="GH46">
        <v>-690.10369873046898</v>
      </c>
      <c r="GI46">
        <v>1150.06762695312</v>
      </c>
      <c r="GJ46">
        <v>920.01275634765602</v>
      </c>
      <c r="GK46" s="2">
        <v>3.4028230607370999E+38</v>
      </c>
      <c r="GL46" s="2">
        <v>3.4028230607370999E+38</v>
      </c>
      <c r="GM46" s="2">
        <v>3.4028230607370999E+38</v>
      </c>
      <c r="GN46" s="2">
        <v>3.4028230607370999E+38</v>
      </c>
      <c r="GO46" s="2">
        <v>3.4028230607370999E+38</v>
      </c>
      <c r="GP46" s="2">
        <v>3.4028230607370999E+38</v>
      </c>
      <c r="GQ46">
        <v>-690.14404296875</v>
      </c>
      <c r="GR46">
        <v>-690.14404296875</v>
      </c>
      <c r="GS46">
        <v>920.00445556640602</v>
      </c>
      <c r="GT46">
        <v>-2.03363690525293E-3</v>
      </c>
      <c r="GX46">
        <f t="shared" si="1"/>
        <v>230.0018707275388</v>
      </c>
      <c r="GY46">
        <f t="shared" si="2"/>
        <v>5.0002506256103523</v>
      </c>
      <c r="GZ46">
        <f t="shared" si="3"/>
        <v>-690.10498046875</v>
      </c>
      <c r="HA46">
        <f t="shared" si="4"/>
        <v>1150.0661621093741</v>
      </c>
      <c r="HB46">
        <f t="shared" si="5"/>
        <v>920.01700439453123</v>
      </c>
      <c r="HC46">
        <f t="shared" si="6"/>
        <v>49.999949645996068</v>
      </c>
      <c r="HD46">
        <f t="shared" si="7"/>
        <v>-126.87353210449199</v>
      </c>
      <c r="HW46" s="10">
        <f>(GX46/Data!$S46-1)*1000000</f>
        <v>22.86567397646877</v>
      </c>
      <c r="HX46" s="10">
        <f>(GY46/Data!$T46-1)*1000000</f>
        <v>69.92190620258576</v>
      </c>
      <c r="HY46" s="10">
        <f>(GZ46/Data!$BW46-1)*1000000</f>
        <v>128.81579042822722</v>
      </c>
      <c r="HZ46" s="10">
        <f>(HA46/(Data!$S46*Data!$T46)-1)*1000000</f>
        <v>92.062295151684737</v>
      </c>
      <c r="IA46" s="7">
        <f>(HB46/IF(HD46&gt;0, -Data!$BX46,Data!$BX46)-1)*1000000</f>
        <v>85.550622542784893</v>
      </c>
      <c r="IB46" s="10"/>
      <c r="IC46" s="9">
        <f>(HD46-Data!$U46)</f>
        <v>-1.1485044919794518E-3</v>
      </c>
    </row>
    <row r="47" spans="1:237" x14ac:dyDescent="0.2">
      <c r="A47">
        <v>47</v>
      </c>
      <c r="B47">
        <v>230.00161743164099</v>
      </c>
      <c r="C47">
        <v>5.0002365112304696</v>
      </c>
      <c r="D47">
        <v>-690.10235595703102</v>
      </c>
      <c r="E47">
        <v>1150.06188964844</v>
      </c>
      <c r="F47">
        <v>920.01379394531205</v>
      </c>
      <c r="G47">
        <v>49.999927520752003</v>
      </c>
      <c r="H47">
        <v>-126.873580932617</v>
      </c>
      <c r="I47">
        <v>1.7121698707342099E-2</v>
      </c>
      <c r="J47" s="2">
        <v>3.8064827094785899E-6</v>
      </c>
      <c r="K47" s="2">
        <v>7.3487771423685899E-9</v>
      </c>
      <c r="L47" s="2">
        <v>6.77521043712659E-8</v>
      </c>
      <c r="M47" s="2">
        <v>1.3262929421387101E-8</v>
      </c>
      <c r="N47">
        <v>74.702880859375</v>
      </c>
      <c r="O47">
        <v>-61.658840179443402</v>
      </c>
      <c r="P47">
        <v>1.8814193084835999E-2</v>
      </c>
      <c r="Q47" s="2">
        <v>3.1572092211717998E-6</v>
      </c>
      <c r="R47" s="2">
        <v>-3.46930861816475E-9</v>
      </c>
      <c r="S47" s="2">
        <v>6.0747147756501403E-8</v>
      </c>
      <c r="T47" s="2">
        <v>3.0496787317702001E-9</v>
      </c>
      <c r="U47">
        <v>74.759292602539105</v>
      </c>
      <c r="V47">
        <v>-136.32687377929699</v>
      </c>
      <c r="W47" s="2">
        <v>3.4028230607370999E+38</v>
      </c>
      <c r="X47" s="2">
        <v>3.4028230607370999E+38</v>
      </c>
      <c r="Y47">
        <v>-690.10241699218795</v>
      </c>
      <c r="Z47">
        <v>1150.06188964844</v>
      </c>
      <c r="AA47">
        <v>920.01379394531205</v>
      </c>
      <c r="AB47" s="2">
        <v>3.4028230607370999E+38</v>
      </c>
      <c r="AC47" s="2">
        <v>3.4028230607370999E+38</v>
      </c>
      <c r="AD47">
        <v>230.001953125</v>
      </c>
      <c r="AE47">
        <v>5.0002417564392099</v>
      </c>
      <c r="AF47">
        <v>-690.10217285156205</v>
      </c>
      <c r="AG47">
        <v>1150.06469726562</v>
      </c>
      <c r="AH47">
        <v>920.01428222656205</v>
      </c>
      <c r="AI47">
        <v>49.999870300292997</v>
      </c>
      <c r="AJ47">
        <v>-126.873611450195</v>
      </c>
      <c r="AK47">
        <v>1.6578869894146898E-2</v>
      </c>
      <c r="AL47" s="2">
        <v>3.79861353394517E-6</v>
      </c>
      <c r="AM47" s="2">
        <v>8.1879321101041602E-9</v>
      </c>
      <c r="AN47" s="2">
        <v>6.2724545557557603E-8</v>
      </c>
      <c r="AO47" s="2">
        <v>1.1992140613870099E-8</v>
      </c>
      <c r="AP47">
        <v>74.774208068847699</v>
      </c>
      <c r="AQ47">
        <v>-54.863975524902301</v>
      </c>
      <c r="AR47">
        <v>1.79798640310764E-2</v>
      </c>
      <c r="AS47" s="2">
        <v>3.1269810278900002E-6</v>
      </c>
      <c r="AT47" s="2">
        <v>-1.86907467281117E-9</v>
      </c>
      <c r="AU47" s="2">
        <v>5.59858541748781E-8</v>
      </c>
      <c r="AV47" s="2">
        <v>3.2348832501583001E-9</v>
      </c>
      <c r="AW47">
        <v>74.736076354980497</v>
      </c>
      <c r="AX47">
        <v>-130.88688659668</v>
      </c>
      <c r="AY47" s="2">
        <v>3.4028230607370999E+38</v>
      </c>
      <c r="AZ47" s="2">
        <v>3.4028230607370999E+38</v>
      </c>
      <c r="BA47">
        <v>-690.10223388671898</v>
      </c>
      <c r="BB47">
        <v>1150.06469726562</v>
      </c>
      <c r="BC47">
        <v>920.01428222656205</v>
      </c>
      <c r="BD47" s="2">
        <v>3.4028230607370999E+38</v>
      </c>
      <c r="BE47" s="2">
        <v>3.4028230607370999E+38</v>
      </c>
      <c r="BF47">
        <v>230.00140380859401</v>
      </c>
      <c r="BG47">
        <v>5.0002422332763699</v>
      </c>
      <c r="BH47">
        <v>-690.10308837890602</v>
      </c>
      <c r="BI47">
        <v>1150.06433105469</v>
      </c>
      <c r="BJ47">
        <v>920.01281738281205</v>
      </c>
      <c r="BK47">
        <v>49.9999389648438</v>
      </c>
      <c r="BL47">
        <v>-126.87362670898401</v>
      </c>
      <c r="BM47">
        <v>1.74610316753387E-2</v>
      </c>
      <c r="BN47" s="2">
        <v>3.7728573261119899E-6</v>
      </c>
      <c r="BO47" s="2">
        <v>7.2983836751916401E-9</v>
      </c>
      <c r="BP47" s="2">
        <v>6.5893708267594801E-8</v>
      </c>
      <c r="BQ47" s="2">
        <v>1.5002527220531199E-8</v>
      </c>
      <c r="BR47">
        <v>74.790000915527301</v>
      </c>
      <c r="BS47">
        <v>-65.438568115234403</v>
      </c>
      <c r="BT47">
        <v>1.9138548523187599E-2</v>
      </c>
      <c r="BU47" s="2">
        <v>3.2114621717482801E-6</v>
      </c>
      <c r="BV47" s="2">
        <v>-1.96975702415614E-9</v>
      </c>
      <c r="BW47" s="2">
        <v>6.0351695196914106E-8</v>
      </c>
      <c r="BX47" s="2">
        <v>3.8167331517513503E-9</v>
      </c>
      <c r="BY47">
        <v>74.741226196289105</v>
      </c>
      <c r="BZ47">
        <v>-128.33827209472699</v>
      </c>
      <c r="CA47" s="2">
        <v>3.4028230607370999E+38</v>
      </c>
      <c r="CB47" s="2">
        <v>3.4028230607370999E+38</v>
      </c>
      <c r="CC47">
        <v>-690.10314941406205</v>
      </c>
      <c r="CD47">
        <v>1150.06433105469</v>
      </c>
      <c r="CE47">
        <v>920.01281738281205</v>
      </c>
      <c r="CF47" s="2">
        <v>3.4028230607370999E+38</v>
      </c>
      <c r="CG47" s="2">
        <v>3.4028230607370999E+38</v>
      </c>
      <c r="CH47">
        <v>230.00221252441401</v>
      </c>
      <c r="CI47">
        <v>5.0002408027648899</v>
      </c>
      <c r="CJ47">
        <v>-690.10607910156205</v>
      </c>
      <c r="CK47">
        <v>1150.06579589844</v>
      </c>
      <c r="CL47">
        <v>920.01910400390602</v>
      </c>
      <c r="CM47">
        <v>50</v>
      </c>
      <c r="CN47">
        <v>-126.873504638672</v>
      </c>
      <c r="CO47">
        <v>1.4907244592904999E-2</v>
      </c>
      <c r="CP47" s="2">
        <v>3.8672787923133001E-6</v>
      </c>
      <c r="CQ47" s="2">
        <v>5.9271831887031104E-9</v>
      </c>
      <c r="CR47" s="2">
        <v>5.8068387431831103E-8</v>
      </c>
      <c r="CS47" s="2">
        <v>7.9724253865265399E-9</v>
      </c>
      <c r="CT47">
        <v>74.785110473632798</v>
      </c>
      <c r="CU47">
        <v>-58.411922454833999</v>
      </c>
      <c r="CV47">
        <v>1.5973657369613599E-2</v>
      </c>
      <c r="CW47" s="2">
        <v>3.20693516187021E-6</v>
      </c>
      <c r="CX47" s="2">
        <v>7.0936950757882794E-11</v>
      </c>
      <c r="CY47" s="2">
        <v>5.12566380450608E-8</v>
      </c>
      <c r="CZ47" s="2">
        <v>1.4687328020457401E-9</v>
      </c>
      <c r="DA47">
        <v>74.727996826171903</v>
      </c>
      <c r="DB47">
        <v>-135.64834594726599</v>
      </c>
      <c r="DC47" s="2">
        <v>3.4028230607370999E+38</v>
      </c>
      <c r="DD47" s="2">
        <v>3.4028230607370999E+38</v>
      </c>
      <c r="DE47">
        <v>-690.10607910156205</v>
      </c>
      <c r="DF47">
        <v>1150.06579589844</v>
      </c>
      <c r="DG47">
        <v>920.01910400390602</v>
      </c>
      <c r="DH47" s="2">
        <v>3.4028230607370999E+38</v>
      </c>
      <c r="DI47" s="2">
        <v>3.4028230607370999E+38</v>
      </c>
      <c r="DJ47">
        <v>230.00225830078099</v>
      </c>
      <c r="DK47">
        <v>5.0002565383911097</v>
      </c>
      <c r="DL47">
        <v>-690.105224609375</v>
      </c>
      <c r="DM47">
        <v>1150.06811523438</v>
      </c>
      <c r="DN47">
        <v>920.017578125</v>
      </c>
      <c r="DO47">
        <v>49.9999809265137</v>
      </c>
      <c r="DP47">
        <v>-126.873458862305</v>
      </c>
      <c r="DQ47">
        <v>1.5799555927514999E-2</v>
      </c>
      <c r="DR47" s="2">
        <v>3.8909129216335697E-6</v>
      </c>
      <c r="DS47" s="2">
        <v>-2.1463557597911598E-9</v>
      </c>
      <c r="DT47" s="2">
        <v>5.9418375997211102E-8</v>
      </c>
      <c r="DU47" s="2">
        <v>7.6556272432526401E-9</v>
      </c>
      <c r="DV47">
        <v>74.706069946289105</v>
      </c>
      <c r="DW47">
        <v>-110.758628845215</v>
      </c>
      <c r="DX47">
        <v>1.7358710989355999E-2</v>
      </c>
      <c r="DY47" s="2">
        <v>3.0684018383908602E-6</v>
      </c>
      <c r="DZ47" s="2">
        <v>-3.0358859870460699E-9</v>
      </c>
      <c r="EA47" s="2">
        <v>5.2945608786103502E-8</v>
      </c>
      <c r="EB47" s="2">
        <v>-1.07980391295115E-9</v>
      </c>
      <c r="EC47">
        <v>74.679450988769503</v>
      </c>
      <c r="ED47">
        <v>168.40577697753901</v>
      </c>
      <c r="EE47" s="2">
        <v>3.4028230607370999E+38</v>
      </c>
      <c r="EF47" s="2">
        <v>3.4028230607370999E+38</v>
      </c>
      <c r="EG47">
        <v>-690.10528564453102</v>
      </c>
      <c r="EH47">
        <v>1150.06811523438</v>
      </c>
      <c r="EI47">
        <v>920.01751708984398</v>
      </c>
      <c r="EJ47" s="2">
        <v>3.4028230607370999E+38</v>
      </c>
      <c r="EK47" s="2">
        <v>3.4028230607370999E+38</v>
      </c>
      <c r="EL47">
        <v>123</v>
      </c>
      <c r="EM47">
        <v>230.00209045410199</v>
      </c>
      <c r="EN47">
        <v>5.0002560615539604</v>
      </c>
      <c r="EO47">
        <v>-690.10552978515602</v>
      </c>
      <c r="EP47">
        <v>1150.06591796875</v>
      </c>
      <c r="EQ47">
        <v>920.014892578125</v>
      </c>
      <c r="ER47">
        <v>49.999923706054702</v>
      </c>
      <c r="ES47">
        <v>-126.873649597168</v>
      </c>
      <c r="ET47">
        <v>-0.60006105899810802</v>
      </c>
      <c r="EU47" s="2">
        <v>3.4028230607370999E+38</v>
      </c>
      <c r="EV47">
        <v>0</v>
      </c>
      <c r="EW47">
        <v>230.00132751464801</v>
      </c>
      <c r="EX47">
        <v>-690.1259765625</v>
      </c>
      <c r="EY47">
        <v>1150.06970214844</v>
      </c>
      <c r="EZ47">
        <v>919.99743652343795</v>
      </c>
      <c r="FA47">
        <v>5.4377823835238804E-4</v>
      </c>
      <c r="FB47">
        <v>1.4330943115055599E-2</v>
      </c>
      <c r="FC47" s="2">
        <v>3.9150704651547096E-6</v>
      </c>
      <c r="FD47" s="2">
        <v>1.13061549011917E-9</v>
      </c>
      <c r="FE47" s="2">
        <v>5.5292090905823001E-8</v>
      </c>
      <c r="FF47" s="2">
        <v>6.8790093621373696E-9</v>
      </c>
      <c r="FG47">
        <v>74.562362670898395</v>
      </c>
      <c r="FH47">
        <v>-80.666473388671903</v>
      </c>
      <c r="FI47">
        <v>3.2362900674343102E-2</v>
      </c>
      <c r="FJ47" s="2">
        <v>3.4028230607370999E+38</v>
      </c>
      <c r="FK47">
        <v>51.700923919677699</v>
      </c>
      <c r="FL47">
        <v>2.0012471824884401E-2</v>
      </c>
      <c r="FM47">
        <v>0</v>
      </c>
      <c r="FN47">
        <v>0</v>
      </c>
      <c r="FO47">
        <v>0</v>
      </c>
      <c r="FP47">
        <v>2.0580657292157401E-4</v>
      </c>
      <c r="FQ47">
        <v>1.53615791350603E-2</v>
      </c>
      <c r="FR47" s="2">
        <v>3.2091625143948498E-6</v>
      </c>
      <c r="FS47" s="2">
        <v>-1.5677439901828899E-10</v>
      </c>
      <c r="FT47" s="2">
        <v>4.7432102689981502E-8</v>
      </c>
      <c r="FU47" s="2">
        <v>3.7318551027176702E-10</v>
      </c>
      <c r="FV47">
        <v>74.820472717285199</v>
      </c>
      <c r="FW47">
        <v>-130.98976135253901</v>
      </c>
      <c r="FX47">
        <v>-1.7243867740035099E-2</v>
      </c>
      <c r="FY47" s="2">
        <v>3.4028230607370999E+38</v>
      </c>
      <c r="FZ47">
        <v>53.162086486816399</v>
      </c>
      <c r="GA47">
        <v>229.80342102050801</v>
      </c>
      <c r="GB47" s="2">
        <v>-3.9081698988141501E-10</v>
      </c>
      <c r="GC47">
        <v>7.0710800355300296E-4</v>
      </c>
      <c r="GD47" s="2">
        <v>5.9080124126254005E-10</v>
      </c>
      <c r="GE47" s="2">
        <v>-3.3013569918694002E-5</v>
      </c>
      <c r="GF47" s="2">
        <v>3.4028230607370999E+38</v>
      </c>
      <c r="GG47" s="2">
        <v>3.4028230607370999E+38</v>
      </c>
      <c r="GH47">
        <v>-690.107421875</v>
      </c>
      <c r="GI47">
        <v>1150.06787109375</v>
      </c>
      <c r="GJ47">
        <v>920.01672363281205</v>
      </c>
      <c r="GK47" s="2">
        <v>3.4028230607370999E+38</v>
      </c>
      <c r="GL47" s="2">
        <v>3.4028230607370999E+38</v>
      </c>
      <c r="GM47" s="2">
        <v>3.4028230607370999E+38</v>
      </c>
      <c r="GN47" s="2">
        <v>3.4028230607370999E+38</v>
      </c>
      <c r="GO47" s="2">
        <v>3.4028230607370999E+38</v>
      </c>
      <c r="GP47" s="2">
        <v>3.4028230607370999E+38</v>
      </c>
      <c r="GQ47">
        <v>-690.12664794921898</v>
      </c>
      <c r="GR47">
        <v>-690.12664794921898</v>
      </c>
      <c r="GS47">
        <v>919.999755859375</v>
      </c>
      <c r="GT47">
        <v>-1.91372164408676E-4</v>
      </c>
      <c r="GX47">
        <f t="shared" si="1"/>
        <v>230.00188903808598</v>
      </c>
      <c r="GY47">
        <f t="shared" si="2"/>
        <v>5.0002435684204096</v>
      </c>
      <c r="GZ47">
        <f t="shared" si="3"/>
        <v>-690.10378417968718</v>
      </c>
      <c r="HA47">
        <f t="shared" si="4"/>
        <v>1150.064965820314</v>
      </c>
      <c r="HB47">
        <f t="shared" si="5"/>
        <v>920.01551513671836</v>
      </c>
      <c r="HC47">
        <f t="shared" si="6"/>
        <v>49.999943542480501</v>
      </c>
      <c r="HD47">
        <f t="shared" si="7"/>
        <v>-126.87355651855459</v>
      </c>
      <c r="HW47" s="10">
        <f>(GX47/Data!$S47-1)*1000000</f>
        <v>21.797853005045553</v>
      </c>
      <c r="HX47" s="10">
        <f>(GY47/Data!$T47-1)*1000000</f>
        <v>66.705684170553781</v>
      </c>
      <c r="HY47" s="10">
        <f>(GZ47/Data!$BW47-1)*1000000</f>
        <v>123.8637840732526</v>
      </c>
      <c r="HZ47" s="10">
        <f>(HA47/(Data!$S47*Data!$T47)-1)*1000000</f>
        <v>88.069701889459395</v>
      </c>
      <c r="IA47" s="7">
        <f>(HB47/IF(HD47&gt;0, -Data!$BX47,Data!$BX47)-1)*1000000</f>
        <v>81.128948865583084</v>
      </c>
      <c r="IB47" s="10"/>
      <c r="IC47" s="9">
        <f>(HD47-Data!$U47)</f>
        <v>-1.1615185545963413E-3</v>
      </c>
    </row>
    <row r="48" spans="1:237" x14ac:dyDescent="0.2">
      <c r="A48">
        <v>48</v>
      </c>
      <c r="B48">
        <v>230.00158691406199</v>
      </c>
      <c r="C48">
        <v>0.50002300739288297</v>
      </c>
      <c r="D48">
        <v>115.006378173828</v>
      </c>
      <c r="E48">
        <v>115.00627899169901</v>
      </c>
      <c r="F48">
        <v>8.2115661352872796E-3</v>
      </c>
      <c r="G48">
        <v>49.999969482421903</v>
      </c>
      <c r="H48">
        <v>-4.2356243357062296E-3</v>
      </c>
      <c r="I48">
        <v>1.7732361331582101E-2</v>
      </c>
      <c r="J48" s="2">
        <v>3.57103635906242E-6</v>
      </c>
      <c r="K48" s="2">
        <v>4.1876035972165901E-10</v>
      </c>
      <c r="L48" s="2">
        <v>6.2563849212438098E-8</v>
      </c>
      <c r="M48" s="2">
        <v>-4.1086583024707604E-9</v>
      </c>
      <c r="N48">
        <v>74.711677551269503</v>
      </c>
      <c r="O48">
        <v>99.263481140136705</v>
      </c>
      <c r="P48">
        <v>1.9543044269084899E-2</v>
      </c>
      <c r="Q48" s="2">
        <v>3.0946257538744202E-6</v>
      </c>
      <c r="R48" s="2">
        <v>1.8621998387757801E-9</v>
      </c>
      <c r="S48" s="2">
        <v>6.2229887021203494E-8</v>
      </c>
      <c r="T48" s="2">
        <v>-1.018986561796E-9</v>
      </c>
      <c r="U48">
        <v>74.818443298339801</v>
      </c>
      <c r="V48">
        <v>29.9004230499268</v>
      </c>
      <c r="W48" s="2">
        <v>3.4028230607370999E+38</v>
      </c>
      <c r="X48" s="2">
        <v>3.4028230607370999E+38</v>
      </c>
      <c r="Y48">
        <v>115.006378173828</v>
      </c>
      <c r="Z48">
        <v>115.00627899169901</v>
      </c>
      <c r="AA48">
        <v>8.2115605473518406E-3</v>
      </c>
      <c r="AB48" s="2">
        <v>3.4028230607370999E+38</v>
      </c>
      <c r="AC48" s="2">
        <v>3.4028230607370999E+38</v>
      </c>
      <c r="AD48">
        <v>230.00196838378901</v>
      </c>
      <c r="AE48">
        <v>0.50002264976501498</v>
      </c>
      <c r="AF48">
        <v>115.00616455078099</v>
      </c>
      <c r="AG48">
        <v>115.00649261474599</v>
      </c>
      <c r="AH48">
        <v>8.3992928266525303E-3</v>
      </c>
      <c r="AI48">
        <v>49.999973297119098</v>
      </c>
      <c r="AJ48">
        <v>-4.1481237858533903E-3</v>
      </c>
      <c r="AK48">
        <v>1.5780959278345101E-2</v>
      </c>
      <c r="AL48" s="2">
        <v>3.57083695234905E-6</v>
      </c>
      <c r="AM48" s="2">
        <v>1.1086260798265401E-9</v>
      </c>
      <c r="AN48" s="2">
        <v>5.6158697248065397E-8</v>
      </c>
      <c r="AO48" s="2">
        <v>-2.3054573805580999E-9</v>
      </c>
      <c r="AP48">
        <v>74.716079711914105</v>
      </c>
      <c r="AQ48">
        <v>102.77288818359401</v>
      </c>
      <c r="AR48">
        <v>1.7324041575193402E-2</v>
      </c>
      <c r="AS48" s="2">
        <v>3.0806063477939499E-6</v>
      </c>
      <c r="AT48" s="2">
        <v>4.2296410818210001E-10</v>
      </c>
      <c r="AU48" s="2">
        <v>5.33521138379456E-8</v>
      </c>
      <c r="AV48" s="2">
        <v>-2.4904136530778901E-9</v>
      </c>
      <c r="AW48">
        <v>74.783248901367202</v>
      </c>
      <c r="AX48">
        <v>98.742378234863295</v>
      </c>
      <c r="AY48" s="2">
        <v>3.4028230607370999E+38</v>
      </c>
      <c r="AZ48" s="2">
        <v>3.4028230607370999E+38</v>
      </c>
      <c r="BA48">
        <v>115.00616455078099</v>
      </c>
      <c r="BB48">
        <v>115.00649261474599</v>
      </c>
      <c r="BC48">
        <v>8.3992872387170792E-3</v>
      </c>
      <c r="BD48" s="2">
        <v>3.4028230607370999E+38</v>
      </c>
      <c r="BE48" s="2">
        <v>3.4028230607370999E+38</v>
      </c>
      <c r="BF48">
        <v>230.00231933593801</v>
      </c>
      <c r="BG48">
        <v>0.50002193450927701</v>
      </c>
      <c r="BH48">
        <v>115.005645751953</v>
      </c>
      <c r="BI48">
        <v>115.005569458008</v>
      </c>
      <c r="BJ48">
        <v>8.8321799412369693E-3</v>
      </c>
      <c r="BK48">
        <v>49.999908447265597</v>
      </c>
      <c r="BL48">
        <v>-4.1460175998508904E-3</v>
      </c>
      <c r="BM48">
        <v>1.4561563730239899E-2</v>
      </c>
      <c r="BN48" s="2">
        <v>3.5241746445535699E-6</v>
      </c>
      <c r="BO48" s="2">
        <v>7.7828837818927396E-10</v>
      </c>
      <c r="BP48" s="2">
        <v>5.2110326720367097E-8</v>
      </c>
      <c r="BQ48" s="2">
        <v>-5.24309096139319E-10</v>
      </c>
      <c r="BR48">
        <v>74.779113769531193</v>
      </c>
      <c r="BS48">
        <v>63.425079345703097</v>
      </c>
      <c r="BT48">
        <v>1.5930278226733201E-2</v>
      </c>
      <c r="BU48" s="2">
        <v>3.0841188163321901E-6</v>
      </c>
      <c r="BV48" s="2">
        <v>7.1049616190421695E-10</v>
      </c>
      <c r="BW48" s="2">
        <v>4.9161602788672099E-8</v>
      </c>
      <c r="BX48" s="2">
        <v>-5.8158339255598404E-10</v>
      </c>
      <c r="BY48">
        <v>74.74169921875</v>
      </c>
      <c r="BZ48">
        <v>35.1103515625</v>
      </c>
      <c r="CA48" s="2">
        <v>3.4028230607370999E+38</v>
      </c>
      <c r="CB48" s="2">
        <v>3.4028230607370999E+38</v>
      </c>
      <c r="CC48">
        <v>115.005645751953</v>
      </c>
      <c r="CD48">
        <v>115.005569458008</v>
      </c>
      <c r="CE48">
        <v>8.8321780785918201E-3</v>
      </c>
      <c r="CF48" s="2">
        <v>3.4028230607370999E+38</v>
      </c>
      <c r="CG48" s="2">
        <v>3.4028230607370999E+38</v>
      </c>
      <c r="CH48">
        <v>230.00158691406199</v>
      </c>
      <c r="CI48">
        <v>0.50002074241638195</v>
      </c>
      <c r="CJ48">
        <v>115.005577087402</v>
      </c>
      <c r="CK48">
        <v>115.005508422852</v>
      </c>
      <c r="CL48">
        <v>8.1788888201117498E-3</v>
      </c>
      <c r="CM48">
        <v>49.999958038330099</v>
      </c>
      <c r="CN48">
        <v>-4.0747262537479401E-3</v>
      </c>
      <c r="CO48">
        <v>1.6603078693151498E-2</v>
      </c>
      <c r="CP48" s="2">
        <v>3.5682405723491701E-6</v>
      </c>
      <c r="CQ48" s="2">
        <v>-4.3056144760633701E-10</v>
      </c>
      <c r="CR48" s="2">
        <v>5.9250826467405198E-8</v>
      </c>
      <c r="CS48" s="2">
        <v>-2.5832282979365602E-9</v>
      </c>
      <c r="CT48">
        <v>74.741065979003906</v>
      </c>
      <c r="CU48">
        <v>87.729774475097699</v>
      </c>
      <c r="CV48">
        <v>1.8345430493354801E-2</v>
      </c>
      <c r="CW48" s="2">
        <v>3.16776481668057E-6</v>
      </c>
      <c r="CX48" s="2">
        <v>3.7887031290040299E-9</v>
      </c>
      <c r="CY48" s="2">
        <v>5.7887106663656602E-8</v>
      </c>
      <c r="CZ48" s="2">
        <v>4.5422240968484599E-10</v>
      </c>
      <c r="DA48">
        <v>74.818191528320298</v>
      </c>
      <c r="DB48">
        <v>5.68668508529663</v>
      </c>
      <c r="DC48" s="2">
        <v>3.4028230607370999E+38</v>
      </c>
      <c r="DD48" s="2">
        <v>3.4028230607370999E+38</v>
      </c>
      <c r="DE48">
        <v>115.005569458008</v>
      </c>
      <c r="DF48">
        <v>115.005508422852</v>
      </c>
      <c r="DG48">
        <v>8.1788860261440294E-3</v>
      </c>
      <c r="DH48" s="2">
        <v>3.4028230607370999E+38</v>
      </c>
      <c r="DI48" s="2">
        <v>3.4028230607370999E+38</v>
      </c>
      <c r="DJ48">
        <v>230.00212097168</v>
      </c>
      <c r="DK48">
        <v>0.50002175569534302</v>
      </c>
      <c r="DL48">
        <v>115.005867004395</v>
      </c>
      <c r="DM48">
        <v>115.005813598633</v>
      </c>
      <c r="DN48">
        <v>8.9629646390676498E-3</v>
      </c>
      <c r="DO48">
        <v>49.999954223632798</v>
      </c>
      <c r="DP48">
        <v>-4.3081282638013398E-3</v>
      </c>
      <c r="DQ48">
        <v>1.49865606799722E-2</v>
      </c>
      <c r="DR48" s="2">
        <v>3.5826612929667998E-6</v>
      </c>
      <c r="DS48" s="2">
        <v>-1.4149083016334899E-9</v>
      </c>
      <c r="DT48" s="2">
        <v>5.4808435123732098E-8</v>
      </c>
      <c r="DU48" s="2">
        <v>-2.3363049272973099E-9</v>
      </c>
      <c r="DV48">
        <v>74.812812805175795</v>
      </c>
      <c r="DW48">
        <v>118.762168884277</v>
      </c>
      <c r="DX48">
        <v>1.6276186332106601E-2</v>
      </c>
      <c r="DY48" s="2">
        <v>3.04002719531127E-6</v>
      </c>
      <c r="DZ48" s="2">
        <v>4.6102249795509899E-10</v>
      </c>
      <c r="EA48" s="2">
        <v>5.1460506966805002E-8</v>
      </c>
      <c r="EB48" s="2">
        <v>-1.59431157165102E-9</v>
      </c>
      <c r="EC48">
        <v>74.720703125</v>
      </c>
      <c r="ED48">
        <v>121.003303527832</v>
      </c>
      <c r="EE48" s="2">
        <v>3.4028230607370999E+38</v>
      </c>
      <c r="EF48" s="2">
        <v>3.4028230607370999E+38</v>
      </c>
      <c r="EG48">
        <v>115.005859375</v>
      </c>
      <c r="EH48">
        <v>115.005813598633</v>
      </c>
      <c r="EI48">
        <v>8.9629599824547802E-3</v>
      </c>
      <c r="EJ48" s="2">
        <v>3.4028230607370999E+38</v>
      </c>
      <c r="EK48" s="2">
        <v>3.4028230607370999E+38</v>
      </c>
      <c r="EL48">
        <v>123</v>
      </c>
      <c r="EM48">
        <v>230.00181579589801</v>
      </c>
      <c r="EN48">
        <v>0.50002157688140902</v>
      </c>
      <c r="EO48">
        <v>115.005973815918</v>
      </c>
      <c r="EP48">
        <v>115.00592041015599</v>
      </c>
      <c r="EQ48">
        <v>8.75439960509539E-3</v>
      </c>
      <c r="ER48">
        <v>49.999935150146499</v>
      </c>
      <c r="ES48">
        <v>-4.2213560082018401E-3</v>
      </c>
      <c r="ET48">
        <v>1</v>
      </c>
      <c r="EU48" s="2">
        <v>3.4028230607370999E+38</v>
      </c>
      <c r="EV48">
        <v>0</v>
      </c>
      <c r="EW48">
        <v>230.00685119628901</v>
      </c>
      <c r="EX48">
        <v>115.008827209473</v>
      </c>
      <c r="EY48">
        <v>115.008758544922</v>
      </c>
      <c r="EZ48">
        <v>1.22173177078366E-2</v>
      </c>
      <c r="FA48">
        <v>1.12934954813682E-4</v>
      </c>
      <c r="FB48">
        <v>1.55540592968464E-2</v>
      </c>
      <c r="FC48" s="2">
        <v>3.5571115404309201E-6</v>
      </c>
      <c r="FD48" s="2">
        <v>-4.3918033099110697E-10</v>
      </c>
      <c r="FE48" s="2">
        <v>5.5627957351589397E-8</v>
      </c>
      <c r="FF48" s="2">
        <v>-2.81931167300797E-9</v>
      </c>
      <c r="FG48">
        <v>74.769828796386705</v>
      </c>
      <c r="FH48">
        <v>116.82300567627</v>
      </c>
      <c r="FI48">
        <v>-2.62423995882273E-2</v>
      </c>
      <c r="FJ48" s="2">
        <v>3.4028230607370999E+38</v>
      </c>
      <c r="FK48">
        <v>-40.077117919921903</v>
      </c>
      <c r="FL48">
        <v>2.0360756665468199E-2</v>
      </c>
      <c r="FM48">
        <v>0</v>
      </c>
      <c r="FN48">
        <v>0</v>
      </c>
      <c r="FO48">
        <v>0</v>
      </c>
      <c r="FP48" s="2">
        <v>-4.75851738883648E-5</v>
      </c>
      <c r="FQ48">
        <v>1.7069008201360699E-2</v>
      </c>
      <c r="FR48" s="2">
        <v>3.15435477205028E-6</v>
      </c>
      <c r="FS48" s="2">
        <v>2.69120808971124E-10</v>
      </c>
      <c r="FT48" s="2">
        <v>5.3946312306152302E-8</v>
      </c>
      <c r="FU48" s="2">
        <v>-1.82486936672888E-9</v>
      </c>
      <c r="FV48">
        <v>74.699111938476605</v>
      </c>
      <c r="FW48">
        <v>65.056800842285199</v>
      </c>
      <c r="FX48">
        <v>1.5680721029639199E-2</v>
      </c>
      <c r="FY48" s="2">
        <v>3.4028230607370999E+38</v>
      </c>
      <c r="FZ48">
        <v>43.726348876953097</v>
      </c>
      <c r="GA48">
        <v>229.44320678710901</v>
      </c>
      <c r="GB48" s="2">
        <v>-4.1499048641924198E-10</v>
      </c>
      <c r="GC48">
        <v>7.1010744431987405E-4</v>
      </c>
      <c r="GD48" s="2">
        <v>2.12112910569218E-10</v>
      </c>
      <c r="GE48" s="2">
        <v>2.1730618755100298E-5</v>
      </c>
      <c r="GF48" s="2">
        <v>3.4028230607370999E+38</v>
      </c>
      <c r="GG48" s="2">
        <v>3.4028230607370999E+38</v>
      </c>
      <c r="GH48">
        <v>115.006072998047</v>
      </c>
      <c r="GI48">
        <v>115.00600433349599</v>
      </c>
      <c r="GJ48">
        <v>8.6611490696668608E-3</v>
      </c>
      <c r="GK48" s="2">
        <v>3.4028230607370999E+38</v>
      </c>
      <c r="GL48" s="2">
        <v>3.4028230607370999E+38</v>
      </c>
      <c r="GM48" s="2">
        <v>3.4028230607370999E+38</v>
      </c>
      <c r="GN48" s="2">
        <v>3.4028230607370999E+38</v>
      </c>
      <c r="GO48" s="2">
        <v>3.4028230607370999E+38</v>
      </c>
      <c r="GP48" s="2">
        <v>3.4028230607370999E+38</v>
      </c>
      <c r="GQ48">
        <v>115.00862121582</v>
      </c>
      <c r="GR48">
        <v>115.00862121582</v>
      </c>
      <c r="GS48">
        <v>1.28290243446827E-2</v>
      </c>
      <c r="GT48" s="2">
        <v>6.0859372752020102E-5</v>
      </c>
      <c r="GX48">
        <f t="shared" si="1"/>
        <v>230.00191650390622</v>
      </c>
      <c r="GY48">
        <f t="shared" si="2"/>
        <v>0.50002201795577994</v>
      </c>
      <c r="GZ48">
        <f t="shared" si="3"/>
        <v>115.00592651367181</v>
      </c>
      <c r="HA48">
        <f t="shared" si="4"/>
        <v>115.00593261718761</v>
      </c>
      <c r="HB48">
        <f t="shared" si="5"/>
        <v>8.5169784724712354E-3</v>
      </c>
      <c r="HC48">
        <f t="shared" si="6"/>
        <v>49.999952697753898</v>
      </c>
      <c r="HD48">
        <f t="shared" si="7"/>
        <v>-4.1825240477919579E-3</v>
      </c>
      <c r="HW48" s="10">
        <f>(GX48/Data!$S48-1)*1000000</f>
        <v>23.812559504676756</v>
      </c>
      <c r="HX48" s="10">
        <f>(GY48/Data!$T48-1)*1000000</f>
        <v>11.75153217336522</v>
      </c>
      <c r="HY48" s="10">
        <f>(GZ48/Data!$BW48-1)*1000000</f>
        <v>34.7247525684935</v>
      </c>
      <c r="HZ48" s="10">
        <f>(HA48/(Data!$S48*Data!$T48)-1)*1000000</f>
        <v>34.783456005271773</v>
      </c>
      <c r="IA48" s="7">
        <f>(HB48/IF(HD48&gt;0, -Data!$BX48,Data!$BX48)-1)*1000000</f>
        <v>1619867.1368324154</v>
      </c>
      <c r="IB48" s="10"/>
      <c r="IC48" s="9">
        <f>(HD48-Data!$U48)</f>
        <v>-2.5628640477919577E-3</v>
      </c>
    </row>
    <row r="49" spans="1:237" x14ac:dyDescent="0.2">
      <c r="A49">
        <v>49</v>
      </c>
      <c r="B49">
        <v>230.00209045410199</v>
      </c>
      <c r="C49">
        <v>0.50001960992813099</v>
      </c>
      <c r="D49">
        <v>115.00553894043</v>
      </c>
      <c r="E49">
        <v>115.005477905273</v>
      </c>
      <c r="F49">
        <v>8.45685321837664E-3</v>
      </c>
      <c r="G49">
        <v>49.999923706054702</v>
      </c>
      <c r="H49">
        <v>-4.2131929658353303E-3</v>
      </c>
      <c r="I49">
        <v>1.7581341788172701E-2</v>
      </c>
      <c r="J49" s="2">
        <v>3.5663845210365299E-6</v>
      </c>
      <c r="K49" s="2">
        <v>-5.9758670234444398E-10</v>
      </c>
      <c r="L49" s="2">
        <v>6.2704522463263896E-8</v>
      </c>
      <c r="M49" s="2">
        <v>-5.5102331586454098E-9</v>
      </c>
      <c r="N49">
        <v>74.754692077636705</v>
      </c>
      <c r="O49">
        <v>100.27231597900401</v>
      </c>
      <c r="P49">
        <v>1.9721055403351801E-2</v>
      </c>
      <c r="Q49" s="2">
        <v>3.0616995445598099E-6</v>
      </c>
      <c r="R49" s="2">
        <v>2.1872406108514001E-9</v>
      </c>
      <c r="S49" s="2">
        <v>6.0370702215095702E-8</v>
      </c>
      <c r="T49" s="2">
        <v>-7.0455757894549699E-10</v>
      </c>
      <c r="U49">
        <v>74.8533935546875</v>
      </c>
      <c r="V49">
        <v>16.4468898773193</v>
      </c>
      <c r="W49" s="2">
        <v>3.4028230607370999E+38</v>
      </c>
      <c r="X49" s="2">
        <v>3.4028230607370999E+38</v>
      </c>
      <c r="Y49">
        <v>115.005531311035</v>
      </c>
      <c r="Z49">
        <v>115.005477905273</v>
      </c>
      <c r="AA49">
        <v>8.4568466991186107E-3</v>
      </c>
      <c r="AB49" s="2">
        <v>3.4028230607370999E+38</v>
      </c>
      <c r="AC49" s="2">
        <v>3.4028230607370999E+38</v>
      </c>
      <c r="AD49">
        <v>230.00177001953099</v>
      </c>
      <c r="AE49">
        <v>0.50002020597457897</v>
      </c>
      <c r="AF49">
        <v>115.005531311035</v>
      </c>
      <c r="AG49">
        <v>115.00530242919901</v>
      </c>
      <c r="AH49">
        <v>8.3090802654624003E-3</v>
      </c>
      <c r="AI49">
        <v>49.999946594238303</v>
      </c>
      <c r="AJ49">
        <v>-4.1395910084247598E-3</v>
      </c>
      <c r="AK49">
        <v>1.5707990154623999E-2</v>
      </c>
      <c r="AL49" s="2">
        <v>3.5827008559863299E-6</v>
      </c>
      <c r="AM49" s="2">
        <v>1.3794891895457801E-9</v>
      </c>
      <c r="AN49" s="2">
        <v>5.4972229435179503E-8</v>
      </c>
      <c r="AO49" s="2">
        <v>-2.2202042426755501E-9</v>
      </c>
      <c r="AP49">
        <v>74.694381713867202</v>
      </c>
      <c r="AQ49">
        <v>93.662322998046903</v>
      </c>
      <c r="AR49">
        <v>1.69434230774641E-2</v>
      </c>
      <c r="AS49" s="2">
        <v>3.1727506666356901E-6</v>
      </c>
      <c r="AT49" s="2">
        <v>2.4896689154729802E-9</v>
      </c>
      <c r="AU49" s="2">
        <v>5.2097856695354501E-8</v>
      </c>
      <c r="AV49" s="2">
        <v>-4.9358107878649798E-11</v>
      </c>
      <c r="AW49">
        <v>74.750518798828097</v>
      </c>
      <c r="AX49">
        <v>1.11177098751068</v>
      </c>
      <c r="AY49" s="2">
        <v>3.4028230607370999E+38</v>
      </c>
      <c r="AZ49" s="2">
        <v>3.4028230607370999E+38</v>
      </c>
      <c r="BA49">
        <v>115.005531311035</v>
      </c>
      <c r="BB49">
        <v>115.00530242919901</v>
      </c>
      <c r="BC49">
        <v>8.3090774714946695E-3</v>
      </c>
      <c r="BD49" s="2">
        <v>3.4028230607370999E+38</v>
      </c>
      <c r="BE49" s="2">
        <v>3.4028230607370999E+38</v>
      </c>
      <c r="BF49">
        <v>230.00186157226599</v>
      </c>
      <c r="BG49">
        <v>0.50001889467239402</v>
      </c>
      <c r="BH49">
        <v>115.00531005859401</v>
      </c>
      <c r="BI49">
        <v>115.005210876465</v>
      </c>
      <c r="BJ49">
        <v>8.5407290607690794E-3</v>
      </c>
      <c r="BK49">
        <v>49.999973297119098</v>
      </c>
      <c r="BL49">
        <v>-4.25497815012932E-3</v>
      </c>
      <c r="BM49">
        <v>1.4423730783164499E-2</v>
      </c>
      <c r="BN49" s="2">
        <v>3.5686377941601698E-6</v>
      </c>
      <c r="BO49" s="2">
        <v>-6.3517774373522705E-10</v>
      </c>
      <c r="BP49" s="2">
        <v>5.1457583083447402E-8</v>
      </c>
      <c r="BQ49" s="2">
        <v>-1.01858377288266E-9</v>
      </c>
      <c r="BR49">
        <v>74.677757263183594</v>
      </c>
      <c r="BS49">
        <v>68.655441284179702</v>
      </c>
      <c r="BT49">
        <v>1.5560245141387E-2</v>
      </c>
      <c r="BU49" s="2">
        <v>3.1622676033293799E-6</v>
      </c>
      <c r="BV49" s="2">
        <v>1.7268064755882101E-9</v>
      </c>
      <c r="BW49" s="2">
        <v>4.9029669213496203E-8</v>
      </c>
      <c r="BX49" s="2">
        <v>-8.2191592420954903E-10</v>
      </c>
      <c r="BY49">
        <v>74.864944458007798</v>
      </c>
      <c r="BZ49">
        <v>60.261692047119098</v>
      </c>
      <c r="CA49" s="2">
        <v>3.4028230607370999E+38</v>
      </c>
      <c r="CB49" s="2">
        <v>3.4028230607370999E+38</v>
      </c>
      <c r="CC49">
        <v>115.00530242919901</v>
      </c>
      <c r="CD49">
        <v>115.005210876465</v>
      </c>
      <c r="CE49">
        <v>8.5407271981239302E-3</v>
      </c>
      <c r="CF49" s="2">
        <v>3.4028230607370999E+38</v>
      </c>
      <c r="CG49" s="2">
        <v>3.4028230607370999E+38</v>
      </c>
      <c r="CH49">
        <v>230.00242614746099</v>
      </c>
      <c r="CI49">
        <v>0.50002068281173695</v>
      </c>
      <c r="CJ49">
        <v>115.00563049316401</v>
      </c>
      <c r="CK49">
        <v>115.005561828613</v>
      </c>
      <c r="CL49">
        <v>8.3759222179651295E-3</v>
      </c>
      <c r="CM49">
        <v>49.999855041503899</v>
      </c>
      <c r="CN49">
        <v>-4.4890618883073304E-3</v>
      </c>
      <c r="CO49">
        <v>1.50494137778878E-2</v>
      </c>
      <c r="CP49" s="2">
        <v>3.6189162528898999E-6</v>
      </c>
      <c r="CQ49" s="2">
        <v>-8.2658088706999396E-11</v>
      </c>
      <c r="CR49" s="2">
        <v>5.3724601656313098E-8</v>
      </c>
      <c r="CS49" s="2">
        <v>-1.6342571740324299E-9</v>
      </c>
      <c r="CT49">
        <v>74.717552185058594</v>
      </c>
      <c r="CU49">
        <v>45.1157035827637</v>
      </c>
      <c r="CV49">
        <v>1.6218289732932999E-2</v>
      </c>
      <c r="CW49" s="2">
        <v>3.0832211450615398E-6</v>
      </c>
      <c r="CX49" s="2">
        <v>2.3929991321836E-9</v>
      </c>
      <c r="CY49" s="2">
        <v>5.0961876496558001E-8</v>
      </c>
      <c r="CZ49" s="2">
        <v>-3.4785407887483199E-10</v>
      </c>
      <c r="DA49">
        <v>74.836448669433594</v>
      </c>
      <c r="DB49">
        <v>22.896512985229499</v>
      </c>
      <c r="DC49" s="2">
        <v>3.4028230607370999E+38</v>
      </c>
      <c r="DD49" s="2">
        <v>3.4028230607370999E+38</v>
      </c>
      <c r="DE49">
        <v>115.00562286377</v>
      </c>
      <c r="DF49">
        <v>115.005561828613</v>
      </c>
      <c r="DG49">
        <v>8.3759194239974005E-3</v>
      </c>
      <c r="DH49" s="2">
        <v>3.4028230607370999E+38</v>
      </c>
      <c r="DI49" s="2">
        <v>3.4028230607370999E+38</v>
      </c>
      <c r="DJ49">
        <v>230.00157165527301</v>
      </c>
      <c r="DK49">
        <v>0.50002139806747403</v>
      </c>
      <c r="DL49">
        <v>115.005699157715</v>
      </c>
      <c r="DM49">
        <v>115.006187438965</v>
      </c>
      <c r="DN49">
        <v>7.8212069347500801E-3</v>
      </c>
      <c r="DO49">
        <v>50.000053405761697</v>
      </c>
      <c r="DP49">
        <v>-4.2908126488327997E-3</v>
      </c>
      <c r="DQ49">
        <v>1.76703110337257E-2</v>
      </c>
      <c r="DR49" s="2">
        <v>3.53747350345657E-6</v>
      </c>
      <c r="DS49" s="2">
        <v>-9.4866459132703106E-10</v>
      </c>
      <c r="DT49" s="2">
        <v>6.2443881176932297E-8</v>
      </c>
      <c r="DU49" s="2">
        <v>-4.2729628724202898E-9</v>
      </c>
      <c r="DV49">
        <v>74.592292785644503</v>
      </c>
      <c r="DW49">
        <v>95.492988586425795</v>
      </c>
      <c r="DX49">
        <v>1.9280228763818699E-2</v>
      </c>
      <c r="DY49" s="2">
        <v>3.0585033528041099E-6</v>
      </c>
      <c r="DZ49" s="2">
        <v>1.24275534307827E-9</v>
      </c>
      <c r="EA49" s="2">
        <v>5.8915091472044898E-8</v>
      </c>
      <c r="EB49" s="2">
        <v>-8.8573459677832003E-10</v>
      </c>
      <c r="EC49">
        <v>74.752754211425795</v>
      </c>
      <c r="ED49">
        <v>22.00244140625</v>
      </c>
      <c r="EE49" s="2">
        <v>3.4028230607370999E+38</v>
      </c>
      <c r="EF49" s="2">
        <v>3.4028230607370999E+38</v>
      </c>
      <c r="EG49">
        <v>115.00569152832</v>
      </c>
      <c r="EH49">
        <v>115.006187438965</v>
      </c>
      <c r="EI49">
        <v>7.8212013468146307E-3</v>
      </c>
      <c r="EJ49" s="2">
        <v>3.4028230607370999E+38</v>
      </c>
      <c r="EK49" s="2">
        <v>3.4028230607370999E+38</v>
      </c>
      <c r="EL49">
        <v>123</v>
      </c>
      <c r="EM49">
        <v>230.002029418945</v>
      </c>
      <c r="EN49">
        <v>0.50002187490463301</v>
      </c>
      <c r="EO49">
        <v>115.00603485107401</v>
      </c>
      <c r="EP49">
        <v>115.005973815918</v>
      </c>
      <c r="EQ49">
        <v>8.6867948994040507E-3</v>
      </c>
      <c r="ER49">
        <v>49.9999389648438</v>
      </c>
      <c r="ES49">
        <v>-4.3277586810290796E-3</v>
      </c>
      <c r="ET49">
        <v>1</v>
      </c>
      <c r="EU49" s="2">
        <v>3.4028230607370999E+38</v>
      </c>
      <c r="EV49">
        <v>0</v>
      </c>
      <c r="EW49">
        <v>230.00395202636699</v>
      </c>
      <c r="EX49">
        <v>115.00660705566401</v>
      </c>
      <c r="EY49">
        <v>115.00643920898401</v>
      </c>
      <c r="EZ49">
        <v>1.36628095060587E-2</v>
      </c>
      <c r="FA49" s="2">
        <v>2.3293478079722301E-6</v>
      </c>
      <c r="FB49">
        <v>1.78216863423586E-2</v>
      </c>
      <c r="FC49" s="2">
        <v>3.6205944979883502E-6</v>
      </c>
      <c r="FD49" s="2">
        <v>-7.0790989736835296E-10</v>
      </c>
      <c r="FE49" s="2">
        <v>6.3039209408088897E-8</v>
      </c>
      <c r="FF49" s="2">
        <v>-4.6373194173554599E-9</v>
      </c>
      <c r="FG49">
        <v>74.620223999023395</v>
      </c>
      <c r="FH49">
        <v>90.496894836425795</v>
      </c>
      <c r="FI49">
        <v>-5.8063643518835295E-4</v>
      </c>
      <c r="FJ49" s="2">
        <v>3.4028230607370999E+38</v>
      </c>
      <c r="FK49">
        <v>9.5143661499023402</v>
      </c>
      <c r="FL49">
        <v>2.0715279504656799E-2</v>
      </c>
      <c r="FM49">
        <v>0</v>
      </c>
      <c r="FN49">
        <v>0</v>
      </c>
      <c r="FO49">
        <v>0</v>
      </c>
      <c r="FP49" s="2">
        <v>-5.3806623327545801E-5</v>
      </c>
      <c r="FQ49">
        <v>1.9203366711735701E-2</v>
      </c>
      <c r="FR49" s="2">
        <v>3.05079765894334E-6</v>
      </c>
      <c r="FS49" s="2">
        <v>3.6401965886057E-9</v>
      </c>
      <c r="FT49" s="2">
        <v>5.8615000853023997E-8</v>
      </c>
      <c r="FU49" s="2">
        <v>-1.74490394355686E-10</v>
      </c>
      <c r="FV49">
        <v>74.776718139648395</v>
      </c>
      <c r="FW49">
        <v>2.8838968276977499</v>
      </c>
      <c r="FX49">
        <v>5.7889584451913799E-2</v>
      </c>
      <c r="FY49" s="2">
        <v>3.4028230607370999E+38</v>
      </c>
      <c r="FZ49">
        <v>7.5555272102356001</v>
      </c>
      <c r="GA49">
        <v>229.66662597656199</v>
      </c>
      <c r="GB49" s="2">
        <v>8.1477341540292504E-10</v>
      </c>
      <c r="GC49">
        <v>7.0169451646506797E-4</v>
      </c>
      <c r="GD49" s="2">
        <v>5.2095810998409299E-10</v>
      </c>
      <c r="GE49" s="2">
        <v>1.98455927602481E-5</v>
      </c>
      <c r="GF49" s="2">
        <v>3.4028230607370999E+38</v>
      </c>
      <c r="GG49" s="2">
        <v>3.4028230607370999E+38</v>
      </c>
      <c r="GH49">
        <v>115.005828857422</v>
      </c>
      <c r="GI49">
        <v>115.00576019287099</v>
      </c>
      <c r="GJ49">
        <v>8.3157038316130603E-3</v>
      </c>
      <c r="GK49" s="2">
        <v>3.4028230607370999E+38</v>
      </c>
      <c r="GL49" s="2">
        <v>3.4028230607370999E+38</v>
      </c>
      <c r="GM49" s="2">
        <v>3.4028230607370999E+38</v>
      </c>
      <c r="GN49" s="2">
        <v>3.4028230607370999E+38</v>
      </c>
      <c r="GO49" s="2">
        <v>3.4028230607370999E+38</v>
      </c>
      <c r="GP49" s="2">
        <v>3.4028230607370999E+38</v>
      </c>
      <c r="GQ49">
        <v>115.00514221191401</v>
      </c>
      <c r="GR49">
        <v>115.00439453125</v>
      </c>
      <c r="GS49">
        <v>1.18931066244841E-2</v>
      </c>
      <c r="GT49">
        <v>-1.7815404862631099E-4</v>
      </c>
      <c r="GX49">
        <f t="shared" si="1"/>
        <v>230.0019439697266</v>
      </c>
      <c r="GY49">
        <f t="shared" si="2"/>
        <v>0.50002015829086299</v>
      </c>
      <c r="GZ49">
        <f t="shared" si="3"/>
        <v>115.00554199218762</v>
      </c>
      <c r="HA49">
        <f t="shared" si="4"/>
        <v>115.00554809570299</v>
      </c>
      <c r="HB49">
        <f t="shared" si="5"/>
        <v>8.3007583394646665E-3</v>
      </c>
      <c r="HC49">
        <f t="shared" si="6"/>
        <v>49.99995040893554</v>
      </c>
      <c r="HD49">
        <f t="shared" si="7"/>
        <v>-4.2775273323059082E-3</v>
      </c>
      <c r="HW49" s="10">
        <f>(GX49/Data!$S49-1)*1000000</f>
        <v>23.226733275372169</v>
      </c>
      <c r="HX49" s="10">
        <f>(GY49/Data!$T49-1)*1000000</f>
        <v>13.328222024044933</v>
      </c>
      <c r="HY49" s="10">
        <f>(GZ49/Data!$BW49-1)*1000000</f>
        <v>35.971666436873662</v>
      </c>
      <c r="HZ49" s="10">
        <f>(HA49/(Data!$S49*Data!$T49)-1)*1000000</f>
        <v>36.030616965998519</v>
      </c>
      <c r="IA49" s="7">
        <f>(HB49/IF(HD49&gt;0, -Data!$BX49,Data!$BX49)-1)*1000000</f>
        <v>1076137.8608341028</v>
      </c>
      <c r="IB49" s="10"/>
      <c r="IC49" s="9">
        <f>(HD49-Data!$U49)</f>
        <v>-2.2855633323059081E-3</v>
      </c>
    </row>
    <row r="50" spans="1:237" x14ac:dyDescent="0.2">
      <c r="A50">
        <v>50</v>
      </c>
      <c r="B50">
        <v>230.00157165527301</v>
      </c>
      <c r="C50">
        <v>0.50001907348632801</v>
      </c>
      <c r="D50">
        <v>115.005172729492</v>
      </c>
      <c r="E50">
        <v>115.00511169433599</v>
      </c>
      <c r="F50">
        <v>7.9389223828911799E-3</v>
      </c>
      <c r="G50">
        <v>49.999969482421903</v>
      </c>
      <c r="H50">
        <v>-3.9551691152155399E-3</v>
      </c>
      <c r="I50">
        <v>1.7783092334866499E-2</v>
      </c>
      <c r="J50" s="2">
        <v>3.5715797821467302E-6</v>
      </c>
      <c r="K50" s="2">
        <v>-6.01453109538852E-10</v>
      </c>
      <c r="L50" s="2">
        <v>6.3864305843708306E-8</v>
      </c>
      <c r="M50" s="2">
        <v>-4.2155607893334904E-9</v>
      </c>
      <c r="N50">
        <v>74.683845520019503</v>
      </c>
      <c r="O50">
        <v>98.163322448730497</v>
      </c>
      <c r="P50">
        <v>1.9626241177320501E-2</v>
      </c>
      <c r="Q50" s="2">
        <v>3.0507774226862201E-6</v>
      </c>
      <c r="R50" s="2">
        <v>2.24066831755465E-9</v>
      </c>
      <c r="S50" s="2">
        <v>6.22219715751271E-8</v>
      </c>
      <c r="T50" s="2">
        <v>-1.04461428396263E-9</v>
      </c>
      <c r="U50">
        <v>74.797424316406193</v>
      </c>
      <c r="V50">
        <v>-16.407192230224599</v>
      </c>
      <c r="W50" s="2">
        <v>3.4028230607370999E+38</v>
      </c>
      <c r="X50" s="2">
        <v>3.4028230607370999E+38</v>
      </c>
      <c r="Y50">
        <v>115.005165100098</v>
      </c>
      <c r="Z50">
        <v>115.00511169433599</v>
      </c>
      <c r="AA50">
        <v>7.9389167949557304E-3</v>
      </c>
      <c r="AB50" s="2">
        <v>3.4028230607370999E+38</v>
      </c>
      <c r="AC50" s="2">
        <v>3.4028230607370999E+38</v>
      </c>
      <c r="AD50">
        <v>230.00224304199199</v>
      </c>
      <c r="AE50">
        <v>0.50002056360244795</v>
      </c>
      <c r="AF50">
        <v>115.005493164062</v>
      </c>
      <c r="AG50">
        <v>115.005409240723</v>
      </c>
      <c r="AH50">
        <v>8.9223841205239296E-3</v>
      </c>
      <c r="AI50">
        <v>49.9998970031738</v>
      </c>
      <c r="AJ50">
        <v>-4.3218126520514497E-3</v>
      </c>
      <c r="AK50">
        <v>1.42785320058465E-2</v>
      </c>
      <c r="AL50" s="2">
        <v>3.5445416415314E-6</v>
      </c>
      <c r="AM50" s="2">
        <v>1.22315924055982E-9</v>
      </c>
      <c r="AN50" s="2">
        <v>5.0577749988178799E-8</v>
      </c>
      <c r="AO50" s="2">
        <v>-1.1431572355391499E-9</v>
      </c>
      <c r="AP50">
        <v>74.787933349609403</v>
      </c>
      <c r="AQ50">
        <v>113.80622100830099</v>
      </c>
      <c r="AR50">
        <v>1.5441535972058801E-2</v>
      </c>
      <c r="AS50" s="2">
        <v>3.0507608244079199E-6</v>
      </c>
      <c r="AT50" s="2">
        <v>1.15712450732275E-9</v>
      </c>
      <c r="AU50" s="2">
        <v>4.7505650968560102E-8</v>
      </c>
      <c r="AV50" s="2">
        <v>-1.4989971486301099E-9</v>
      </c>
      <c r="AW50">
        <v>74.698677062988295</v>
      </c>
      <c r="AX50">
        <v>9.48523044586182</v>
      </c>
      <c r="AY50" s="2">
        <v>3.4028230607370999E+38</v>
      </c>
      <c r="AZ50" s="2">
        <v>3.4028230607370999E+38</v>
      </c>
      <c r="BA50">
        <v>115.005493164062</v>
      </c>
      <c r="BB50">
        <v>115.005409240723</v>
      </c>
      <c r="BC50">
        <v>8.9223813265562092E-3</v>
      </c>
      <c r="BD50" s="2">
        <v>3.4028230607370999E+38</v>
      </c>
      <c r="BE50" s="2">
        <v>3.4028230607370999E+38</v>
      </c>
      <c r="BF50">
        <v>230.00201416015599</v>
      </c>
      <c r="BG50">
        <v>0.50002038478851296</v>
      </c>
      <c r="BH50">
        <v>115.005722045898</v>
      </c>
      <c r="BI50">
        <v>115.005653381348</v>
      </c>
      <c r="BJ50">
        <v>8.1357331946492195E-3</v>
      </c>
      <c r="BK50">
        <v>49.9999389648438</v>
      </c>
      <c r="BL50">
        <v>-4.16534673422575E-3</v>
      </c>
      <c r="BM50">
        <v>1.76156554371119E-2</v>
      </c>
      <c r="BN50" s="2">
        <v>3.5307543839735398E-6</v>
      </c>
      <c r="BO50" s="2">
        <v>-5.0694776154713798E-10</v>
      </c>
      <c r="BP50" s="2">
        <v>6.3270555017425094E-8</v>
      </c>
      <c r="BQ50" s="2">
        <v>-4.3656864789909402E-9</v>
      </c>
      <c r="BR50">
        <v>74.715148925781193</v>
      </c>
      <c r="BS50">
        <v>109.10431671142599</v>
      </c>
      <c r="BT50">
        <v>1.9752161577343899E-2</v>
      </c>
      <c r="BU50" s="2">
        <v>3.1955712529452302E-6</v>
      </c>
      <c r="BV50" s="2">
        <v>1.73229830480182E-9</v>
      </c>
      <c r="BW50" s="2">
        <v>6.30251406619209E-8</v>
      </c>
      <c r="BX50" s="2">
        <v>-9.5499241847818398E-10</v>
      </c>
      <c r="BY50">
        <v>74.7750244140625</v>
      </c>
      <c r="BZ50">
        <v>33.396282196044901</v>
      </c>
      <c r="CA50" s="2">
        <v>3.4028230607370999E+38</v>
      </c>
      <c r="CB50" s="2">
        <v>3.4028230607370999E+38</v>
      </c>
      <c r="CC50">
        <v>115.00571441650401</v>
      </c>
      <c r="CD50">
        <v>115.005653381348</v>
      </c>
      <c r="CE50">
        <v>8.1357276067137701E-3</v>
      </c>
      <c r="CF50" s="2">
        <v>3.4028230607370999E+38</v>
      </c>
      <c r="CG50" s="2">
        <v>3.4028230607370999E+38</v>
      </c>
      <c r="CH50">
        <v>230.00160217285199</v>
      </c>
      <c r="CI50">
        <v>0.500022232532501</v>
      </c>
      <c r="CJ50">
        <v>115.00592803955099</v>
      </c>
      <c r="CK50">
        <v>115.005867004395</v>
      </c>
      <c r="CL50">
        <v>8.4303915500640904E-3</v>
      </c>
      <c r="CM50">
        <v>49.999855041503899</v>
      </c>
      <c r="CN50">
        <v>-4.1226823814213302E-3</v>
      </c>
      <c r="CO50">
        <v>1.6467746347188901E-2</v>
      </c>
      <c r="CP50" s="2">
        <v>3.5589100662036799E-6</v>
      </c>
      <c r="CQ50" s="2">
        <v>-4.8014703324383804E-10</v>
      </c>
      <c r="CR50" s="2">
        <v>5.9005714092563701E-8</v>
      </c>
      <c r="CS50" s="2">
        <v>-3.6247282952928101E-9</v>
      </c>
      <c r="CT50">
        <v>74.722854614257798</v>
      </c>
      <c r="CU50">
        <v>110.87638092041</v>
      </c>
      <c r="CV50">
        <v>1.8558273091912301E-2</v>
      </c>
      <c r="CW50" s="2">
        <v>3.1796616895007901E-6</v>
      </c>
      <c r="CX50" s="2">
        <v>7.5850903336060996E-10</v>
      </c>
      <c r="CY50" s="2">
        <v>5.7977100453854298E-8</v>
      </c>
      <c r="CZ50" s="2">
        <v>-1.4973106088334E-9</v>
      </c>
      <c r="DA50">
        <v>74.762962341308594</v>
      </c>
      <c r="DB50">
        <v>63.382064819335902</v>
      </c>
      <c r="DC50" s="2">
        <v>3.4028230607370999E+38</v>
      </c>
      <c r="DD50" s="2">
        <v>3.4028230607370999E+38</v>
      </c>
      <c r="DE50">
        <v>115.00592041015599</v>
      </c>
      <c r="DF50">
        <v>115.005867004395</v>
      </c>
      <c r="DG50">
        <v>8.4303859621286392E-3</v>
      </c>
      <c r="DH50" s="2">
        <v>3.4028230607370999E+38</v>
      </c>
      <c r="DI50" s="2">
        <v>3.4028230607370999E+38</v>
      </c>
      <c r="DJ50">
        <v>230.001388549805</v>
      </c>
      <c r="DK50">
        <v>0.50002050399780296</v>
      </c>
      <c r="DL50">
        <v>115.00539398193401</v>
      </c>
      <c r="DM50">
        <v>115.00511932373</v>
      </c>
      <c r="DN50">
        <v>8.5667818784713693E-3</v>
      </c>
      <c r="DO50">
        <v>50.000011444091797</v>
      </c>
      <c r="DP50">
        <v>-4.1658249683678202E-3</v>
      </c>
      <c r="DQ50">
        <v>1.64283346384764E-2</v>
      </c>
      <c r="DR50" s="2">
        <v>3.5667376323544899E-6</v>
      </c>
      <c r="DS50" s="2">
        <v>-2.0634932651475401E-10</v>
      </c>
      <c r="DT50" s="2">
        <v>5.7521116758607598E-8</v>
      </c>
      <c r="DU50" s="2">
        <v>-2.3641228974469199E-9</v>
      </c>
      <c r="DV50">
        <v>74.779357910156193</v>
      </c>
      <c r="DW50">
        <v>86.562713623046903</v>
      </c>
      <c r="DX50">
        <v>1.7877360805869099E-2</v>
      </c>
      <c r="DY50" s="2">
        <v>3.0916114610590701E-6</v>
      </c>
      <c r="DZ50" s="2">
        <v>2.61596944106657E-9</v>
      </c>
      <c r="EA50" s="2">
        <v>5.6615643728719098E-8</v>
      </c>
      <c r="EB50" s="2">
        <v>3.9125977457921098E-10</v>
      </c>
      <c r="EC50">
        <v>74.761520385742202</v>
      </c>
      <c r="ED50">
        <v>-0.14703047275543199</v>
      </c>
      <c r="EE50" s="2">
        <v>3.4028230607370999E+38</v>
      </c>
      <c r="EF50" s="2">
        <v>3.4028230607370999E+38</v>
      </c>
      <c r="EG50">
        <v>115.00538635253901</v>
      </c>
      <c r="EH50">
        <v>115.00511932373</v>
      </c>
      <c r="EI50">
        <v>8.5667790845036507E-3</v>
      </c>
      <c r="EJ50" s="2">
        <v>3.4028230607370999E+38</v>
      </c>
      <c r="EK50" s="2">
        <v>3.4028230607370999E+38</v>
      </c>
      <c r="EL50">
        <v>123</v>
      </c>
      <c r="EM50">
        <v>230.00196838378901</v>
      </c>
      <c r="EN50">
        <v>0.50001907348632801</v>
      </c>
      <c r="EO50">
        <v>115.00537109375</v>
      </c>
      <c r="EP50">
        <v>115.005317687988</v>
      </c>
      <c r="EQ50">
        <v>8.2173226401209797E-3</v>
      </c>
      <c r="ER50">
        <v>50.000011444091797</v>
      </c>
      <c r="ES50">
        <v>-4.0938775055110498E-3</v>
      </c>
      <c r="ET50">
        <v>1</v>
      </c>
      <c r="EU50" s="2">
        <v>3.4028230607370999E+38</v>
      </c>
      <c r="EV50">
        <v>0</v>
      </c>
      <c r="EW50">
        <v>230.00051879882801</v>
      </c>
      <c r="EX50">
        <v>115.004501342773</v>
      </c>
      <c r="EY50">
        <v>115.004440307617</v>
      </c>
      <c r="EZ50">
        <v>1.1194700375199301E-2</v>
      </c>
      <c r="FA50">
        <v>-2.1012527577113401E-4</v>
      </c>
      <c r="FB50">
        <v>1.6748435795307201E-2</v>
      </c>
      <c r="FC50" s="2">
        <v>3.5925982047047E-6</v>
      </c>
      <c r="FD50" s="2">
        <v>6.0138666269082798E-10</v>
      </c>
      <c r="FE50" s="2">
        <v>5.83669503839701E-8</v>
      </c>
      <c r="FF50" s="2">
        <v>-3.2772309310757898E-9</v>
      </c>
      <c r="FG50">
        <v>74.757781982421903</v>
      </c>
      <c r="FH50">
        <v>79.601654052734403</v>
      </c>
      <c r="FI50">
        <v>2.0964299328625198E-3</v>
      </c>
      <c r="FJ50" s="2">
        <v>3.4028230607370999E+38</v>
      </c>
      <c r="FK50">
        <v>-5.0144615173339799</v>
      </c>
      <c r="FL50">
        <v>2.0188536494970301E-2</v>
      </c>
      <c r="FM50">
        <v>0</v>
      </c>
      <c r="FN50">
        <v>0</v>
      </c>
      <c r="FO50">
        <v>0</v>
      </c>
      <c r="FP50" s="2">
        <v>-5.1361377700232003E-5</v>
      </c>
      <c r="FQ50">
        <v>1.8636962398886701E-2</v>
      </c>
      <c r="FR50" s="2">
        <v>3.2048026241682199E-6</v>
      </c>
      <c r="FS50" s="2">
        <v>2.4480490967704298E-9</v>
      </c>
      <c r="FT50" s="2">
        <v>5.5734247439431803E-8</v>
      </c>
      <c r="FU50" s="2">
        <v>3.46792927707895E-10</v>
      </c>
      <c r="FV50">
        <v>74.747169494628906</v>
      </c>
      <c r="FW50">
        <v>-7.3342242240905797</v>
      </c>
      <c r="FX50">
        <v>4.83432002365589E-2</v>
      </c>
      <c r="FY50" s="2">
        <v>3.4028230607370999E+38</v>
      </c>
      <c r="FZ50">
        <v>-35.001884460449197</v>
      </c>
      <c r="GA50">
        <v>229.68037414550801</v>
      </c>
      <c r="GB50" s="2">
        <v>1.1850241898869701E-9</v>
      </c>
      <c r="GC50">
        <v>7.0551491808146195E-4</v>
      </c>
      <c r="GD50" s="2">
        <v>1.1390360876717399E-11</v>
      </c>
      <c r="GE50" s="2">
        <v>2.0127323296037499E-5</v>
      </c>
      <c r="GF50" s="2">
        <v>3.4028230607370999E+38</v>
      </c>
      <c r="GG50" s="2">
        <v>3.4028230607370999E+38</v>
      </c>
      <c r="GH50">
        <v>115.00520324707</v>
      </c>
      <c r="GI50">
        <v>115.00513458252</v>
      </c>
      <c r="GJ50">
        <v>8.2886395975947397E-3</v>
      </c>
      <c r="GK50" s="2">
        <v>3.4028230607370999E+38</v>
      </c>
      <c r="GL50" s="2">
        <v>3.4028230607370999E+38</v>
      </c>
      <c r="GM50" s="2">
        <v>3.4028230607370999E+38</v>
      </c>
      <c r="GN50" s="2">
        <v>3.4028230607370999E+38</v>
      </c>
      <c r="GO50" s="2">
        <v>3.4028230607370999E+38</v>
      </c>
      <c r="GP50" s="2">
        <v>3.4028230607370999E+38</v>
      </c>
      <c r="GQ50">
        <v>115.00496673584</v>
      </c>
      <c r="GR50">
        <v>115.00496673584</v>
      </c>
      <c r="GS50">
        <v>1.19004677981138E-2</v>
      </c>
      <c r="GT50">
        <v>-2.1805334836244599E-4</v>
      </c>
      <c r="GX50">
        <f t="shared" si="1"/>
        <v>230.00176391601559</v>
      </c>
      <c r="GY50">
        <f t="shared" si="2"/>
        <v>0.5000205516815186</v>
      </c>
      <c r="GZ50">
        <f t="shared" si="3"/>
        <v>115.0055419921874</v>
      </c>
      <c r="HA50">
        <f t="shared" si="4"/>
        <v>115.00543212890639</v>
      </c>
      <c r="HB50">
        <f t="shared" si="5"/>
        <v>8.3988426253199557E-3</v>
      </c>
      <c r="HC50">
        <f t="shared" si="6"/>
        <v>49.999934387207041</v>
      </c>
      <c r="HD50">
        <f t="shared" si="7"/>
        <v>-4.1461671702563777E-3</v>
      </c>
      <c r="HW50" s="10">
        <f>(GX50/Data!$S50-1)*1000000</f>
        <v>22.200392223892251</v>
      </c>
      <c r="HX50" s="10">
        <f>(GY50/Data!$T50-1)*1000000</f>
        <v>15.112970251252023</v>
      </c>
      <c r="HY50" s="10">
        <f>(GZ50/Data!$BW50-1)*1000000</f>
        <v>36.727337128450444</v>
      </c>
      <c r="HZ50" s="10">
        <f>(HA50/(Data!$S50*Data!$T50)-1)*1000000</f>
        <v>35.77674079946469</v>
      </c>
      <c r="IA50" s="7">
        <f>(HB50/IF(HD50&gt;0, -Data!$BX50,Data!$BX50)-1)*1000000</f>
        <v>1376742.58349033</v>
      </c>
      <c r="IB50" s="10"/>
      <c r="IC50" s="9">
        <f>(HD50-Data!$U50)</f>
        <v>-2.3855801702563776E-3</v>
      </c>
    </row>
    <row r="51" spans="1:237" x14ac:dyDescent="0.2">
      <c r="A51">
        <v>51</v>
      </c>
      <c r="B51">
        <v>230.001876831055</v>
      </c>
      <c r="C51">
        <v>0.50001829862594604</v>
      </c>
      <c r="D51">
        <v>57.494594573974602</v>
      </c>
      <c r="E51">
        <v>115.005081176758</v>
      </c>
      <c r="F51">
        <v>99.602203369140597</v>
      </c>
      <c r="G51">
        <v>49.999908447265597</v>
      </c>
      <c r="H51">
        <v>-60.004661560058601</v>
      </c>
      <c r="I51">
        <v>1.76622401922941E-2</v>
      </c>
      <c r="J51" s="2">
        <v>3.5574903449742098E-6</v>
      </c>
      <c r="K51" s="2">
        <v>3.2455798049113599E-9</v>
      </c>
      <c r="L51" s="2">
        <v>6.3253821735997904E-8</v>
      </c>
      <c r="M51" s="2">
        <v>-1.11116482681695E-9</v>
      </c>
      <c r="N51">
        <v>74.813262939453097</v>
      </c>
      <c r="O51">
        <v>46.311183929443402</v>
      </c>
      <c r="P51">
        <v>1.9383061677217501E-2</v>
      </c>
      <c r="Q51" s="2">
        <v>3.14842441184737E-6</v>
      </c>
      <c r="R51" s="2">
        <v>4.6289510002850404E-9</v>
      </c>
      <c r="S51" s="2">
        <v>6.0726293327206804E-8</v>
      </c>
      <c r="T51" s="2">
        <v>1.0629180868804199E-9</v>
      </c>
      <c r="U51">
        <v>74.663215637207003</v>
      </c>
      <c r="V51">
        <v>-13.377072334289601</v>
      </c>
      <c r="W51" s="2">
        <v>3.4028230607370999E+38</v>
      </c>
      <c r="X51" s="2">
        <v>3.4028230607370999E+38</v>
      </c>
      <c r="Y51">
        <v>57.494594573974602</v>
      </c>
      <c r="Z51">
        <v>115.005081176758</v>
      </c>
      <c r="AA51">
        <v>99.602195739746094</v>
      </c>
      <c r="AB51" s="2">
        <v>3.4028230607370999E+38</v>
      </c>
      <c r="AC51" s="2">
        <v>3.4028230607370999E+38</v>
      </c>
      <c r="AD51">
        <v>230.00151062011699</v>
      </c>
      <c r="AE51">
        <v>0.50001901388168302</v>
      </c>
      <c r="AF51">
        <v>57.495426177978501</v>
      </c>
      <c r="AG51">
        <v>115.00518798828099</v>
      </c>
      <c r="AH51">
        <v>99.6019287109375</v>
      </c>
      <c r="AI51">
        <v>49.999954223632798</v>
      </c>
      <c r="AJ51">
        <v>-60.004177093505902</v>
      </c>
      <c r="AK51">
        <v>1.78099330514669E-2</v>
      </c>
      <c r="AL51" s="2">
        <v>3.55541260432801E-6</v>
      </c>
      <c r="AM51" s="2">
        <v>2.5243100942873302E-9</v>
      </c>
      <c r="AN51" s="2">
        <v>6.3586256260350598E-8</v>
      </c>
      <c r="AO51" s="2">
        <v>-1.13583187300037E-9</v>
      </c>
      <c r="AP51">
        <v>74.767852783203097</v>
      </c>
      <c r="AQ51">
        <v>19.3909091949463</v>
      </c>
      <c r="AR51">
        <v>1.9419586285948798E-2</v>
      </c>
      <c r="AS51" s="2">
        <v>3.1100523756322201E-6</v>
      </c>
      <c r="AT51" s="2">
        <v>4.5381214341944104E-9</v>
      </c>
      <c r="AU51" s="2">
        <v>6.24892066980465E-8</v>
      </c>
      <c r="AV51" s="2">
        <v>1.96563654242254E-9</v>
      </c>
      <c r="AW51">
        <v>74.719223022460895</v>
      </c>
      <c r="AX51">
        <v>-22.741636276245099</v>
      </c>
      <c r="AY51" s="2">
        <v>3.4028230607370999E+38</v>
      </c>
      <c r="AZ51" s="2">
        <v>3.4028230607370999E+38</v>
      </c>
      <c r="BA51">
        <v>57.495426177978501</v>
      </c>
      <c r="BB51">
        <v>115.00518798828099</v>
      </c>
      <c r="BC51">
        <v>99.601921081542997</v>
      </c>
      <c r="BD51" s="2">
        <v>3.4028230607370999E+38</v>
      </c>
      <c r="BE51" s="2">
        <v>3.4028230607370999E+38</v>
      </c>
      <c r="BF51">
        <v>230.00120544433599</v>
      </c>
      <c r="BG51">
        <v>0.50001960992813099</v>
      </c>
      <c r="BH51">
        <v>57.495277404785199</v>
      </c>
      <c r="BI51">
        <v>115.00543212890599</v>
      </c>
      <c r="BJ51">
        <v>99.602005004882798</v>
      </c>
      <c r="BK51">
        <v>49.999988555908203</v>
      </c>
      <c r="BL51">
        <v>-60.004444122314503</v>
      </c>
      <c r="BM51">
        <v>1.7006807029247301E-2</v>
      </c>
      <c r="BN51" s="2">
        <v>3.4996965041500499E-6</v>
      </c>
      <c r="BO51" s="2">
        <v>2.8275510821629301E-9</v>
      </c>
      <c r="BP51" s="2">
        <v>5.9443660660463098E-8</v>
      </c>
      <c r="BQ51" s="2">
        <v>-1.3084928696116499E-9</v>
      </c>
      <c r="BR51">
        <v>74.758781433105497</v>
      </c>
      <c r="BS51">
        <v>29.008991241455099</v>
      </c>
      <c r="BT51">
        <v>1.8824290484190001E-2</v>
      </c>
      <c r="BU51" s="2">
        <v>3.0744424748263601E-6</v>
      </c>
      <c r="BV51" s="2">
        <v>2.7672988345273102E-9</v>
      </c>
      <c r="BW51" s="2">
        <v>5.7826831323382099E-8</v>
      </c>
      <c r="BX51" s="2">
        <v>-6.5880434441112398E-10</v>
      </c>
      <c r="BY51">
        <v>74.756538391113295</v>
      </c>
      <c r="BZ51">
        <v>12.8041982650757</v>
      </c>
      <c r="CA51" s="2">
        <v>3.4028230607370999E+38</v>
      </c>
      <c r="CB51" s="2">
        <v>3.4028230607370999E+38</v>
      </c>
      <c r="CC51">
        <v>57.495277404785199</v>
      </c>
      <c r="CD51">
        <v>115.00543212890599</v>
      </c>
      <c r="CE51">
        <v>99.601997375488295</v>
      </c>
      <c r="CF51" s="2">
        <v>3.4028230607370999E+38</v>
      </c>
      <c r="CG51" s="2">
        <v>3.4028230607370999E+38</v>
      </c>
      <c r="CH51">
        <v>230.00177001953099</v>
      </c>
      <c r="CI51">
        <v>0.50001829862594604</v>
      </c>
      <c r="CJ51">
        <v>57.4948921203613</v>
      </c>
      <c r="CK51">
        <v>115.005477905273</v>
      </c>
      <c r="CL51">
        <v>99.602401733398395</v>
      </c>
      <c r="CM51">
        <v>49.999866485595703</v>
      </c>
      <c r="CN51">
        <v>-60.004451751708999</v>
      </c>
      <c r="CO51">
        <v>1.57301370054483E-2</v>
      </c>
      <c r="CP51" s="2">
        <v>3.52140045833949E-6</v>
      </c>
      <c r="CQ51" s="2">
        <v>3.1221976115603002E-9</v>
      </c>
      <c r="CR51" s="2">
        <v>5.4552206307789701E-8</v>
      </c>
      <c r="CS51" s="2">
        <v>5.7588783741735504E-10</v>
      </c>
      <c r="CT51">
        <v>74.6541748046875</v>
      </c>
      <c r="CU51">
        <v>-9.3901672363281197</v>
      </c>
      <c r="CV51">
        <v>1.6911506652832E-2</v>
      </c>
      <c r="CW51" s="2">
        <v>3.1271604257199202E-6</v>
      </c>
      <c r="CX51" s="2">
        <v>4.2642702702266896E-9</v>
      </c>
      <c r="CY51" s="2">
        <v>5.2561006214091302E-8</v>
      </c>
      <c r="CZ51" s="2">
        <v>1.7043582101194899E-9</v>
      </c>
      <c r="DA51">
        <v>74.668708801269503</v>
      </c>
      <c r="DB51">
        <v>-21.785772323608398</v>
      </c>
      <c r="DC51" s="2">
        <v>3.4028230607370999E+38</v>
      </c>
      <c r="DD51" s="2">
        <v>3.4028230607370999E+38</v>
      </c>
      <c r="DE51">
        <v>57.4948921203613</v>
      </c>
      <c r="DF51">
        <v>115.005477905273</v>
      </c>
      <c r="DG51">
        <v>99.602401733398395</v>
      </c>
      <c r="DH51" s="2">
        <v>3.4028230607370999E+38</v>
      </c>
      <c r="DI51" s="2">
        <v>3.4028230607370999E+38</v>
      </c>
      <c r="DJ51">
        <v>230.00155639648401</v>
      </c>
      <c r="DK51">
        <v>0.50001895427703902</v>
      </c>
      <c r="DL51">
        <v>57.495571136474602</v>
      </c>
      <c r="DM51">
        <v>115.005332946777</v>
      </c>
      <c r="DN51">
        <v>99.601829528808594</v>
      </c>
      <c r="DO51">
        <v>49.999889373779297</v>
      </c>
      <c r="DP51">
        <v>-60.004402160644503</v>
      </c>
      <c r="DQ51">
        <v>1.70386880636215E-2</v>
      </c>
      <c r="DR51" s="2">
        <v>3.5617269986687499E-6</v>
      </c>
      <c r="DS51" s="2">
        <v>2.4496349393388102E-9</v>
      </c>
      <c r="DT51" s="2">
        <v>6.0306035720714095E-8</v>
      </c>
      <c r="DU51" s="2">
        <v>-1.24133370249524E-9</v>
      </c>
      <c r="DV51">
        <v>74.725410461425795</v>
      </c>
      <c r="DW51">
        <v>37.071922302246101</v>
      </c>
      <c r="DX51">
        <v>1.8900714814662899E-2</v>
      </c>
      <c r="DY51" s="2">
        <v>3.1987908641895E-6</v>
      </c>
      <c r="DZ51" s="2">
        <v>3.9702521270612603E-9</v>
      </c>
      <c r="EA51" s="2">
        <v>6.0328382289753803E-8</v>
      </c>
      <c r="EB51" s="2">
        <v>-1.01768829474658E-10</v>
      </c>
      <c r="EC51">
        <v>74.850616455078097</v>
      </c>
      <c r="ED51">
        <v>1.5658233165741</v>
      </c>
      <c r="EE51" s="2">
        <v>3.4028230607370999E+38</v>
      </c>
      <c r="EF51" s="2">
        <v>3.4028230607370999E+38</v>
      </c>
      <c r="EG51">
        <v>57.495571136474602</v>
      </c>
      <c r="EH51">
        <v>115.005332946777</v>
      </c>
      <c r="EI51">
        <v>99.601821899414105</v>
      </c>
      <c r="EJ51" s="2">
        <v>3.4028230607370999E+38</v>
      </c>
      <c r="EK51" s="2">
        <v>3.4028230607370999E+38</v>
      </c>
      <c r="EL51">
        <v>123</v>
      </c>
      <c r="EM51">
        <v>230.00183105468801</v>
      </c>
      <c r="EN51">
        <v>0.50002080202102706</v>
      </c>
      <c r="EO51">
        <v>57.495639801025398</v>
      </c>
      <c r="EP51">
        <v>115.00553894043</v>
      </c>
      <c r="EQ51">
        <v>99.602127075195298</v>
      </c>
      <c r="ER51">
        <v>49.999935150146499</v>
      </c>
      <c r="ES51">
        <v>-60.0040893554688</v>
      </c>
      <c r="ET51">
        <v>0.499938875436783</v>
      </c>
      <c r="EU51" s="2">
        <v>3.4028230607370999E+38</v>
      </c>
      <c r="EV51">
        <v>0</v>
      </c>
      <c r="EW51">
        <v>230.006423950195</v>
      </c>
      <c r="EX51">
        <v>57.4947700500488</v>
      </c>
      <c r="EY51">
        <v>115.00831604003901</v>
      </c>
      <c r="EZ51">
        <v>99.604927062988295</v>
      </c>
      <c r="FA51" s="2">
        <v>-9.1732697910629199E-5</v>
      </c>
      <c r="FB51">
        <v>1.49322878569365E-2</v>
      </c>
      <c r="FC51" s="2">
        <v>3.5575130823417601E-6</v>
      </c>
      <c r="FD51" s="2">
        <v>1.9158372666083799E-9</v>
      </c>
      <c r="FE51" s="2">
        <v>5.3137615196874302E-8</v>
      </c>
      <c r="FF51" s="2">
        <v>-9.0966412180648604E-10</v>
      </c>
      <c r="FG51">
        <v>74.832168579101605</v>
      </c>
      <c r="FH51">
        <v>14.1335773468018</v>
      </c>
      <c r="FI51">
        <v>4.1074436157941797E-2</v>
      </c>
      <c r="FJ51" s="2">
        <v>3.4028230607370999E+38</v>
      </c>
      <c r="FK51">
        <v>-13.981570243835399</v>
      </c>
      <c r="FL51">
        <v>1.9597675651311899E-2</v>
      </c>
      <c r="FM51">
        <v>0</v>
      </c>
      <c r="FN51">
        <v>0</v>
      </c>
      <c r="FO51">
        <v>0</v>
      </c>
      <c r="FP51" s="2">
        <v>-9.5000368673936498E-6</v>
      </c>
      <c r="FQ51">
        <v>1.5234940685331801E-2</v>
      </c>
      <c r="FR51" s="2">
        <v>3.0533637982443898E-6</v>
      </c>
      <c r="FS51" s="2">
        <v>2.20160312203177E-9</v>
      </c>
      <c r="FT51" s="2">
        <v>4.6543338072524401E-8</v>
      </c>
      <c r="FU51" s="2">
        <v>3.5156269562186501E-10</v>
      </c>
      <c r="FV51">
        <v>74.673309326171903</v>
      </c>
      <c r="FW51">
        <v>-8.6958189010620099</v>
      </c>
      <c r="FX51">
        <v>4.80780899524689E-2</v>
      </c>
      <c r="FY51" s="2">
        <v>3.4028230607370999E+38</v>
      </c>
      <c r="FZ51">
        <v>42.025104522705099</v>
      </c>
      <c r="GA51">
        <v>229.58752441406199</v>
      </c>
      <c r="GB51" s="2">
        <v>-4.9333226392889204E-10</v>
      </c>
      <c r="GC51">
        <v>7.0671690627932505E-4</v>
      </c>
      <c r="GD51" s="2">
        <v>7.8595255303959303E-11</v>
      </c>
      <c r="GE51" s="2">
        <v>1.7099715478252599E-5</v>
      </c>
      <c r="GF51" s="2">
        <v>3.4028230607370999E+38</v>
      </c>
      <c r="GG51" s="2">
        <v>3.4028230607370999E+38</v>
      </c>
      <c r="GH51">
        <v>57.495121002197301</v>
      </c>
      <c r="GI51">
        <v>115.005485534668</v>
      </c>
      <c r="GJ51">
        <v>99.602279663085895</v>
      </c>
      <c r="GK51" s="2">
        <v>3.4028230607370999E+38</v>
      </c>
      <c r="GL51" s="2">
        <v>3.4028230607370999E+38</v>
      </c>
      <c r="GM51" s="2">
        <v>3.4028230607370999E+38</v>
      </c>
      <c r="GN51" s="2">
        <v>3.4028230607370999E+38</v>
      </c>
      <c r="GO51" s="2">
        <v>3.4028230607370999E+38</v>
      </c>
      <c r="GP51" s="2">
        <v>3.4028230607370999E+38</v>
      </c>
      <c r="GQ51">
        <v>57.492267608642599</v>
      </c>
      <c r="GR51">
        <v>57.492267608642599</v>
      </c>
      <c r="GS51">
        <v>99.601745605468807</v>
      </c>
      <c r="GT51">
        <v>-2.00182344997302E-4</v>
      </c>
      <c r="GX51">
        <f t="shared" si="1"/>
        <v>230.00158386230459</v>
      </c>
      <c r="GY51">
        <f t="shared" si="2"/>
        <v>0.50001883506774902</v>
      </c>
      <c r="GZ51">
        <f t="shared" si="3"/>
        <v>57.495152282714834</v>
      </c>
      <c r="HA51">
        <f t="shared" si="4"/>
        <v>115.00530242919899</v>
      </c>
      <c r="HB51">
        <f t="shared" si="5"/>
        <v>99.602073669433565</v>
      </c>
      <c r="HC51">
        <f t="shared" si="6"/>
        <v>49.999921417236315</v>
      </c>
      <c r="HD51">
        <f t="shared" si="7"/>
        <v>-60.004427337646504</v>
      </c>
      <c r="HW51" s="10">
        <f>(GX51/Data!$S51-1)*1000000</f>
        <v>21.598414726708981</v>
      </c>
      <c r="HX51" s="10">
        <f>(GY51/Data!$T51-1)*1000000</f>
        <v>48.960688264321206</v>
      </c>
      <c r="HY51" s="10">
        <f>(GZ51/Data!$BW51-1)*1000000</f>
        <v>-74.3872995195849</v>
      </c>
      <c r="HZ51" s="10">
        <f>(HA51/(Data!$S51*Data!$T51)-1)*1000000</f>
        <v>72.111528039320305</v>
      </c>
      <c r="IA51" s="7">
        <f>(HB51/IF(HD51&gt;0, -Data!$BX51,Data!$BX51)-1)*1000000</f>
        <v>123.25348149722082</v>
      </c>
      <c r="IB51" s="10"/>
      <c r="IC51" s="9">
        <f>(HD51-Data!$U51)</f>
        <v>-4.9590676465030015E-3</v>
      </c>
    </row>
    <row r="52" spans="1:237" x14ac:dyDescent="0.2">
      <c r="A52">
        <v>52</v>
      </c>
      <c r="B52">
        <v>230.00199890136699</v>
      </c>
      <c r="C52">
        <v>0.50001853704452504</v>
      </c>
      <c r="D52">
        <v>57.495033264160199</v>
      </c>
      <c r="E52">
        <v>115.00527954101599</v>
      </c>
      <c r="F52">
        <v>99.601989746093807</v>
      </c>
      <c r="G52">
        <v>49.999870300292997</v>
      </c>
      <c r="H52">
        <v>-60.004650115966797</v>
      </c>
      <c r="I52">
        <v>1.52822937816381E-2</v>
      </c>
      <c r="J52" s="2">
        <v>3.55250654138217E-6</v>
      </c>
      <c r="K52" s="2">
        <v>2.5017128368887101E-9</v>
      </c>
      <c r="L52" s="2">
        <v>5.4242430991280297E-8</v>
      </c>
      <c r="M52" s="2">
        <v>5.5075916050029202E-10</v>
      </c>
      <c r="N52">
        <v>74.807136535644503</v>
      </c>
      <c r="O52">
        <v>-19.7251682281494</v>
      </c>
      <c r="P52">
        <v>1.6682049259543402E-2</v>
      </c>
      <c r="Q52" s="2">
        <v>3.0529677133017698E-6</v>
      </c>
      <c r="R52" s="2">
        <v>2.6849034107101501E-9</v>
      </c>
      <c r="S52" s="2">
        <v>5.06625177365549E-8</v>
      </c>
      <c r="T52" s="2">
        <v>1.19070109327879E-9</v>
      </c>
      <c r="U52">
        <v>74.759925842285199</v>
      </c>
      <c r="V52">
        <v>-16.892583847045898</v>
      </c>
      <c r="W52" s="2">
        <v>3.4028230607370999E+38</v>
      </c>
      <c r="X52" s="2">
        <v>3.4028230607370999E+38</v>
      </c>
      <c r="Y52">
        <v>57.495033264160199</v>
      </c>
      <c r="Z52">
        <v>115.00527954101599</v>
      </c>
      <c r="AA52">
        <v>99.601989746093807</v>
      </c>
      <c r="AB52" s="2">
        <v>3.4028230607370999E+38</v>
      </c>
      <c r="AC52" s="2">
        <v>3.4028230607370999E+38</v>
      </c>
      <c r="AD52">
        <v>230.00189208984401</v>
      </c>
      <c r="AE52">
        <v>0.50002050399780296</v>
      </c>
      <c r="AF52">
        <v>57.495304107666001</v>
      </c>
      <c r="AG52">
        <v>115.00527191162099</v>
      </c>
      <c r="AH52">
        <v>99.601974487304702</v>
      </c>
      <c r="AI52">
        <v>49.999874114990199</v>
      </c>
      <c r="AJ52">
        <v>-60.004150390625</v>
      </c>
      <c r="AK52">
        <v>1.70467291027308E-2</v>
      </c>
      <c r="AL52" s="2">
        <v>3.5804446270049101E-6</v>
      </c>
      <c r="AM52" s="2">
        <v>2.4272863718977099E-9</v>
      </c>
      <c r="AN52" s="2">
        <v>6.1034931775338905E-8</v>
      </c>
      <c r="AO52" s="2">
        <v>-1.36672406725324E-9</v>
      </c>
      <c r="AP52">
        <v>74.658920288085895</v>
      </c>
      <c r="AQ52">
        <v>36.938014984130902</v>
      </c>
      <c r="AR52">
        <v>1.8436843529343602E-2</v>
      </c>
      <c r="AS52" s="2">
        <v>3.1892084280116302E-6</v>
      </c>
      <c r="AT52" s="2">
        <v>4.4132706378263703E-9</v>
      </c>
      <c r="AU52" s="2">
        <v>5.6408509863103999E-8</v>
      </c>
      <c r="AV52" s="2">
        <v>-3.55092288906178E-10</v>
      </c>
      <c r="AW52">
        <v>74.640419006347699</v>
      </c>
      <c r="AX52">
        <v>7.7680106163024902</v>
      </c>
      <c r="AY52" s="2">
        <v>3.4028230607370999E+38</v>
      </c>
      <c r="AZ52" s="2">
        <v>3.4028230607370999E+38</v>
      </c>
      <c r="BA52">
        <v>57.495304107666001</v>
      </c>
      <c r="BB52">
        <v>115.00527191162099</v>
      </c>
      <c r="BC52">
        <v>99.601966857910199</v>
      </c>
      <c r="BD52" s="2">
        <v>3.4028230607370999E+38</v>
      </c>
      <c r="BE52" s="2">
        <v>3.4028230607370999E+38</v>
      </c>
      <c r="BF52">
        <v>230.00184631347699</v>
      </c>
      <c r="BG52">
        <v>0.50002062320709195</v>
      </c>
      <c r="BH52">
        <v>57.495529174804702</v>
      </c>
      <c r="BI52">
        <v>115.005569458008</v>
      </c>
      <c r="BJ52">
        <v>99.6029052734375</v>
      </c>
      <c r="BK52">
        <v>49.999927520752003</v>
      </c>
      <c r="BL52">
        <v>-60.004566192627003</v>
      </c>
      <c r="BM52">
        <v>1.4257726259529599E-2</v>
      </c>
      <c r="BN52" s="2">
        <v>3.4955619412357902E-6</v>
      </c>
      <c r="BO52" s="2">
        <v>1.1292281554276E-9</v>
      </c>
      <c r="BP52" s="2">
        <v>5.04234556331085E-8</v>
      </c>
      <c r="BQ52" s="2">
        <v>-3.6250813462146399E-10</v>
      </c>
      <c r="BR52">
        <v>74.7705078125</v>
      </c>
      <c r="BS52">
        <v>-14.5215101242065</v>
      </c>
      <c r="BT52">
        <v>1.5113449655473199E-2</v>
      </c>
      <c r="BU52" s="2">
        <v>3.1759395824337801E-6</v>
      </c>
      <c r="BV52" s="2">
        <v>8.4963452939845803E-10</v>
      </c>
      <c r="BW52" s="2">
        <v>4.9085425501971298E-8</v>
      </c>
      <c r="BX52" s="2">
        <v>-6.7438810091857704E-10</v>
      </c>
      <c r="BY52">
        <v>74.739440917968807</v>
      </c>
      <c r="BZ52">
        <v>10.2502393722534</v>
      </c>
      <c r="CA52" s="2">
        <v>3.4028230607370999E+38</v>
      </c>
      <c r="CB52" s="2">
        <v>3.4028230607370999E+38</v>
      </c>
      <c r="CC52">
        <v>57.495529174804702</v>
      </c>
      <c r="CD52">
        <v>115.005569458008</v>
      </c>
      <c r="CE52">
        <v>99.602897644042997</v>
      </c>
      <c r="CF52" s="2">
        <v>3.4028230607370999E+38</v>
      </c>
      <c r="CG52" s="2">
        <v>3.4028230607370999E+38</v>
      </c>
      <c r="CH52">
        <v>230.00180053710901</v>
      </c>
      <c r="CI52">
        <v>0.50002169609069802</v>
      </c>
      <c r="CJ52">
        <v>57.495330810546903</v>
      </c>
      <c r="CK52">
        <v>115.00546264648401</v>
      </c>
      <c r="CL52">
        <v>99.601867675781193</v>
      </c>
      <c r="CM52">
        <v>50.000007629394503</v>
      </c>
      <c r="CN52">
        <v>-60.004356384277301</v>
      </c>
      <c r="CO52">
        <v>1.53348036110401E-2</v>
      </c>
      <c r="CP52" s="2">
        <v>3.57877138412732E-6</v>
      </c>
      <c r="CQ52" s="2">
        <v>1.00181152262735E-9</v>
      </c>
      <c r="CR52" s="2">
        <v>5.3781466391455999E-8</v>
      </c>
      <c r="CS52" s="2">
        <v>-1.4580499030358901E-9</v>
      </c>
      <c r="CT52">
        <v>74.806465148925795</v>
      </c>
      <c r="CU52">
        <v>50.236331939697301</v>
      </c>
      <c r="CV52">
        <v>1.6782164573669399E-2</v>
      </c>
      <c r="CW52" s="2">
        <v>3.0983701435616202E-6</v>
      </c>
      <c r="CX52" s="2">
        <v>9.9734498437697994E-10</v>
      </c>
      <c r="CY52" s="2">
        <v>5.17091685026116E-8</v>
      </c>
      <c r="CZ52" s="2">
        <v>-7.58402340927944E-10</v>
      </c>
      <c r="DA52">
        <v>74.753631591796903</v>
      </c>
      <c r="DB52">
        <v>36.137031555175803</v>
      </c>
      <c r="DC52" s="2">
        <v>3.4028230607370999E+38</v>
      </c>
      <c r="DD52" s="2">
        <v>3.4028230607370999E+38</v>
      </c>
      <c r="DE52">
        <v>57.495330810546903</v>
      </c>
      <c r="DF52">
        <v>115.00546264648401</v>
      </c>
      <c r="DG52">
        <v>99.601860046386705</v>
      </c>
      <c r="DH52" s="2">
        <v>3.4028230607370999E+38</v>
      </c>
      <c r="DI52" s="2">
        <v>3.4028230607370999E+38</v>
      </c>
      <c r="DJ52">
        <v>230.00173950195301</v>
      </c>
      <c r="DK52">
        <v>0.50001895427703902</v>
      </c>
      <c r="DL52">
        <v>57.495090484619098</v>
      </c>
      <c r="DM52">
        <v>115.00514221191401</v>
      </c>
      <c r="DN52">
        <v>99.601852416992202</v>
      </c>
      <c r="DO52">
        <v>49.9998970031738</v>
      </c>
      <c r="DP52">
        <v>-60.004428863525398</v>
      </c>
      <c r="DQ52">
        <v>1.6382543370127699E-2</v>
      </c>
      <c r="DR52" s="2">
        <v>3.6005135370942298E-6</v>
      </c>
      <c r="DS52" s="2">
        <v>2.2997226345466999E-9</v>
      </c>
      <c r="DT52" s="2">
        <v>5.8934983115932502E-8</v>
      </c>
      <c r="DU52" s="2">
        <v>6.8231315042410798E-10</v>
      </c>
      <c r="DV52">
        <v>74.745880126953097</v>
      </c>
      <c r="DW52">
        <v>1.88549327850342</v>
      </c>
      <c r="DX52">
        <v>1.78553387522697E-2</v>
      </c>
      <c r="DY52" s="2">
        <v>3.1354625207313802E-6</v>
      </c>
      <c r="DZ52" s="2">
        <v>3.8726701845348502E-9</v>
      </c>
      <c r="EA52" s="2">
        <v>5.5788568431580603E-8</v>
      </c>
      <c r="EB52" s="2">
        <v>1.6230491395319299E-9</v>
      </c>
      <c r="EC52">
        <v>74.719894409179702</v>
      </c>
      <c r="ED52">
        <v>-34.2360229492188</v>
      </c>
      <c r="EE52" s="2">
        <v>3.4028230607370999E+38</v>
      </c>
      <c r="EF52" s="2">
        <v>3.4028230607370999E+38</v>
      </c>
      <c r="EG52">
        <v>57.495090484619098</v>
      </c>
      <c r="EH52">
        <v>115.00514221191401</v>
      </c>
      <c r="EI52">
        <v>99.601852416992202</v>
      </c>
      <c r="EJ52" s="2">
        <v>3.4028230607370999E+38</v>
      </c>
      <c r="EK52" s="2">
        <v>3.4028230607370999E+38</v>
      </c>
      <c r="EL52">
        <v>123</v>
      </c>
      <c r="EM52">
        <v>230.00172424316401</v>
      </c>
      <c r="EN52">
        <v>0.50001770257949796</v>
      </c>
      <c r="EO52">
        <v>57.495376586914098</v>
      </c>
      <c r="EP52">
        <v>115.00530242919901</v>
      </c>
      <c r="EQ52">
        <v>99.601837158203097</v>
      </c>
      <c r="ER52">
        <v>49.999958038330099</v>
      </c>
      <c r="ES52">
        <v>-60.004539489746101</v>
      </c>
      <c r="ET52">
        <v>0.49993282556533802</v>
      </c>
      <c r="EU52" s="2">
        <v>3.4028230607370999E+38</v>
      </c>
      <c r="EV52">
        <v>0</v>
      </c>
      <c r="EW52">
        <v>230.00035095214801</v>
      </c>
      <c r="EX52">
        <v>57.490814208984403</v>
      </c>
      <c r="EY52">
        <v>115.00430297851599</v>
      </c>
      <c r="EZ52">
        <v>99.601043701171903</v>
      </c>
      <c r="FA52">
        <v>-3.4377328120172002E-4</v>
      </c>
      <c r="FB52">
        <v>1.6424667090177501E-2</v>
      </c>
      <c r="FC52" s="2">
        <v>3.5708158065972401E-6</v>
      </c>
      <c r="FD52" s="2">
        <v>2.8492466164209401E-9</v>
      </c>
      <c r="FE52" s="2">
        <v>5.8604285868568702E-8</v>
      </c>
      <c r="FF52" s="2">
        <v>5.2270304751189697E-10</v>
      </c>
      <c r="FG52">
        <v>74.733062744140597</v>
      </c>
      <c r="FH52">
        <v>-6.7953262329101598</v>
      </c>
      <c r="FI52">
        <v>7.4678428471088396E-2</v>
      </c>
      <c r="FJ52" s="2">
        <v>3.4028230607370999E+38</v>
      </c>
      <c r="FK52">
        <v>-31.987970352172901</v>
      </c>
      <c r="FL52">
        <v>2.0924741402268399E-2</v>
      </c>
      <c r="FM52">
        <v>0</v>
      </c>
      <c r="FN52">
        <v>0</v>
      </c>
      <c r="FO52">
        <v>0</v>
      </c>
      <c r="FP52" s="2">
        <v>-1.98344951058971E-5</v>
      </c>
      <c r="FQ52">
        <v>1.8144261091947601E-2</v>
      </c>
      <c r="FR52" s="2">
        <v>3.1035237952892199E-6</v>
      </c>
      <c r="FS52" s="2">
        <v>3.7985614653734997E-9</v>
      </c>
      <c r="FT52" s="2">
        <v>5.6873449949534902E-8</v>
      </c>
      <c r="FU52" s="2">
        <v>2.8162292498023999E-9</v>
      </c>
      <c r="FV52">
        <v>74.750984191894503</v>
      </c>
      <c r="FW52">
        <v>-27.197658538818398</v>
      </c>
      <c r="FX52">
        <v>9.1980442404746995E-2</v>
      </c>
      <c r="FY52" s="2">
        <v>3.4028230607370999E+38</v>
      </c>
      <c r="FZ52">
        <v>-47.595203399658203</v>
      </c>
      <c r="GA52">
        <v>229.28977966308599</v>
      </c>
      <c r="GB52" s="2">
        <v>-7.0663822016037198E-11</v>
      </c>
      <c r="GC52">
        <v>7.3502003215253396E-4</v>
      </c>
      <c r="GD52" s="2">
        <v>8.0787537770632401E-10</v>
      </c>
      <c r="GE52" s="2">
        <v>3.9559831748192698E-6</v>
      </c>
      <c r="GF52" s="2">
        <v>3.4028230607370999E+38</v>
      </c>
      <c r="GG52" s="2">
        <v>3.4028230607370999E+38</v>
      </c>
      <c r="GH52">
        <v>57.494953155517599</v>
      </c>
      <c r="GI52">
        <v>115.00531005859401</v>
      </c>
      <c r="GJ52">
        <v>99.601989746093807</v>
      </c>
      <c r="GK52" s="2">
        <v>3.4028230607370999E+38</v>
      </c>
      <c r="GL52" s="2">
        <v>3.4028230607370999E+38</v>
      </c>
      <c r="GM52" s="2">
        <v>3.4028230607370999E+38</v>
      </c>
      <c r="GN52" s="2">
        <v>3.4028230607370999E+38</v>
      </c>
      <c r="GO52" s="2">
        <v>3.4028230607370999E+38</v>
      </c>
      <c r="GP52" s="2">
        <v>3.4028230607370999E+38</v>
      </c>
      <c r="GQ52">
        <v>57.4903755187988</v>
      </c>
      <c r="GR52">
        <v>57.4903755187988</v>
      </c>
      <c r="GS52">
        <v>99.602073669433594</v>
      </c>
      <c r="GT52">
        <v>-3.9270913111977301E-4</v>
      </c>
      <c r="GX52">
        <f t="shared" si="1"/>
        <v>230.00185546874999</v>
      </c>
      <c r="GY52">
        <f t="shared" si="2"/>
        <v>0.50002006292343126</v>
      </c>
      <c r="GZ52">
        <f t="shared" si="3"/>
        <v>57.495257568359385</v>
      </c>
      <c r="HA52">
        <f t="shared" si="4"/>
        <v>115.00534515380859</v>
      </c>
      <c r="HB52">
        <f t="shared" si="5"/>
        <v>99.602117919921881</v>
      </c>
      <c r="HC52">
        <f t="shared" si="6"/>
        <v>49.999915313720706</v>
      </c>
      <c r="HD52">
        <f t="shared" si="7"/>
        <v>-60.004430389404298</v>
      </c>
      <c r="HW52" s="10">
        <f>(GX52/Data!$S52-1)*1000000</f>
        <v>21.957125627025675</v>
      </c>
      <c r="HX52" s="10">
        <f>(GY52/Data!$T52-1)*1000000</f>
        <v>40.901878602506159</v>
      </c>
      <c r="HY52" s="10">
        <f>(GZ52/Data!$BW52-1)*1000000</f>
        <v>-91.985588588139322</v>
      </c>
      <c r="HZ52" s="10">
        <f>(HA52/(Data!$S52*Data!$T52)-1)*1000000</f>
        <v>61.146049515459211</v>
      </c>
      <c r="IA52" s="7">
        <f>(HB52/IF(HD52&gt;0, -Data!$BX52,Data!$BX52)-1)*1000000</f>
        <v>115.05908309361601</v>
      </c>
      <c r="IB52" s="10"/>
      <c r="IC52" s="9">
        <f>(HD52-Data!$U52)</f>
        <v>-5.2298994042985214E-3</v>
      </c>
    </row>
    <row r="53" spans="1:237" x14ac:dyDescent="0.2">
      <c r="A53">
        <v>53</v>
      </c>
      <c r="B53">
        <v>230.002029418945</v>
      </c>
      <c r="C53">
        <v>0.50002199411392201</v>
      </c>
      <c r="D53">
        <v>57.495021820068402</v>
      </c>
      <c r="E53">
        <v>115.005905151367</v>
      </c>
      <c r="F53">
        <v>99.602783203125</v>
      </c>
      <c r="G53">
        <v>49.999996185302699</v>
      </c>
      <c r="H53">
        <v>-60.004589080810497</v>
      </c>
      <c r="I53">
        <v>1.42701137810946E-2</v>
      </c>
      <c r="J53" s="2">
        <v>3.5511388887243798E-6</v>
      </c>
      <c r="K53" s="2">
        <v>8.1539963669996496E-10</v>
      </c>
      <c r="L53" s="2">
        <v>5.1151879176814003E-8</v>
      </c>
      <c r="M53" s="2">
        <v>6.2800452338418505E-11</v>
      </c>
      <c r="N53">
        <v>74.758560180664105</v>
      </c>
      <c r="O53">
        <v>-2.6084170341491699</v>
      </c>
      <c r="P53">
        <v>1.5274795703589901E-2</v>
      </c>
      <c r="Q53" s="2">
        <v>3.2268471841234701E-6</v>
      </c>
      <c r="R53" s="2">
        <v>5.9545784969472503E-10</v>
      </c>
      <c r="S53" s="2">
        <v>4.9276831504130301E-8</v>
      </c>
      <c r="T53" s="2">
        <v>-3.06794589732817E-11</v>
      </c>
      <c r="U53">
        <v>74.717674255371094</v>
      </c>
      <c r="V53">
        <v>1.5349479913711499</v>
      </c>
      <c r="W53" s="2">
        <v>3.4028230607370999E+38</v>
      </c>
      <c r="X53" s="2">
        <v>3.4028230607370999E+38</v>
      </c>
      <c r="Y53">
        <v>57.495021820068402</v>
      </c>
      <c r="Z53">
        <v>115.005905151367</v>
      </c>
      <c r="AA53">
        <v>99.602775573730497</v>
      </c>
      <c r="AB53" s="2">
        <v>3.4028230607370999E+38</v>
      </c>
      <c r="AC53" s="2">
        <v>3.4028230607370999E+38</v>
      </c>
      <c r="AD53">
        <v>230.00196838378901</v>
      </c>
      <c r="AE53">
        <v>0.50001800060272195</v>
      </c>
      <c r="AF53">
        <v>57.494899749755902</v>
      </c>
      <c r="AG53">
        <v>115.005378723145</v>
      </c>
      <c r="AH53">
        <v>99.602142333984403</v>
      </c>
      <c r="AI53">
        <v>49.999931335449197</v>
      </c>
      <c r="AJ53">
        <v>-60.004436492919901</v>
      </c>
      <c r="AK53">
        <v>1.6047293320298198E-2</v>
      </c>
      <c r="AL53" s="2">
        <v>3.5370312616578299E-6</v>
      </c>
      <c r="AM53" s="2">
        <v>1.6806173119832099E-9</v>
      </c>
      <c r="AN53" s="2">
        <v>5.7792821195334903E-8</v>
      </c>
      <c r="AO53" s="2">
        <v>9.3155427816071799E-10</v>
      </c>
      <c r="AP53">
        <v>74.829658508300795</v>
      </c>
      <c r="AQ53">
        <v>-13.7339372634888</v>
      </c>
      <c r="AR53">
        <v>1.7833013087511101E-2</v>
      </c>
      <c r="AS53" s="2">
        <v>3.1376700917462598E-6</v>
      </c>
      <c r="AT53" s="2">
        <v>4.0109338073079901E-9</v>
      </c>
      <c r="AU53" s="2">
        <v>5.6595293784766902E-8</v>
      </c>
      <c r="AV53" s="2">
        <v>1.87928184125497E-9</v>
      </c>
      <c r="AW53">
        <v>74.769195556640597</v>
      </c>
      <c r="AX53">
        <v>-27.726991653442401</v>
      </c>
      <c r="AY53" s="2">
        <v>3.4028230607370999E+38</v>
      </c>
      <c r="AZ53" s="2">
        <v>3.4028230607370999E+38</v>
      </c>
      <c r="BA53">
        <v>57.494899749755902</v>
      </c>
      <c r="BB53">
        <v>115.005378723145</v>
      </c>
      <c r="BC53">
        <v>99.602142333984403</v>
      </c>
      <c r="BD53" s="2">
        <v>3.4028230607370999E+38</v>
      </c>
      <c r="BE53" s="2">
        <v>3.4028230607370999E+38</v>
      </c>
      <c r="BF53">
        <v>230.00167846679699</v>
      </c>
      <c r="BG53">
        <v>0.50002151727676403</v>
      </c>
      <c r="BH53">
        <v>57.494945526122997</v>
      </c>
      <c r="BI53">
        <v>115.005737304688</v>
      </c>
      <c r="BJ53">
        <v>99.602561950683594</v>
      </c>
      <c r="BK53">
        <v>49.999954223632798</v>
      </c>
      <c r="BL53">
        <v>-60.004356384277301</v>
      </c>
      <c r="BM53">
        <v>1.4426277950406101E-2</v>
      </c>
      <c r="BN53" s="2">
        <v>3.5363416373002102E-6</v>
      </c>
      <c r="BO53" s="2">
        <v>1.32286670506687E-9</v>
      </c>
      <c r="BP53" s="2">
        <v>5.0992930766824403E-8</v>
      </c>
      <c r="BQ53" s="2">
        <v>3.6781167001009899E-10</v>
      </c>
      <c r="BR53">
        <v>74.704841613769503</v>
      </c>
      <c r="BS53">
        <v>-8.1191568374633807</v>
      </c>
      <c r="BT53">
        <v>1.52457589283586E-2</v>
      </c>
      <c r="BU53" s="2">
        <v>3.0716180390300001E-6</v>
      </c>
      <c r="BV53" s="2">
        <v>3.1276078948927498E-10</v>
      </c>
      <c r="BW53" s="2">
        <v>4.87338915888813E-8</v>
      </c>
      <c r="BX53" s="2">
        <v>-5.7935239938799999E-10</v>
      </c>
      <c r="BY53">
        <v>74.676895141601605</v>
      </c>
      <c r="BZ53">
        <v>34.315193176269503</v>
      </c>
      <c r="CA53" s="2">
        <v>3.4028230607370999E+38</v>
      </c>
      <c r="CB53" s="2">
        <v>3.4028230607370999E+38</v>
      </c>
      <c r="CC53">
        <v>57.494945526122997</v>
      </c>
      <c r="CD53">
        <v>115.005737304688</v>
      </c>
      <c r="CE53">
        <v>99.602554321289105</v>
      </c>
      <c r="CF53" s="2">
        <v>3.4028230607370999E+38</v>
      </c>
      <c r="CG53" s="2">
        <v>3.4028230607370999E+38</v>
      </c>
      <c r="CH53">
        <v>230.00205993652301</v>
      </c>
      <c r="CI53">
        <v>0.50002062320709195</v>
      </c>
      <c r="CJ53">
        <v>57.495285034179702</v>
      </c>
      <c r="CK53">
        <v>115.00571441650401</v>
      </c>
      <c r="CL53">
        <v>99.602653503417997</v>
      </c>
      <c r="CM53">
        <v>49.999870300292997</v>
      </c>
      <c r="CN53">
        <v>-60.004520416259801</v>
      </c>
      <c r="CO53">
        <v>1.4361981302499801E-2</v>
      </c>
      <c r="CP53" s="2">
        <v>3.5714419936994099E-6</v>
      </c>
      <c r="CQ53" s="2">
        <v>6.1288957242666697E-10</v>
      </c>
      <c r="CR53" s="2">
        <v>5.0345811075658302E-8</v>
      </c>
      <c r="CS53" s="2">
        <v>-3.40112354946243E-10</v>
      </c>
      <c r="CT53">
        <v>74.595138549804702</v>
      </c>
      <c r="CU53">
        <v>75.572273254394503</v>
      </c>
      <c r="CV53">
        <v>1.49749545380473E-2</v>
      </c>
      <c r="CW53" s="2">
        <v>3.19192213282804E-6</v>
      </c>
      <c r="CX53" s="2">
        <v>1.53771484434628E-9</v>
      </c>
      <c r="CY53" s="2">
        <v>4.6667761210983398E-8</v>
      </c>
      <c r="CZ53" s="2">
        <v>-2.3847807062438201E-10</v>
      </c>
      <c r="DA53">
        <v>74.770851135253906</v>
      </c>
      <c r="DB53">
        <v>7.8498611450195304</v>
      </c>
      <c r="DC53" s="2">
        <v>3.4028230607370999E+38</v>
      </c>
      <c r="DD53" s="2">
        <v>3.4028230607370999E+38</v>
      </c>
      <c r="DE53">
        <v>57.495285034179702</v>
      </c>
      <c r="DF53">
        <v>115.00571441650401</v>
      </c>
      <c r="DG53">
        <v>99.602645874023395</v>
      </c>
      <c r="DH53" s="2">
        <v>3.4028230607370999E+38</v>
      </c>
      <c r="DI53" s="2">
        <v>3.4028230607370999E+38</v>
      </c>
      <c r="DJ53">
        <v>230.00172424316401</v>
      </c>
      <c r="DK53">
        <v>0.50002026557922397</v>
      </c>
      <c r="DL53">
        <v>57.495231628417997</v>
      </c>
      <c r="DM53">
        <v>115.005447387695</v>
      </c>
      <c r="DN53">
        <v>99.602272033691406</v>
      </c>
      <c r="DO53">
        <v>49.9999809265137</v>
      </c>
      <c r="DP53">
        <v>-60.004203796386697</v>
      </c>
      <c r="DQ53">
        <v>1.44864609465003E-2</v>
      </c>
      <c r="DR53" s="2">
        <v>3.6344395084597598E-6</v>
      </c>
      <c r="DS53" s="2">
        <v>4.6070769421646699E-10</v>
      </c>
      <c r="DT53" s="2">
        <v>5.2666383254518203E-8</v>
      </c>
      <c r="DU53" s="2">
        <v>-3.96851967954248E-10</v>
      </c>
      <c r="DV53">
        <v>74.763313293457003</v>
      </c>
      <c r="DW53">
        <v>2.8379259109497101</v>
      </c>
      <c r="DX53">
        <v>1.5179194509983099E-2</v>
      </c>
      <c r="DY53" s="2">
        <v>3.1919121283863201E-6</v>
      </c>
      <c r="DZ53" s="2">
        <v>1.44216627528948E-9</v>
      </c>
      <c r="EA53" s="2">
        <v>4.8400153218608499E-8</v>
      </c>
      <c r="EB53" s="2">
        <v>2.3567797019508099E-11</v>
      </c>
      <c r="EC53">
        <v>74.612434387207003</v>
      </c>
      <c r="ED53">
        <v>-1.2832496166229199</v>
      </c>
      <c r="EE53" s="2">
        <v>3.4028230607370999E+38</v>
      </c>
      <c r="EF53" s="2">
        <v>3.4028230607370999E+38</v>
      </c>
      <c r="EG53">
        <v>57.495231628417997</v>
      </c>
      <c r="EH53">
        <v>115.005447387695</v>
      </c>
      <c r="EI53">
        <v>99.602264404296903</v>
      </c>
      <c r="EJ53" s="2">
        <v>3.4028230607370999E+38</v>
      </c>
      <c r="EK53" s="2">
        <v>3.4028230607370999E+38</v>
      </c>
      <c r="EL53">
        <v>123</v>
      </c>
      <c r="EM53">
        <v>230.00180053710901</v>
      </c>
      <c r="EN53">
        <v>0.50002163648605302</v>
      </c>
      <c r="EO53">
        <v>57.4952201843262</v>
      </c>
      <c r="EP53">
        <v>115.005867004395</v>
      </c>
      <c r="EQ53">
        <v>99.602516174316406</v>
      </c>
      <c r="ER53">
        <v>49.999946594238303</v>
      </c>
      <c r="ES53">
        <v>-60.0046195983887</v>
      </c>
      <c r="ET53">
        <v>0.49993112683296198</v>
      </c>
      <c r="EU53" s="2">
        <v>3.4028230607370999E+38</v>
      </c>
      <c r="EV53">
        <v>0</v>
      </c>
      <c r="EW53">
        <v>230.00140380859401</v>
      </c>
      <c r="EX53">
        <v>57.4930419921875</v>
      </c>
      <c r="EY53">
        <v>115.00554656982401</v>
      </c>
      <c r="EZ53">
        <v>99.602485656738295</v>
      </c>
      <c r="FA53">
        <v>-1.4206973719410601E-4</v>
      </c>
      <c r="FB53">
        <v>1.4597991481423401E-2</v>
      </c>
      <c r="FC53" s="2">
        <v>3.5145023957738898E-6</v>
      </c>
      <c r="FD53" s="2">
        <v>1.0193441646322301E-9</v>
      </c>
      <c r="FE53" s="2">
        <v>5.1282956547993301E-8</v>
      </c>
      <c r="FF53" s="2">
        <v>1.0703652408849999E-9</v>
      </c>
      <c r="FG53">
        <v>74.7767333984375</v>
      </c>
      <c r="FH53">
        <v>-57.632553100585902</v>
      </c>
      <c r="FI53">
        <v>1.32111376151443E-2</v>
      </c>
      <c r="FJ53" s="2">
        <v>3.4028230607370999E+38</v>
      </c>
      <c r="FK53">
        <v>-20.798515319824201</v>
      </c>
      <c r="FL53">
        <v>2.00880318880081E-2</v>
      </c>
      <c r="FM53">
        <v>0</v>
      </c>
      <c r="FN53">
        <v>0</v>
      </c>
      <c r="FO53">
        <v>0</v>
      </c>
      <c r="FP53" s="2">
        <v>-1.4063709386391601E-5</v>
      </c>
      <c r="FQ53">
        <v>1.6579978168010701E-2</v>
      </c>
      <c r="FR53" s="2">
        <v>3.1493370897806E-6</v>
      </c>
      <c r="FS53" s="2">
        <v>2.8612323621501901E-9</v>
      </c>
      <c r="FT53" s="2">
        <v>5.2219800039665603E-8</v>
      </c>
      <c r="FU53" s="2">
        <v>1.84578230477683E-9</v>
      </c>
      <c r="FV53">
        <v>74.750473022460895</v>
      </c>
      <c r="FW53">
        <v>-24.483451843261701</v>
      </c>
      <c r="FX53">
        <v>6.0258783400058698E-2</v>
      </c>
      <c r="FY53" s="2">
        <v>3.4028230607370999E+38</v>
      </c>
      <c r="FZ53">
        <v>22.293428421020501</v>
      </c>
      <c r="GA53">
        <v>229.007736206055</v>
      </c>
      <c r="GB53" s="2">
        <v>4.2218950557781899E-10</v>
      </c>
      <c r="GC53">
        <v>7.1986403781920704E-4</v>
      </c>
      <c r="GD53" s="2">
        <v>-4.3141235028798498E-10</v>
      </c>
      <c r="GE53" s="2">
        <v>9.0288631326984597E-6</v>
      </c>
      <c r="GF53" s="2">
        <v>3.4028230607370999E+38</v>
      </c>
      <c r="GG53" s="2">
        <v>3.4028230607370999E+38</v>
      </c>
      <c r="GH53">
        <v>57.494518280029297</v>
      </c>
      <c r="GI53">
        <v>115.00481414794901</v>
      </c>
      <c r="GJ53">
        <v>99.601608276367202</v>
      </c>
      <c r="GK53" s="2">
        <v>3.4028230607370999E+38</v>
      </c>
      <c r="GL53" s="2">
        <v>3.4028230607370999E+38</v>
      </c>
      <c r="GM53" s="2">
        <v>3.4028230607370999E+38</v>
      </c>
      <c r="GN53" s="2">
        <v>3.4028230607370999E+38</v>
      </c>
      <c r="GO53" s="2">
        <v>3.4028230607370999E+38</v>
      </c>
      <c r="GP53" s="2">
        <v>3.4028230607370999E+38</v>
      </c>
      <c r="GQ53">
        <v>57.490425109863303</v>
      </c>
      <c r="GR53">
        <v>57.4902534484863</v>
      </c>
      <c r="GS53">
        <v>99.601753234863295</v>
      </c>
      <c r="GT53">
        <v>-4.8143620369955897E-4</v>
      </c>
      <c r="GX53">
        <f t="shared" si="1"/>
        <v>230.00189208984361</v>
      </c>
      <c r="GY53">
        <f t="shared" si="2"/>
        <v>0.50002048015594469</v>
      </c>
      <c r="GZ53">
        <f t="shared" si="3"/>
        <v>57.495076751709007</v>
      </c>
      <c r="HA53">
        <f t="shared" si="4"/>
        <v>115.00563659667981</v>
      </c>
      <c r="HB53">
        <f t="shared" si="5"/>
        <v>99.602482604980466</v>
      </c>
      <c r="HC53">
        <f t="shared" si="6"/>
        <v>49.999946594238281</v>
      </c>
      <c r="HD53">
        <f t="shared" si="7"/>
        <v>-60.004421234130838</v>
      </c>
      <c r="HW53" s="10">
        <f>(GX53/Data!$S53-1)*1000000</f>
        <v>22.040695092595541</v>
      </c>
      <c r="HX53" s="10">
        <f>(GY53/Data!$T53-1)*1000000</f>
        <v>42.758388768993072</v>
      </c>
      <c r="HY53" s="10">
        <f>(GZ53/Data!$BW53-1)*1000000</f>
        <v>-89.47458203489856</v>
      </c>
      <c r="HZ53" s="10">
        <f>(HA53/(Data!$S53*Data!$T53)-1)*1000000</f>
        <v>64.626781324461646</v>
      </c>
      <c r="IA53" s="7">
        <f>(HB53/IF(HD53&gt;0, -Data!$BX53,Data!$BX53)-1)*1000000</f>
        <v>118.09749783853185</v>
      </c>
      <c r="IB53" s="10"/>
      <c r="IC53" s="9">
        <f>(HD53-Data!$U53)</f>
        <v>-5.0649541308374069E-3</v>
      </c>
    </row>
    <row r="54" spans="1:237" x14ac:dyDescent="0.2">
      <c r="A54">
        <v>54</v>
      </c>
      <c r="B54">
        <v>230.00169372558599</v>
      </c>
      <c r="C54">
        <v>0.50002157688140902</v>
      </c>
      <c r="D54">
        <v>91.973876953125</v>
      </c>
      <c r="E54">
        <v>115.00534820556599</v>
      </c>
      <c r="F54">
        <v>-69.045707702636705</v>
      </c>
      <c r="G54">
        <v>49.999904632568402</v>
      </c>
      <c r="H54">
        <v>36.896091461181598</v>
      </c>
      <c r="I54">
        <v>1.6980679705739E-2</v>
      </c>
      <c r="J54" s="2">
        <v>3.6242638543626501E-6</v>
      </c>
      <c r="K54" s="2">
        <v>-2.6940449870949099E-9</v>
      </c>
      <c r="L54" s="2">
        <v>6.2325916871941405E-8</v>
      </c>
      <c r="M54" s="2">
        <v>-3.8910745736586697E-9</v>
      </c>
      <c r="N54">
        <v>74.791297912597699</v>
      </c>
      <c r="O54">
        <v>108.21826171875</v>
      </c>
      <c r="P54">
        <v>1.8706755712628399E-2</v>
      </c>
      <c r="Q54" s="2">
        <v>3.1205222512653601E-6</v>
      </c>
      <c r="R54" s="2">
        <v>-3.1276792267220799E-10</v>
      </c>
      <c r="S54" s="2">
        <v>5.8335210439963703E-8</v>
      </c>
      <c r="T54" s="2">
        <v>-9.0401969243814103E-10</v>
      </c>
      <c r="U54">
        <v>74.753623962402301</v>
      </c>
      <c r="V54">
        <v>99.722152709960895</v>
      </c>
      <c r="W54" s="2">
        <v>3.4028230607370999E+38</v>
      </c>
      <c r="X54" s="2">
        <v>3.4028230607370999E+38</v>
      </c>
      <c r="Y54">
        <v>91.973869323730497</v>
      </c>
      <c r="Z54">
        <v>115.00534820556599</v>
      </c>
      <c r="AA54">
        <v>-69.045715332031193</v>
      </c>
      <c r="AB54" s="2">
        <v>3.4028230607370999E+38</v>
      </c>
      <c r="AC54" s="2">
        <v>3.4028230607370999E+38</v>
      </c>
      <c r="AD54">
        <v>230.001876831055</v>
      </c>
      <c r="AE54">
        <v>0.50001829862594604</v>
      </c>
      <c r="AF54">
        <v>91.973129272460895</v>
      </c>
      <c r="AG54">
        <v>115.00505065918</v>
      </c>
      <c r="AH54">
        <v>-69.045555114746094</v>
      </c>
      <c r="AI54">
        <v>50.000007629394503</v>
      </c>
      <c r="AJ54">
        <v>36.895992279052699</v>
      </c>
      <c r="AK54">
        <v>1.4092450030148E-2</v>
      </c>
      <c r="AL54" s="2">
        <v>3.5451510029815802E-6</v>
      </c>
      <c r="AM54" s="2">
        <v>-4.8679119762917703E-11</v>
      </c>
      <c r="AN54" s="2">
        <v>5.0539210150191099E-8</v>
      </c>
      <c r="AO54" s="2">
        <v>-1.10086251225994E-9</v>
      </c>
      <c r="AP54">
        <v>74.759078979492202</v>
      </c>
      <c r="AQ54">
        <v>147.84768676757801</v>
      </c>
      <c r="AR54">
        <v>1.5472400933504099E-2</v>
      </c>
      <c r="AS54" s="2">
        <v>3.11204917124996E-6</v>
      </c>
      <c r="AT54" s="2">
        <v>2.40747727309198E-10</v>
      </c>
      <c r="AU54" s="2">
        <v>4.7500414268597497E-8</v>
      </c>
      <c r="AV54" s="2">
        <v>-1.2150330741533801E-9</v>
      </c>
      <c r="AW54">
        <v>74.806877136230497</v>
      </c>
      <c r="AX54">
        <v>136.69746398925801</v>
      </c>
      <c r="AY54" s="2">
        <v>3.4028230607370999E+38</v>
      </c>
      <c r="AZ54" s="2">
        <v>3.4028230607370999E+38</v>
      </c>
      <c r="BA54">
        <v>91.973121643066406</v>
      </c>
      <c r="BB54">
        <v>115.00505065918</v>
      </c>
      <c r="BC54">
        <v>-69.045562744140597</v>
      </c>
      <c r="BD54" s="2">
        <v>3.4028230607370999E+38</v>
      </c>
      <c r="BE54" s="2">
        <v>3.4028230607370999E+38</v>
      </c>
      <c r="BF54">
        <v>230.00210571289099</v>
      </c>
      <c r="BG54">
        <v>0.50001859664917003</v>
      </c>
      <c r="BH54">
        <v>91.973068237304702</v>
      </c>
      <c r="BI54">
        <v>115.00522613525401</v>
      </c>
      <c r="BJ54">
        <v>-69.045944213867202</v>
      </c>
      <c r="BK54">
        <v>49.999954223632798</v>
      </c>
      <c r="BL54">
        <v>36.8963012695312</v>
      </c>
      <c r="BM54">
        <v>1.4742422848939901E-2</v>
      </c>
      <c r="BN54" s="2">
        <v>3.53878590431123E-6</v>
      </c>
      <c r="BO54" s="2">
        <v>-5.2332804756360898E-10</v>
      </c>
      <c r="BP54" s="2">
        <v>5.2822610285829803E-8</v>
      </c>
      <c r="BQ54" s="2">
        <v>-1.5561824051602E-9</v>
      </c>
      <c r="BR54">
        <v>74.681343078613295</v>
      </c>
      <c r="BS54">
        <v>97.948417663574205</v>
      </c>
      <c r="BT54">
        <v>1.60345863550901E-2</v>
      </c>
      <c r="BU54" s="2">
        <v>3.07792583953415E-6</v>
      </c>
      <c r="BV54" s="2">
        <v>9.8977881446415908E-10</v>
      </c>
      <c r="BW54" s="2">
        <v>5.0708042209635102E-8</v>
      </c>
      <c r="BX54" s="2">
        <v>-5.8598043084501197E-10</v>
      </c>
      <c r="BY54">
        <v>74.7313232421875</v>
      </c>
      <c r="BZ54">
        <v>42.763401031494098</v>
      </c>
      <c r="CA54" s="2">
        <v>3.4028230607370999E+38</v>
      </c>
      <c r="CB54" s="2">
        <v>3.4028230607370999E+38</v>
      </c>
      <c r="CC54">
        <v>91.973060607910199</v>
      </c>
      <c r="CD54">
        <v>115.00522613525401</v>
      </c>
      <c r="CE54">
        <v>-69.045951843261705</v>
      </c>
      <c r="CF54" s="2">
        <v>3.4028230607370999E+38</v>
      </c>
      <c r="CG54" s="2">
        <v>3.4028230607370999E+38</v>
      </c>
      <c r="CH54">
        <v>230.00196838378901</v>
      </c>
      <c r="CI54">
        <v>0.50001966953277599</v>
      </c>
      <c r="CJ54">
        <v>91.973098754882798</v>
      </c>
      <c r="CK54">
        <v>115.005363464355</v>
      </c>
      <c r="CL54">
        <v>-69.045928955078097</v>
      </c>
      <c r="CM54">
        <v>49.999923706054702</v>
      </c>
      <c r="CN54">
        <v>36.896163940429702</v>
      </c>
      <c r="CO54">
        <v>1.4443329535424701E-2</v>
      </c>
      <c r="CP54" s="2">
        <v>3.53723453372368E-6</v>
      </c>
      <c r="CQ54" s="2">
        <v>-1.7520109807378499E-9</v>
      </c>
      <c r="CR54" s="2">
        <v>5.2289539809180503E-8</v>
      </c>
      <c r="CS54" s="2">
        <v>-1.6267421854010399E-9</v>
      </c>
      <c r="CT54">
        <v>74.738739013671903</v>
      </c>
      <c r="CU54">
        <v>119.65956878662099</v>
      </c>
      <c r="CV54">
        <v>1.5772273764014199E-2</v>
      </c>
      <c r="CW54" s="2">
        <v>3.0785881790507098E-6</v>
      </c>
      <c r="CX54" s="2">
        <v>-7.8232233191588601E-11</v>
      </c>
      <c r="CY54" s="2">
        <v>4.8839190469607301E-8</v>
      </c>
      <c r="CZ54" s="2">
        <v>-4.5588835484444701E-10</v>
      </c>
      <c r="DA54">
        <v>74.750282287597699</v>
      </c>
      <c r="DB54">
        <v>104.658638000488</v>
      </c>
      <c r="DC54" s="2">
        <v>3.4028230607370999E+38</v>
      </c>
      <c r="DD54" s="2">
        <v>3.4028230607370999E+38</v>
      </c>
      <c r="DE54">
        <v>91.973091125488295</v>
      </c>
      <c r="DF54">
        <v>115.005363464355</v>
      </c>
      <c r="DG54">
        <v>-69.045936584472699</v>
      </c>
      <c r="DH54" s="2">
        <v>3.4028230607370999E+38</v>
      </c>
      <c r="DI54" s="2">
        <v>3.4028230607370999E+38</v>
      </c>
      <c r="DJ54">
        <v>230.00180053710901</v>
      </c>
      <c r="DK54">
        <v>0.500019490718842</v>
      </c>
      <c r="DL54">
        <v>91.973327636718807</v>
      </c>
      <c r="DM54">
        <v>115.005233764648</v>
      </c>
      <c r="DN54">
        <v>-69.045547485351605</v>
      </c>
      <c r="DO54">
        <v>49.999866485595703</v>
      </c>
      <c r="DP54">
        <v>36.896038055419901</v>
      </c>
      <c r="DQ54">
        <v>1.6305342316627499E-2</v>
      </c>
      <c r="DR54" s="2">
        <v>3.6022670428792502E-6</v>
      </c>
      <c r="DS54" s="2">
        <v>-3.5808498388689701E-9</v>
      </c>
      <c r="DT54" s="2">
        <v>5.8773757416474797E-8</v>
      </c>
      <c r="DU54" s="2">
        <v>-3.2165738961254002E-9</v>
      </c>
      <c r="DV54">
        <v>74.770645141601605</v>
      </c>
      <c r="DW54">
        <v>129.37591552734401</v>
      </c>
      <c r="DX54">
        <v>1.7676485702395401E-2</v>
      </c>
      <c r="DY54" s="2">
        <v>3.17971534968819E-6</v>
      </c>
      <c r="DZ54" s="2">
        <v>-1.3123667708114801E-9</v>
      </c>
      <c r="EA54" s="2">
        <v>5.4657892434306599E-8</v>
      </c>
      <c r="EB54" s="2">
        <v>-1.40356914979378E-9</v>
      </c>
      <c r="EC54">
        <v>74.676040649414105</v>
      </c>
      <c r="ED54">
        <v>111.25847625732401</v>
      </c>
      <c r="EE54" s="2">
        <v>3.4028230607370999E+38</v>
      </c>
      <c r="EF54" s="2">
        <v>3.4028230607370999E+38</v>
      </c>
      <c r="EG54">
        <v>91.973320007324205</v>
      </c>
      <c r="EH54">
        <v>115.005233764648</v>
      </c>
      <c r="EI54">
        <v>-69.045555114746094</v>
      </c>
      <c r="EJ54" s="2">
        <v>3.4028230607370999E+38</v>
      </c>
      <c r="EK54" s="2">
        <v>3.4028230607370999E+38</v>
      </c>
      <c r="EL54">
        <v>123</v>
      </c>
      <c r="EM54">
        <v>230.002029418945</v>
      </c>
      <c r="EN54">
        <v>0.50002276897430398</v>
      </c>
      <c r="EO54">
        <v>91.973793029785199</v>
      </c>
      <c r="EP54">
        <v>0</v>
      </c>
      <c r="EQ54">
        <v>0</v>
      </c>
      <c r="ER54">
        <v>49.999946594238303</v>
      </c>
      <c r="ES54">
        <v>36.8961181640625</v>
      </c>
      <c r="ET54">
        <v>0.79973047971725497</v>
      </c>
      <c r="EU54" s="2">
        <v>3.4028230607370999E+38</v>
      </c>
      <c r="EV54">
        <v>0</v>
      </c>
      <c r="EW54">
        <v>230.0068359375</v>
      </c>
      <c r="EX54">
        <v>91.977813720703097</v>
      </c>
      <c r="EY54">
        <v>115.008102416992</v>
      </c>
      <c r="EZ54">
        <v>-69.042327880859403</v>
      </c>
      <c r="FA54">
        <v>3.4421062446199401E-4</v>
      </c>
      <c r="FB54">
        <v>1.6725214198231701E-2</v>
      </c>
      <c r="FC54" s="2">
        <v>3.6037640711583701E-6</v>
      </c>
      <c r="FD54" s="2">
        <v>-3.54175888617192E-9</v>
      </c>
      <c r="FE54" s="2">
        <v>6.1094951320228601E-8</v>
      </c>
      <c r="FF54" s="2">
        <v>-3.6988501150858598E-9</v>
      </c>
      <c r="FG54">
        <v>74.7724609375</v>
      </c>
      <c r="FH54">
        <v>121.49627685546901</v>
      </c>
      <c r="FI54">
        <v>-3.77069748938084E-2</v>
      </c>
      <c r="FJ54" s="2">
        <v>3.4028230607370999E+38</v>
      </c>
      <c r="FK54">
        <v>31.060033798217798</v>
      </c>
      <c r="FL54">
        <v>2.02631540596485E-2</v>
      </c>
      <c r="FM54">
        <v>0</v>
      </c>
      <c r="FN54">
        <v>0</v>
      </c>
      <c r="FO54">
        <v>0</v>
      </c>
      <c r="FP54" s="2">
        <v>-4.93752704642247E-5</v>
      </c>
      <c r="FQ54">
        <v>1.8607344478368801E-2</v>
      </c>
      <c r="FR54" s="2">
        <v>3.1588883757649502E-6</v>
      </c>
      <c r="FS54" s="2">
        <v>-8.8448687263209505E-10</v>
      </c>
      <c r="FT54" s="2">
        <v>6.04909189405589E-8</v>
      </c>
      <c r="FU54" s="2">
        <v>-8.4114287757230996E-10</v>
      </c>
      <c r="FV54">
        <v>74.778732299804702</v>
      </c>
      <c r="FW54">
        <v>56.124088287353501</v>
      </c>
      <c r="FX54">
        <v>5.1163933239877198E-3</v>
      </c>
      <c r="FY54" s="2">
        <v>3.4028230607370999E+38</v>
      </c>
      <c r="FZ54">
        <v>27.721591949462901</v>
      </c>
      <c r="GA54">
        <v>229.34875488281199</v>
      </c>
      <c r="GB54" s="2">
        <v>1.30668087461316E-10</v>
      </c>
      <c r="GC54">
        <v>7.2114047361537803E-4</v>
      </c>
      <c r="GD54" s="2">
        <v>-6.8317906887216395E-11</v>
      </c>
      <c r="GE54" s="2">
        <v>5.65952996112173E-6</v>
      </c>
      <c r="GF54" s="2">
        <v>3.4028230607370999E+38</v>
      </c>
      <c r="GG54" s="2">
        <v>3.4028230607370999E+38</v>
      </c>
      <c r="GH54">
        <v>91.972915649414105</v>
      </c>
      <c r="GI54">
        <v>115.005363464355</v>
      </c>
      <c r="GJ54">
        <v>-69.046432495117202</v>
      </c>
      <c r="GK54" s="2">
        <v>3.4028230607370999E+38</v>
      </c>
      <c r="GL54" s="2">
        <v>3.4028230607370999E+38</v>
      </c>
      <c r="GM54" s="2">
        <v>3.4028230607370999E+38</v>
      </c>
      <c r="GN54" s="2">
        <v>3.4028230607370999E+38</v>
      </c>
      <c r="GO54" s="2">
        <v>3.4028230607370999E+38</v>
      </c>
      <c r="GP54" s="2">
        <v>3.4028230607370999E+38</v>
      </c>
      <c r="GQ54">
        <v>91.977401733398395</v>
      </c>
      <c r="GR54">
        <v>91.977409362792997</v>
      </c>
      <c r="GS54">
        <v>-69.041069030761705</v>
      </c>
      <c r="GT54">
        <v>2.2889405954629199E-4</v>
      </c>
      <c r="GX54">
        <f t="shared" si="1"/>
        <v>230.00188903808598</v>
      </c>
      <c r="GY54">
        <f t="shared" si="2"/>
        <v>0.50001952648162862</v>
      </c>
      <c r="GZ54">
        <f t="shared" si="3"/>
        <v>91.97330017089844</v>
      </c>
      <c r="HA54">
        <f t="shared" si="4"/>
        <v>115.0052444458006</v>
      </c>
      <c r="HB54">
        <f t="shared" si="5"/>
        <v>-69.045736694335943</v>
      </c>
      <c r="HC54">
        <f t="shared" si="6"/>
        <v>49.999931335449219</v>
      </c>
      <c r="HD54">
        <f t="shared" si="7"/>
        <v>36.896117401123021</v>
      </c>
      <c r="HW54" s="10">
        <f>(GX54/Data!$S54-1)*1000000</f>
        <v>22.290479373410221</v>
      </c>
      <c r="HX54" s="10">
        <f>(GY54/Data!$T54-1)*1000000</f>
        <v>51.671615249659908</v>
      </c>
      <c r="HY54" s="10">
        <f>(GZ54/Data!$BW54-1)*1000000</f>
        <v>85.776714901175666</v>
      </c>
      <c r="HZ54" s="10">
        <f>(HA54/(Data!$S54*Data!$T54)-1)*1000000</f>
        <v>72.300585473694667</v>
      </c>
      <c r="IA54" s="7">
        <f>(HB54/IF(HD54&gt;0, -Data!$BX54,Data!$BX54)-1)*1000000</f>
        <v>68.875532117207428</v>
      </c>
      <c r="IB54" s="10"/>
      <c r="IC54" s="9">
        <f>(HD54-Data!$U54)</f>
        <v>-4.5495887697910575E-4</v>
      </c>
    </row>
    <row r="55" spans="1:237" x14ac:dyDescent="0.2">
      <c r="A55">
        <v>55</v>
      </c>
      <c r="B55">
        <v>230.00164794921901</v>
      </c>
      <c r="C55">
        <v>0.50002092123031605</v>
      </c>
      <c r="D55">
        <v>91.973518371582003</v>
      </c>
      <c r="E55">
        <v>115.005729675293</v>
      </c>
      <c r="F55">
        <v>-69.046073913574205</v>
      </c>
      <c r="G55">
        <v>49.999923706054702</v>
      </c>
      <c r="H55">
        <v>36.896121978759801</v>
      </c>
      <c r="I55">
        <v>1.5692846849560699E-2</v>
      </c>
      <c r="J55" s="2">
        <v>3.5767909594142098E-6</v>
      </c>
      <c r="K55" s="2">
        <v>-1.9182437860365599E-9</v>
      </c>
      <c r="L55" s="2">
        <v>5.43554676823987E-8</v>
      </c>
      <c r="M55" s="2">
        <v>-1.5813107490103599E-9</v>
      </c>
      <c r="N55">
        <v>74.840713500976605</v>
      </c>
      <c r="O55">
        <v>122.92098236084</v>
      </c>
      <c r="P55">
        <v>1.68605241924524E-2</v>
      </c>
      <c r="Q55" s="2">
        <v>3.1334557206719199E-6</v>
      </c>
      <c r="R55" s="2">
        <v>-3.7041347766830799E-10</v>
      </c>
      <c r="S55" s="2">
        <v>5.0978783860955399E-8</v>
      </c>
      <c r="T55" s="2">
        <v>-1.0579386255926701E-9</v>
      </c>
      <c r="U55">
        <v>74.789970397949205</v>
      </c>
      <c r="V55">
        <v>80.433746337890597</v>
      </c>
      <c r="W55" s="2">
        <v>3.4028230607370999E+38</v>
      </c>
      <c r="X55" s="2">
        <v>3.4028230607370999E+38</v>
      </c>
      <c r="Y55">
        <v>91.9735107421875</v>
      </c>
      <c r="Z55">
        <v>115.005729675293</v>
      </c>
      <c r="AA55">
        <v>-69.046081542968807</v>
      </c>
      <c r="AB55" s="2">
        <v>3.4028230607370999E+38</v>
      </c>
      <c r="AC55" s="2">
        <v>3.4028230607370999E+38</v>
      </c>
      <c r="AD55">
        <v>230.00198364257801</v>
      </c>
      <c r="AE55">
        <v>0.50001960992813099</v>
      </c>
      <c r="AF55">
        <v>91.973197937011705</v>
      </c>
      <c r="AG55">
        <v>115.005493164062</v>
      </c>
      <c r="AH55">
        <v>-69.046058654785199</v>
      </c>
      <c r="AI55">
        <v>49.999973297119098</v>
      </c>
      <c r="AJ55">
        <v>36.896209716796903</v>
      </c>
      <c r="AK55">
        <v>1.47266518324614E-2</v>
      </c>
      <c r="AL55" s="2">
        <v>3.5633568131743198E-6</v>
      </c>
      <c r="AM55" s="2">
        <v>-2.9316564731374199E-9</v>
      </c>
      <c r="AN55" s="2">
        <v>5.2521329507726497E-8</v>
      </c>
      <c r="AO55" s="2">
        <v>-2.5235749046004201E-9</v>
      </c>
      <c r="AP55">
        <v>74.654678344726605</v>
      </c>
      <c r="AQ55">
        <v>106.67153167724599</v>
      </c>
      <c r="AR55">
        <v>1.6102364286780399E-2</v>
      </c>
      <c r="AS55" s="2">
        <v>3.1752658742334499E-6</v>
      </c>
      <c r="AT55" s="2">
        <v>1.96685578934819E-9</v>
      </c>
      <c r="AU55" s="2">
        <v>5.1038163917382897E-8</v>
      </c>
      <c r="AV55" s="2">
        <v>-4.0328637651576602E-10</v>
      </c>
      <c r="AW55">
        <v>74.797790527343807</v>
      </c>
      <c r="AX55">
        <v>11.5972957611084</v>
      </c>
      <c r="AY55" s="2">
        <v>3.4028230607370999E+38</v>
      </c>
      <c r="AZ55" s="2">
        <v>3.4028230607370999E+38</v>
      </c>
      <c r="BA55">
        <v>91.973190307617202</v>
      </c>
      <c r="BB55">
        <v>115.005493164062</v>
      </c>
      <c r="BC55">
        <v>-69.046066284179702</v>
      </c>
      <c r="BD55" s="2">
        <v>3.4028230607370999E+38</v>
      </c>
      <c r="BE55" s="2">
        <v>3.4028230607370999E+38</v>
      </c>
      <c r="BF55">
        <v>230.00180053710901</v>
      </c>
      <c r="BG55">
        <v>0.50001990795135498</v>
      </c>
      <c r="BH55">
        <v>91.973403930664105</v>
      </c>
      <c r="BI55">
        <v>115.00559997558599</v>
      </c>
      <c r="BJ55">
        <v>-69.045936584472699</v>
      </c>
      <c r="BK55">
        <v>49.999935150146499</v>
      </c>
      <c r="BL55">
        <v>36.896518707275398</v>
      </c>
      <c r="BM55">
        <v>1.7758293077349701E-2</v>
      </c>
      <c r="BN55" s="2">
        <v>3.57697490471764E-6</v>
      </c>
      <c r="BO55" s="2">
        <v>-4.6393910935194096E-9</v>
      </c>
      <c r="BP55" s="2">
        <v>6.2486606111633605E-8</v>
      </c>
      <c r="BQ55" s="2">
        <v>-5.0180579691527799E-9</v>
      </c>
      <c r="BR55">
        <v>74.743217468261705</v>
      </c>
      <c r="BS55">
        <v>123.154342651367</v>
      </c>
      <c r="BT55">
        <v>1.9392624497413601E-2</v>
      </c>
      <c r="BU55" s="2">
        <v>3.0869550755596699E-6</v>
      </c>
      <c r="BV55" s="2">
        <v>1.4671284187528499E-9</v>
      </c>
      <c r="BW55" s="2">
        <v>6.24005096483415E-8</v>
      </c>
      <c r="BX55" s="2">
        <v>-8.9330404184906304E-11</v>
      </c>
      <c r="BY55">
        <v>74.74072265625</v>
      </c>
      <c r="BZ55">
        <v>2.5648169517517099</v>
      </c>
      <c r="CA55" s="2">
        <v>3.4028230607370999E+38</v>
      </c>
      <c r="CB55" s="2">
        <v>3.4028230607370999E+38</v>
      </c>
      <c r="CC55">
        <v>91.973396301269503</v>
      </c>
      <c r="CD55">
        <v>115.00559997558599</v>
      </c>
      <c r="CE55">
        <v>-69.045944213867202</v>
      </c>
      <c r="CF55" s="2">
        <v>3.4028230607370999E+38</v>
      </c>
      <c r="CG55" s="2">
        <v>3.4028230607370999E+38</v>
      </c>
      <c r="CH55">
        <v>230.00181579589801</v>
      </c>
      <c r="CI55">
        <v>0.50002026557922397</v>
      </c>
      <c r="CJ55">
        <v>91.973442077636705</v>
      </c>
      <c r="CK55">
        <v>115.00559234619099</v>
      </c>
      <c r="CL55">
        <v>-69.045608520507798</v>
      </c>
      <c r="CM55">
        <v>49.9999389648438</v>
      </c>
      <c r="CN55">
        <v>36.8959350585938</v>
      </c>
      <c r="CO55">
        <v>1.6322487965226201E-2</v>
      </c>
      <c r="CP55" s="2">
        <v>3.5784989904641398E-6</v>
      </c>
      <c r="CQ55" s="2">
        <v>-3.03490566011533E-9</v>
      </c>
      <c r="CR55" s="2">
        <v>5.83793884345596E-8</v>
      </c>
      <c r="CS55" s="2">
        <v>-3.3535092480718698E-9</v>
      </c>
      <c r="CT55">
        <v>74.763359069824205</v>
      </c>
      <c r="CU55">
        <v>131.18389892578099</v>
      </c>
      <c r="CV55">
        <v>1.7682760953903202E-2</v>
      </c>
      <c r="CW55" s="2">
        <v>3.0448081815848102E-6</v>
      </c>
      <c r="CX55" s="2">
        <v>-9.7511809737937896E-10</v>
      </c>
      <c r="CY55" s="2">
        <v>5.4440288721480101E-8</v>
      </c>
      <c r="CZ55" s="2">
        <v>-1.35831734748848E-9</v>
      </c>
      <c r="DA55">
        <v>74.714927673339801</v>
      </c>
      <c r="DB55">
        <v>50.158187866210902</v>
      </c>
      <c r="DC55" s="2">
        <v>3.4028230607370999E+38</v>
      </c>
      <c r="DD55" s="2">
        <v>3.4028230607370999E+38</v>
      </c>
      <c r="DE55">
        <v>91.973434448242202</v>
      </c>
      <c r="DF55">
        <v>115.00559234619099</v>
      </c>
      <c r="DG55">
        <v>-69.045616149902301</v>
      </c>
      <c r="DH55" s="2">
        <v>3.4028230607370999E+38</v>
      </c>
      <c r="DI55" s="2">
        <v>3.4028230607370999E+38</v>
      </c>
      <c r="DJ55">
        <v>230.00183105468801</v>
      </c>
      <c r="DK55">
        <v>0.50001984834670998</v>
      </c>
      <c r="DL55">
        <v>91.973587036132798</v>
      </c>
      <c r="DM55">
        <v>115.00571441650401</v>
      </c>
      <c r="DN55">
        <v>-69.046081542968807</v>
      </c>
      <c r="DO55">
        <v>49.9999389648438</v>
      </c>
      <c r="DP55">
        <v>36.896083831787102</v>
      </c>
      <c r="DQ55">
        <v>1.4659883454442E-2</v>
      </c>
      <c r="DR55" s="2">
        <v>3.5984328405902501E-6</v>
      </c>
      <c r="DS55" s="2">
        <v>-8.9810114900501503E-10</v>
      </c>
      <c r="DT55" s="2">
        <v>5.3025352997337898E-8</v>
      </c>
      <c r="DU55" s="2">
        <v>-1.25640331471999E-9</v>
      </c>
      <c r="DV55">
        <v>74.811119079589801</v>
      </c>
      <c r="DW55">
        <v>143.81971740722699</v>
      </c>
      <c r="DX55">
        <v>1.6024377197027199E-2</v>
      </c>
      <c r="DY55" s="2">
        <v>3.14022850034235E-6</v>
      </c>
      <c r="DZ55" s="2">
        <v>-1.12130060792026E-9</v>
      </c>
      <c r="EA55" s="2">
        <v>5.0364977965955398E-8</v>
      </c>
      <c r="EB55" s="2">
        <v>-1.00119834645085E-9</v>
      </c>
      <c r="EC55">
        <v>74.741004943847699</v>
      </c>
      <c r="ED55">
        <v>134.01518249511699</v>
      </c>
      <c r="EE55" s="2">
        <v>3.4028230607370999E+38</v>
      </c>
      <c r="EF55" s="2">
        <v>3.4028230607370999E+38</v>
      </c>
      <c r="EG55">
        <v>91.973579406738295</v>
      </c>
      <c r="EH55">
        <v>115.00571441650401</v>
      </c>
      <c r="EI55">
        <v>-69.046089172363295</v>
      </c>
      <c r="EJ55" s="2">
        <v>3.4028230607370999E+38</v>
      </c>
      <c r="EK55" s="2">
        <v>3.4028230607370999E+38</v>
      </c>
      <c r="EL55">
        <v>123</v>
      </c>
      <c r="EM55">
        <v>230.00210571289099</v>
      </c>
      <c r="EN55">
        <v>0.50002110004425004</v>
      </c>
      <c r="EO55">
        <v>91.973770141601605</v>
      </c>
      <c r="EP55">
        <v>115.005233764648</v>
      </c>
      <c r="EQ55">
        <v>-69.045158386230497</v>
      </c>
      <c r="ER55">
        <v>49.999908447265597</v>
      </c>
      <c r="ES55">
        <v>36.8958129882812</v>
      </c>
      <c r="ET55">
        <v>0.79972994327545199</v>
      </c>
      <c r="EU55" s="2">
        <v>3.4028230607370999E+38</v>
      </c>
      <c r="EV55">
        <v>0</v>
      </c>
      <c r="EW55">
        <v>230.00564575195301</v>
      </c>
      <c r="EX55">
        <v>91.976226806640597</v>
      </c>
      <c r="EY55">
        <v>115.007446289062</v>
      </c>
      <c r="EZ55">
        <v>-69.044044494628906</v>
      </c>
      <c r="FA55" s="2">
        <v>9.3845395895186798E-5</v>
      </c>
      <c r="FB55">
        <v>1.51237901300192E-2</v>
      </c>
      <c r="FC55" s="2">
        <v>3.5670175293489601E-6</v>
      </c>
      <c r="FD55" s="2">
        <v>-1.69522196280525E-9</v>
      </c>
      <c r="FE55" s="2">
        <v>5.2789065563274602E-8</v>
      </c>
      <c r="FF55" s="2">
        <v>-2.1316217679867598E-9</v>
      </c>
      <c r="FG55">
        <v>74.872329711914105</v>
      </c>
      <c r="FH55">
        <v>136.12445068359401</v>
      </c>
      <c r="FI55">
        <v>-3.7674229592084899E-2</v>
      </c>
      <c r="FJ55" s="2">
        <v>3.4028230607370999E+38</v>
      </c>
      <c r="FK55">
        <v>51.928951263427699</v>
      </c>
      <c r="FL55">
        <v>2.0221389830112499E-2</v>
      </c>
      <c r="FM55">
        <v>0</v>
      </c>
      <c r="FN55">
        <v>0</v>
      </c>
      <c r="FO55">
        <v>0</v>
      </c>
      <c r="FP55" s="2">
        <v>-3.9628586819162599E-5</v>
      </c>
      <c r="FQ55">
        <v>1.63289606571198E-2</v>
      </c>
      <c r="FR55" s="2">
        <v>3.15031502395868E-6</v>
      </c>
      <c r="FS55" s="2">
        <v>-6.6898353523470198E-10</v>
      </c>
      <c r="FT55" s="2">
        <v>5.1255767630209401E-8</v>
      </c>
      <c r="FU55" s="2">
        <v>-1.6010416326039899E-9</v>
      </c>
      <c r="FV55">
        <v>74.761962890625</v>
      </c>
      <c r="FW55">
        <v>141.964767456055</v>
      </c>
      <c r="FX55">
        <v>-2.1645082160830501E-2</v>
      </c>
      <c r="FY55" s="2">
        <v>3.4028230607370999E+38</v>
      </c>
      <c r="FZ55">
        <v>-36.900264739990199</v>
      </c>
      <c r="GA55">
        <v>229.53819274902301</v>
      </c>
      <c r="GB55" s="2">
        <v>1.7236279070687E-9</v>
      </c>
      <c r="GC55">
        <v>7.2765746153891097E-4</v>
      </c>
      <c r="GD55" s="2">
        <v>-1.02480225694368E-10</v>
      </c>
      <c r="GE55" s="2">
        <v>1.97826211660868E-5</v>
      </c>
      <c r="GF55" s="2">
        <v>3.4028230607370999E+38</v>
      </c>
      <c r="GG55" s="2">
        <v>3.4028230607370999E+38</v>
      </c>
      <c r="GH55">
        <v>91.973472595214801</v>
      </c>
      <c r="GI55">
        <v>115.005699157715</v>
      </c>
      <c r="GJ55">
        <v>-69.045745849609403</v>
      </c>
      <c r="GK55" s="2">
        <v>3.4028230607370999E+38</v>
      </c>
      <c r="GL55" s="2">
        <v>3.4028230607370999E+38</v>
      </c>
      <c r="GM55" s="2">
        <v>3.4028230607370999E+38</v>
      </c>
      <c r="GN55" s="2">
        <v>3.4028230607370999E+38</v>
      </c>
      <c r="GO55" s="2">
        <v>3.4028230607370999E+38</v>
      </c>
      <c r="GP55" s="2">
        <v>3.4028230607370999E+38</v>
      </c>
      <c r="GQ55">
        <v>91.977294921875</v>
      </c>
      <c r="GR55">
        <v>91.977294921875</v>
      </c>
      <c r="GS55">
        <v>-69.043159484863295</v>
      </c>
      <c r="GT55">
        <v>2.5573006132617598E-4</v>
      </c>
      <c r="GX55">
        <f t="shared" si="1"/>
        <v>230.00181579589838</v>
      </c>
      <c r="GY55">
        <f t="shared" si="2"/>
        <v>0.50002011060714724</v>
      </c>
      <c r="GZ55">
        <f t="shared" si="3"/>
        <v>91.973429870605472</v>
      </c>
      <c r="HA55">
        <f t="shared" si="4"/>
        <v>115.0056259155272</v>
      </c>
      <c r="HB55">
        <f t="shared" si="5"/>
        <v>-69.045951843261747</v>
      </c>
      <c r="HC55">
        <f t="shared" si="6"/>
        <v>49.999942016601587</v>
      </c>
      <c r="HD55">
        <f t="shared" si="7"/>
        <v>36.896173858642598</v>
      </c>
      <c r="HW55" s="10">
        <f>(GX55/Data!$S55-1)*1000000</f>
        <v>22.045511511636917</v>
      </c>
      <c r="HX55" s="10">
        <f>(GY55/Data!$T55-1)*1000000</f>
        <v>45.537456371480545</v>
      </c>
      <c r="HY55" s="10">
        <f>(GZ55/Data!$BW55-1)*1000000</f>
        <v>81.192001522456536</v>
      </c>
      <c r="HZ55" s="10">
        <f>(HA55/(Data!$S55*Data!$T55)-1)*1000000</f>
        <v>68.388695422250123</v>
      </c>
      <c r="IA55" s="7">
        <f>(HB55/IF(HD55&gt;0, -Data!$BX55,Data!$BX55)-1)*1000000</f>
        <v>62.570700392949874</v>
      </c>
      <c r="IB55" s="10"/>
      <c r="IC55" s="9">
        <f>(HD55-Data!$U55)</f>
        <v>-4.9275135739890175E-4</v>
      </c>
    </row>
    <row r="56" spans="1:237" x14ac:dyDescent="0.2">
      <c r="A56">
        <v>56</v>
      </c>
      <c r="B56">
        <v>230.00212097168</v>
      </c>
      <c r="C56">
        <v>0.50002014636993397</v>
      </c>
      <c r="D56">
        <v>91.973396301269503</v>
      </c>
      <c r="E56">
        <v>115.005447387695</v>
      </c>
      <c r="F56">
        <v>-69.046127319335895</v>
      </c>
      <c r="G56">
        <v>49.999893188476598</v>
      </c>
      <c r="H56">
        <v>36.896320343017599</v>
      </c>
      <c r="I56">
        <v>1.66098065674305E-2</v>
      </c>
      <c r="J56" s="2">
        <v>3.5372593174542999E-6</v>
      </c>
      <c r="K56" s="2">
        <v>-2.89341395287579E-9</v>
      </c>
      <c r="L56" s="2">
        <v>5.9615686609504297E-8</v>
      </c>
      <c r="M56" s="2">
        <v>-4.4792525244474696E-9</v>
      </c>
      <c r="N56">
        <v>74.718788146972699</v>
      </c>
      <c r="O56">
        <v>107.04051208496099</v>
      </c>
      <c r="P56">
        <v>1.8458455801010101E-2</v>
      </c>
      <c r="Q56" s="2">
        <v>3.0995581710158098E-6</v>
      </c>
      <c r="R56" s="2">
        <v>1.4317058649737601E-9</v>
      </c>
      <c r="S56" s="2">
        <v>5.8461505858531402E-8</v>
      </c>
      <c r="T56" s="2">
        <v>1.8969605053431601E-10</v>
      </c>
      <c r="U56">
        <v>74.755996704101605</v>
      </c>
      <c r="V56">
        <v>-5.9920902252197301</v>
      </c>
      <c r="W56" s="2">
        <v>3.4028230607370999E+38</v>
      </c>
      <c r="X56" s="2">
        <v>3.4028230607370999E+38</v>
      </c>
      <c r="Y56">
        <v>91.973388671875</v>
      </c>
      <c r="Z56">
        <v>115.005447387695</v>
      </c>
      <c r="AA56">
        <v>-69.046134948730497</v>
      </c>
      <c r="AB56" s="2">
        <v>3.4028230607370999E+38</v>
      </c>
      <c r="AC56" s="2">
        <v>3.4028230607370999E+38</v>
      </c>
      <c r="AD56">
        <v>230.00196838378901</v>
      </c>
      <c r="AE56">
        <v>0.500019311904907</v>
      </c>
      <c r="AF56">
        <v>91.973541259765597</v>
      </c>
      <c r="AG56">
        <v>115.005615234375</v>
      </c>
      <c r="AH56">
        <v>-69.045944213867202</v>
      </c>
      <c r="AI56">
        <v>49.999935150146499</v>
      </c>
      <c r="AJ56">
        <v>36.895957946777301</v>
      </c>
      <c r="AK56">
        <v>1.43871083855629E-2</v>
      </c>
      <c r="AL56" s="2">
        <v>3.5843711430061401E-6</v>
      </c>
      <c r="AM56" s="2">
        <v>-5.8606669517402596E-10</v>
      </c>
      <c r="AN56" s="2">
        <v>5.0950799135307501E-8</v>
      </c>
      <c r="AO56" s="2">
        <v>-1.0328405908310899E-9</v>
      </c>
      <c r="AP56">
        <v>74.815361022949205</v>
      </c>
      <c r="AQ56">
        <v>145.25988769531199</v>
      </c>
      <c r="AR56">
        <v>1.51928486302495E-2</v>
      </c>
      <c r="AS56" s="2">
        <v>3.0843546028336298E-6</v>
      </c>
      <c r="AT56" s="2">
        <v>3.1142260992211799E-10</v>
      </c>
      <c r="AU56" s="2">
        <v>4.6875779702304499E-8</v>
      </c>
      <c r="AV56" s="2">
        <v>-1.30607236137337E-9</v>
      </c>
      <c r="AW56">
        <v>74.765777587890597</v>
      </c>
      <c r="AX56">
        <v>70.450332641601605</v>
      </c>
      <c r="AY56" s="2">
        <v>3.4028230607370999E+38</v>
      </c>
      <c r="AZ56" s="2">
        <v>3.4028230607370999E+38</v>
      </c>
      <c r="BA56">
        <v>91.973533630371094</v>
      </c>
      <c r="BB56">
        <v>115.005615234375</v>
      </c>
      <c r="BC56">
        <v>-69.045951843261705</v>
      </c>
      <c r="BD56" s="2">
        <v>3.4028230607370999E+38</v>
      </c>
      <c r="BE56" s="2">
        <v>3.4028230607370999E+38</v>
      </c>
      <c r="BF56">
        <v>230.00161743164099</v>
      </c>
      <c r="BG56">
        <v>0.50002008676528897</v>
      </c>
      <c r="BH56">
        <v>91.972991943359403</v>
      </c>
      <c r="BI56">
        <v>115.005661010742</v>
      </c>
      <c r="BJ56">
        <v>-69.046188354492202</v>
      </c>
      <c r="BK56">
        <v>49.999973297119098</v>
      </c>
      <c r="BL56">
        <v>36.8963012695312</v>
      </c>
      <c r="BM56">
        <v>1.7535587772726999E-2</v>
      </c>
      <c r="BN56" s="2">
        <v>3.5011510135518599E-6</v>
      </c>
      <c r="BO56" s="2">
        <v>-2.7426683146813998E-9</v>
      </c>
      <c r="BP56" s="2">
        <v>6.3632356273046806E-8</v>
      </c>
      <c r="BQ56" s="2">
        <v>-5.3703113067626898E-9</v>
      </c>
      <c r="BR56">
        <v>74.742324829101605</v>
      </c>
      <c r="BS56">
        <v>111.81809997558599</v>
      </c>
      <c r="BT56">
        <v>1.9488032907247502E-2</v>
      </c>
      <c r="BU56" s="2">
        <v>3.1377883260574899E-6</v>
      </c>
      <c r="BV56" s="2">
        <v>1.35920286137292E-9</v>
      </c>
      <c r="BW56" s="2">
        <v>6.0737455953585595E-8</v>
      </c>
      <c r="BX56" s="2">
        <v>-3.1448957327206999E-10</v>
      </c>
      <c r="BY56">
        <v>74.615867614746094</v>
      </c>
      <c r="BZ56">
        <v>14.705182075500501</v>
      </c>
      <c r="CA56" s="2">
        <v>3.4028230607370999E+38</v>
      </c>
      <c r="CB56" s="2">
        <v>3.4028230607370999E+38</v>
      </c>
      <c r="CC56">
        <v>91.972984313964801</v>
      </c>
      <c r="CD56">
        <v>115.005661010742</v>
      </c>
      <c r="CE56">
        <v>-69.046195983886705</v>
      </c>
      <c r="CF56" s="2">
        <v>3.4028230607370999E+38</v>
      </c>
      <c r="CG56" s="2">
        <v>3.4028230607370999E+38</v>
      </c>
      <c r="CH56">
        <v>230.00201416015599</v>
      </c>
      <c r="CI56">
        <v>0.50002157688140902</v>
      </c>
      <c r="CJ56">
        <v>91.973609924316406</v>
      </c>
      <c r="CK56">
        <v>115.00592041015599</v>
      </c>
      <c r="CL56">
        <v>-69.046066284179702</v>
      </c>
      <c r="CM56">
        <v>49.999835968017599</v>
      </c>
      <c r="CN56">
        <v>36.896244049072301</v>
      </c>
      <c r="CO56">
        <v>1.6596266999840702E-2</v>
      </c>
      <c r="CP56" s="2">
        <v>3.5960822515335201E-6</v>
      </c>
      <c r="CQ56" s="2">
        <v>-1.79478631956442E-9</v>
      </c>
      <c r="CR56" s="2">
        <v>6.0809455249000206E-8</v>
      </c>
      <c r="CS56" s="2">
        <v>-3.5069434023427001E-9</v>
      </c>
      <c r="CT56">
        <v>74.793640136718807</v>
      </c>
      <c r="CU56">
        <v>134.00025939941401</v>
      </c>
      <c r="CV56">
        <v>1.8364423885941498E-2</v>
      </c>
      <c r="CW56" s="2">
        <v>3.06810557049175E-6</v>
      </c>
      <c r="CX56" s="2">
        <v>-1.4879767418207699E-9</v>
      </c>
      <c r="CY56" s="2">
        <v>5.8052549434250997E-8</v>
      </c>
      <c r="CZ56" s="2">
        <v>-1.1750962425338699E-9</v>
      </c>
      <c r="DA56">
        <v>74.750251770019503</v>
      </c>
      <c r="DB56">
        <v>141.70088195800801</v>
      </c>
      <c r="DC56" s="2">
        <v>3.4028230607370999E+38</v>
      </c>
      <c r="DD56" s="2">
        <v>3.4028230607370999E+38</v>
      </c>
      <c r="DE56">
        <v>91.973602294921903</v>
      </c>
      <c r="DF56">
        <v>115.00592041015599</v>
      </c>
      <c r="DG56">
        <v>-69.046073913574205</v>
      </c>
      <c r="DH56" s="2">
        <v>3.4028230607370999E+38</v>
      </c>
      <c r="DI56" s="2">
        <v>3.4028230607370999E+38</v>
      </c>
      <c r="DJ56">
        <v>230.00173950195301</v>
      </c>
      <c r="DK56">
        <v>0.50001806020736705</v>
      </c>
      <c r="DL56">
        <v>91.972846984863295</v>
      </c>
      <c r="DM56">
        <v>115.005722045898</v>
      </c>
      <c r="DN56">
        <v>-69.046211242675795</v>
      </c>
      <c r="DO56">
        <v>49.999988555908203</v>
      </c>
      <c r="DP56">
        <v>36.896251678466797</v>
      </c>
      <c r="DQ56">
        <v>1.6555478796362901E-2</v>
      </c>
      <c r="DR56" s="2">
        <v>3.5522389225661801E-6</v>
      </c>
      <c r="DS56" s="2">
        <v>-8.3652129667655097E-10</v>
      </c>
      <c r="DT56" s="2">
        <v>5.8802751112807501E-8</v>
      </c>
      <c r="DU56" s="2">
        <v>-4.76608486010832E-9</v>
      </c>
      <c r="DV56">
        <v>74.732460021972699</v>
      </c>
      <c r="DW56">
        <v>107.936599731445</v>
      </c>
      <c r="DX56">
        <v>1.7940398305654501E-2</v>
      </c>
      <c r="DY56" s="2">
        <v>3.0621681617049001E-6</v>
      </c>
      <c r="DZ56" s="2">
        <v>1.8912145183236399E-9</v>
      </c>
      <c r="EA56" s="2">
        <v>5.4924569781178401E-8</v>
      </c>
      <c r="EB56" s="2">
        <v>-5.7659155228151297E-10</v>
      </c>
      <c r="EC56">
        <v>74.67724609375</v>
      </c>
      <c r="ED56">
        <v>17.0120239257812</v>
      </c>
      <c r="EE56" s="2">
        <v>3.4028230607370999E+38</v>
      </c>
      <c r="EF56" s="2">
        <v>3.4028230607370999E+38</v>
      </c>
      <c r="EG56">
        <v>91.972839355468807</v>
      </c>
      <c r="EH56">
        <v>115.005722045898</v>
      </c>
      <c r="EI56">
        <v>-69.046218872070298</v>
      </c>
      <c r="EJ56" s="2">
        <v>3.4028230607370999E+38</v>
      </c>
      <c r="EK56" s="2">
        <v>3.4028230607370999E+38</v>
      </c>
      <c r="EL56">
        <v>123</v>
      </c>
      <c r="EM56">
        <v>230.00172424316401</v>
      </c>
      <c r="EN56">
        <v>0.50001776218414296</v>
      </c>
      <c r="EO56">
        <v>91.972053527832003</v>
      </c>
      <c r="EP56">
        <v>115.004669189453</v>
      </c>
      <c r="EQ56">
        <v>-69.046226501464801</v>
      </c>
      <c r="ER56">
        <v>49.999973297119098</v>
      </c>
      <c r="ES56">
        <v>36.896469116210902</v>
      </c>
      <c r="ET56">
        <v>0.79972743988037098</v>
      </c>
      <c r="EU56" s="2">
        <v>3.4028230607370999E+38</v>
      </c>
      <c r="EV56">
        <v>0</v>
      </c>
      <c r="EW56">
        <v>230.00076293945301</v>
      </c>
      <c r="EX56">
        <v>91.975044250488295</v>
      </c>
      <c r="EY56">
        <v>115.004936218262</v>
      </c>
      <c r="EZ56">
        <v>-69.042106628417997</v>
      </c>
      <c r="FA56" s="2">
        <v>1.93892901734216E-5</v>
      </c>
      <c r="FB56">
        <v>1.6569472849369001E-2</v>
      </c>
      <c r="FC56" s="2">
        <v>3.5552068311517402E-6</v>
      </c>
      <c r="FD56" s="2">
        <v>-1.57675417167269E-9</v>
      </c>
      <c r="FE56" s="2">
        <v>5.8878683262264498E-8</v>
      </c>
      <c r="FF56" s="2">
        <v>-3.7917811113174999E-9</v>
      </c>
      <c r="FG56">
        <v>74.700836181640597</v>
      </c>
      <c r="FH56">
        <v>121.79931640625</v>
      </c>
      <c r="FI56">
        <v>-3.9533197879791301E-2</v>
      </c>
      <c r="FJ56" s="2">
        <v>3.4028230607370999E+38</v>
      </c>
      <c r="FK56">
        <v>23.036045074462901</v>
      </c>
      <c r="FL56">
        <v>2.09753345698118E-2</v>
      </c>
      <c r="FM56">
        <v>0</v>
      </c>
      <c r="FN56">
        <v>0</v>
      </c>
      <c r="FO56">
        <v>0</v>
      </c>
      <c r="FP56" s="2">
        <v>-4.69098595203832E-5</v>
      </c>
      <c r="FQ56">
        <v>1.82802714407444E-2</v>
      </c>
      <c r="FR56" s="2">
        <v>3.10419500237913E-6</v>
      </c>
      <c r="FS56" s="2">
        <v>1.6876084973915801E-9</v>
      </c>
      <c r="FT56" s="2">
        <v>5.8548433656824299E-8</v>
      </c>
      <c r="FU56" s="2">
        <v>-5.3260540422428397E-10</v>
      </c>
      <c r="FV56">
        <v>74.763908386230497</v>
      </c>
      <c r="FW56">
        <v>17.515575408935501</v>
      </c>
      <c r="FX56">
        <v>2.7338080108165699E-2</v>
      </c>
      <c r="FY56" s="2">
        <v>3.4028230607370999E+38</v>
      </c>
      <c r="FZ56">
        <v>-46.394050598144503</v>
      </c>
      <c r="GA56">
        <v>229.12989807128901</v>
      </c>
      <c r="GB56" s="2">
        <v>-2.96922014753065E-10</v>
      </c>
      <c r="GC56">
        <v>7.2292675031349095E-4</v>
      </c>
      <c r="GD56" s="2">
        <v>-5.2801252953260703E-11</v>
      </c>
      <c r="GE56" s="2">
        <v>1.7032647519954501E-5</v>
      </c>
      <c r="GF56" s="2">
        <v>3.4028230607370999E+38</v>
      </c>
      <c r="GG56" s="2">
        <v>3.4028230607370999E+38</v>
      </c>
      <c r="GH56">
        <v>91.972541809082003</v>
      </c>
      <c r="GI56">
        <v>115.00513458252</v>
      </c>
      <c r="GJ56">
        <v>-69.045951843261705</v>
      </c>
      <c r="GK56" s="2">
        <v>3.4028230607370999E+38</v>
      </c>
      <c r="GL56" s="2">
        <v>3.4028230607370999E+38</v>
      </c>
      <c r="GM56" s="2">
        <v>3.4028230607370999E+38</v>
      </c>
      <c r="GN56" s="2">
        <v>3.4028230607370999E+38</v>
      </c>
      <c r="GO56" s="2">
        <v>3.4028230607370999E+38</v>
      </c>
      <c r="GP56" s="2">
        <v>3.4028230607370999E+38</v>
      </c>
      <c r="GQ56">
        <v>91.9755859375</v>
      </c>
      <c r="GR56">
        <v>91.975357055664105</v>
      </c>
      <c r="GS56">
        <v>-69.041534423828097</v>
      </c>
      <c r="GT56">
        <v>1.01289624581113E-4</v>
      </c>
      <c r="GX56">
        <f t="shared" si="1"/>
        <v>230.00189208984381</v>
      </c>
      <c r="GY56">
        <f t="shared" si="2"/>
        <v>0.50001983642578118</v>
      </c>
      <c r="GZ56">
        <f t="shared" si="3"/>
        <v>91.973277282714847</v>
      </c>
      <c r="HA56">
        <f t="shared" si="4"/>
        <v>115.00567321777319</v>
      </c>
      <c r="HB56">
        <f t="shared" si="5"/>
        <v>-69.046107482910159</v>
      </c>
      <c r="HC56">
        <f t="shared" si="6"/>
        <v>49.999925231933602</v>
      </c>
      <c r="HD56">
        <f t="shared" si="7"/>
        <v>36.896215057373034</v>
      </c>
      <c r="HW56" s="10">
        <f>(GX56/Data!$S56-1)*1000000</f>
        <v>21.092401123246063</v>
      </c>
      <c r="HX56" s="10">
        <f>(GY56/Data!$T56-1)*1000000</f>
        <v>50.387391412831661</v>
      </c>
      <c r="HY56" s="10">
        <f>(GZ56/Data!$BW56-1)*1000000</f>
        <v>86.539173996147412</v>
      </c>
      <c r="HZ56" s="10">
        <f>(HA56/(Data!$S56*Data!$T56)-1)*1000000</f>
        <v>72.913562060072934</v>
      </c>
      <c r="IA56" s="7">
        <f>(HB56/IF(HD56&gt;0, -Data!$BX56,Data!$BX56)-1)*1000000</f>
        <v>63.803654298144608</v>
      </c>
      <c r="IB56" s="10"/>
      <c r="IC56" s="9">
        <f>(HD56-Data!$U56)</f>
        <v>-6.723726269655117E-4</v>
      </c>
    </row>
    <row r="57" spans="1:237" x14ac:dyDescent="0.2">
      <c r="A57">
        <v>57</v>
      </c>
      <c r="B57">
        <v>230.001541137695</v>
      </c>
      <c r="C57">
        <v>1.0000345706939699</v>
      </c>
      <c r="D57">
        <v>230.00949096679699</v>
      </c>
      <c r="E57">
        <v>230.00956726074199</v>
      </c>
      <c r="F57">
        <v>1.46444458514452E-2</v>
      </c>
      <c r="G57">
        <v>49.999912261962898</v>
      </c>
      <c r="H57">
        <v>-3.64795443601906E-3</v>
      </c>
      <c r="I57">
        <v>1.7319688573479701E-2</v>
      </c>
      <c r="J57" s="2">
        <v>3.6539211123454198E-6</v>
      </c>
      <c r="K57" s="2">
        <v>2.7643992997483699E-11</v>
      </c>
      <c r="L57" s="2">
        <v>6.4133324428894398E-8</v>
      </c>
      <c r="M57" s="2">
        <v>-8.2569373560659204E-9</v>
      </c>
      <c r="N57">
        <v>74.720100402832003</v>
      </c>
      <c r="O57">
        <v>88.030204772949205</v>
      </c>
      <c r="P57">
        <v>1.9297622144222301E-2</v>
      </c>
      <c r="Q57" s="2">
        <v>3.1229428714141199E-6</v>
      </c>
      <c r="R57" s="2">
        <v>2.1769683833383599E-9</v>
      </c>
      <c r="S57" s="2">
        <v>6.0486179620511407E-8</v>
      </c>
      <c r="T57" s="2">
        <v>-2.7046038741929099E-9</v>
      </c>
      <c r="U57">
        <v>74.618423461914105</v>
      </c>
      <c r="V57">
        <v>32.149269104003899</v>
      </c>
      <c r="W57" s="2">
        <v>3.4028230607370999E+38</v>
      </c>
      <c r="X57" s="2">
        <v>3.4028230607370999E+38</v>
      </c>
      <c r="Y57">
        <v>230.00949096679699</v>
      </c>
      <c r="Z57">
        <v>230.00956726074199</v>
      </c>
      <c r="AA57">
        <v>1.4644434675574299E-2</v>
      </c>
      <c r="AB57" s="2">
        <v>3.4028230607370999E+38</v>
      </c>
      <c r="AC57" s="2">
        <v>3.4028230607370999E+38</v>
      </c>
      <c r="AD57">
        <v>230.00222778320301</v>
      </c>
      <c r="AE57">
        <v>1.0000350475311299</v>
      </c>
      <c r="AF57">
        <v>230.010330200195</v>
      </c>
      <c r="AG57">
        <v>230.00962829589801</v>
      </c>
      <c r="AH57">
        <v>1.4954209327697801E-2</v>
      </c>
      <c r="AI57">
        <v>49.999885559082003</v>
      </c>
      <c r="AJ57">
        <v>-3.7251163739710999E-3</v>
      </c>
      <c r="AK57">
        <v>1.4352169819176201E-2</v>
      </c>
      <c r="AL57" s="2">
        <v>3.6294050005381E-6</v>
      </c>
      <c r="AM57" s="2">
        <v>-4.33083152673319E-10</v>
      </c>
      <c r="AN57" s="2">
        <v>5.2089088597995201E-8</v>
      </c>
      <c r="AO57" s="2">
        <v>-2.8441868860085201E-9</v>
      </c>
      <c r="AP57">
        <v>74.759056091308594</v>
      </c>
      <c r="AQ57">
        <v>109.37759399414099</v>
      </c>
      <c r="AR57">
        <v>1.5325602144002901E-2</v>
      </c>
      <c r="AS57" s="2">
        <v>3.07554410028388E-6</v>
      </c>
      <c r="AT57" s="2">
        <v>3.2555783069376802E-10</v>
      </c>
      <c r="AU57" s="2">
        <v>4.7155840121604302E-8</v>
      </c>
      <c r="AV57" s="2">
        <v>-1.78832393338269E-9</v>
      </c>
      <c r="AW57">
        <v>74.765716552734403</v>
      </c>
      <c r="AX57">
        <v>49.1986274719238</v>
      </c>
      <c r="AY57" s="2">
        <v>3.4028230607370999E+38</v>
      </c>
      <c r="AZ57" s="2">
        <v>3.4028230607370999E+38</v>
      </c>
      <c r="BA57">
        <v>230.01031494140599</v>
      </c>
      <c r="BB57">
        <v>230.00962829589801</v>
      </c>
      <c r="BC57">
        <v>1.49542046710849E-2</v>
      </c>
      <c r="BD57" s="2">
        <v>3.4028230607370999E+38</v>
      </c>
      <c r="BE57" s="2">
        <v>3.4028230607370999E+38</v>
      </c>
      <c r="BF57">
        <v>230.00140380859401</v>
      </c>
      <c r="BG57">
        <v>1.0000355243682899</v>
      </c>
      <c r="BH57">
        <v>230.00978088378901</v>
      </c>
      <c r="BI57">
        <v>230.00961303710901</v>
      </c>
      <c r="BJ57">
        <v>1.42036294564605E-2</v>
      </c>
      <c r="BK57">
        <v>49.999923706054702</v>
      </c>
      <c r="BL57">
        <v>-3.7707739975303398E-3</v>
      </c>
      <c r="BM57">
        <v>1.7609002068638802E-2</v>
      </c>
      <c r="BN57" s="2">
        <v>3.6877468119200802E-6</v>
      </c>
      <c r="BO57" s="2">
        <v>2.9182833927165999E-10</v>
      </c>
      <c r="BP57" s="2">
        <v>6.4993088244591504E-8</v>
      </c>
      <c r="BQ57" s="2">
        <v>-8.3454931854021197E-9</v>
      </c>
      <c r="BR57">
        <v>74.772521972656193</v>
      </c>
      <c r="BS57">
        <v>97.575393676757798</v>
      </c>
      <c r="BT57">
        <v>1.97605546563864E-2</v>
      </c>
      <c r="BU57" s="2">
        <v>3.19429295814189E-6</v>
      </c>
      <c r="BV57" s="2">
        <v>1.9336727774543802E-9</v>
      </c>
      <c r="BW57" s="2">
        <v>6.0907652255082199E-8</v>
      </c>
      <c r="BX57" s="2">
        <v>-2.3625912337621499E-9</v>
      </c>
      <c r="BY57">
        <v>74.782958984375</v>
      </c>
      <c r="BZ57">
        <v>42.533809661865199</v>
      </c>
      <c r="CA57" s="2">
        <v>3.4028230607370999E+38</v>
      </c>
      <c r="CB57" s="2">
        <v>3.4028230607370999E+38</v>
      </c>
      <c r="CC57">
        <v>230.00978088378901</v>
      </c>
      <c r="CD57">
        <v>230.00961303710901</v>
      </c>
      <c r="CE57">
        <v>1.42036182805896E-2</v>
      </c>
      <c r="CF57" s="2">
        <v>3.4028230607370999E+38</v>
      </c>
      <c r="CG57" s="2">
        <v>3.4028230607370999E+38</v>
      </c>
      <c r="CH57">
        <v>230.00210571289099</v>
      </c>
      <c r="CI57">
        <v>1.0000348091125499</v>
      </c>
      <c r="CJ57">
        <v>230.01010131835901</v>
      </c>
      <c r="CK57">
        <v>230.00941467285199</v>
      </c>
      <c r="CL57">
        <v>1.5719771385192899E-2</v>
      </c>
      <c r="CM57">
        <v>49.999908447265597</v>
      </c>
      <c r="CN57">
        <v>-3.9158221334218996E-3</v>
      </c>
      <c r="CO57">
        <v>1.42314396798611E-2</v>
      </c>
      <c r="CP57" s="2">
        <v>3.59333307642373E-6</v>
      </c>
      <c r="CQ57" s="2">
        <v>3.3705285784613202E-10</v>
      </c>
      <c r="CR57" s="2">
        <v>5.2330630495589503E-8</v>
      </c>
      <c r="CS57" s="2">
        <v>-2.07390393747175E-9</v>
      </c>
      <c r="CT57">
        <v>74.833198547363295</v>
      </c>
      <c r="CU57">
        <v>117.555465698242</v>
      </c>
      <c r="CV57">
        <v>1.52932349592447E-2</v>
      </c>
      <c r="CW57" s="2">
        <v>3.1390113690576999E-6</v>
      </c>
      <c r="CX57" s="2">
        <v>8.3616051582691103E-11</v>
      </c>
      <c r="CY57" s="2">
        <v>4.94161369601898E-8</v>
      </c>
      <c r="CZ57" s="2">
        <v>-1.3651254571200899E-9</v>
      </c>
      <c r="DA57">
        <v>74.771842956542997</v>
      </c>
      <c r="DB57">
        <v>54.182571411132798</v>
      </c>
      <c r="DC57" s="2">
        <v>3.4028230607370999E+38</v>
      </c>
      <c r="DD57" s="2">
        <v>3.4028230607370999E+38</v>
      </c>
      <c r="DE57">
        <v>230.01010131835901</v>
      </c>
      <c r="DF57">
        <v>230.00941467285199</v>
      </c>
      <c r="DG57">
        <v>1.57197676599026E-2</v>
      </c>
      <c r="DH57" s="2">
        <v>3.4028230607370999E+38</v>
      </c>
      <c r="DI57" s="2">
        <v>3.4028230607370999E+38</v>
      </c>
      <c r="DJ57">
        <v>230.00178527832</v>
      </c>
      <c r="DK57">
        <v>1.0000370740890501</v>
      </c>
      <c r="DL57">
        <v>230.01045227050801</v>
      </c>
      <c r="DM57">
        <v>230.01028442382801</v>
      </c>
      <c r="DN57">
        <v>1.5532229095697399E-2</v>
      </c>
      <c r="DO57">
        <v>49.999973297119098</v>
      </c>
      <c r="DP57">
        <v>-3.8459410425275599E-3</v>
      </c>
      <c r="DQ57">
        <v>1.4598069712519601E-2</v>
      </c>
      <c r="DR57" s="2">
        <v>3.5875632420356902E-6</v>
      </c>
      <c r="DS57" s="2">
        <v>-2.16685225318258E-9</v>
      </c>
      <c r="DT57" s="2">
        <v>5.2383374082865002E-8</v>
      </c>
      <c r="DU57" s="2">
        <v>-2.7734452512362399E-9</v>
      </c>
      <c r="DV57">
        <v>74.760002136230497</v>
      </c>
      <c r="DW57">
        <v>104.41786956787099</v>
      </c>
      <c r="DX57">
        <v>1.57067626714706E-2</v>
      </c>
      <c r="DY57" s="2">
        <v>3.09359961647715E-6</v>
      </c>
      <c r="DZ57" s="2">
        <v>1.9878385049132401E-10</v>
      </c>
      <c r="EA57" s="2">
        <v>4.8548816522497899E-8</v>
      </c>
      <c r="EB57" s="2">
        <v>-2.09112926974342E-9</v>
      </c>
      <c r="EC57">
        <v>74.806015014648395</v>
      </c>
      <c r="ED57">
        <v>126.113883972168</v>
      </c>
      <c r="EE57" s="2">
        <v>3.4028230607370999E+38</v>
      </c>
      <c r="EF57" s="2">
        <v>3.4028230607370999E+38</v>
      </c>
      <c r="EG57">
        <v>230.01043701171901</v>
      </c>
      <c r="EH57">
        <v>230.01028442382801</v>
      </c>
      <c r="EI57">
        <v>1.5532223507762E-2</v>
      </c>
      <c r="EJ57" s="2">
        <v>3.4028230607370999E+38</v>
      </c>
      <c r="EK57" s="2">
        <v>3.4028230607370999E+38</v>
      </c>
      <c r="EL57">
        <v>123</v>
      </c>
      <c r="EM57">
        <v>230.00221252441401</v>
      </c>
      <c r="EN57">
        <v>1.0000355243682899</v>
      </c>
      <c r="EO57">
        <v>230.00999450683599</v>
      </c>
      <c r="EP57">
        <v>230.009841918945</v>
      </c>
      <c r="EQ57">
        <v>1.5724701806902899E-2</v>
      </c>
      <c r="ER57">
        <v>49.9999389648438</v>
      </c>
      <c r="ES57">
        <v>-3.9062527939677204E-3</v>
      </c>
      <c r="ET57">
        <v>1</v>
      </c>
      <c r="EU57" s="2">
        <v>3.4028230607370999E+38</v>
      </c>
      <c r="EV57">
        <v>0</v>
      </c>
      <c r="EW57">
        <v>230.00393676757801</v>
      </c>
      <c r="EX57">
        <v>230.01216125488301</v>
      </c>
      <c r="EY57">
        <v>230.01203918457</v>
      </c>
      <c r="EZ57">
        <v>1.95866301655769E-2</v>
      </c>
      <c r="FA57">
        <v>-1.6122985107358499E-4</v>
      </c>
      <c r="FB57">
        <v>1.4112247154116599E-2</v>
      </c>
      <c r="FC57" s="2">
        <v>3.6363844628795101E-6</v>
      </c>
      <c r="FD57" s="2">
        <v>-7.1634892462313401E-10</v>
      </c>
      <c r="FE57" s="2">
        <v>5.18561726892131E-8</v>
      </c>
      <c r="FF57" s="2">
        <v>-2.57871324294001E-9</v>
      </c>
      <c r="FG57">
        <v>74.701553344726605</v>
      </c>
      <c r="FH57">
        <v>96.117408752441406</v>
      </c>
      <c r="FI57">
        <v>1.1165958829224099E-2</v>
      </c>
      <c r="FJ57" s="2">
        <v>3.4028230607370999E+38</v>
      </c>
      <c r="FK57">
        <v>-51.641101837158203</v>
      </c>
      <c r="FL57">
        <v>2.0049169659614601E-2</v>
      </c>
      <c r="FM57">
        <v>0</v>
      </c>
      <c r="FN57">
        <v>0</v>
      </c>
      <c r="FO57">
        <v>0</v>
      </c>
      <c r="FP57" s="2">
        <v>-9.1304522356949706E-5</v>
      </c>
      <c r="FQ57">
        <v>1.53680900111794E-2</v>
      </c>
      <c r="FR57" s="2">
        <v>3.1875381409918199E-6</v>
      </c>
      <c r="FS57" s="2">
        <v>2.2211801287142002E-9</v>
      </c>
      <c r="FT57" s="2">
        <v>4.89892784116819E-8</v>
      </c>
      <c r="FU57" s="2">
        <v>-1.3694609890535501E-9</v>
      </c>
      <c r="FV57">
        <v>74.660995483398395</v>
      </c>
      <c r="FW57">
        <v>101.437782287598</v>
      </c>
      <c r="FX57">
        <v>-6.4596366137266202E-3</v>
      </c>
      <c r="FY57" s="2">
        <v>3.4028230607370999E+38</v>
      </c>
      <c r="FZ57">
        <v>-70.893226623535199</v>
      </c>
      <c r="GA57">
        <v>229.20246887207</v>
      </c>
      <c r="GB57" s="2">
        <v>-3.5126476727320701E-10</v>
      </c>
      <c r="GC57">
        <v>7.2817929321899999E-4</v>
      </c>
      <c r="GD57" s="2">
        <v>3.7702704847042402E-10</v>
      </c>
      <c r="GE57" s="2">
        <v>5.9757327107945498E-5</v>
      </c>
      <c r="GF57" s="2">
        <v>3.4028230607370999E+38</v>
      </c>
      <c r="GG57" s="2">
        <v>3.4028230607370999E+38</v>
      </c>
      <c r="GH57">
        <v>230.01004028320301</v>
      </c>
      <c r="GI57">
        <v>230.00991821289099</v>
      </c>
      <c r="GJ57">
        <v>1.47673236206174E-2</v>
      </c>
      <c r="GK57" s="2">
        <v>3.4028230607370999E+38</v>
      </c>
      <c r="GL57" s="2">
        <v>3.4028230607370999E+38</v>
      </c>
      <c r="GM57" s="2">
        <v>3.4028230607370999E+38</v>
      </c>
      <c r="GN57" s="2">
        <v>3.4028230607370999E+38</v>
      </c>
      <c r="GO57" s="2">
        <v>3.4028230607370999E+38</v>
      </c>
      <c r="GP57" s="2">
        <v>3.4028230607370999E+38</v>
      </c>
      <c r="GQ57">
        <v>230.01010131835901</v>
      </c>
      <c r="GR57">
        <v>230.01010131835901</v>
      </c>
      <c r="GS57">
        <v>1.8436823040247002E-2</v>
      </c>
      <c r="GT57">
        <v>-2.4910294450819498E-4</v>
      </c>
      <c r="GX57">
        <f t="shared" si="1"/>
        <v>230.00181274414058</v>
      </c>
      <c r="GY57">
        <f t="shared" si="2"/>
        <v>1.0000354051589979</v>
      </c>
      <c r="GZ57">
        <f t="shared" si="3"/>
        <v>230.01003112792961</v>
      </c>
      <c r="HA57">
        <f t="shared" si="4"/>
        <v>230.00970153808581</v>
      </c>
      <c r="HB57">
        <f t="shared" si="5"/>
        <v>1.5010857023298759E-2</v>
      </c>
      <c r="HC57">
        <f t="shared" si="6"/>
        <v>49.999920654296865</v>
      </c>
      <c r="HD57">
        <f t="shared" si="7"/>
        <v>-3.7811215966939921E-3</v>
      </c>
      <c r="HW57" s="10">
        <f>(GX57/Data!$S57-1)*1000000</f>
        <v>21.241345255829103</v>
      </c>
      <c r="HX57" s="10">
        <f>(GY57/Data!$T57-1)*1000000</f>
        <v>12.281875004127585</v>
      </c>
      <c r="HY57" s="10">
        <f>(GZ57/Data!$BW57-1)*1000000</f>
        <v>33.845008217570083</v>
      </c>
      <c r="HZ57" s="10">
        <f>(HA57/(Data!$S57*Data!$T57)-1)*1000000</f>
        <v>32.417158010833447</v>
      </c>
      <c r="IA57" s="7">
        <f>(HB57/IF(HD57&gt;0, -Data!$BX57,Data!$BX57)-1)*1000000</f>
        <v>1783513.6066915407</v>
      </c>
      <c r="IB57" s="10"/>
      <c r="IC57" s="9">
        <f>(HD57-Data!$U57)</f>
        <v>-2.4377305966939919E-3</v>
      </c>
    </row>
    <row r="58" spans="1:237" x14ac:dyDescent="0.2">
      <c r="A58">
        <v>58</v>
      </c>
      <c r="B58">
        <v>230.00192260742199</v>
      </c>
      <c r="C58">
        <v>1.0000351667404199</v>
      </c>
      <c r="D58">
        <v>230.01004028320301</v>
      </c>
      <c r="E58">
        <v>230.00927734375</v>
      </c>
      <c r="F58">
        <v>1.4491786248982E-2</v>
      </c>
      <c r="G58">
        <v>49.999973297119098</v>
      </c>
      <c r="H58">
        <v>-3.6099310964345902E-3</v>
      </c>
      <c r="I58">
        <v>1.7534617334604301E-2</v>
      </c>
      <c r="J58" s="2">
        <v>3.6207916309649599E-6</v>
      </c>
      <c r="K58" s="2">
        <v>1.8504128784790901E-11</v>
      </c>
      <c r="L58" s="2">
        <v>6.3469194344634201E-8</v>
      </c>
      <c r="M58" s="2">
        <v>-6.3631664382057798E-9</v>
      </c>
      <c r="N58">
        <v>74.757331848144503</v>
      </c>
      <c r="O58">
        <v>78.530731201171903</v>
      </c>
      <c r="P58">
        <v>1.93055961281061E-2</v>
      </c>
      <c r="Q58" s="2">
        <v>3.1775575735082401E-6</v>
      </c>
      <c r="R58" s="2">
        <v>3.34069860663533E-9</v>
      </c>
      <c r="S58" s="2">
        <v>6.1443529375537804E-8</v>
      </c>
      <c r="T58" s="2">
        <v>-1.77088765873634E-9</v>
      </c>
      <c r="U58">
        <v>74.699035644531193</v>
      </c>
      <c r="V58">
        <v>21.430866241455099</v>
      </c>
      <c r="W58" s="2">
        <v>3.4028230607370999E+38</v>
      </c>
      <c r="X58" s="2">
        <v>3.4028230607370999E+38</v>
      </c>
      <c r="Y58">
        <v>230.01004028320301</v>
      </c>
      <c r="Z58">
        <v>230.00927734375</v>
      </c>
      <c r="AA58">
        <v>1.44917778670788E-2</v>
      </c>
      <c r="AB58" s="2">
        <v>3.4028230607370999E+38</v>
      </c>
      <c r="AC58" s="2">
        <v>3.4028230607370999E+38</v>
      </c>
      <c r="AD58">
        <v>230.00155639648401</v>
      </c>
      <c r="AE58">
        <v>1.00003325939178</v>
      </c>
      <c r="AF58">
        <v>230.00939941406199</v>
      </c>
      <c r="AG58">
        <v>230.00926208496099</v>
      </c>
      <c r="AH58">
        <v>1.5096048824489099E-2</v>
      </c>
      <c r="AI58">
        <v>49.999862670898402</v>
      </c>
      <c r="AJ58">
        <v>-3.76374321058393E-3</v>
      </c>
      <c r="AK58">
        <v>1.7235465347766901E-2</v>
      </c>
      <c r="AL58" s="2">
        <v>3.6974029171688E-6</v>
      </c>
      <c r="AM58" s="2">
        <v>1.4694183647634399E-9</v>
      </c>
      <c r="AN58" s="2">
        <v>6.1258326411461894E-8</v>
      </c>
      <c r="AO58" s="2">
        <v>-5.3357824825184302E-9</v>
      </c>
      <c r="AP58">
        <v>74.728492736816406</v>
      </c>
      <c r="AQ58">
        <v>89.188468933105497</v>
      </c>
      <c r="AR58">
        <v>1.86586081981659E-2</v>
      </c>
      <c r="AS58" s="2">
        <v>3.0935502763895801E-6</v>
      </c>
      <c r="AT58" s="2">
        <v>2.7565312255006802E-9</v>
      </c>
      <c r="AU58" s="2">
        <v>5.9680132835637805E-8</v>
      </c>
      <c r="AV58" s="2">
        <v>-1.46511158760632E-9</v>
      </c>
      <c r="AW58">
        <v>74.717269897460895</v>
      </c>
      <c r="AX58">
        <v>29.058423995971701</v>
      </c>
      <c r="AY58" s="2">
        <v>3.4028230607370999E+38</v>
      </c>
      <c r="AZ58" s="2">
        <v>3.4028230607370999E+38</v>
      </c>
      <c r="BA58">
        <v>230.00939941406199</v>
      </c>
      <c r="BB58">
        <v>230.00926208496099</v>
      </c>
      <c r="BC58">
        <v>1.5096041373908501E-2</v>
      </c>
      <c r="BD58" s="2">
        <v>3.4028230607370999E+38</v>
      </c>
      <c r="BE58" s="2">
        <v>3.4028230607370999E+38</v>
      </c>
      <c r="BF58">
        <v>230.00204467773401</v>
      </c>
      <c r="BG58">
        <v>1.0000357627868699</v>
      </c>
      <c r="BH58">
        <v>230.009841918945</v>
      </c>
      <c r="BI58">
        <v>230.009689331055</v>
      </c>
      <c r="BJ58">
        <v>1.5358564443886299E-2</v>
      </c>
      <c r="BK58">
        <v>49.999855041503899</v>
      </c>
      <c r="BL58">
        <v>-3.4667621366679699E-3</v>
      </c>
      <c r="BM58">
        <v>1.75231285393238E-2</v>
      </c>
      <c r="BN58" s="2">
        <v>3.6800827274419101E-6</v>
      </c>
      <c r="BO58" s="2">
        <v>-3.9724112887995499E-10</v>
      </c>
      <c r="BP58" s="2">
        <v>6.4549944056580002E-8</v>
      </c>
      <c r="BQ58" s="2">
        <v>-8.3865518973880204E-9</v>
      </c>
      <c r="BR58">
        <v>74.7191162109375</v>
      </c>
      <c r="BS58">
        <v>90.987655639648395</v>
      </c>
      <c r="BT58">
        <v>1.94627903401852E-2</v>
      </c>
      <c r="BU58" s="2">
        <v>3.10931613967114E-6</v>
      </c>
      <c r="BV58" s="2">
        <v>7.9768736060970003E-10</v>
      </c>
      <c r="BW58" s="2">
        <v>6.0579289140605397E-8</v>
      </c>
      <c r="BX58" s="2">
        <v>-3.4993581365938599E-9</v>
      </c>
      <c r="BY58">
        <v>74.698532104492202</v>
      </c>
      <c r="BZ58">
        <v>88.713005065917997</v>
      </c>
      <c r="CA58" s="2">
        <v>3.4028230607370999E+38</v>
      </c>
      <c r="CB58" s="2">
        <v>3.4028230607370999E+38</v>
      </c>
      <c r="CC58">
        <v>230.00982666015599</v>
      </c>
      <c r="CD58">
        <v>230.009689331055</v>
      </c>
      <c r="CE58">
        <v>1.53585523366928E-2</v>
      </c>
      <c r="CF58" s="2">
        <v>3.4028230607370999E+38</v>
      </c>
      <c r="CG58" s="2">
        <v>3.4028230607370999E+38</v>
      </c>
      <c r="CH58">
        <v>230.00177001953099</v>
      </c>
      <c r="CI58">
        <v>1.0000351667404199</v>
      </c>
      <c r="CJ58">
        <v>230.00991821289099</v>
      </c>
      <c r="CK58">
        <v>230.00973510742199</v>
      </c>
      <c r="CL58">
        <v>1.4723999425768901E-2</v>
      </c>
      <c r="CM58">
        <v>49.999958038330099</v>
      </c>
      <c r="CN58">
        <v>-3.6677683237940099E-3</v>
      </c>
      <c r="CO58">
        <v>1.5340286307036899E-2</v>
      </c>
      <c r="CP58" s="2">
        <v>3.5607572499429799E-6</v>
      </c>
      <c r="CQ58" s="2">
        <v>1.1459742044195301E-9</v>
      </c>
      <c r="CR58" s="2">
        <v>5.4126960691292003E-8</v>
      </c>
      <c r="CS58" s="2">
        <v>-2.7087165843653301E-9</v>
      </c>
      <c r="CT58">
        <v>74.705596923828097</v>
      </c>
      <c r="CU58">
        <v>63.322860717773402</v>
      </c>
      <c r="CV58">
        <v>1.6617752611637102E-2</v>
      </c>
      <c r="CW58" s="2">
        <v>3.13122336592642E-6</v>
      </c>
      <c r="CX58" s="2">
        <v>2.53146081874434E-9</v>
      </c>
      <c r="CY58" s="2">
        <v>5.1188777661081999E-8</v>
      </c>
      <c r="CZ58" s="2">
        <v>-1.08839148804662E-9</v>
      </c>
      <c r="DA58">
        <v>74.791404724121094</v>
      </c>
      <c r="DB58">
        <v>8.4568185806274396</v>
      </c>
      <c r="DC58" s="2">
        <v>3.4028230607370999E+38</v>
      </c>
      <c r="DD58" s="2">
        <v>3.4028230607370999E+38</v>
      </c>
      <c r="DE58">
        <v>230.00991821289099</v>
      </c>
      <c r="DF58">
        <v>230.00973510742199</v>
      </c>
      <c r="DG58">
        <v>1.4723994769156E-2</v>
      </c>
      <c r="DH58" s="2">
        <v>3.4028230607370999E+38</v>
      </c>
      <c r="DI58" s="2">
        <v>3.4028230607370999E+38</v>
      </c>
      <c r="DJ58">
        <v>230.00141906738301</v>
      </c>
      <c r="DK58">
        <v>1.00003445148468</v>
      </c>
      <c r="DL58">
        <v>230.00991821289099</v>
      </c>
      <c r="DM58">
        <v>230.00975036621099</v>
      </c>
      <c r="DN58">
        <v>1.43198128789663E-2</v>
      </c>
      <c r="DO58">
        <v>49.999988555908203</v>
      </c>
      <c r="DP58">
        <v>-3.6534897517412901E-3</v>
      </c>
      <c r="DQ58">
        <v>1.7636714503169101E-2</v>
      </c>
      <c r="DR58" s="2">
        <v>3.6274859667173599E-6</v>
      </c>
      <c r="DS58" s="2">
        <v>9.6509955582746401E-10</v>
      </c>
      <c r="DT58" s="2">
        <v>6.3987329212977797E-8</v>
      </c>
      <c r="DU58" s="2">
        <v>-6.2888716456654898E-9</v>
      </c>
      <c r="DV58">
        <v>74.729141235351605</v>
      </c>
      <c r="DW58">
        <v>82.820938110351605</v>
      </c>
      <c r="DX58">
        <v>1.9255150109529499E-2</v>
      </c>
      <c r="DY58" s="2">
        <v>3.1814277008379598E-6</v>
      </c>
      <c r="DZ58" s="2">
        <v>3.0231628311838701E-9</v>
      </c>
      <c r="EA58" s="2">
        <v>6.1015860808311104E-8</v>
      </c>
      <c r="EB58" s="2">
        <v>-2.7364301935506298E-9</v>
      </c>
      <c r="EC58">
        <v>74.742561340332003</v>
      </c>
      <c r="ED58">
        <v>47.926460266113303</v>
      </c>
      <c r="EE58" s="2">
        <v>3.4028230607370999E+38</v>
      </c>
      <c r="EF58" s="2">
        <v>3.4028230607370999E+38</v>
      </c>
      <c r="EG58">
        <v>230.00991821289099</v>
      </c>
      <c r="EH58">
        <v>230.00975036621099</v>
      </c>
      <c r="EI58">
        <v>1.4319803565740599E-2</v>
      </c>
      <c r="EJ58" s="2">
        <v>3.4028230607370999E+38</v>
      </c>
      <c r="EK58" s="2">
        <v>3.4028230607370999E+38</v>
      </c>
      <c r="EL58">
        <v>123</v>
      </c>
      <c r="EM58">
        <v>230.00146484375</v>
      </c>
      <c r="EN58">
        <v>1.0000342130661</v>
      </c>
      <c r="EO58">
        <v>230.00938415527301</v>
      </c>
      <c r="EP58">
        <v>230.00921630859401</v>
      </c>
      <c r="EQ58">
        <v>1.46838137879968E-2</v>
      </c>
      <c r="ER58">
        <v>49.999954223632798</v>
      </c>
      <c r="ES58">
        <v>-3.6577582359314E-3</v>
      </c>
      <c r="ET58">
        <v>1</v>
      </c>
      <c r="EU58" s="2">
        <v>3.4028230607370999E+38</v>
      </c>
      <c r="EV58">
        <v>0</v>
      </c>
      <c r="EW58">
        <v>230.00216674804699</v>
      </c>
      <c r="EX58">
        <v>230.01022338867199</v>
      </c>
      <c r="EY58">
        <v>230.01008605957</v>
      </c>
      <c r="EZ58">
        <v>2.3444859310984601E-2</v>
      </c>
      <c r="FA58" s="2">
        <v>8.86810666997917E-5</v>
      </c>
      <c r="FB58">
        <v>1.7420625314116499E-2</v>
      </c>
      <c r="FC58" s="2">
        <v>3.6452188396651802E-6</v>
      </c>
      <c r="FD58" s="2">
        <v>-5.9634586158097105E-10</v>
      </c>
      <c r="FE58" s="2">
        <v>6.3887789281125204E-8</v>
      </c>
      <c r="FF58" s="2">
        <v>-7.7412263266296594E-9</v>
      </c>
      <c r="FG58">
        <v>74.772293090820298</v>
      </c>
      <c r="FH58">
        <v>100.095893859863</v>
      </c>
      <c r="FI58">
        <v>3.0845003202557598E-3</v>
      </c>
      <c r="FJ58" s="2">
        <v>3.4028230607370999E+38</v>
      </c>
      <c r="FK58">
        <v>-43.242080688476598</v>
      </c>
      <c r="FL58">
        <v>2.0954223349690399E-2</v>
      </c>
      <c r="FM58">
        <v>0</v>
      </c>
      <c r="FN58">
        <v>0</v>
      </c>
      <c r="FO58">
        <v>0</v>
      </c>
      <c r="FP58">
        <v>-1.09844622784294E-4</v>
      </c>
      <c r="FQ58">
        <v>1.9527036696672401E-2</v>
      </c>
      <c r="FR58" s="2">
        <v>3.0660237371193901E-6</v>
      </c>
      <c r="FS58" s="2">
        <v>1.7057280032872799E-9</v>
      </c>
      <c r="FT58" s="2">
        <v>6.0299754522930003E-8</v>
      </c>
      <c r="FU58" s="2">
        <v>-3.0910649595483598E-9</v>
      </c>
      <c r="FV58">
        <v>74.678497314453097</v>
      </c>
      <c r="FW58">
        <v>68.790512084960895</v>
      </c>
      <c r="FX58">
        <v>1.7216119915247002E-2</v>
      </c>
      <c r="FY58" s="2">
        <v>3.4028230607370999E+38</v>
      </c>
      <c r="FZ58">
        <v>34.734443664550803</v>
      </c>
      <c r="GA58">
        <v>229.75265502929699</v>
      </c>
      <c r="GB58" s="2">
        <v>-1.48952206124875E-9</v>
      </c>
      <c r="GC58">
        <v>7.1894895518198599E-4</v>
      </c>
      <c r="GD58" s="2">
        <v>-1.53977808281525E-9</v>
      </c>
      <c r="GE58" s="2">
        <v>4.1016417526407201E-5</v>
      </c>
      <c r="GF58" s="2">
        <v>3.4028230607370999E+38</v>
      </c>
      <c r="GG58" s="2">
        <v>3.4028230607370999E+38</v>
      </c>
      <c r="GH58">
        <v>230.010009765625</v>
      </c>
      <c r="GI58">
        <v>230.00944519043</v>
      </c>
      <c r="GJ58">
        <v>1.43921561539173E-2</v>
      </c>
      <c r="GK58" s="2">
        <v>3.4028230607370999E+38</v>
      </c>
      <c r="GL58" s="2">
        <v>3.4028230607370999E+38</v>
      </c>
      <c r="GM58" s="2">
        <v>3.4028230607370999E+38</v>
      </c>
      <c r="GN58" s="2">
        <v>3.4028230607370999E+38</v>
      </c>
      <c r="GO58" s="2">
        <v>3.4028230607370999E+38</v>
      </c>
      <c r="GP58" s="2">
        <v>3.4028230607370999E+38</v>
      </c>
      <c r="GQ58">
        <v>230.01260375976599</v>
      </c>
      <c r="GR58">
        <v>230.01260375976599</v>
      </c>
      <c r="GS58">
        <v>2.50463578850031E-2</v>
      </c>
      <c r="GT58">
        <v>1.2508859799709201E-4</v>
      </c>
      <c r="GX58">
        <f t="shared" si="1"/>
        <v>230.00174255371081</v>
      </c>
      <c r="GY58">
        <f t="shared" si="2"/>
        <v>1.0000347614288341</v>
      </c>
      <c r="GZ58">
        <f t="shared" si="3"/>
        <v>230.00982360839839</v>
      </c>
      <c r="HA58">
        <f t="shared" si="4"/>
        <v>230.00954284667978</v>
      </c>
      <c r="HB58">
        <f t="shared" si="5"/>
        <v>1.4798042364418521E-2</v>
      </c>
      <c r="HC58">
        <f t="shared" si="6"/>
        <v>49.999927520751939</v>
      </c>
      <c r="HD58">
        <f t="shared" si="7"/>
        <v>-3.632338903844358E-3</v>
      </c>
      <c r="HW58" s="10">
        <f>(GX58/Data!$S58-1)*1000000</f>
        <v>21.642277068467664</v>
      </c>
      <c r="HX58" s="10">
        <f>(GY58/Data!$T58-1)*1000000</f>
        <v>10.260177449428198</v>
      </c>
      <c r="HY58" s="10">
        <f>(GZ58/Data!$BW58-1)*1000000</f>
        <v>32.270569161108043</v>
      </c>
      <c r="HZ58" s="10">
        <f>(HA58/(Data!$S58*Data!$T58)-1)*1000000</f>
        <v>31.055310472538622</v>
      </c>
      <c r="IA58" s="7">
        <f>(HB58/IF(HD58&gt;0, -Data!$BX58,Data!$BX58)-1)*1000000</f>
        <v>2028857.8558127214</v>
      </c>
      <c r="IB58" s="10"/>
      <c r="IC58" s="9">
        <f>(HD58-Data!$U58)</f>
        <v>-2.4152689038443578E-3</v>
      </c>
    </row>
    <row r="59" spans="1:237" x14ac:dyDescent="0.2">
      <c r="A59">
        <v>59</v>
      </c>
      <c r="B59">
        <v>230.00155639648401</v>
      </c>
      <c r="C59">
        <v>1.0000360012054399</v>
      </c>
      <c r="D59">
        <v>230.009841918945</v>
      </c>
      <c r="E59">
        <v>230.00973510742199</v>
      </c>
      <c r="F59">
        <v>1.44776152446866E-2</v>
      </c>
      <c r="G59">
        <v>49.999988555908203</v>
      </c>
      <c r="H59">
        <v>-3.6063939332962001E-3</v>
      </c>
      <c r="I59">
        <v>1.7684508115053201E-2</v>
      </c>
      <c r="J59" s="2">
        <v>3.6110909604758498E-6</v>
      </c>
      <c r="K59" s="2">
        <v>-1.00408481529257E-9</v>
      </c>
      <c r="L59" s="2">
        <v>6.3393613913831399E-8</v>
      </c>
      <c r="M59" s="2">
        <v>-7.1083876562738599E-9</v>
      </c>
      <c r="N59">
        <v>74.698577880859403</v>
      </c>
      <c r="O59">
        <v>99.542541503906193</v>
      </c>
      <c r="P59">
        <v>1.9485747441649399E-2</v>
      </c>
      <c r="Q59" s="2">
        <v>3.0523667646775699E-6</v>
      </c>
      <c r="R59" s="2">
        <v>1.4234013967495701E-9</v>
      </c>
      <c r="S59" s="2">
        <v>6.3313130738151799E-8</v>
      </c>
      <c r="T59" s="2">
        <v>-2.8038229515914302E-9</v>
      </c>
      <c r="U59">
        <v>74.808494567871094</v>
      </c>
      <c r="V59">
        <v>54.881870269775398</v>
      </c>
      <c r="W59" s="2">
        <v>3.4028230607370999E+38</v>
      </c>
      <c r="X59" s="2">
        <v>3.4028230607370999E+38</v>
      </c>
      <c r="Y59">
        <v>230.00982666015599</v>
      </c>
      <c r="Z59">
        <v>230.00973510742199</v>
      </c>
      <c r="AA59">
        <v>1.44776050001383E-2</v>
      </c>
      <c r="AB59" s="2">
        <v>3.4028230607370999E+38</v>
      </c>
      <c r="AC59" s="2">
        <v>3.4028230607370999E+38</v>
      </c>
      <c r="AD59">
        <v>230.00132751464801</v>
      </c>
      <c r="AE59">
        <v>1.0000363588333101</v>
      </c>
      <c r="AF59">
        <v>230.00942993164099</v>
      </c>
      <c r="AG59">
        <v>230.00927734375</v>
      </c>
      <c r="AH59">
        <v>1.49899115785956E-2</v>
      </c>
      <c r="AI59">
        <v>49.9999389648438</v>
      </c>
      <c r="AJ59">
        <v>-3.6613105330616201E-3</v>
      </c>
      <c r="AK59">
        <v>1.7650589346885698E-2</v>
      </c>
      <c r="AL59" s="2">
        <v>3.6183628253638702E-6</v>
      </c>
      <c r="AM59" s="2">
        <v>-1.67860103594819E-9</v>
      </c>
      <c r="AN59" s="2">
        <v>6.3874622924231503E-8</v>
      </c>
      <c r="AO59" s="2">
        <v>-8.5083176060152304E-9</v>
      </c>
      <c r="AP59">
        <v>74.748313903808594</v>
      </c>
      <c r="AQ59">
        <v>104.36260986328099</v>
      </c>
      <c r="AR59">
        <v>1.94546543061733E-2</v>
      </c>
      <c r="AS59" s="2">
        <v>3.1042930004332401E-6</v>
      </c>
      <c r="AT59" s="2">
        <v>1.1080060202672801E-9</v>
      </c>
      <c r="AU59" s="2">
        <v>6.0364598652995496E-8</v>
      </c>
      <c r="AV59" s="2">
        <v>-3.3122471432278598E-9</v>
      </c>
      <c r="AW59">
        <v>74.787971496582003</v>
      </c>
      <c r="AX59">
        <v>61.334751129150398</v>
      </c>
      <c r="AY59" s="2">
        <v>3.4028230607370999E+38</v>
      </c>
      <c r="AZ59" s="2">
        <v>3.4028230607370999E+38</v>
      </c>
      <c r="BA59">
        <v>230.00941467285199</v>
      </c>
      <c r="BB59">
        <v>230.00927734375</v>
      </c>
      <c r="BC59">
        <v>1.4989899471402199E-2</v>
      </c>
      <c r="BD59" s="2">
        <v>3.4028230607370999E+38</v>
      </c>
      <c r="BE59" s="2">
        <v>3.4028230607370999E+38</v>
      </c>
      <c r="BF59">
        <v>230.00158691406199</v>
      </c>
      <c r="BG59">
        <v>1.00003802776337</v>
      </c>
      <c r="BH59">
        <v>230.010330200195</v>
      </c>
      <c r="BI59">
        <v>230.00987243652301</v>
      </c>
      <c r="BJ59">
        <v>1.4643277972936601E-2</v>
      </c>
      <c r="BK59">
        <v>49.999927520752003</v>
      </c>
      <c r="BL59">
        <v>-3.6476585082709798E-3</v>
      </c>
      <c r="BM59">
        <v>1.69432815164328E-2</v>
      </c>
      <c r="BN59" s="2">
        <v>3.6975436614739002E-6</v>
      </c>
      <c r="BO59" s="2">
        <v>-2.2721948766957199E-9</v>
      </c>
      <c r="BP59" s="2">
        <v>6.1873528522937704E-8</v>
      </c>
      <c r="BQ59" s="2">
        <v>-6.92626178633304E-9</v>
      </c>
      <c r="BR59">
        <v>74.765739440917997</v>
      </c>
      <c r="BS59">
        <v>108.41506195068401</v>
      </c>
      <c r="BT59">
        <v>1.8664348870515799E-2</v>
      </c>
      <c r="BU59" s="2">
        <v>3.1448985282622701E-6</v>
      </c>
      <c r="BV59" s="2">
        <v>1.8563543757732501E-10</v>
      </c>
      <c r="BW59" s="2">
        <v>5.8341356634628001E-8</v>
      </c>
      <c r="BX59" s="2">
        <v>-3.2280198514200699E-9</v>
      </c>
      <c r="BY59">
        <v>74.793556213378906</v>
      </c>
      <c r="BZ59">
        <v>86.708679199218807</v>
      </c>
      <c r="CA59" s="2">
        <v>3.4028230607370999E+38</v>
      </c>
      <c r="CB59" s="2">
        <v>3.4028230607370999E+38</v>
      </c>
      <c r="CC59">
        <v>230.01031494140599</v>
      </c>
      <c r="CD59">
        <v>230.00987243652301</v>
      </c>
      <c r="CE59">
        <v>1.4643267728388301E-2</v>
      </c>
      <c r="CF59" s="2">
        <v>3.4028230607370999E+38</v>
      </c>
      <c r="CG59" s="2">
        <v>3.4028230607370999E+38</v>
      </c>
      <c r="CH59">
        <v>230.00164794921901</v>
      </c>
      <c r="CI59">
        <v>1.00003302097321</v>
      </c>
      <c r="CJ59">
        <v>230.00900268554699</v>
      </c>
      <c r="CK59">
        <v>230.00888061523401</v>
      </c>
      <c r="CL59">
        <v>1.5451206825673599E-2</v>
      </c>
      <c r="CM59">
        <v>49.999893188476598</v>
      </c>
      <c r="CN59">
        <v>-3.4303460270166401E-3</v>
      </c>
      <c r="CO59">
        <v>1.72577314078808E-2</v>
      </c>
      <c r="CP59" s="2">
        <v>3.6756384815817E-6</v>
      </c>
      <c r="CQ59" s="2">
        <v>1.3251050257068201E-9</v>
      </c>
      <c r="CR59" s="2">
        <v>6.3449377307733799E-8</v>
      </c>
      <c r="CS59" s="2">
        <v>-6.3850369436124798E-9</v>
      </c>
      <c r="CT59">
        <v>74.740180969238295</v>
      </c>
      <c r="CU59">
        <v>84.584617614746094</v>
      </c>
      <c r="CV59">
        <v>1.8698455765843398E-2</v>
      </c>
      <c r="CW59" s="2">
        <v>3.1829554245632599E-6</v>
      </c>
      <c r="CX59" s="2">
        <v>3.1178126747022398E-9</v>
      </c>
      <c r="CY59" s="2">
        <v>6.1250716498761903E-8</v>
      </c>
      <c r="CZ59" s="2">
        <v>-1.72163394651648E-9</v>
      </c>
      <c r="DA59">
        <v>74.834846496582003</v>
      </c>
      <c r="DB59">
        <v>35.935264587402301</v>
      </c>
      <c r="DC59" s="2">
        <v>3.4028230607370999E+38</v>
      </c>
      <c r="DD59" s="2">
        <v>3.4028230607370999E+38</v>
      </c>
      <c r="DE59">
        <v>230.00900268554699</v>
      </c>
      <c r="DF59">
        <v>230.00888061523401</v>
      </c>
      <c r="DG59">
        <v>1.54511984437704E-2</v>
      </c>
      <c r="DH59" s="2">
        <v>3.4028230607370999E+38</v>
      </c>
      <c r="DI59" s="2">
        <v>3.4028230607370999E+38</v>
      </c>
      <c r="DJ59">
        <v>230.00210571289099</v>
      </c>
      <c r="DK59">
        <v>1.0000352859497099</v>
      </c>
      <c r="DL59">
        <v>230.01022338867199</v>
      </c>
      <c r="DM59">
        <v>230.00985717773401</v>
      </c>
      <c r="DN59">
        <v>1.6277585178613701E-2</v>
      </c>
      <c r="DO59">
        <v>49.999912261962898</v>
      </c>
      <c r="DP59">
        <v>-4.0547670796513601E-3</v>
      </c>
      <c r="DQ59">
        <v>1.4241800643503701E-2</v>
      </c>
      <c r="DR59" s="2">
        <v>3.5598154681792902E-6</v>
      </c>
      <c r="DS59" s="2">
        <v>-2.4071546977921798E-9</v>
      </c>
      <c r="DT59" s="2">
        <v>5.0982198018800799E-8</v>
      </c>
      <c r="DU59" s="2">
        <v>-3.8686289727252196E-9</v>
      </c>
      <c r="DV59">
        <v>74.719573974609403</v>
      </c>
      <c r="DW59">
        <v>121.890869140625</v>
      </c>
      <c r="DX59">
        <v>1.5096656978130301E-2</v>
      </c>
      <c r="DY59" s="2">
        <v>3.1352319638244799E-6</v>
      </c>
      <c r="DZ59" s="2">
        <v>-3.8502798171968798E-10</v>
      </c>
      <c r="EA59" s="2">
        <v>4.8564306354137397E-8</v>
      </c>
      <c r="EB59" s="2">
        <v>-1.6198377084109E-9</v>
      </c>
      <c r="EC59">
        <v>74.664321899414105</v>
      </c>
      <c r="ED59">
        <v>110.539505004883</v>
      </c>
      <c r="EE59" s="2">
        <v>3.4028230607370999E+38</v>
      </c>
      <c r="EF59" s="2">
        <v>3.4028230607370999E+38</v>
      </c>
      <c r="EG59">
        <v>230.01020812988301</v>
      </c>
      <c r="EH59">
        <v>230.00985717773401</v>
      </c>
      <c r="EI59">
        <v>1.6277579590678201E-2</v>
      </c>
      <c r="EJ59" s="2">
        <v>3.4028230607370999E+38</v>
      </c>
      <c r="EK59" s="2">
        <v>3.4028230607370999E+38</v>
      </c>
      <c r="EL59">
        <v>123</v>
      </c>
      <c r="EM59">
        <v>230.00193786621099</v>
      </c>
      <c r="EN59">
        <v>1.0000351667404199</v>
      </c>
      <c r="EO59">
        <v>230.009841918945</v>
      </c>
      <c r="EP59">
        <v>230.00965881347699</v>
      </c>
      <c r="EQ59">
        <v>1.5538583509623999E-2</v>
      </c>
      <c r="ER59">
        <v>49.999988555908203</v>
      </c>
      <c r="ES59">
        <v>-3.5504992119967898E-3</v>
      </c>
      <c r="ET59">
        <v>1</v>
      </c>
      <c r="EU59" s="2">
        <v>3.4028230607370999E+38</v>
      </c>
      <c r="EV59">
        <v>0</v>
      </c>
      <c r="EW59">
        <v>230.00486755371099</v>
      </c>
      <c r="EX59">
        <v>230.01286315918</v>
      </c>
      <c r="EY59">
        <v>230.01271057128901</v>
      </c>
      <c r="EZ59">
        <v>2.0023556426167499E-2</v>
      </c>
      <c r="FA59" s="2">
        <v>-6.0006543208146502E-5</v>
      </c>
      <c r="FB59">
        <v>1.45157035440207E-2</v>
      </c>
      <c r="FC59" s="2">
        <v>3.6191693197906699E-6</v>
      </c>
      <c r="FD59" s="2">
        <v>-2.61667265633037E-9</v>
      </c>
      <c r="FE59" s="2">
        <v>5.3524608745192401E-8</v>
      </c>
      <c r="FF59" s="2">
        <v>-4.5015529082093103E-9</v>
      </c>
      <c r="FG59">
        <v>74.763565063476605</v>
      </c>
      <c r="FH59">
        <v>109.418807983398</v>
      </c>
      <c r="FI59">
        <v>-3.3035669475793797E-2</v>
      </c>
      <c r="FJ59" s="2">
        <v>3.4028230607370999E+38</v>
      </c>
      <c r="FK59">
        <v>28.778484344482401</v>
      </c>
      <c r="FL59">
        <v>2.0151896402239799E-2</v>
      </c>
      <c r="FM59">
        <v>0</v>
      </c>
      <c r="FN59">
        <v>0</v>
      </c>
      <c r="FO59">
        <v>0</v>
      </c>
      <c r="FP59" s="2">
        <v>-9.2859925644006594E-5</v>
      </c>
      <c r="FQ59">
        <v>1.6443846747279198E-2</v>
      </c>
      <c r="FR59" s="2">
        <v>3.1091042274056201E-6</v>
      </c>
      <c r="FS59" s="2">
        <v>-2.02232475210451E-9</v>
      </c>
      <c r="FT59" s="2">
        <v>5.1115613075580801E-8</v>
      </c>
      <c r="FU59" s="2">
        <v>-2.7049766870845798E-9</v>
      </c>
      <c r="FV59">
        <v>74.812248229980497</v>
      </c>
      <c r="FW59">
        <v>109.55541229248</v>
      </c>
      <c r="FX59">
        <v>-1.8431833013892202E-2</v>
      </c>
      <c r="FY59" s="2">
        <v>3.4028230607370999E+38</v>
      </c>
      <c r="FZ59">
        <v>21.708660125732401</v>
      </c>
      <c r="GA59">
        <v>229.75842285156199</v>
      </c>
      <c r="GB59" s="2">
        <v>-1.6527912372055201E-10</v>
      </c>
      <c r="GC59">
        <v>7.1890995604917396E-4</v>
      </c>
      <c r="GD59" s="2">
        <v>2.5096860700735099E-10</v>
      </c>
      <c r="GE59" s="2">
        <v>4.7774505219422301E-5</v>
      </c>
      <c r="GF59" s="2">
        <v>3.4028230607370999E+38</v>
      </c>
      <c r="GG59" s="2">
        <v>3.4028230607370999E+38</v>
      </c>
      <c r="GH59">
        <v>230.01007080078099</v>
      </c>
      <c r="GI59">
        <v>230.00993347168</v>
      </c>
      <c r="GJ59">
        <v>1.5510294586420101E-2</v>
      </c>
      <c r="GK59" s="2">
        <v>3.4028230607370999E+38</v>
      </c>
      <c r="GL59" s="2">
        <v>3.4028230607370999E+38</v>
      </c>
      <c r="GM59" s="2">
        <v>3.4028230607370999E+38</v>
      </c>
      <c r="GN59" s="2">
        <v>3.4028230607370999E+38</v>
      </c>
      <c r="GO59" s="2">
        <v>3.4028230607370999E+38</v>
      </c>
      <c r="GP59" s="2">
        <v>3.4028230607370999E+38</v>
      </c>
      <c r="GQ59">
        <v>230.01435852050801</v>
      </c>
      <c r="GR59">
        <v>230.01435852050801</v>
      </c>
      <c r="GS59">
        <v>2.3928556591272399E-2</v>
      </c>
      <c r="GT59">
        <v>2.5190028827637401E-4</v>
      </c>
      <c r="GX59">
        <f t="shared" si="1"/>
        <v>230.00164489746081</v>
      </c>
      <c r="GY59">
        <f t="shared" si="2"/>
        <v>1.0000357389450081</v>
      </c>
      <c r="GZ59">
        <f t="shared" si="3"/>
        <v>230.009765625</v>
      </c>
      <c r="HA59">
        <f t="shared" si="4"/>
        <v>230.00952453613257</v>
      </c>
      <c r="HB59">
        <f t="shared" si="5"/>
        <v>1.516791936010122E-2</v>
      </c>
      <c r="HC59">
        <f t="shared" si="6"/>
        <v>49.999932098388697</v>
      </c>
      <c r="HD59">
        <f t="shared" si="7"/>
        <v>-3.6800952162593598E-3</v>
      </c>
      <c r="HW59" s="10">
        <f>(GX59/Data!$S59-1)*1000000</f>
        <v>20.846361393767054</v>
      </c>
      <c r="HX59" s="10">
        <f>(GY59/Data!$T59-1)*1000000</f>
        <v>12.957649819789196</v>
      </c>
      <c r="HY59" s="10">
        <f>(GZ59/Data!$BW59-1)*1000000</f>
        <v>33.367196634159768</v>
      </c>
      <c r="HZ59" s="10">
        <f>(HA59/(Data!$S59*Data!$T59)-1)*1000000</f>
        <v>32.324392750027187</v>
      </c>
      <c r="IA59" s="7">
        <f>(HB59/IF(HD59&gt;0, -Data!$BX59,Data!$BX59)-1)*1000000</f>
        <v>1914086.5093486842</v>
      </c>
      <c r="IB59" s="10"/>
      <c r="IC59" s="9">
        <f>(HD59-Data!$U59)</f>
        <v>-2.3834692162593599E-3</v>
      </c>
    </row>
    <row r="60" spans="1:237" x14ac:dyDescent="0.2">
      <c r="A60">
        <v>60</v>
      </c>
      <c r="B60">
        <v>230.00190734863301</v>
      </c>
      <c r="C60">
        <v>1.0000371932983401</v>
      </c>
      <c r="D60">
        <v>114.99200439453099</v>
      </c>
      <c r="E60">
        <v>230.00991821289099</v>
      </c>
      <c r="F60">
        <v>199.20147705078099</v>
      </c>
      <c r="G60">
        <v>50.000049591064503</v>
      </c>
      <c r="H60">
        <v>-60.003856658935497</v>
      </c>
      <c r="I60">
        <v>1.59079041332006E-2</v>
      </c>
      <c r="J60" s="2">
        <v>3.6273179375712099E-6</v>
      </c>
      <c r="K60" s="2">
        <v>3.9880081459386896E-9</v>
      </c>
      <c r="L60" s="2">
        <v>5.7709748091383497E-8</v>
      </c>
      <c r="M60" s="2">
        <v>-2.5452426832828198E-9</v>
      </c>
      <c r="N60">
        <v>74.762565612792997</v>
      </c>
      <c r="O60">
        <v>39.075817108154297</v>
      </c>
      <c r="P60">
        <v>1.7365355044603299E-2</v>
      </c>
      <c r="Q60" s="2">
        <v>3.2044131330621899E-6</v>
      </c>
      <c r="R60" s="2">
        <v>3.0086892977010401E-9</v>
      </c>
      <c r="S60" s="2">
        <v>5.5650115626804102E-8</v>
      </c>
      <c r="T60" s="2">
        <v>-1.5982370982214901E-9</v>
      </c>
      <c r="U60">
        <v>74.784332275390597</v>
      </c>
      <c r="V60">
        <v>26.5112495422363</v>
      </c>
      <c r="W60" s="2">
        <v>3.4028230607370999E+38</v>
      </c>
      <c r="X60" s="2">
        <v>3.4028230607370999E+38</v>
      </c>
      <c r="Y60">
        <v>114.99200439453099</v>
      </c>
      <c r="Z60">
        <v>230.00991821289099</v>
      </c>
      <c r="AA60">
        <v>199.20146179199199</v>
      </c>
      <c r="AB60" s="2">
        <v>3.4028230607370999E+38</v>
      </c>
      <c r="AC60" s="2">
        <v>3.4028230607370999E+38</v>
      </c>
      <c r="AD60">
        <v>230.00184631347699</v>
      </c>
      <c r="AE60">
        <v>1.0000370740890501</v>
      </c>
      <c r="AF60">
        <v>114.991691589355</v>
      </c>
      <c r="AG60">
        <v>230.01026916503901</v>
      </c>
      <c r="AH60">
        <v>199.20205688476599</v>
      </c>
      <c r="AI60">
        <v>49.999973297119098</v>
      </c>
      <c r="AJ60">
        <v>-60.003910064697301</v>
      </c>
      <c r="AK60">
        <v>1.50544568896294E-2</v>
      </c>
      <c r="AL60" s="2">
        <v>3.57677845386206E-6</v>
      </c>
      <c r="AM60" s="2">
        <v>5.1556181546175098E-9</v>
      </c>
      <c r="AN60" s="2">
        <v>5.4461100518210501E-8</v>
      </c>
      <c r="AO60" s="2">
        <v>1.62296820427343E-9</v>
      </c>
      <c r="AP60">
        <v>74.736915588378906</v>
      </c>
      <c r="AQ60">
        <v>-16.776018142700199</v>
      </c>
      <c r="AR60">
        <v>1.62274017930031E-2</v>
      </c>
      <c r="AS60" s="2">
        <v>3.1227375529852002E-6</v>
      </c>
      <c r="AT60" s="2">
        <v>4.6240278273046401E-9</v>
      </c>
      <c r="AU60" s="2">
        <v>5.2511452963699399E-8</v>
      </c>
      <c r="AV60" s="2">
        <v>1.69334124500153E-9</v>
      </c>
      <c r="AW60">
        <v>74.7232666015625</v>
      </c>
      <c r="AX60">
        <v>-22.472002029418899</v>
      </c>
      <c r="AY60" s="2">
        <v>3.4028230607370999E+38</v>
      </c>
      <c r="AZ60" s="2">
        <v>3.4028230607370999E+38</v>
      </c>
      <c r="BA60">
        <v>114.991691589355</v>
      </c>
      <c r="BB60">
        <v>230.01026916503901</v>
      </c>
      <c r="BC60">
        <v>199.20205688476599</v>
      </c>
      <c r="BD60" s="2">
        <v>3.4028230607370999E+38</v>
      </c>
      <c r="BE60" s="2">
        <v>3.4028230607370999E+38</v>
      </c>
      <c r="BF60">
        <v>230.00184631347699</v>
      </c>
      <c r="BG60">
        <v>1.0000364780426001</v>
      </c>
      <c r="BH60">
        <v>114.991706848145</v>
      </c>
      <c r="BI60">
        <v>230.009689331055</v>
      </c>
      <c r="BJ60">
        <v>199.20243835449199</v>
      </c>
      <c r="BK60">
        <v>50.000007629394503</v>
      </c>
      <c r="BL60">
        <v>-60.003822326660199</v>
      </c>
      <c r="BM60">
        <v>1.6190074384212501E-2</v>
      </c>
      <c r="BN60" s="2">
        <v>3.6095573250349802E-6</v>
      </c>
      <c r="BO60" s="2">
        <v>4.51747128593638E-9</v>
      </c>
      <c r="BP60" s="2">
        <v>5.8649934686627603E-8</v>
      </c>
      <c r="BQ60" s="2">
        <v>-3.8640211030838104E-9</v>
      </c>
      <c r="BR60">
        <v>74.758689880371094</v>
      </c>
      <c r="BS60">
        <v>49.278736114502003</v>
      </c>
      <c r="BT60">
        <v>1.73732582479715E-2</v>
      </c>
      <c r="BU60" s="2">
        <v>3.1520601169177098E-6</v>
      </c>
      <c r="BV60" s="2">
        <v>2.64305666242137E-9</v>
      </c>
      <c r="BW60" s="2">
        <v>5.4770286084249198E-8</v>
      </c>
      <c r="BX60" s="2">
        <v>-2.4552548882894598E-9</v>
      </c>
      <c r="BY60">
        <v>74.699447631835895</v>
      </c>
      <c r="BZ60">
        <v>46.0976753234863</v>
      </c>
      <c r="CA60" s="2">
        <v>3.4028230607370999E+38</v>
      </c>
      <c r="CB60" s="2">
        <v>3.4028230607370999E+38</v>
      </c>
      <c r="CC60">
        <v>114.991706848145</v>
      </c>
      <c r="CD60">
        <v>230.009689331055</v>
      </c>
      <c r="CE60">
        <v>199.20242309570301</v>
      </c>
      <c r="CF60" s="2">
        <v>3.4028230607370999E+38</v>
      </c>
      <c r="CG60" s="2">
        <v>3.4028230607370999E+38</v>
      </c>
      <c r="CH60">
        <v>230.00181579589801</v>
      </c>
      <c r="CI60">
        <v>1.0000368356704701</v>
      </c>
      <c r="CJ60">
        <v>114.992385864258</v>
      </c>
      <c r="CK60">
        <v>230.01007080078099</v>
      </c>
      <c r="CL60">
        <v>199.20260620117199</v>
      </c>
      <c r="CM60">
        <v>49.999874114990199</v>
      </c>
      <c r="CN60">
        <v>-60.003753662109403</v>
      </c>
      <c r="CO60">
        <v>1.5840901061892499E-2</v>
      </c>
      <c r="CP60" s="2">
        <v>3.63075332643348E-6</v>
      </c>
      <c r="CQ60" s="2">
        <v>3.3837239676870501E-9</v>
      </c>
      <c r="CR60" s="2">
        <v>5.6343392174085199E-8</v>
      </c>
      <c r="CS60" s="2">
        <v>-2.76899858597801E-9</v>
      </c>
      <c r="CT60">
        <v>74.783607482910199</v>
      </c>
      <c r="CU60">
        <v>34.7654418945312</v>
      </c>
      <c r="CV60">
        <v>1.6662435606122E-2</v>
      </c>
      <c r="CW60" s="2">
        <v>3.0948356197768598E-6</v>
      </c>
      <c r="CX60" s="2">
        <v>2.7848237049710199E-9</v>
      </c>
      <c r="CY60" s="2">
        <v>5.2217060897419301E-8</v>
      </c>
      <c r="CZ60" s="2">
        <v>-1.56353341385085E-9</v>
      </c>
      <c r="DA60">
        <v>74.725311279296903</v>
      </c>
      <c r="DB60">
        <v>59.801002502441399</v>
      </c>
      <c r="DC60" s="2">
        <v>3.4028230607370999E+38</v>
      </c>
      <c r="DD60" s="2">
        <v>3.4028230607370999E+38</v>
      </c>
      <c r="DE60">
        <v>114.992385864258</v>
      </c>
      <c r="DF60">
        <v>230.01007080078099</v>
      </c>
      <c r="DG60">
        <v>199.20259094238301</v>
      </c>
      <c r="DH60" s="2">
        <v>3.4028230607370999E+38</v>
      </c>
      <c r="DI60" s="2">
        <v>3.4028230607370999E+38</v>
      </c>
      <c r="DJ60">
        <v>230.00109863281199</v>
      </c>
      <c r="DK60">
        <v>1.0000371932983401</v>
      </c>
      <c r="DL60">
        <v>114.991256713867</v>
      </c>
      <c r="DM60">
        <v>230.00955200195301</v>
      </c>
      <c r="DN60">
        <v>199.20233154296901</v>
      </c>
      <c r="DO60">
        <v>49.999904632568402</v>
      </c>
      <c r="DP60">
        <v>-60.003902435302699</v>
      </c>
      <c r="DQ60">
        <v>1.43000837415457E-2</v>
      </c>
      <c r="DR60" s="2">
        <v>3.6748986076418099E-6</v>
      </c>
      <c r="DS60" s="2">
        <v>2.6418343068712602E-9</v>
      </c>
      <c r="DT60" s="2">
        <v>5.1919816002055099E-8</v>
      </c>
      <c r="DU60" s="2">
        <v>9.1255974998816204E-10</v>
      </c>
      <c r="DV60">
        <v>74.748527526855497</v>
      </c>
      <c r="DW60">
        <v>-15.259430885314901</v>
      </c>
      <c r="DX60">
        <v>1.5355262905359299E-2</v>
      </c>
      <c r="DY60" s="2">
        <v>3.19330229103798E-6</v>
      </c>
      <c r="DZ60" s="2">
        <v>1.8362924514292399E-9</v>
      </c>
      <c r="EA60" s="2">
        <v>4.7440565253964497E-8</v>
      </c>
      <c r="EB60" s="2">
        <v>3.7247413486873902E-10</v>
      </c>
      <c r="EC60">
        <v>74.759292602539105</v>
      </c>
      <c r="ED60">
        <v>-13.945273399353001</v>
      </c>
      <c r="EE60" s="2">
        <v>3.4028230607370999E+38</v>
      </c>
      <c r="EF60" s="2">
        <v>3.4028230607370999E+38</v>
      </c>
      <c r="EG60">
        <v>114.991256713867</v>
      </c>
      <c r="EH60">
        <v>230.00955200195301</v>
      </c>
      <c r="EI60">
        <v>199.20233154296901</v>
      </c>
      <c r="EJ60" s="2">
        <v>3.4028230607370999E+38</v>
      </c>
      <c r="EK60" s="2">
        <v>3.4028230607370999E+38</v>
      </c>
      <c r="EL60">
        <v>123</v>
      </c>
      <c r="EM60">
        <v>230.00161743164099</v>
      </c>
      <c r="EN60">
        <v>1.0000371932983401</v>
      </c>
      <c r="EO60">
        <v>114.991256713867</v>
      </c>
      <c r="EP60">
        <v>230.00987243652301</v>
      </c>
      <c r="EQ60">
        <v>199.20240783691401</v>
      </c>
      <c r="ER60">
        <v>49.999954223632798</v>
      </c>
      <c r="ES60">
        <v>-60.003849029541001</v>
      </c>
      <c r="ET60">
        <v>0.49994257092475902</v>
      </c>
      <c r="EU60" s="2">
        <v>3.4028230607370999E+38</v>
      </c>
      <c r="EV60">
        <v>0</v>
      </c>
      <c r="EW60">
        <v>230.00044250488301</v>
      </c>
      <c r="EX60">
        <v>114.984169006348</v>
      </c>
      <c r="EY60">
        <v>230.00831604003901</v>
      </c>
      <c r="EZ60">
        <v>199.20106506347699</v>
      </c>
      <c r="FA60">
        <v>-6.8247283343225696E-4</v>
      </c>
      <c r="FB60">
        <v>1.5911765396595001E-2</v>
      </c>
      <c r="FC60" s="2">
        <v>3.6059063859283899E-6</v>
      </c>
      <c r="FD60" s="2">
        <v>6.10896666586314E-9</v>
      </c>
      <c r="FE60" s="2">
        <v>5.8610478248510798E-8</v>
      </c>
      <c r="FF60" s="2">
        <v>1.8780768051840402E-9</v>
      </c>
      <c r="FG60">
        <v>74.746627807617202</v>
      </c>
      <c r="FH60">
        <v>-17.088973999023398</v>
      </c>
      <c r="FI60">
        <v>9.1381087899208097E-2</v>
      </c>
      <c r="FJ60" s="2">
        <v>3.4028230607370999E+38</v>
      </c>
      <c r="FK60">
        <v>-49.808250427246101</v>
      </c>
      <c r="FL60">
        <v>2.08411253988743E-2</v>
      </c>
      <c r="FM60">
        <v>0</v>
      </c>
      <c r="FN60">
        <v>0</v>
      </c>
      <c r="FO60">
        <v>0</v>
      </c>
      <c r="FP60" s="2">
        <v>-3.9311074942816001E-5</v>
      </c>
      <c r="FQ60">
        <v>1.8918745219707499E-2</v>
      </c>
      <c r="FR60" s="2">
        <v>3.1354798011307101E-6</v>
      </c>
      <c r="FS60" s="2">
        <v>6.9428542914806704E-9</v>
      </c>
      <c r="FT60" s="2">
        <v>5.9321624945596301E-8</v>
      </c>
      <c r="FU60" s="2">
        <v>2.8620879000129699E-9</v>
      </c>
      <c r="FV60">
        <v>74.742134094238295</v>
      </c>
      <c r="FW60">
        <v>-21.6342067718506</v>
      </c>
      <c r="FX60">
        <v>0.120246902108192</v>
      </c>
      <c r="FY60" s="2">
        <v>3.4028230607370999E+38</v>
      </c>
      <c r="FZ60">
        <v>-33.8156929016113</v>
      </c>
      <c r="GA60">
        <v>229.11618041992199</v>
      </c>
      <c r="GB60" s="2">
        <v>1.9674026852101199E-9</v>
      </c>
      <c r="GC60">
        <v>7.4058165773749395E-4</v>
      </c>
      <c r="GD60" s="2">
        <v>-3.8560094006712099E-10</v>
      </c>
      <c r="GE60" s="2">
        <v>1.41855825859238E-5</v>
      </c>
      <c r="GF60" s="2">
        <v>3.4028230607370999E+38</v>
      </c>
      <c r="GG60" s="2">
        <v>3.4028230607370999E+38</v>
      </c>
      <c r="GH60">
        <v>114.990730285645</v>
      </c>
      <c r="GI60">
        <v>230.00866699218801</v>
      </c>
      <c r="GJ60">
        <v>199.20182800293</v>
      </c>
      <c r="GK60" s="2">
        <v>3.4028230607370999E+38</v>
      </c>
      <c r="GL60" s="2">
        <v>3.4028230607370999E+38</v>
      </c>
      <c r="GM60" s="2">
        <v>3.4028230607370999E+38</v>
      </c>
      <c r="GN60" s="2">
        <v>3.4028230607370999E+38</v>
      </c>
      <c r="GO60" s="2">
        <v>3.4028230607370999E+38</v>
      </c>
      <c r="GP60" s="2">
        <v>3.4028230607370999E+38</v>
      </c>
      <c r="GQ60">
        <v>114.98274230957</v>
      </c>
      <c r="GR60">
        <v>114.98274230957</v>
      </c>
      <c r="GS60">
        <v>199.20249938964801</v>
      </c>
      <c r="GT60">
        <v>-8.30693810712546E-4</v>
      </c>
      <c r="GX60">
        <f t="shared" si="1"/>
        <v>230.00170288085937</v>
      </c>
      <c r="GY60">
        <f t="shared" si="2"/>
        <v>1.0000369548797601</v>
      </c>
      <c r="GZ60">
        <f t="shared" si="3"/>
        <v>114.99180908203118</v>
      </c>
      <c r="HA60">
        <f t="shared" si="4"/>
        <v>230.00989990234385</v>
      </c>
      <c r="HB60">
        <f t="shared" si="5"/>
        <v>199.20218200683598</v>
      </c>
      <c r="HC60">
        <f t="shared" si="6"/>
        <v>49.999961853027344</v>
      </c>
      <c r="HD60">
        <f t="shared" si="7"/>
        <v>-60.003849029541016</v>
      </c>
      <c r="HW60" s="10">
        <f>(GX60/Data!$S60-1)*1000000</f>
        <v>20.904546826461257</v>
      </c>
      <c r="HX60" s="10">
        <f>(GY60/Data!$T60-1)*1000000</f>
        <v>49.04547271977755</v>
      </c>
      <c r="HY60" s="10">
        <f>(GZ60/Data!$BW60-1)*1000000</f>
        <v>-90.463633121484747</v>
      </c>
      <c r="HZ60" s="10">
        <f>(HA60/(Data!$S60*Data!$T60)-1)*1000000</f>
        <v>68.635081621692962</v>
      </c>
      <c r="IA60" s="7">
        <f>(HB60/IF(HD60&gt;0, -Data!$BX60,Data!$BX60)-1)*1000000</f>
        <v>122.5619043077053</v>
      </c>
      <c r="IB60" s="10"/>
      <c r="IC60" s="9">
        <f>(HD60-Data!$U60)</f>
        <v>-5.33187954101777E-3</v>
      </c>
    </row>
    <row r="61" spans="1:237" x14ac:dyDescent="0.2">
      <c r="A61">
        <v>61</v>
      </c>
      <c r="B61">
        <v>230.00157165527301</v>
      </c>
      <c r="C61">
        <v>1.00003337860107</v>
      </c>
      <c r="D61">
        <v>114.991241455078</v>
      </c>
      <c r="E61">
        <v>230.00891113281199</v>
      </c>
      <c r="F61">
        <v>199.20191955566401</v>
      </c>
      <c r="G61">
        <v>49.999893188476598</v>
      </c>
      <c r="H61">
        <v>-60.003910064697301</v>
      </c>
      <c r="I61">
        <v>1.76723934710026E-2</v>
      </c>
      <c r="J61" s="2">
        <v>3.5820025914290501E-6</v>
      </c>
      <c r="K61" s="2">
        <v>7.1865406958693298E-9</v>
      </c>
      <c r="L61" s="2">
        <v>6.3312292297723603E-8</v>
      </c>
      <c r="M61" s="2">
        <v>-1.71548575345071E-9</v>
      </c>
      <c r="N61">
        <v>74.633483886718807</v>
      </c>
      <c r="O61">
        <v>17.5011596679688</v>
      </c>
      <c r="P61">
        <v>1.95184722542763E-2</v>
      </c>
      <c r="Q61" s="2">
        <v>3.1242218483384902E-6</v>
      </c>
      <c r="R61" s="2">
        <v>7.6284933925307996E-9</v>
      </c>
      <c r="S61" s="2">
        <v>6.1857008404331295E-8</v>
      </c>
      <c r="T61" s="2">
        <v>1.8466428386432201E-9</v>
      </c>
      <c r="U61">
        <v>74.820137023925795</v>
      </c>
      <c r="V61">
        <v>-13.444948196411101</v>
      </c>
      <c r="W61" s="2">
        <v>3.4028230607370999E+38</v>
      </c>
      <c r="X61" s="2">
        <v>3.4028230607370999E+38</v>
      </c>
      <c r="Y61">
        <v>114.991241455078</v>
      </c>
      <c r="Z61">
        <v>230.00891113281199</v>
      </c>
      <c r="AA61">
        <v>199.201904296875</v>
      </c>
      <c r="AB61" s="2">
        <v>3.4028230607370999E+38</v>
      </c>
      <c r="AC61" s="2">
        <v>3.4028230607370999E+38</v>
      </c>
      <c r="AD61">
        <v>230.00198364257801</v>
      </c>
      <c r="AE61">
        <v>1.0000373125076301</v>
      </c>
      <c r="AF61">
        <v>114.99193572998</v>
      </c>
      <c r="AG61">
        <v>230.01043701171901</v>
      </c>
      <c r="AH61">
        <v>199.20219421386699</v>
      </c>
      <c r="AI61">
        <v>49.999855041503899</v>
      </c>
      <c r="AJ61">
        <v>-60.004074096679702</v>
      </c>
      <c r="AK61">
        <v>1.44331492483616E-2</v>
      </c>
      <c r="AL61" s="2">
        <v>3.6697838368127101E-6</v>
      </c>
      <c r="AM61" s="2">
        <v>1.77329961825734E-9</v>
      </c>
      <c r="AN61" s="2">
        <v>5.2353158253026797E-8</v>
      </c>
      <c r="AO61" s="2">
        <v>-1.5089111071731099E-9</v>
      </c>
      <c r="AP61">
        <v>74.815483093261705</v>
      </c>
      <c r="AQ61">
        <v>25.362855911254901</v>
      </c>
      <c r="AR61">
        <v>1.6000926494598399E-2</v>
      </c>
      <c r="AS61" s="2">
        <v>3.1691456570115402E-6</v>
      </c>
      <c r="AT61" s="2">
        <v>1.81841608437594E-9</v>
      </c>
      <c r="AU61" s="2">
        <v>4.8981767974964903E-8</v>
      </c>
      <c r="AV61" s="2">
        <v>-1.0554618290470299E-9</v>
      </c>
      <c r="AW61">
        <v>74.763313293457003</v>
      </c>
      <c r="AX61">
        <v>42.620151519775398</v>
      </c>
      <c r="AY61" s="2">
        <v>3.4028230607370999E+38</v>
      </c>
      <c r="AZ61" s="2">
        <v>3.4028230607370999E+38</v>
      </c>
      <c r="BA61">
        <v>114.99193572998</v>
      </c>
      <c r="BB61">
        <v>230.01043701171901</v>
      </c>
      <c r="BC61">
        <v>199.20217895507801</v>
      </c>
      <c r="BD61" s="2">
        <v>3.4028230607370999E+38</v>
      </c>
      <c r="BE61" s="2">
        <v>3.4028230607370999E+38</v>
      </c>
      <c r="BF61">
        <v>230.00160217285199</v>
      </c>
      <c r="BG61">
        <v>1.0000355243682899</v>
      </c>
      <c r="BH61">
        <v>114.992561340332</v>
      </c>
      <c r="BI61">
        <v>230.00932312011699</v>
      </c>
      <c r="BJ61">
        <v>199.20176696777301</v>
      </c>
      <c r="BK61">
        <v>49.999946594238303</v>
      </c>
      <c r="BL61">
        <v>-60.003795623779297</v>
      </c>
      <c r="BM61">
        <v>1.7589263617992401E-2</v>
      </c>
      <c r="BN61" s="2">
        <v>3.6322351206763402E-6</v>
      </c>
      <c r="BO61" s="2">
        <v>5.6114290991615698E-9</v>
      </c>
      <c r="BP61" s="2">
        <v>6.2825371571761895E-8</v>
      </c>
      <c r="BQ61" s="2">
        <v>-2.2231967378161198E-9</v>
      </c>
      <c r="BR61">
        <v>74.721168518066406</v>
      </c>
      <c r="BS61">
        <v>21.620317459106399</v>
      </c>
      <c r="BT61">
        <v>1.9123582169413601E-2</v>
      </c>
      <c r="BU61" s="2">
        <v>3.2139946597453702E-6</v>
      </c>
      <c r="BV61" s="2">
        <v>4.8716097822421001E-9</v>
      </c>
      <c r="BW61" s="2">
        <v>6.1539083162642796E-8</v>
      </c>
      <c r="BX61" s="2">
        <v>4.9753284825371204E-10</v>
      </c>
      <c r="BY61">
        <v>74.804244995117202</v>
      </c>
      <c r="BZ61">
        <v>-4.9988136291503897</v>
      </c>
      <c r="CA61" s="2">
        <v>3.4028230607370999E+38</v>
      </c>
      <c r="CB61" s="2">
        <v>3.4028230607370999E+38</v>
      </c>
      <c r="CC61">
        <v>114.992561340332</v>
      </c>
      <c r="CD61">
        <v>230.00932312011699</v>
      </c>
      <c r="CE61">
        <v>199.20175170898401</v>
      </c>
      <c r="CF61" s="2">
        <v>3.4028230607370999E+38</v>
      </c>
      <c r="CG61" s="2">
        <v>3.4028230607370999E+38</v>
      </c>
      <c r="CH61">
        <v>230.001541137695</v>
      </c>
      <c r="CI61">
        <v>1.0000356435775799</v>
      </c>
      <c r="CJ61">
        <v>114.99114990234401</v>
      </c>
      <c r="CK61">
        <v>230.00965881347699</v>
      </c>
      <c r="CL61">
        <v>199.20257568359401</v>
      </c>
      <c r="CM61">
        <v>49.999946594238303</v>
      </c>
      <c r="CN61">
        <v>-60.003902435302699</v>
      </c>
      <c r="CO61">
        <v>1.47326774895191E-2</v>
      </c>
      <c r="CP61" s="2">
        <v>3.5795828807749798E-6</v>
      </c>
      <c r="CQ61" s="2">
        <v>3.3998066584217701E-9</v>
      </c>
      <c r="CR61" s="2">
        <v>5.3326527194030899E-8</v>
      </c>
      <c r="CS61" s="2">
        <v>9.7452657055185909E-10</v>
      </c>
      <c r="CT61">
        <v>74.7470703125</v>
      </c>
      <c r="CU61">
        <v>-16.392356872558601</v>
      </c>
      <c r="CV61">
        <v>1.5638265758752799E-2</v>
      </c>
      <c r="CW61" s="2">
        <v>3.1391489301313401E-6</v>
      </c>
      <c r="CX61" s="2">
        <v>2.9777493804061801E-9</v>
      </c>
      <c r="CY61" s="2">
        <v>5.1143334900416402E-8</v>
      </c>
      <c r="CZ61" s="2">
        <v>1.4310326257316301E-9</v>
      </c>
      <c r="DA61">
        <v>74.756256103515597</v>
      </c>
      <c r="DB61">
        <v>-25.667787551879901</v>
      </c>
      <c r="DC61" s="2">
        <v>3.4028230607370999E+38</v>
      </c>
      <c r="DD61" s="2">
        <v>3.4028230607370999E+38</v>
      </c>
      <c r="DE61">
        <v>114.99114990234401</v>
      </c>
      <c r="DF61">
        <v>230.00965881347699</v>
      </c>
      <c r="DG61">
        <v>199.20257568359401</v>
      </c>
      <c r="DH61" s="2">
        <v>3.4028230607370999E+38</v>
      </c>
      <c r="DI61" s="2">
        <v>3.4028230607370999E+38</v>
      </c>
      <c r="DJ61">
        <v>230.00146484375</v>
      </c>
      <c r="DK61">
        <v>1.0000350475311299</v>
      </c>
      <c r="DL61">
        <v>114.991424560547</v>
      </c>
      <c r="DM61">
        <v>230.00936889648401</v>
      </c>
      <c r="DN61">
        <v>199.20198059082</v>
      </c>
      <c r="DO61">
        <v>49.999923706054702</v>
      </c>
      <c r="DP61">
        <v>-60.003902435302699</v>
      </c>
      <c r="DQ61">
        <v>1.5881054103374499E-2</v>
      </c>
      <c r="DR61" s="2">
        <v>3.60363515028439E-6</v>
      </c>
      <c r="DS61" s="2">
        <v>4.1342143042300003E-9</v>
      </c>
      <c r="DT61" s="2">
        <v>5.6326165065456702E-8</v>
      </c>
      <c r="DU61" s="2">
        <v>1.1336597216526901E-9</v>
      </c>
      <c r="DV61">
        <v>74.648208618164105</v>
      </c>
      <c r="DW61">
        <v>-13.8648128509521</v>
      </c>
      <c r="DX61">
        <v>1.7151471227407501E-2</v>
      </c>
      <c r="DY61" s="2">
        <v>3.1501867852057301E-6</v>
      </c>
      <c r="DZ61" s="2">
        <v>3.8609897501373797E-9</v>
      </c>
      <c r="EA61" s="2">
        <v>5.3809582567509999E-8</v>
      </c>
      <c r="EB61" s="2">
        <v>1.9252772709421602E-9</v>
      </c>
      <c r="EC61">
        <v>74.700942993164105</v>
      </c>
      <c r="ED61">
        <v>-29.7539386749268</v>
      </c>
      <c r="EE61" s="2">
        <v>3.4028230607370999E+38</v>
      </c>
      <c r="EF61" s="2">
        <v>3.4028230607370999E+38</v>
      </c>
      <c r="EG61">
        <v>114.991424560547</v>
      </c>
      <c r="EH61">
        <v>230.00936889648401</v>
      </c>
      <c r="EI61">
        <v>199.20198059082</v>
      </c>
      <c r="EJ61" s="2">
        <v>3.4028230607370999E+38</v>
      </c>
      <c r="EK61" s="2">
        <v>3.4028230607370999E+38</v>
      </c>
      <c r="EL61">
        <v>123</v>
      </c>
      <c r="EM61">
        <v>230.00155639648401</v>
      </c>
      <c r="EN61">
        <v>1.0000351667404199</v>
      </c>
      <c r="EO61">
        <v>114.991020202637</v>
      </c>
      <c r="EP61">
        <v>230.00955200195301</v>
      </c>
      <c r="EQ61">
        <v>199.20234680175801</v>
      </c>
      <c r="ER61">
        <v>49.999927520752003</v>
      </c>
      <c r="ES61">
        <v>-60.003890991210902</v>
      </c>
      <c r="ET61">
        <v>0.499941825866699</v>
      </c>
      <c r="EU61" s="2">
        <v>3.4028230607370999E+38</v>
      </c>
      <c r="EV61">
        <v>0</v>
      </c>
      <c r="EW61">
        <v>229.99967956543</v>
      </c>
      <c r="EX61">
        <v>114.98358154296901</v>
      </c>
      <c r="EY61">
        <v>230.00729370117199</v>
      </c>
      <c r="EZ61">
        <v>199.20030212402301</v>
      </c>
      <c r="FA61">
        <v>-5.07058983203024E-4</v>
      </c>
      <c r="FB61">
        <v>1.5737814828753499E-2</v>
      </c>
      <c r="FC61" s="2">
        <v>3.63425874638779E-6</v>
      </c>
      <c r="FD61" s="2">
        <v>3.8353311637706603E-9</v>
      </c>
      <c r="FE61" s="2">
        <v>5.7485920024191701E-8</v>
      </c>
      <c r="FF61" s="2">
        <v>1.67475455725707E-9</v>
      </c>
      <c r="FG61">
        <v>74.733314514160199</v>
      </c>
      <c r="FH61">
        <v>-20.593030929565401</v>
      </c>
      <c r="FI61">
        <v>7.7536523342132596E-2</v>
      </c>
      <c r="FJ61" s="2">
        <v>3.4028230607370999E+38</v>
      </c>
      <c r="FK61">
        <v>7.4239759445190403</v>
      </c>
      <c r="FL61">
        <v>1.97626072913408E-2</v>
      </c>
      <c r="FM61">
        <v>0</v>
      </c>
      <c r="FN61">
        <v>0</v>
      </c>
      <c r="FO61">
        <v>0</v>
      </c>
      <c r="FP61" s="2">
        <v>-3.4910895919892903E-5</v>
      </c>
      <c r="FQ61">
        <v>1.6947966068983099E-2</v>
      </c>
      <c r="FR61" s="2">
        <v>3.13245845973142E-6</v>
      </c>
      <c r="FS61" s="2">
        <v>5.8305591466023502E-9</v>
      </c>
      <c r="FT61" s="2">
        <v>5.3099299179848498E-8</v>
      </c>
      <c r="FU61" s="2">
        <v>2.3216297773132101E-9</v>
      </c>
      <c r="FV61">
        <v>74.768913269042997</v>
      </c>
      <c r="FW61">
        <v>-21.518236160278299</v>
      </c>
      <c r="FX61">
        <v>0.108901955187321</v>
      </c>
      <c r="FY61" s="2">
        <v>3.4028230607370999E+38</v>
      </c>
      <c r="FZ61">
        <v>-61.8250923156738</v>
      </c>
      <c r="GA61">
        <v>229.11720275878901</v>
      </c>
      <c r="GB61" s="2">
        <v>4.3680550843028202E-10</v>
      </c>
      <c r="GC61">
        <v>7.2127470048144503E-4</v>
      </c>
      <c r="GD61" s="2">
        <v>-6.4848743042134102E-10</v>
      </c>
      <c r="GE61" s="2">
        <v>2.54650112765376E-5</v>
      </c>
      <c r="GF61" s="2">
        <v>3.4028230607370999E+38</v>
      </c>
      <c r="GG61" s="2">
        <v>3.4028230607370999E+38</v>
      </c>
      <c r="GH61">
        <v>114.99102783203099</v>
      </c>
      <c r="GI61">
        <v>230.00892639160199</v>
      </c>
      <c r="GJ61">
        <v>199.20225524902301</v>
      </c>
      <c r="GK61" s="2">
        <v>3.4028230607370999E+38</v>
      </c>
      <c r="GL61" s="2">
        <v>3.4028230607370999E+38</v>
      </c>
      <c r="GM61" s="2">
        <v>3.4028230607370999E+38</v>
      </c>
      <c r="GN61" s="2">
        <v>3.4028230607370999E+38</v>
      </c>
      <c r="GO61" s="2">
        <v>3.4028230607370999E+38</v>
      </c>
      <c r="GP61" s="2">
        <v>3.4028230607370999E+38</v>
      </c>
      <c r="GQ61">
        <v>114.985809326172</v>
      </c>
      <c r="GR61">
        <v>114.985397338867</v>
      </c>
      <c r="GS61">
        <v>199.20135498046901</v>
      </c>
      <c r="GT61">
        <v>-4.6734532224945702E-4</v>
      </c>
      <c r="GX61">
        <f t="shared" si="1"/>
        <v>230.0016326904296</v>
      </c>
      <c r="GY61">
        <f t="shared" si="2"/>
        <v>1.0000353813171399</v>
      </c>
      <c r="GZ61">
        <f t="shared" si="3"/>
        <v>114.9916625976562</v>
      </c>
      <c r="HA61">
        <f t="shared" si="4"/>
        <v>230.00953979492178</v>
      </c>
      <c r="HB61">
        <f t="shared" si="5"/>
        <v>199.20208740234358</v>
      </c>
      <c r="HC61">
        <f t="shared" si="6"/>
        <v>49.999913024902369</v>
      </c>
      <c r="HD61">
        <f t="shared" si="7"/>
        <v>-60.003916931152347</v>
      </c>
      <c r="HW61" s="10">
        <f>(GX61/Data!$S61-1)*1000000</f>
        <v>20.240224372525262</v>
      </c>
      <c r="HX61" s="10">
        <f>(GY61/Data!$T61-1)*1000000</f>
        <v>38.391432698015038</v>
      </c>
      <c r="HY61" s="10">
        <f>(GZ61/Data!$BW61-1)*1000000</f>
        <v>-82.48354459083896</v>
      </c>
      <c r="HZ61" s="10">
        <f>(HA61/(Data!$S61*Data!$T61)-1)*1000000</f>
        <v>57.629564808037159</v>
      </c>
      <c r="IA61" s="7">
        <f>(HB61/IF(HD61&gt;0, -Data!$BX61,Data!$BX61)-1)*1000000</f>
        <v>106.41333182803692</v>
      </c>
      <c r="IB61" s="10"/>
      <c r="IC61" s="9">
        <f>(HD61-Data!$U61)</f>
        <v>-4.7813611523466193E-3</v>
      </c>
    </row>
    <row r="62" spans="1:237" x14ac:dyDescent="0.2">
      <c r="A62">
        <v>62</v>
      </c>
      <c r="B62">
        <v>230.00128173828099</v>
      </c>
      <c r="C62">
        <v>1.00003290176392</v>
      </c>
      <c r="D62">
        <v>114.99192810058599</v>
      </c>
      <c r="E62">
        <v>230.00907897949199</v>
      </c>
      <c r="F62">
        <v>199.20130920410199</v>
      </c>
      <c r="G62">
        <v>49.999931335449197</v>
      </c>
      <c r="H62">
        <v>-60.003742218017599</v>
      </c>
      <c r="I62">
        <v>1.7746513709425898E-2</v>
      </c>
      <c r="J62" s="2">
        <v>3.6205558444635202E-6</v>
      </c>
      <c r="K62" s="2">
        <v>5.6908850964987298E-9</v>
      </c>
      <c r="L62" s="2">
        <v>6.2173569403967095E-8</v>
      </c>
      <c r="M62" s="2">
        <v>-1.83078852078467E-9</v>
      </c>
      <c r="N62">
        <v>74.748542785644503</v>
      </c>
      <c r="O62">
        <v>15.979174613952599</v>
      </c>
      <c r="P62">
        <v>1.9781034439802201E-2</v>
      </c>
      <c r="Q62" s="2">
        <v>3.1883907922747299E-6</v>
      </c>
      <c r="R62" s="2">
        <v>7.2164940689845E-9</v>
      </c>
      <c r="S62" s="2">
        <v>6.2221097607562101E-8</v>
      </c>
      <c r="T62" s="2">
        <v>2.2124770904241599E-9</v>
      </c>
      <c r="U62">
        <v>74.742301940917997</v>
      </c>
      <c r="V62">
        <v>-11.631594657897899</v>
      </c>
      <c r="W62" s="2">
        <v>3.4028230607370999E+38</v>
      </c>
      <c r="X62" s="2">
        <v>3.4028230607370999E+38</v>
      </c>
      <c r="Y62">
        <v>114.99192810058599</v>
      </c>
      <c r="Z62">
        <v>230.00907897949199</v>
      </c>
      <c r="AA62">
        <v>199.20129394531199</v>
      </c>
      <c r="AB62" s="2">
        <v>3.4028230607370999E+38</v>
      </c>
      <c r="AC62" s="2">
        <v>3.4028230607370999E+38</v>
      </c>
      <c r="AD62">
        <v>230.00172424316401</v>
      </c>
      <c r="AE62">
        <v>1.0000362396240201</v>
      </c>
      <c r="AF62">
        <v>114.991455078125</v>
      </c>
      <c r="AG62">
        <v>230.00924682617199</v>
      </c>
      <c r="AH62">
        <v>199.20242309570301</v>
      </c>
      <c r="AI62">
        <v>49.999908447265597</v>
      </c>
      <c r="AJ62">
        <v>-60.0038032531738</v>
      </c>
      <c r="AK62">
        <v>1.4789725653827201E-2</v>
      </c>
      <c r="AL62" s="2">
        <v>3.57391081706737E-6</v>
      </c>
      <c r="AM62" s="2">
        <v>3.8976435412507701E-9</v>
      </c>
      <c r="AN62" s="2">
        <v>5.2885347656683701E-8</v>
      </c>
      <c r="AO62" s="2">
        <v>1.62893853961066E-9</v>
      </c>
      <c r="AP62">
        <v>74.751747131347699</v>
      </c>
      <c r="AQ62">
        <v>-31.121364593505898</v>
      </c>
      <c r="AR62">
        <v>1.63148194551468E-2</v>
      </c>
      <c r="AS62" s="2">
        <v>3.1580273116560399E-6</v>
      </c>
      <c r="AT62" s="2">
        <v>3.9870879930958803E-9</v>
      </c>
      <c r="AU62" s="2">
        <v>5.1152930780062902E-8</v>
      </c>
      <c r="AV62" s="2">
        <v>7.2724304356341897E-10</v>
      </c>
      <c r="AW62">
        <v>74.703178405761705</v>
      </c>
      <c r="AX62">
        <v>-22.193498611450199</v>
      </c>
      <c r="AY62" s="2">
        <v>3.4028230607370999E+38</v>
      </c>
      <c r="AZ62" s="2">
        <v>3.4028230607370999E+38</v>
      </c>
      <c r="BA62">
        <v>114.991455078125</v>
      </c>
      <c r="BB62">
        <v>230.00924682617199</v>
      </c>
      <c r="BC62">
        <v>199.20242309570301</v>
      </c>
      <c r="BD62" s="2">
        <v>3.4028230607370999E+38</v>
      </c>
      <c r="BE62" s="2">
        <v>3.4028230607370999E+38</v>
      </c>
      <c r="BF62">
        <v>230.00144958496099</v>
      </c>
      <c r="BG62">
        <v>1.0000371932983401</v>
      </c>
      <c r="BH62">
        <v>114.99097442627</v>
      </c>
      <c r="BI62">
        <v>230.00987243652301</v>
      </c>
      <c r="BJ62">
        <v>199.20233154296901</v>
      </c>
      <c r="BK62">
        <v>50.000049591064503</v>
      </c>
      <c r="BL62">
        <v>-60.0038032531738</v>
      </c>
      <c r="BM62">
        <v>1.42470188438892E-2</v>
      </c>
      <c r="BN62" s="2">
        <v>3.6092601476411801E-6</v>
      </c>
      <c r="BO62" s="2">
        <v>3.2167257746351701E-9</v>
      </c>
      <c r="BP62" s="2">
        <v>5.22911101086265E-8</v>
      </c>
      <c r="BQ62" s="2">
        <v>5.0181298005824705E-10</v>
      </c>
      <c r="BR62">
        <v>74.726318359375</v>
      </c>
      <c r="BS62">
        <v>13.033160209655801</v>
      </c>
      <c r="BT62">
        <v>1.52746792882681E-2</v>
      </c>
      <c r="BU62" s="2">
        <v>3.0952837732911601E-6</v>
      </c>
      <c r="BV62" s="2">
        <v>1.2908756286123001E-9</v>
      </c>
      <c r="BW62" s="2">
        <v>4.7276973447196698E-8</v>
      </c>
      <c r="BX62" s="2">
        <v>-9.9366226358199604E-10</v>
      </c>
      <c r="BY62">
        <v>74.789070129394503</v>
      </c>
      <c r="BZ62">
        <v>32.625152587890597</v>
      </c>
      <c r="CA62" s="2">
        <v>3.4028230607370999E+38</v>
      </c>
      <c r="CB62" s="2">
        <v>3.4028230607370999E+38</v>
      </c>
      <c r="CC62">
        <v>114.99097442627</v>
      </c>
      <c r="CD62">
        <v>230.00987243652301</v>
      </c>
      <c r="CE62">
        <v>199.20231628418</v>
      </c>
      <c r="CF62" s="2">
        <v>3.4028230607370999E+38</v>
      </c>
      <c r="CG62" s="2">
        <v>3.4028230607370999E+38</v>
      </c>
      <c r="CH62">
        <v>230.00115966796901</v>
      </c>
      <c r="CI62">
        <v>1.0000346899032599</v>
      </c>
      <c r="CJ62">
        <v>114.991493225098</v>
      </c>
      <c r="CK62">
        <v>230.00946044921901</v>
      </c>
      <c r="CL62">
        <v>199.20233154296901</v>
      </c>
      <c r="CM62">
        <v>49.999973297119098</v>
      </c>
      <c r="CN62">
        <v>-60.003742218017599</v>
      </c>
      <c r="CO62">
        <v>1.7832452431321099E-2</v>
      </c>
      <c r="CP62" s="2">
        <v>3.5972211662738101E-6</v>
      </c>
      <c r="CQ62" s="2">
        <v>6.1336393741839898E-9</v>
      </c>
      <c r="CR62" s="2">
        <v>6.4251153730765496E-8</v>
      </c>
      <c r="CS62" s="2">
        <v>-1.31968214134304E-9</v>
      </c>
      <c r="CT62">
        <v>74.688873291015597</v>
      </c>
      <c r="CU62">
        <v>12.142357826232899</v>
      </c>
      <c r="CV62">
        <v>1.95007938891649E-2</v>
      </c>
      <c r="CW62" s="2">
        <v>3.1419524475495602E-6</v>
      </c>
      <c r="CX62" s="2">
        <v>4.5042223284497099E-9</v>
      </c>
      <c r="CY62" s="2">
        <v>6.1667471129567302E-8</v>
      </c>
      <c r="CZ62" s="2">
        <v>-6.9585448514430895E-10</v>
      </c>
      <c r="DA62">
        <v>74.731452941894503</v>
      </c>
      <c r="DB62">
        <v>-2.9040398597717298</v>
      </c>
      <c r="DC62" s="2">
        <v>3.4028230607370999E+38</v>
      </c>
      <c r="DD62" s="2">
        <v>3.4028230607370999E+38</v>
      </c>
      <c r="DE62">
        <v>114.991493225098</v>
      </c>
      <c r="DF62">
        <v>230.00946044921901</v>
      </c>
      <c r="DG62">
        <v>199.20231628418</v>
      </c>
      <c r="DH62" s="2">
        <v>3.4028230607370999E+38</v>
      </c>
      <c r="DI62" s="2">
        <v>3.4028230607370999E+38</v>
      </c>
      <c r="DJ62">
        <v>230.00183105468801</v>
      </c>
      <c r="DK62">
        <v>1.0000352859497099</v>
      </c>
      <c r="DL62">
        <v>114.991729736328</v>
      </c>
      <c r="DM62">
        <v>230.00991821289099</v>
      </c>
      <c r="DN62">
        <v>199.20223999023401</v>
      </c>
      <c r="DO62">
        <v>49.999954223632798</v>
      </c>
      <c r="DP62">
        <v>-60.003917694091797</v>
      </c>
      <c r="DQ62">
        <v>1.4964720234274901E-2</v>
      </c>
      <c r="DR62" s="2">
        <v>3.5829305033985301E-6</v>
      </c>
      <c r="DS62" s="2">
        <v>4.1792498350901E-9</v>
      </c>
      <c r="DT62" s="2">
        <v>5.4151655604073299E-8</v>
      </c>
      <c r="DU62" s="2">
        <v>2.08434047799244E-9</v>
      </c>
      <c r="DV62">
        <v>74.719902038574205</v>
      </c>
      <c r="DW62">
        <v>-26.252496719360401</v>
      </c>
      <c r="DX62">
        <v>1.6246646642684898E-2</v>
      </c>
      <c r="DY62" s="2">
        <v>3.2304351407219698E-6</v>
      </c>
      <c r="DZ62" s="2">
        <v>3.1263713839990702E-9</v>
      </c>
      <c r="EA62" s="2">
        <v>5.0396657513829301E-8</v>
      </c>
      <c r="EB62" s="2">
        <v>9.2791646588707997E-10</v>
      </c>
      <c r="EC62">
        <v>74.715599060058594</v>
      </c>
      <c r="ED62">
        <v>-21.175474166870099</v>
      </c>
      <c r="EE62" s="2">
        <v>3.4028230607370999E+38</v>
      </c>
      <c r="EF62" s="2">
        <v>3.4028230607370999E+38</v>
      </c>
      <c r="EG62">
        <v>114.991729736328</v>
      </c>
      <c r="EH62">
        <v>230.00991821289099</v>
      </c>
      <c r="EI62">
        <v>199.20223999023401</v>
      </c>
      <c r="EJ62" s="2">
        <v>3.4028230607370999E+38</v>
      </c>
      <c r="EK62" s="2">
        <v>3.4028230607370999E+38</v>
      </c>
      <c r="EL62">
        <v>123</v>
      </c>
      <c r="EM62">
        <v>230.001052856445</v>
      </c>
      <c r="EN62">
        <v>1.0000352859497099</v>
      </c>
      <c r="EO62">
        <v>114.99130249023401</v>
      </c>
      <c r="EP62">
        <v>230.01023864746099</v>
      </c>
      <c r="EQ62">
        <v>199.20263671875</v>
      </c>
      <c r="ER62">
        <v>49.999988555908203</v>
      </c>
      <c r="ES62">
        <v>-60.0039253234863</v>
      </c>
      <c r="ET62">
        <v>0.49994128942489602</v>
      </c>
      <c r="EU62" s="2">
        <v>3.4028230607370999E+38</v>
      </c>
      <c r="EV62">
        <v>0</v>
      </c>
      <c r="EW62">
        <v>229.99983215332</v>
      </c>
      <c r="EX62">
        <v>114.98305511474599</v>
      </c>
      <c r="EY62">
        <v>230.00765991210901</v>
      </c>
      <c r="EZ62">
        <v>199.20068359375</v>
      </c>
      <c r="FA62">
        <v>-7.6460186392068895E-4</v>
      </c>
      <c r="FB62">
        <v>1.63434688001871E-2</v>
      </c>
      <c r="FC62" s="2">
        <v>3.6451492633204899E-6</v>
      </c>
      <c r="FD62" s="2">
        <v>6.32396357502785E-9</v>
      </c>
      <c r="FE62" s="2">
        <v>5.9534670526772997E-8</v>
      </c>
      <c r="FF62" s="2">
        <v>1.2231254897798699E-9</v>
      </c>
      <c r="FG62">
        <v>74.719902038574205</v>
      </c>
      <c r="FH62">
        <v>-10.817502975463899</v>
      </c>
      <c r="FI62">
        <v>0.110174417495728</v>
      </c>
      <c r="FJ62" s="2">
        <v>3.4028230607370999E+38</v>
      </c>
      <c r="FK62">
        <v>-4.7465314865112296</v>
      </c>
      <c r="FL62">
        <v>2.0286928862333301E-2</v>
      </c>
      <c r="FM62">
        <v>0</v>
      </c>
      <c r="FN62">
        <v>0</v>
      </c>
      <c r="FO62">
        <v>0</v>
      </c>
      <c r="FP62" s="2">
        <v>-4.2142404709011303E-5</v>
      </c>
      <c r="FQ62">
        <v>1.9431959837675102E-2</v>
      </c>
      <c r="FR62" s="2">
        <v>3.1918063996272399E-6</v>
      </c>
      <c r="FS62" s="2">
        <v>8.2076736518388299E-9</v>
      </c>
      <c r="FT62" s="2">
        <v>6.1622060343324794E-8</v>
      </c>
      <c r="FU62" s="2">
        <v>2.5262492098221401E-9</v>
      </c>
      <c r="FV62">
        <v>74.739639282226605</v>
      </c>
      <c r="FW62">
        <v>-17.418859481811499</v>
      </c>
      <c r="FX62">
        <v>0.10929988324642199</v>
      </c>
      <c r="FY62" s="2">
        <v>3.4028230607370999E+38</v>
      </c>
      <c r="FZ62">
        <v>9.59698390960693</v>
      </c>
      <c r="GA62">
        <v>229.607986450195</v>
      </c>
      <c r="GB62" s="2">
        <v>1.57079197197173E-13</v>
      </c>
      <c r="GC62">
        <v>7.2337413439527197E-4</v>
      </c>
      <c r="GD62" s="2">
        <v>-3.92140708793676E-10</v>
      </c>
      <c r="GE62" s="2">
        <v>9.6497233244008402E-6</v>
      </c>
      <c r="GF62" s="2">
        <v>3.4028230607370999E+38</v>
      </c>
      <c r="GG62" s="2">
        <v>3.4028230607370999E+38</v>
      </c>
      <c r="GH62">
        <v>114.991706848145</v>
      </c>
      <c r="GI62">
        <v>230.00933837890599</v>
      </c>
      <c r="GJ62">
        <v>199.20159912109401</v>
      </c>
      <c r="GK62" s="2">
        <v>3.4028230607370999E+38</v>
      </c>
      <c r="GL62" s="2">
        <v>3.4028230607370999E+38</v>
      </c>
      <c r="GM62" s="2">
        <v>3.4028230607370999E+38</v>
      </c>
      <c r="GN62" s="2">
        <v>3.4028230607370999E+38</v>
      </c>
      <c r="GO62" s="2">
        <v>3.4028230607370999E+38</v>
      </c>
      <c r="GP62" s="2">
        <v>3.4028230607370999E+38</v>
      </c>
      <c r="GQ62">
        <v>114.98690795898401</v>
      </c>
      <c r="GR62">
        <v>114.98764038085901</v>
      </c>
      <c r="GS62">
        <v>199.20692443847699</v>
      </c>
      <c r="GT62">
        <v>-2.7454129303805498E-4</v>
      </c>
      <c r="GX62">
        <f t="shared" si="1"/>
        <v>230.00148925781258</v>
      </c>
      <c r="GY62">
        <f t="shared" si="2"/>
        <v>1.0000352621078501</v>
      </c>
      <c r="GZ62">
        <f t="shared" si="3"/>
        <v>114.99151611328139</v>
      </c>
      <c r="HA62">
        <f t="shared" si="4"/>
        <v>230.00951538085937</v>
      </c>
      <c r="HB62">
        <f t="shared" si="5"/>
        <v>199.20212707519539</v>
      </c>
      <c r="HC62">
        <f t="shared" si="6"/>
        <v>49.999963378906237</v>
      </c>
      <c r="HD62">
        <f t="shared" si="7"/>
        <v>-60.00380172729492</v>
      </c>
      <c r="HW62" s="10">
        <f>(GX62/Data!$S62-1)*1000000</f>
        <v>20.011391800078826</v>
      </c>
      <c r="HX62" s="10">
        <f>(GY62/Data!$T62-1)*1000000</f>
        <v>45.959599479949986</v>
      </c>
      <c r="HY62" s="10">
        <f>(GZ62/Data!$BW62-1)*1000000</f>
        <v>-84.445070180239057</v>
      </c>
      <c r="HZ62" s="10">
        <f>(HA62/(Data!$S62*Data!$T62)-1)*1000000</f>
        <v>65.605753109210241</v>
      </c>
      <c r="IA62" s="7">
        <f>(HB62/IF(HD62&gt;0, -Data!$BX62,Data!$BX62)-1)*1000000</f>
        <v>117.61887795813664</v>
      </c>
      <c r="IB62" s="10"/>
      <c r="IC62" s="9">
        <f>(HD62-Data!$U62)</f>
        <v>-4.956257294921329E-3</v>
      </c>
    </row>
    <row r="63" spans="1:237" x14ac:dyDescent="0.2">
      <c r="A63">
        <v>63</v>
      </c>
      <c r="B63">
        <v>230.001541137695</v>
      </c>
      <c r="C63">
        <v>1.0000307559967001</v>
      </c>
      <c r="D63">
        <v>183.94342041015599</v>
      </c>
      <c r="E63">
        <v>230.00849914550801</v>
      </c>
      <c r="F63">
        <v>-138.09240722656199</v>
      </c>
      <c r="G63">
        <v>50.000026702880902</v>
      </c>
      <c r="H63">
        <v>36.896686553955099</v>
      </c>
      <c r="I63">
        <v>1.5358834527432899E-2</v>
      </c>
      <c r="J63" s="2">
        <v>3.6585174711945001E-6</v>
      </c>
      <c r="K63" s="2">
        <v>-2.3316790720429001E-9</v>
      </c>
      <c r="L63" s="2">
        <v>5.7110327134068899E-8</v>
      </c>
      <c r="M63" s="2">
        <v>-5.3936206612092999E-9</v>
      </c>
      <c r="N63">
        <v>74.657295227050795</v>
      </c>
      <c r="O63">
        <v>99.928215026855497</v>
      </c>
      <c r="P63">
        <v>1.69110894203186E-2</v>
      </c>
      <c r="Q63" s="2">
        <v>3.1415604553330901E-6</v>
      </c>
      <c r="R63" s="2">
        <v>6.8980193779211204E-10</v>
      </c>
      <c r="S63" s="2">
        <v>5.3209280537203098E-8</v>
      </c>
      <c r="T63" s="2">
        <v>-2.38356312465271E-9</v>
      </c>
      <c r="U63">
        <v>74.831863403320298</v>
      </c>
      <c r="V63">
        <v>54.794651031494098</v>
      </c>
      <c r="W63" s="2">
        <v>3.4028230607370999E+38</v>
      </c>
      <c r="X63" s="2">
        <v>3.4028230607370999E+38</v>
      </c>
      <c r="Y63">
        <v>183.94340515136699</v>
      </c>
      <c r="Z63">
        <v>230.00849914550801</v>
      </c>
      <c r="AA63">
        <v>-138.09242248535199</v>
      </c>
      <c r="AB63" s="2">
        <v>3.4028230607370999E+38</v>
      </c>
      <c r="AC63" s="2">
        <v>3.4028230607370999E+38</v>
      </c>
      <c r="AD63">
        <v>230.00205993652301</v>
      </c>
      <c r="AE63">
        <v>1.0000356435775799</v>
      </c>
      <c r="AF63">
        <v>183.94470214843801</v>
      </c>
      <c r="AG63">
        <v>230.01022338867199</v>
      </c>
      <c r="AH63">
        <v>-138.09298706054699</v>
      </c>
      <c r="AI63">
        <v>49.999931335449197</v>
      </c>
      <c r="AJ63">
        <v>36.896595001220703</v>
      </c>
      <c r="AK63">
        <v>1.6215156763792E-2</v>
      </c>
      <c r="AL63" s="2">
        <v>3.68732844435726E-6</v>
      </c>
      <c r="AM63" s="2">
        <v>-5.4703086505014703E-9</v>
      </c>
      <c r="AN63" s="2">
        <v>5.9779097227874405E-8</v>
      </c>
      <c r="AO63" s="2">
        <v>-5.41909939144603E-9</v>
      </c>
      <c r="AP63">
        <v>74.696884155273395</v>
      </c>
      <c r="AQ63">
        <v>137.346435546875</v>
      </c>
      <c r="AR63">
        <v>1.7475662752985999E-2</v>
      </c>
      <c r="AS63" s="2">
        <v>3.03793831335497E-6</v>
      </c>
      <c r="AT63" s="2">
        <v>-3.5034293244251599E-9</v>
      </c>
      <c r="AU63" s="2">
        <v>5.5114032448955199E-8</v>
      </c>
      <c r="AV63" s="2">
        <v>-3.1990348148269699E-9</v>
      </c>
      <c r="AW63">
        <v>74.797859191894503</v>
      </c>
      <c r="AX63">
        <v>134.16770935058599</v>
      </c>
      <c r="AY63" s="2">
        <v>3.4028230607370999E+38</v>
      </c>
      <c r="AZ63" s="2">
        <v>3.4028230607370999E+38</v>
      </c>
      <c r="BA63">
        <v>183.94468688964801</v>
      </c>
      <c r="BB63">
        <v>230.01022338867199</v>
      </c>
      <c r="BC63">
        <v>-138.09300231933599</v>
      </c>
      <c r="BD63" s="2">
        <v>3.4028230607370999E+38</v>
      </c>
      <c r="BE63" s="2">
        <v>3.4028230607370999E+38</v>
      </c>
      <c r="BF63">
        <v>230.00140380859401</v>
      </c>
      <c r="BG63">
        <v>1.0000360012054399</v>
      </c>
      <c r="BH63">
        <v>183.944091796875</v>
      </c>
      <c r="BI63">
        <v>230.00955200195301</v>
      </c>
      <c r="BJ63">
        <v>-138.09265136718801</v>
      </c>
      <c r="BK63">
        <v>49.999832153320298</v>
      </c>
      <c r="BL63">
        <v>36.896755218505902</v>
      </c>
      <c r="BM63">
        <v>1.6649909317493401E-2</v>
      </c>
      <c r="BN63" s="2">
        <v>3.6254627957532601E-6</v>
      </c>
      <c r="BO63" s="2">
        <v>-7.2045032162293402E-9</v>
      </c>
      <c r="BP63" s="2">
        <v>6.4113486075712003E-8</v>
      </c>
      <c r="BQ63" s="2">
        <v>-8.0854016815123908E-9</v>
      </c>
      <c r="BR63">
        <v>74.785606384277301</v>
      </c>
      <c r="BS63">
        <v>129.83984375</v>
      </c>
      <c r="BT63">
        <v>1.77999716252089E-2</v>
      </c>
      <c r="BU63" s="2">
        <v>3.1250408483174401E-6</v>
      </c>
      <c r="BV63" s="2">
        <v>-1.70712366465153E-9</v>
      </c>
      <c r="BW63" s="2">
        <v>5.8396583568765001E-8</v>
      </c>
      <c r="BX63" s="2">
        <v>-3.0941886830504501E-9</v>
      </c>
      <c r="BY63">
        <v>74.740814208984403</v>
      </c>
      <c r="BZ63">
        <v>125.202285766602</v>
      </c>
      <c r="CA63" s="2">
        <v>3.4028230607370999E+38</v>
      </c>
      <c r="CB63" s="2">
        <v>3.4028230607370999E+38</v>
      </c>
      <c r="CC63">
        <v>183.94407653808599</v>
      </c>
      <c r="CD63">
        <v>230.00955200195301</v>
      </c>
      <c r="CE63">
        <v>-138.09266662597699</v>
      </c>
      <c r="CF63" s="2">
        <v>3.4028230607370999E+38</v>
      </c>
      <c r="CG63" s="2">
        <v>3.4028230607370999E+38</v>
      </c>
      <c r="CH63">
        <v>230.00192260742199</v>
      </c>
      <c r="CI63">
        <v>1.00003302097321</v>
      </c>
      <c r="CJ63">
        <v>183.94462585449199</v>
      </c>
      <c r="CK63">
        <v>230.00930786132801</v>
      </c>
      <c r="CL63">
        <v>-138.092208862305</v>
      </c>
      <c r="CM63">
        <v>49.999958038330099</v>
      </c>
      <c r="CN63">
        <v>36.896739959716797</v>
      </c>
      <c r="CO63">
        <v>1.43641633912921E-2</v>
      </c>
      <c r="CP63" s="2">
        <v>3.58356146534788E-6</v>
      </c>
      <c r="CQ63" s="2">
        <v>-2.4157420508430501E-9</v>
      </c>
      <c r="CR63" s="2">
        <v>5.1751207763572899E-8</v>
      </c>
      <c r="CS63" s="2">
        <v>-2.7070763408687501E-9</v>
      </c>
      <c r="CT63">
        <v>74.773422241210895</v>
      </c>
      <c r="CU63">
        <v>134.27902221679699</v>
      </c>
      <c r="CV63">
        <v>1.5298225916922099E-2</v>
      </c>
      <c r="CW63" s="2">
        <v>3.1953090910974399E-6</v>
      </c>
      <c r="CX63" s="2">
        <v>-2.1283547146921899E-10</v>
      </c>
      <c r="CY63" s="2">
        <v>4.8937025098894102E-8</v>
      </c>
      <c r="CZ63" s="2">
        <v>-1.78831838226756E-9</v>
      </c>
      <c r="DA63">
        <v>74.761016845703097</v>
      </c>
      <c r="DB63">
        <v>109.17742919921901</v>
      </c>
      <c r="DC63" s="2">
        <v>3.4028230607370999E+38</v>
      </c>
      <c r="DD63" s="2">
        <v>3.4028230607370999E+38</v>
      </c>
      <c r="DE63">
        <v>183.94461059570301</v>
      </c>
      <c r="DF63">
        <v>230.00930786132801</v>
      </c>
      <c r="DG63">
        <v>-138.09222412109401</v>
      </c>
      <c r="DH63" s="2">
        <v>3.4028230607370999E+38</v>
      </c>
      <c r="DI63" s="2">
        <v>3.4028230607370999E+38</v>
      </c>
      <c r="DJ63">
        <v>230.00222778320301</v>
      </c>
      <c r="DK63">
        <v>1.00003397464752</v>
      </c>
      <c r="DL63">
        <v>183.94418334960901</v>
      </c>
      <c r="DM63">
        <v>230.009689331055</v>
      </c>
      <c r="DN63">
        <v>-138.09315490722699</v>
      </c>
      <c r="DO63">
        <v>49.999954223632798</v>
      </c>
      <c r="DP63">
        <v>36.896816253662102</v>
      </c>
      <c r="DQ63">
        <v>1.4355007559061101E-2</v>
      </c>
      <c r="DR63" s="2">
        <v>3.5944046885560999E-6</v>
      </c>
      <c r="DS63" s="2">
        <v>-2.5445554552305802E-9</v>
      </c>
      <c r="DT63" s="2">
        <v>5.2246679871359401E-8</v>
      </c>
      <c r="DU63" s="2">
        <v>-2.3864434872678E-9</v>
      </c>
      <c r="DV63">
        <v>74.760681152343807</v>
      </c>
      <c r="DW63">
        <v>142.76524353027301</v>
      </c>
      <c r="DX63">
        <v>1.54257602989674E-2</v>
      </c>
      <c r="DY63" s="2">
        <v>3.1748238598083802E-6</v>
      </c>
      <c r="DZ63" s="2">
        <v>-1.3764205331057201E-9</v>
      </c>
      <c r="EA63" s="2">
        <v>4.8940194119495599E-8</v>
      </c>
      <c r="EB63" s="2">
        <v>-2.14438555801166E-9</v>
      </c>
      <c r="EC63">
        <v>74.774887084960895</v>
      </c>
      <c r="ED63">
        <v>118.00666809082</v>
      </c>
      <c r="EE63" s="2">
        <v>3.4028230607370999E+38</v>
      </c>
      <c r="EF63" s="2">
        <v>3.4028230607370999E+38</v>
      </c>
      <c r="EG63">
        <v>183.94416809082</v>
      </c>
      <c r="EH63">
        <v>230.009689331055</v>
      </c>
      <c r="EI63">
        <v>-138.09317016601599</v>
      </c>
      <c r="EJ63" s="2">
        <v>3.4028230607370999E+38</v>
      </c>
      <c r="EK63" s="2">
        <v>3.4028230607370999E+38</v>
      </c>
      <c r="EL63">
        <v>123</v>
      </c>
      <c r="EM63">
        <v>230.00205993652301</v>
      </c>
      <c r="EN63">
        <v>1.0000360012054399</v>
      </c>
      <c r="EO63">
        <v>183.94525146484401</v>
      </c>
      <c r="EP63">
        <v>230.01023864746099</v>
      </c>
      <c r="EQ63">
        <v>-138.09266662597699</v>
      </c>
      <c r="ER63">
        <v>50.000007629394503</v>
      </c>
      <c r="ES63">
        <v>36.896575927734403</v>
      </c>
      <c r="ET63">
        <v>0.79972517490386996</v>
      </c>
      <c r="EU63" s="2">
        <v>3.4028230607370999E+38</v>
      </c>
      <c r="EV63">
        <v>0</v>
      </c>
      <c r="EW63">
        <v>230.00630187988301</v>
      </c>
      <c r="EX63">
        <v>183.95292663574199</v>
      </c>
      <c r="EY63">
        <v>230.01405334472699</v>
      </c>
      <c r="EZ63">
        <v>-138.08491516113301</v>
      </c>
      <c r="FA63">
        <v>7.7101285569369804E-4</v>
      </c>
      <c r="FB63">
        <v>1.7435150220990198E-2</v>
      </c>
      <c r="FC63" s="2">
        <v>3.6286835438659199E-6</v>
      </c>
      <c r="FD63" s="2">
        <v>-6.3433267527557299E-9</v>
      </c>
      <c r="FE63" s="2">
        <v>6.4069723748616499E-8</v>
      </c>
      <c r="FF63" s="2">
        <v>-7.9821109721933697E-9</v>
      </c>
      <c r="FG63">
        <v>74.762771606445298</v>
      </c>
      <c r="FH63">
        <v>122.90846252441401</v>
      </c>
      <c r="FI63">
        <v>-8.0623611807823195E-2</v>
      </c>
      <c r="FJ63" s="2">
        <v>3.4028230607370999E+38</v>
      </c>
      <c r="FK63">
        <v>1.9198225736618</v>
      </c>
      <c r="FL63">
        <v>1.9927792251110101E-2</v>
      </c>
      <c r="FM63">
        <v>0</v>
      </c>
      <c r="FN63">
        <v>0</v>
      </c>
      <c r="FO63">
        <v>0</v>
      </c>
      <c r="FP63" s="2">
        <v>-9.8046803032048006E-5</v>
      </c>
      <c r="FQ63">
        <v>1.9488940015435201E-2</v>
      </c>
      <c r="FR63" s="2">
        <v>3.1622103051631699E-6</v>
      </c>
      <c r="FS63" s="2">
        <v>-2.9659327771547298E-10</v>
      </c>
      <c r="FT63" s="2">
        <v>6.16683237808502E-8</v>
      </c>
      <c r="FU63" s="2">
        <v>-2.8991138378842201E-9</v>
      </c>
      <c r="FV63">
        <v>74.758995056152301</v>
      </c>
      <c r="FW63">
        <v>74.760704040527301</v>
      </c>
      <c r="FX63">
        <v>1.31121622398496E-2</v>
      </c>
      <c r="FY63" s="2">
        <v>3.4028230607370999E+38</v>
      </c>
      <c r="FZ63">
        <v>-53.915615081787102</v>
      </c>
      <c r="GA63">
        <v>229.02296447753901</v>
      </c>
      <c r="GB63" s="2">
        <v>-9.7881058813697998E-10</v>
      </c>
      <c r="GC63">
        <v>7.0978264557197701E-4</v>
      </c>
      <c r="GD63" s="2">
        <v>-7.8172529560660595E-10</v>
      </c>
      <c r="GE63" s="2">
        <v>3.5203891457058503E-5</v>
      </c>
      <c r="GF63" s="2">
        <v>3.4028230607370999E+38</v>
      </c>
      <c r="GG63" s="2">
        <v>3.4028230607370999E+38</v>
      </c>
      <c r="GH63">
        <v>183.94387817382801</v>
      </c>
      <c r="GI63">
        <v>230.00947570800801</v>
      </c>
      <c r="GJ63">
        <v>-138.09349060058599</v>
      </c>
      <c r="GK63" s="2">
        <v>3.4028230607370999E+38</v>
      </c>
      <c r="GL63" s="2">
        <v>3.4028230607370999E+38</v>
      </c>
      <c r="GM63" s="2">
        <v>3.4028230607370999E+38</v>
      </c>
      <c r="GN63" s="2">
        <v>3.4028230607370999E+38</v>
      </c>
      <c r="GO63" s="2">
        <v>3.4028230607370999E+38</v>
      </c>
      <c r="GP63" s="2">
        <v>3.4028230607370999E+38</v>
      </c>
      <c r="GQ63">
        <v>183.94775390625</v>
      </c>
      <c r="GR63">
        <v>183.94775390625</v>
      </c>
      <c r="GS63">
        <v>-138.083572387695</v>
      </c>
      <c r="GT63" s="2">
        <v>-6.8508314143400599E-5</v>
      </c>
      <c r="GX63">
        <f t="shared" si="1"/>
        <v>230.00183105468741</v>
      </c>
      <c r="GY63">
        <f t="shared" si="2"/>
        <v>1.00003387928009</v>
      </c>
      <c r="GZ63">
        <f t="shared" si="3"/>
        <v>183.94420471191398</v>
      </c>
      <c r="HA63">
        <f t="shared" si="4"/>
        <v>230.0094543457032</v>
      </c>
      <c r="HB63">
        <f t="shared" si="5"/>
        <v>-138.0926818847658</v>
      </c>
      <c r="HC63">
        <f t="shared" si="6"/>
        <v>49.999940490722658</v>
      </c>
      <c r="HD63">
        <f t="shared" si="7"/>
        <v>36.896718597412118</v>
      </c>
      <c r="HW63" s="10">
        <f>(GX63/Data!$S63-1)*1000000</f>
        <v>21.505746443883922</v>
      </c>
      <c r="HX63" s="10">
        <f>(GY63/Data!$T63-1)*1000000</f>
        <v>45.641816929009593</v>
      </c>
      <c r="HY63" s="10">
        <f>(GZ63/Data!$BW63-1)*1000000</f>
        <v>73.228173939510199</v>
      </c>
      <c r="HZ63" s="10">
        <f>(HA63/(Data!$S63*Data!$T63)-1)*1000000</f>
        <v>66.413720078983829</v>
      </c>
      <c r="IA63" s="7">
        <f>(HB63/IF(HD63&gt;0, -Data!$BX63,Data!$BX63)-1)*1000000</f>
        <v>72.927971411784753</v>
      </c>
      <c r="IB63" s="10"/>
      <c r="IC63" s="9">
        <f>(HD63-Data!$U63)</f>
        <v>3.8574121177248344E-6</v>
      </c>
    </row>
    <row r="64" spans="1:237" x14ac:dyDescent="0.2">
      <c r="A64">
        <v>64</v>
      </c>
      <c r="B64">
        <v>230.00160217285199</v>
      </c>
      <c r="C64">
        <v>1.00003373622894</v>
      </c>
      <c r="D64">
        <v>183.94366455078099</v>
      </c>
      <c r="E64">
        <v>230.00918579101599</v>
      </c>
      <c r="F64">
        <v>-138.09292602539099</v>
      </c>
      <c r="G64">
        <v>49.999927520752003</v>
      </c>
      <c r="H64">
        <v>36.896743774414098</v>
      </c>
      <c r="I64">
        <v>1.5169272199273101E-2</v>
      </c>
      <c r="J64" s="2">
        <v>3.6423523397388601E-6</v>
      </c>
      <c r="K64" s="2">
        <v>-1.31420085924816E-9</v>
      </c>
      <c r="L64" s="2">
        <v>5.3726612492255299E-8</v>
      </c>
      <c r="M64" s="2">
        <v>-4.3133630001079804E-9</v>
      </c>
      <c r="N64">
        <v>74.723236083984403</v>
      </c>
      <c r="O64">
        <v>110.07869720459</v>
      </c>
      <c r="P64">
        <v>1.63996685296297E-2</v>
      </c>
      <c r="Q64" s="2">
        <v>3.2228920190391402E-6</v>
      </c>
      <c r="R64" s="2">
        <v>1.05384490023397E-9</v>
      </c>
      <c r="S64" s="2">
        <v>5.2892534796455901E-8</v>
      </c>
      <c r="T64" s="2">
        <v>-1.8173534899190701E-9</v>
      </c>
      <c r="U64">
        <v>74.809761047363295</v>
      </c>
      <c r="V64">
        <v>90.527351379394503</v>
      </c>
      <c r="W64" s="2">
        <v>3.4028230607370999E+38</v>
      </c>
      <c r="X64" s="2">
        <v>3.4028230607370999E+38</v>
      </c>
      <c r="Y64">
        <v>183.94364929199199</v>
      </c>
      <c r="Z64">
        <v>230.00918579101599</v>
      </c>
      <c r="AA64">
        <v>-138.09294128418</v>
      </c>
      <c r="AB64" s="2">
        <v>3.4028230607370999E+38</v>
      </c>
      <c r="AC64" s="2">
        <v>3.4028230607370999E+38</v>
      </c>
      <c r="AD64">
        <v>230.00163269043</v>
      </c>
      <c r="AE64">
        <v>1.0000354051589999</v>
      </c>
      <c r="AF64">
        <v>183.94482421875</v>
      </c>
      <c r="AG64">
        <v>230.01020812988301</v>
      </c>
      <c r="AH64">
        <v>-138.09349060058599</v>
      </c>
      <c r="AI64">
        <v>49.999954223632798</v>
      </c>
      <c r="AJ64">
        <v>36.896770477294901</v>
      </c>
      <c r="AK64">
        <v>1.73618923872709E-2</v>
      </c>
      <c r="AL64" s="2">
        <v>3.66079848390655E-6</v>
      </c>
      <c r="AM64" s="2">
        <v>-4.6085752991586998E-9</v>
      </c>
      <c r="AN64" s="2">
        <v>6.3591286902919806E-8</v>
      </c>
      <c r="AO64" s="2">
        <v>-6.6877325899383802E-9</v>
      </c>
      <c r="AP64">
        <v>74.784233093261705</v>
      </c>
      <c r="AQ64">
        <v>132.996994018555</v>
      </c>
      <c r="AR64">
        <v>1.91115364432335E-2</v>
      </c>
      <c r="AS64" s="2">
        <v>3.1045919968164501E-6</v>
      </c>
      <c r="AT64" s="2">
        <v>-2.18963358555868E-9</v>
      </c>
      <c r="AU64" s="2">
        <v>5.9600694157779799E-8</v>
      </c>
      <c r="AV64" s="2">
        <v>-3.1439073566730299E-9</v>
      </c>
      <c r="AW64">
        <v>74.750205993652301</v>
      </c>
      <c r="AX64">
        <v>125.109832763672</v>
      </c>
      <c r="AY64" s="2">
        <v>3.4028230607370999E+38</v>
      </c>
      <c r="AZ64" s="2">
        <v>3.4028230607370999E+38</v>
      </c>
      <c r="BA64">
        <v>183.94480895996099</v>
      </c>
      <c r="BB64">
        <v>230.01020812988301</v>
      </c>
      <c r="BC64">
        <v>-138.093505859375</v>
      </c>
      <c r="BD64" s="2">
        <v>3.4028230607370999E+38</v>
      </c>
      <c r="BE64" s="2">
        <v>3.4028230607370999E+38</v>
      </c>
      <c r="BF64">
        <v>230.00183105468801</v>
      </c>
      <c r="BG64">
        <v>1.00003302097321</v>
      </c>
      <c r="BH64">
        <v>183.94384765625</v>
      </c>
      <c r="BI64">
        <v>230.00929260253901</v>
      </c>
      <c r="BJ64">
        <v>-138.09286499023401</v>
      </c>
      <c r="BK64">
        <v>49.999927520752003</v>
      </c>
      <c r="BL64">
        <v>36.896808624267599</v>
      </c>
      <c r="BM64">
        <v>1.6834381967782999E-2</v>
      </c>
      <c r="BN64" s="2">
        <v>3.6126248232903899E-6</v>
      </c>
      <c r="BO64" s="2">
        <v>-3.2460045762405798E-9</v>
      </c>
      <c r="BP64" s="2">
        <v>5.9629847726227996E-8</v>
      </c>
      <c r="BQ64" s="2">
        <v>-6.0954081781972003E-9</v>
      </c>
      <c r="BR64">
        <v>74.715507507324205</v>
      </c>
      <c r="BS64">
        <v>119.171417236328</v>
      </c>
      <c r="BT64">
        <v>1.83734782040119E-2</v>
      </c>
      <c r="BU64" s="2">
        <v>3.0879521091264901E-6</v>
      </c>
      <c r="BV64" s="2">
        <v>5.5637494611460201E-10</v>
      </c>
      <c r="BW64" s="2">
        <v>5.6692186944928802E-8</v>
      </c>
      <c r="BX64" s="2">
        <v>-2.5459736541222401E-9</v>
      </c>
      <c r="BY64">
        <v>74.733337402343807</v>
      </c>
      <c r="BZ64">
        <v>72.417716979980497</v>
      </c>
      <c r="CA64" s="2">
        <v>3.4028230607370999E+38</v>
      </c>
      <c r="CB64" s="2">
        <v>3.4028230607370999E+38</v>
      </c>
      <c r="CC64">
        <v>183.94383239746099</v>
      </c>
      <c r="CD64">
        <v>230.00929260253901</v>
      </c>
      <c r="CE64">
        <v>-138.09288024902301</v>
      </c>
      <c r="CF64" s="2">
        <v>3.4028230607370999E+38</v>
      </c>
      <c r="CG64" s="2">
        <v>3.4028230607370999E+38</v>
      </c>
      <c r="CH64">
        <v>230.00180053710901</v>
      </c>
      <c r="CI64">
        <v>1.00003242492676</v>
      </c>
      <c r="CJ64">
        <v>183.944091796875</v>
      </c>
      <c r="CK64">
        <v>230.00942993164099</v>
      </c>
      <c r="CL64">
        <v>-138.09259033203099</v>
      </c>
      <c r="CM64">
        <v>49.999889373779297</v>
      </c>
      <c r="CN64">
        <v>36.896812438964801</v>
      </c>
      <c r="CO64">
        <v>1.46012119948864E-2</v>
      </c>
      <c r="CP64" s="2">
        <v>3.6662361253547698E-6</v>
      </c>
      <c r="CQ64" s="2">
        <v>-1.01375630112699E-9</v>
      </c>
      <c r="CR64" s="2">
        <v>5.4710575625449598E-8</v>
      </c>
      <c r="CS64" s="2">
        <v>-3.8761642784379497E-9</v>
      </c>
      <c r="CT64">
        <v>74.722145080566406</v>
      </c>
      <c r="CU64">
        <v>118.797409057617</v>
      </c>
      <c r="CV64">
        <v>1.5801625326275801E-2</v>
      </c>
      <c r="CW64" s="2">
        <v>3.0948278890718901E-6</v>
      </c>
      <c r="CX64" s="2">
        <v>-3.2555658169286501E-10</v>
      </c>
      <c r="CY64" s="2">
        <v>5.0059739464813902E-8</v>
      </c>
      <c r="CZ64" s="2">
        <v>-1.8584708216806699E-9</v>
      </c>
      <c r="DA64">
        <v>74.748558044433594</v>
      </c>
      <c r="DB64">
        <v>59.277748107910199</v>
      </c>
      <c r="DC64" s="2">
        <v>3.4028230607370999E+38</v>
      </c>
      <c r="DD64" s="2">
        <v>3.4028230607370999E+38</v>
      </c>
      <c r="DE64">
        <v>183.94407653808599</v>
      </c>
      <c r="DF64">
        <v>230.00942993164099</v>
      </c>
      <c r="DG64">
        <v>-138.09260559082</v>
      </c>
      <c r="DH64" s="2">
        <v>3.4028230607370999E+38</v>
      </c>
      <c r="DI64" s="2">
        <v>3.4028230607370999E+38</v>
      </c>
      <c r="DJ64">
        <v>230.001708984375</v>
      </c>
      <c r="DK64">
        <v>1.0000364780426001</v>
      </c>
      <c r="DL64">
        <v>183.94400024414099</v>
      </c>
      <c r="DM64">
        <v>230.01026916503901</v>
      </c>
      <c r="DN64">
        <v>-138.09313964843801</v>
      </c>
      <c r="DO64">
        <v>49.999954223632798</v>
      </c>
      <c r="DP64">
        <v>36.896682739257798</v>
      </c>
      <c r="DQ64">
        <v>1.7592303454875901E-2</v>
      </c>
      <c r="DR64" s="2">
        <v>3.68026326214022E-6</v>
      </c>
      <c r="DS64" s="2">
        <v>-7.08646741287566E-9</v>
      </c>
      <c r="DT64" s="2">
        <v>6.3763742730316206E-8</v>
      </c>
      <c r="DU64" s="2">
        <v>-8.3239903858611797E-9</v>
      </c>
      <c r="DV64">
        <v>74.719535827636705</v>
      </c>
      <c r="DW64">
        <v>127.88100433349599</v>
      </c>
      <c r="DX64">
        <v>1.9618388265371298E-2</v>
      </c>
      <c r="DY64" s="2">
        <v>3.1828330975258702E-6</v>
      </c>
      <c r="DZ64" s="2">
        <v>-2.2642141495055098E-9</v>
      </c>
      <c r="EA64" s="2">
        <v>6.07860357604295E-8</v>
      </c>
      <c r="EB64" s="2">
        <v>-3.08980196983555E-9</v>
      </c>
      <c r="EC64">
        <v>74.739807128906193</v>
      </c>
      <c r="ED64">
        <v>116.39153289794901</v>
      </c>
      <c r="EE64" s="2">
        <v>3.4028230607370999E+38</v>
      </c>
      <c r="EF64" s="2">
        <v>3.4028230607370999E+38</v>
      </c>
      <c r="EG64">
        <v>183.94398498535199</v>
      </c>
      <c r="EH64">
        <v>230.01026916503901</v>
      </c>
      <c r="EI64">
        <v>-138.09315490722699</v>
      </c>
      <c r="EJ64" s="2">
        <v>3.4028230607370999E+38</v>
      </c>
      <c r="EK64" s="2">
        <v>3.4028230607370999E+38</v>
      </c>
      <c r="EL64">
        <v>123</v>
      </c>
      <c r="EM64">
        <v>230.00196838378901</v>
      </c>
      <c r="EN64">
        <v>1.0000373125076301</v>
      </c>
      <c r="EO64">
        <v>183.94453430175801</v>
      </c>
      <c r="EP64">
        <v>230.01043701171901</v>
      </c>
      <c r="EQ64">
        <v>-138.09317016601599</v>
      </c>
      <c r="ER64">
        <v>49.999969482421903</v>
      </c>
      <c r="ES64">
        <v>36.896781921386697</v>
      </c>
      <c r="ET64">
        <v>0.79972392320632901</v>
      </c>
      <c r="EU64" s="2">
        <v>3.4028230607370999E+38</v>
      </c>
      <c r="EV64">
        <v>0</v>
      </c>
      <c r="EW64">
        <v>230.00573730468801</v>
      </c>
      <c r="EX64">
        <v>183.95376586914099</v>
      </c>
      <c r="EY64">
        <v>230.01399230957</v>
      </c>
      <c r="EZ64">
        <v>-138.08355712890599</v>
      </c>
      <c r="FA64">
        <v>7.7683909330517097E-4</v>
      </c>
      <c r="FB64">
        <v>1.75383668392897E-2</v>
      </c>
      <c r="FC64" s="2">
        <v>3.62975788448239E-6</v>
      </c>
      <c r="FD64" s="2">
        <v>-5.0133781570593799E-9</v>
      </c>
      <c r="FE64" s="2">
        <v>6.3694564289562497E-8</v>
      </c>
      <c r="FF64" s="2">
        <v>-7.7073298854202205E-9</v>
      </c>
      <c r="FG64">
        <v>74.778869628906193</v>
      </c>
      <c r="FH64">
        <v>129.514572143555</v>
      </c>
      <c r="FI64">
        <v>-0.100418321788311</v>
      </c>
      <c r="FJ64" s="2">
        <v>3.4028230607370999E+38</v>
      </c>
      <c r="FK64">
        <v>-22.900087356567401</v>
      </c>
      <c r="FL64">
        <v>2.03777942806482E-2</v>
      </c>
      <c r="FM64">
        <v>0</v>
      </c>
      <c r="FN64">
        <v>0</v>
      </c>
      <c r="FO64">
        <v>0</v>
      </c>
      <c r="FP64" s="2">
        <v>-9.5188450359273702E-5</v>
      </c>
      <c r="FQ64">
        <v>1.87591183930635E-2</v>
      </c>
      <c r="FR64" s="2">
        <v>3.0919943583285199E-6</v>
      </c>
      <c r="FS64" s="2">
        <v>-2.3947837046733899E-9</v>
      </c>
      <c r="FT64" s="2">
        <v>5.8004765435271097E-8</v>
      </c>
      <c r="FU64" s="2">
        <v>-1.84026271998761E-9</v>
      </c>
      <c r="FV64">
        <v>74.680160522460895</v>
      </c>
      <c r="FW64">
        <v>137.89280700683599</v>
      </c>
      <c r="FX64">
        <v>-3.4725673496723203E-2</v>
      </c>
      <c r="FY64" s="2">
        <v>3.4028230607370999E+38</v>
      </c>
      <c r="FZ64">
        <v>-24.569969177246101</v>
      </c>
      <c r="GA64">
        <v>229.13893127441401</v>
      </c>
      <c r="GB64" s="2">
        <v>-7.5092404516752305E-11</v>
      </c>
      <c r="GC64">
        <v>7.2343682404607502E-4</v>
      </c>
      <c r="GD64" s="2">
        <v>2.4478935545246801E-10</v>
      </c>
      <c r="GE64" s="2">
        <v>3.7188212445471402E-5</v>
      </c>
      <c r="GF64" s="2">
        <v>3.4028230607370999E+38</v>
      </c>
      <c r="GG64" s="2">
        <v>3.4028230607370999E+38</v>
      </c>
      <c r="GH64">
        <v>183.94448852539099</v>
      </c>
      <c r="GI64">
        <v>230.01004028320301</v>
      </c>
      <c r="GJ64">
        <v>-138.093338012695</v>
      </c>
      <c r="GK64" s="2">
        <v>3.4028230607370999E+38</v>
      </c>
      <c r="GL64" s="2">
        <v>3.4028230607370999E+38</v>
      </c>
      <c r="GM64" s="2">
        <v>3.4028230607370999E+38</v>
      </c>
      <c r="GN64" s="2">
        <v>3.4028230607370999E+38</v>
      </c>
      <c r="GO64" s="2">
        <v>3.4028230607370999E+38</v>
      </c>
      <c r="GP64" s="2">
        <v>3.4028230607370999E+38</v>
      </c>
      <c r="GQ64">
        <v>183.95285034179699</v>
      </c>
      <c r="GR64">
        <v>183.95285034179699</v>
      </c>
      <c r="GS64">
        <v>-138.08703613281199</v>
      </c>
      <c r="GT64">
        <v>4.60911192931235E-4</v>
      </c>
      <c r="GX64">
        <f t="shared" si="1"/>
        <v>230.0017150878908</v>
      </c>
      <c r="GY64">
        <f t="shared" si="2"/>
        <v>1.000034213066102</v>
      </c>
      <c r="GZ64">
        <f t="shared" si="3"/>
        <v>183.9440856933594</v>
      </c>
      <c r="HA64">
        <f t="shared" si="4"/>
        <v>230.00967712402357</v>
      </c>
      <c r="HB64">
        <f t="shared" si="5"/>
        <v>-138.09300231933602</v>
      </c>
      <c r="HC64">
        <f t="shared" si="6"/>
        <v>49.999930572509776</v>
      </c>
      <c r="HD64">
        <f t="shared" si="7"/>
        <v>36.896763610839841</v>
      </c>
      <c r="HW64" s="10">
        <f>(GX64/Data!$S64-1)*1000000</f>
        <v>20.997188175053694</v>
      </c>
      <c r="HX64" s="10">
        <f>(GY64/Data!$T64-1)*1000000</f>
        <v>45.820597941670371</v>
      </c>
      <c r="HY64" s="10">
        <f>(GZ64/Data!$BW64-1)*1000000</f>
        <v>78.149926047155205</v>
      </c>
      <c r="HZ64" s="10">
        <f>(HA64/(Data!$S64*Data!$T64)-1)*1000000</f>
        <v>67.222985563608617</v>
      </c>
      <c r="IA64" s="7">
        <f>(HB64/IF(HD64&gt;0, -Data!$BX64,Data!$BX64)-1)*1000000</f>
        <v>64.925095744516881</v>
      </c>
      <c r="IB64" s="10"/>
      <c r="IC64" s="9">
        <f>(HD64-Data!$U64)</f>
        <v>-3.8828916015631876E-4</v>
      </c>
    </row>
    <row r="65" spans="1:237" x14ac:dyDescent="0.2">
      <c r="A65">
        <v>65</v>
      </c>
      <c r="B65">
        <v>230.00160217285199</v>
      </c>
      <c r="C65">
        <v>1.0000357627868699</v>
      </c>
      <c r="D65">
        <v>183.9443359375</v>
      </c>
      <c r="E65">
        <v>230.00950622558599</v>
      </c>
      <c r="F65">
        <v>-138.09317016601599</v>
      </c>
      <c r="G65">
        <v>49.999893188476598</v>
      </c>
      <c r="H65">
        <v>36.896839141845703</v>
      </c>
      <c r="I65">
        <v>1.7563622444868102E-2</v>
      </c>
      <c r="J65" s="2">
        <v>3.6721601190947699E-6</v>
      </c>
      <c r="K65" s="2">
        <v>-6.42725250799003E-9</v>
      </c>
      <c r="L65" s="2">
        <v>6.2599319505807203E-8</v>
      </c>
      <c r="M65" s="2">
        <v>-7.4593655696730804E-9</v>
      </c>
      <c r="N65">
        <v>74.807510375976605</v>
      </c>
      <c r="O65">
        <v>134.614181518555</v>
      </c>
      <c r="P65">
        <v>1.8983395770192101E-2</v>
      </c>
      <c r="Q65" s="2">
        <v>3.21846846418339E-6</v>
      </c>
      <c r="R65" s="2">
        <v>-2.08854999961261E-9</v>
      </c>
      <c r="S65" s="2">
        <v>5.85429802413273E-8</v>
      </c>
      <c r="T65" s="2">
        <v>-3.7280130094074998E-9</v>
      </c>
      <c r="U65">
        <v>74.660484313964801</v>
      </c>
      <c r="V65">
        <v>126.011032104492</v>
      </c>
      <c r="W65" s="2">
        <v>3.4028230607370999E+38</v>
      </c>
      <c r="X65" s="2">
        <v>3.4028230607370999E+38</v>
      </c>
      <c r="Y65">
        <v>183.94432067871099</v>
      </c>
      <c r="Z65">
        <v>230.00950622558599</v>
      </c>
      <c r="AA65">
        <v>-138.093185424805</v>
      </c>
      <c r="AB65" s="2">
        <v>3.4028230607370999E+38</v>
      </c>
      <c r="AC65" s="2">
        <v>3.4028230607370999E+38</v>
      </c>
      <c r="AD65">
        <v>230.00177001953099</v>
      </c>
      <c r="AE65">
        <v>1.0000360012054399</v>
      </c>
      <c r="AF65">
        <v>183.94374084472699</v>
      </c>
      <c r="AG65">
        <v>230.00994873046901</v>
      </c>
      <c r="AH65">
        <v>-138.09407043457</v>
      </c>
      <c r="AI65">
        <v>50.000011444091797</v>
      </c>
      <c r="AJ65">
        <v>36.896755218505902</v>
      </c>
      <c r="AK65">
        <v>1.7419809475541101E-2</v>
      </c>
      <c r="AL65" s="2">
        <v>3.6799863210035302E-6</v>
      </c>
      <c r="AM65" s="2">
        <v>-4.5998951314629696E-9</v>
      </c>
      <c r="AN65" s="2">
        <v>6.4026266954897398E-8</v>
      </c>
      <c r="AO65" s="2">
        <v>-9.2933323259103401E-9</v>
      </c>
      <c r="AP65">
        <v>74.697944641113295</v>
      </c>
      <c r="AQ65">
        <v>116.65503692627</v>
      </c>
      <c r="AR65">
        <v>1.89444422721863E-2</v>
      </c>
      <c r="AS65" s="2">
        <v>3.1758070235810001E-6</v>
      </c>
      <c r="AT65" s="2">
        <v>-8.44248351783428E-11</v>
      </c>
      <c r="AU65" s="2">
        <v>6.0842921811854507E-8</v>
      </c>
      <c r="AV65" s="2">
        <v>-2.6600586178204801E-9</v>
      </c>
      <c r="AW65">
        <v>74.774597167968807</v>
      </c>
      <c r="AX65">
        <v>107.387908935547</v>
      </c>
      <c r="AY65" s="2">
        <v>3.4028230607370999E+38</v>
      </c>
      <c r="AZ65" s="2">
        <v>3.4028230607370999E+38</v>
      </c>
      <c r="BA65">
        <v>183.94372558593801</v>
      </c>
      <c r="BB65">
        <v>230.00994873046901</v>
      </c>
      <c r="BC65">
        <v>-138.09408569335901</v>
      </c>
      <c r="BD65" s="2">
        <v>3.4028230607370999E+38</v>
      </c>
      <c r="BE65" s="2">
        <v>3.4028230607370999E+38</v>
      </c>
      <c r="BF65">
        <v>230.00210571289099</v>
      </c>
      <c r="BG65">
        <v>1.0000357627868699</v>
      </c>
      <c r="BH65">
        <v>183.94497680664099</v>
      </c>
      <c r="BI65">
        <v>230.00926208496099</v>
      </c>
      <c r="BJ65">
        <v>-138.09210205078099</v>
      </c>
      <c r="BK65">
        <v>49.999904632568402</v>
      </c>
      <c r="BL65">
        <v>36.896556854247997</v>
      </c>
      <c r="BM65">
        <v>1.49555765092373E-2</v>
      </c>
      <c r="BN65" s="2">
        <v>3.6262358662497701E-6</v>
      </c>
      <c r="BO65" s="2">
        <v>-2.62450194910002E-9</v>
      </c>
      <c r="BP65" s="2">
        <v>5.4693220619128598E-8</v>
      </c>
      <c r="BQ65" s="2">
        <v>-3.71308228608314E-9</v>
      </c>
      <c r="BR65">
        <v>74.787574768066406</v>
      </c>
      <c r="BS65">
        <v>141.27105712890599</v>
      </c>
      <c r="BT65">
        <v>1.6311626881361001E-2</v>
      </c>
      <c r="BU65" s="2">
        <v>3.0967612474341898E-6</v>
      </c>
      <c r="BV65" s="2">
        <v>-1.9855996846729299E-9</v>
      </c>
      <c r="BW65" s="2">
        <v>5.2726335297848001E-8</v>
      </c>
      <c r="BX65" s="2">
        <v>-2.4016688637828999E-9</v>
      </c>
      <c r="BY65">
        <v>74.803398132324205</v>
      </c>
      <c r="BZ65">
        <v>132.95045471191401</v>
      </c>
      <c r="CA65" s="2">
        <v>3.4028230607370999E+38</v>
      </c>
      <c r="CB65" s="2">
        <v>3.4028230607370999E+38</v>
      </c>
      <c r="CC65">
        <v>183.94496154785199</v>
      </c>
      <c r="CD65">
        <v>230.00926208496099</v>
      </c>
      <c r="CE65">
        <v>-138.09211730957</v>
      </c>
      <c r="CF65" s="2">
        <v>3.4028230607370999E+38</v>
      </c>
      <c r="CG65" s="2">
        <v>3.4028230607370999E+38</v>
      </c>
      <c r="CH65">
        <v>230.001953125</v>
      </c>
      <c r="CI65">
        <v>1.0000364780426001</v>
      </c>
      <c r="CJ65">
        <v>183.94471740722699</v>
      </c>
      <c r="CK65">
        <v>230.01026916503901</v>
      </c>
      <c r="CL65">
        <v>-138.09335327148401</v>
      </c>
      <c r="CM65">
        <v>49.9999809265137</v>
      </c>
      <c r="CN65">
        <v>36.896678924560497</v>
      </c>
      <c r="CO65">
        <v>1.4718216843903099E-2</v>
      </c>
      <c r="CP65" s="2">
        <v>3.5947994092566702E-6</v>
      </c>
      <c r="CQ65" s="2">
        <v>-2.32904828756375E-9</v>
      </c>
      <c r="CR65" s="2">
        <v>5.2987211063282302E-8</v>
      </c>
      <c r="CS65" s="2">
        <v>-3.5340477211320802E-9</v>
      </c>
      <c r="CT65">
        <v>74.767097473144503</v>
      </c>
      <c r="CU65">
        <v>134.82028198242199</v>
      </c>
      <c r="CV65">
        <v>1.5935726463794701E-2</v>
      </c>
      <c r="CW65" s="2">
        <v>3.0883411454851701E-6</v>
      </c>
      <c r="CX65" s="2">
        <v>-1.7113356287623599E-9</v>
      </c>
      <c r="CY65" s="2">
        <v>4.8586720424737002E-8</v>
      </c>
      <c r="CZ65" s="2">
        <v>-2.4352042604647299E-9</v>
      </c>
      <c r="DA65">
        <v>74.742874145507798</v>
      </c>
      <c r="DB65">
        <v>128.61981201171901</v>
      </c>
      <c r="DC65" s="2">
        <v>3.4028230607370999E+38</v>
      </c>
      <c r="DD65" s="2">
        <v>3.4028230607370999E+38</v>
      </c>
      <c r="DE65">
        <v>183.94470214843801</v>
      </c>
      <c r="DF65">
        <v>230.01026916503901</v>
      </c>
      <c r="DG65">
        <v>-138.09336853027301</v>
      </c>
      <c r="DH65" s="2">
        <v>3.4028230607370999E+38</v>
      </c>
      <c r="DI65" s="2">
        <v>3.4028230607370999E+38</v>
      </c>
      <c r="DJ65">
        <v>230.00189208984401</v>
      </c>
      <c r="DK65">
        <v>1.0000342130661</v>
      </c>
      <c r="DL65">
        <v>183.94413757324199</v>
      </c>
      <c r="DM65">
        <v>230.00996398925801</v>
      </c>
      <c r="DN65">
        <v>-138.09349060058599</v>
      </c>
      <c r="DO65">
        <v>49.9999809265137</v>
      </c>
      <c r="DP65">
        <v>36.8967094421387</v>
      </c>
      <c r="DQ65">
        <v>1.6811868175864199E-2</v>
      </c>
      <c r="DR65" s="2">
        <v>3.64338916369888E-6</v>
      </c>
      <c r="DS65" s="2">
        <v>-3.8202911945006698E-9</v>
      </c>
      <c r="DT65" s="2">
        <v>6.0271418078627903E-8</v>
      </c>
      <c r="DU65" s="2">
        <v>-8.2573441417821397E-9</v>
      </c>
      <c r="DV65">
        <v>74.721138000488295</v>
      </c>
      <c r="DW65">
        <v>117.289497375488</v>
      </c>
      <c r="DX65">
        <v>1.8652975559234598E-2</v>
      </c>
      <c r="DY65" s="2">
        <v>3.1552249311061999E-6</v>
      </c>
      <c r="DZ65" s="2">
        <v>7.7608275361740198E-10</v>
      </c>
      <c r="EA65" s="2">
        <v>5.9987016243212605E-8</v>
      </c>
      <c r="EB65" s="2">
        <v>-3.0665394668005799E-9</v>
      </c>
      <c r="EC65">
        <v>74.818252563476605</v>
      </c>
      <c r="ED65">
        <v>67.690246582031193</v>
      </c>
      <c r="EE65" s="2">
        <v>3.4028230607370999E+38</v>
      </c>
      <c r="EF65" s="2">
        <v>3.4028230607370999E+38</v>
      </c>
      <c r="EG65">
        <v>183.94412231445301</v>
      </c>
      <c r="EH65">
        <v>230.00996398925801</v>
      </c>
      <c r="EI65">
        <v>-138.093505859375</v>
      </c>
      <c r="EJ65" s="2">
        <v>3.4028230607370999E+38</v>
      </c>
      <c r="EK65" s="2">
        <v>3.4028230607370999E+38</v>
      </c>
      <c r="EL65">
        <v>123</v>
      </c>
      <c r="EM65">
        <v>230.00160217285199</v>
      </c>
      <c r="EN65">
        <v>1.0000345706939699</v>
      </c>
      <c r="EO65">
        <v>183.94364929199199</v>
      </c>
      <c r="EP65">
        <v>230.00918579101599</v>
      </c>
      <c r="EQ65">
        <v>-138.09294128418</v>
      </c>
      <c r="ER65">
        <v>49.999923706054702</v>
      </c>
      <c r="ES65">
        <v>36.896839141845703</v>
      </c>
      <c r="ET65">
        <v>0.79972290992736805</v>
      </c>
      <c r="EU65" s="2">
        <v>3.4028230607370999E+38</v>
      </c>
      <c r="EV65">
        <v>0</v>
      </c>
      <c r="EW65">
        <v>230.00117492675801</v>
      </c>
      <c r="EX65">
        <v>183.94889831543</v>
      </c>
      <c r="EY65">
        <v>230.00918579101599</v>
      </c>
      <c r="EZ65">
        <v>-138.084228515625</v>
      </c>
      <c r="FA65">
        <v>2.5155683397315399E-4</v>
      </c>
      <c r="FB65">
        <v>1.70103758573532E-2</v>
      </c>
      <c r="FC65" s="2">
        <v>3.6181502309773401E-6</v>
      </c>
      <c r="FD65" s="2">
        <v>-4.63961713492722E-9</v>
      </c>
      <c r="FE65" s="2">
        <v>6.2215207208282703E-8</v>
      </c>
      <c r="FF65" s="2">
        <v>-8.3981079868067404E-9</v>
      </c>
      <c r="FG65">
        <v>74.734375</v>
      </c>
      <c r="FH65">
        <v>114.306427001953</v>
      </c>
      <c r="FI65">
        <v>-6.2259022146463401E-2</v>
      </c>
      <c r="FJ65" s="2">
        <v>3.4028230607370999E+38</v>
      </c>
      <c r="FK65">
        <v>51.8976440429688</v>
      </c>
      <c r="FL65">
        <v>2.0192459225654599E-2</v>
      </c>
      <c r="FM65">
        <v>0</v>
      </c>
      <c r="FN65">
        <v>0</v>
      </c>
      <c r="FO65">
        <v>0</v>
      </c>
      <c r="FP65" s="2">
        <v>-9.9897028121631606E-5</v>
      </c>
      <c r="FQ65">
        <v>1.9302019849419601E-2</v>
      </c>
      <c r="FR65" s="2">
        <v>3.1701736133982199E-6</v>
      </c>
      <c r="FS65" s="2">
        <v>8.7591800479458501E-10</v>
      </c>
      <c r="FT65" s="2">
        <v>5.9285486742055602E-8</v>
      </c>
      <c r="FU65" s="2">
        <v>-2.9396922673896601E-9</v>
      </c>
      <c r="FV65">
        <v>74.740447998046903</v>
      </c>
      <c r="FW65">
        <v>67.939666748046903</v>
      </c>
      <c r="FX65">
        <v>-3.7191330920904901E-3</v>
      </c>
      <c r="FY65" s="2">
        <v>3.4028230607370999E+38</v>
      </c>
      <c r="FZ65">
        <v>12.356006622314499</v>
      </c>
      <c r="GA65">
        <v>229.63490295410199</v>
      </c>
      <c r="GB65" s="2">
        <v>-5.1522560523542499E-11</v>
      </c>
      <c r="GC65">
        <v>6.9299433380365404E-4</v>
      </c>
      <c r="GD65" s="2">
        <v>3.52580797891022E-10</v>
      </c>
      <c r="GE65" s="2">
        <v>3.33424504788127E-5</v>
      </c>
      <c r="GF65" s="2">
        <v>3.4028230607370999E+38</v>
      </c>
      <c r="GG65" s="2">
        <v>3.4028230607370999E+38</v>
      </c>
      <c r="GH65">
        <v>183.94358825683599</v>
      </c>
      <c r="GI65">
        <v>230.01014709472699</v>
      </c>
      <c r="GJ65">
        <v>-138.09451293945301</v>
      </c>
      <c r="GK65" s="2">
        <v>3.4028230607370999E+38</v>
      </c>
      <c r="GL65" s="2">
        <v>3.4028230607370999E+38</v>
      </c>
      <c r="GM65" s="2">
        <v>3.4028230607370999E+38</v>
      </c>
      <c r="GN65" s="2">
        <v>3.4028230607370999E+38</v>
      </c>
      <c r="GO65" s="2">
        <v>3.4028230607370999E+38</v>
      </c>
      <c r="GP65" s="2">
        <v>3.4028230607370999E+38</v>
      </c>
      <c r="GQ65">
        <v>183.95274353027301</v>
      </c>
      <c r="GR65">
        <v>183.95358276367199</v>
      </c>
      <c r="GS65">
        <v>-138.08328247070301</v>
      </c>
      <c r="GT65">
        <v>7.1914074942469597E-4</v>
      </c>
      <c r="GX65">
        <f t="shared" si="1"/>
        <v>230.00186462402363</v>
      </c>
      <c r="GY65">
        <f t="shared" si="2"/>
        <v>1.0000356435775759</v>
      </c>
      <c r="GZ65">
        <f t="shared" si="3"/>
        <v>183.94438171386739</v>
      </c>
      <c r="HA65">
        <f t="shared" si="4"/>
        <v>230.00979003906264</v>
      </c>
      <c r="HB65">
        <f t="shared" si="5"/>
        <v>-138.09323730468742</v>
      </c>
      <c r="HC65">
        <f t="shared" si="6"/>
        <v>49.999954223632834</v>
      </c>
      <c r="HD65">
        <f t="shared" si="7"/>
        <v>36.896707916259757</v>
      </c>
      <c r="HW65" s="10">
        <f>(GX65/Data!$S65-1)*1000000</f>
        <v>21.246035769584282</v>
      </c>
      <c r="HX65" s="10">
        <f>(GY65/Data!$T65-1)*1000000</f>
        <v>52.151438439729247</v>
      </c>
      <c r="HY65" s="10">
        <f>(GZ65/Data!$BW65-1)*1000000</f>
        <v>77.372925693319772</v>
      </c>
      <c r="HZ65" s="10">
        <f>(HA65/(Data!$S65*Data!$T65)-1)*1000000</f>
        <v>72.213006789834111</v>
      </c>
      <c r="IA65" s="7">
        <f>(HB65/IF(HD65&gt;0, -Data!$BX65,Data!$BX65)-1)*1000000</f>
        <v>83.344152559172713</v>
      </c>
      <c r="IB65" s="10"/>
      <c r="IC65" s="9">
        <f>(HD65-Data!$U65)</f>
        <v>8.1526259755548836E-5</v>
      </c>
    </row>
    <row r="66" spans="1:237" x14ac:dyDescent="0.2">
      <c r="A66">
        <v>66</v>
      </c>
      <c r="B66">
        <v>230.00216674804699</v>
      </c>
      <c r="C66">
        <v>1.0000418424606301</v>
      </c>
      <c r="D66">
        <v>184.01785278320301</v>
      </c>
      <c r="E66">
        <v>230.01144409179699</v>
      </c>
      <c r="F66">
        <v>-137.99760437011699</v>
      </c>
      <c r="G66">
        <v>49.999885559082003</v>
      </c>
      <c r="H66">
        <v>36.866901397705099</v>
      </c>
      <c r="I66">
        <v>1.72646716237068E-2</v>
      </c>
      <c r="J66" s="2">
        <v>3.4544891605037298E-6</v>
      </c>
      <c r="K66" s="2">
        <v>-3.5165268474912599E-9</v>
      </c>
      <c r="L66" s="2">
        <v>5.9565270049688499E-8</v>
      </c>
      <c r="M66" s="2">
        <v>-8.0513089528721999E-9</v>
      </c>
      <c r="N66">
        <v>74.665489196777301</v>
      </c>
      <c r="O66">
        <v>113.593994140625</v>
      </c>
      <c r="P66">
        <v>1.91676747053862E-2</v>
      </c>
      <c r="Q66" s="2">
        <v>3.1120632684178401E-6</v>
      </c>
      <c r="R66" s="2">
        <v>6.6830735390155403E-10</v>
      </c>
      <c r="S66" s="2">
        <v>5.9714736266869295E-8</v>
      </c>
      <c r="T66" s="2">
        <v>-3.1433424751980998E-9</v>
      </c>
      <c r="U66">
        <v>74.742729187011705</v>
      </c>
      <c r="V66">
        <v>90.1837158203125</v>
      </c>
      <c r="W66" s="2">
        <v>3.4028230607370999E+38</v>
      </c>
      <c r="X66" s="2">
        <v>3.4028230607370999E+38</v>
      </c>
      <c r="Y66">
        <v>184.01783752441401</v>
      </c>
      <c r="Z66">
        <v>230.01144409179699</v>
      </c>
      <c r="AA66">
        <v>-137.99761962890599</v>
      </c>
      <c r="AB66" s="2">
        <v>3.4028230607370999E+38</v>
      </c>
      <c r="AC66" s="2">
        <v>3.4028230607370999E+38</v>
      </c>
      <c r="AD66">
        <v>230.00231933593801</v>
      </c>
      <c r="AE66">
        <v>1.0000416040420499</v>
      </c>
      <c r="AF66">
        <v>184.01817321777301</v>
      </c>
      <c r="AG66">
        <v>230.01173400878901</v>
      </c>
      <c r="AH66">
        <v>-137.99822998046901</v>
      </c>
      <c r="AI66">
        <v>49.999946594238303</v>
      </c>
      <c r="AJ66">
        <v>36.866748809814503</v>
      </c>
      <c r="AK66">
        <v>1.7586519941687601E-2</v>
      </c>
      <c r="AL66" s="2">
        <v>3.4771871924022001E-6</v>
      </c>
      <c r="AM66" s="2">
        <v>-6.1541944873511098E-9</v>
      </c>
      <c r="AN66" s="2">
        <v>6.1017921382244795E-8</v>
      </c>
      <c r="AO66" s="2">
        <v>-8.0443953720532607E-9</v>
      </c>
      <c r="AP66">
        <v>74.749237060546903</v>
      </c>
      <c r="AQ66">
        <v>123.35929107666</v>
      </c>
      <c r="AR66">
        <v>1.9287025555968298E-2</v>
      </c>
      <c r="AS66" s="2">
        <v>3.0348346626851699E-6</v>
      </c>
      <c r="AT66" s="2">
        <v>-2.4875896897924601E-9</v>
      </c>
      <c r="AU66" s="2">
        <v>6.0246719613132895E-8</v>
      </c>
      <c r="AV66" s="2">
        <v>-3.1612985562645698E-9</v>
      </c>
      <c r="AW66">
        <v>74.886993408203097</v>
      </c>
      <c r="AX66">
        <v>128.19879150390599</v>
      </c>
      <c r="AY66" s="2">
        <v>3.4028230607370999E+38</v>
      </c>
      <c r="AZ66" s="2">
        <v>3.4028230607370999E+38</v>
      </c>
      <c r="BA66">
        <v>184.01815795898401</v>
      </c>
      <c r="BB66">
        <v>230.01173400878901</v>
      </c>
      <c r="BC66">
        <v>-137.99824523925801</v>
      </c>
      <c r="BD66" s="2">
        <v>3.4028230607370999E+38</v>
      </c>
      <c r="BE66" s="2">
        <v>3.4028230607370999E+38</v>
      </c>
      <c r="BF66">
        <v>230.00288391113301</v>
      </c>
      <c r="BG66">
        <v>1.0000424385070801</v>
      </c>
      <c r="BH66">
        <v>184.01881408691401</v>
      </c>
      <c r="BI66">
        <v>230.01113891601599</v>
      </c>
      <c r="BJ66">
        <v>-137.99736022949199</v>
      </c>
      <c r="BK66">
        <v>49.999927520752003</v>
      </c>
      <c r="BL66">
        <v>36.866744995117202</v>
      </c>
      <c r="BM66">
        <v>1.53622478246689E-2</v>
      </c>
      <c r="BN66" s="2">
        <v>3.4669610613491399E-6</v>
      </c>
      <c r="BO66" s="2">
        <v>-5.2698898578285E-9</v>
      </c>
      <c r="BP66" s="2">
        <v>5.3279869405287199E-8</v>
      </c>
      <c r="BQ66" s="2">
        <v>-4.6956509791584697E-9</v>
      </c>
      <c r="BR66">
        <v>74.775787353515597</v>
      </c>
      <c r="BS66">
        <v>136.79867553710901</v>
      </c>
      <c r="BT66">
        <v>1.6916789114475299E-2</v>
      </c>
      <c r="BU66" s="2">
        <v>2.99011458082532E-6</v>
      </c>
      <c r="BV66" s="2">
        <v>-3.5159870570566901E-9</v>
      </c>
      <c r="BW66" s="2">
        <v>5.0181107269509098E-8</v>
      </c>
      <c r="BX66" s="2">
        <v>-3.1184241855442001E-9</v>
      </c>
      <c r="BY66">
        <v>74.592941284179702</v>
      </c>
      <c r="BZ66">
        <v>124.603507995605</v>
      </c>
      <c r="CA66" s="2">
        <v>3.4028230607370999E+38</v>
      </c>
      <c r="CB66" s="2">
        <v>3.4028230607370999E+38</v>
      </c>
      <c r="CC66">
        <v>184.018798828125</v>
      </c>
      <c r="CD66">
        <v>230.01113891601599</v>
      </c>
      <c r="CE66">
        <v>-137.99737548828099</v>
      </c>
      <c r="CF66" s="2">
        <v>3.4028230607370999E+38</v>
      </c>
      <c r="CG66" s="2">
        <v>3.4028230607370999E+38</v>
      </c>
      <c r="CH66">
        <v>230.00207519531199</v>
      </c>
      <c r="CI66">
        <v>1.0000368356704701</v>
      </c>
      <c r="CJ66">
        <v>184.01747131347699</v>
      </c>
      <c r="CK66">
        <v>230.010986328125</v>
      </c>
      <c r="CL66">
        <v>-137.99778747558599</v>
      </c>
      <c r="CM66">
        <v>49.999954223632798</v>
      </c>
      <c r="CN66">
        <v>36.8670043945312</v>
      </c>
      <c r="CO66">
        <v>1.63143277168274E-2</v>
      </c>
      <c r="CP66" s="2">
        <v>3.4173883705079801E-6</v>
      </c>
      <c r="CQ66" s="2">
        <v>-1.8210994934264601E-9</v>
      </c>
      <c r="CR66" s="2">
        <v>5.7366694505844902E-8</v>
      </c>
      <c r="CS66" s="2">
        <v>-7.0383370243121102E-9</v>
      </c>
      <c r="CT66">
        <v>74.750701904296903</v>
      </c>
      <c r="CU66">
        <v>116.493057250977</v>
      </c>
      <c r="CV66">
        <v>1.8029758706688898E-2</v>
      </c>
      <c r="CW66" s="2">
        <v>3.1523352390649999E-6</v>
      </c>
      <c r="CX66" s="2">
        <v>5.6948762372499604E-10</v>
      </c>
      <c r="CY66" s="2">
        <v>5.6916761081993199E-8</v>
      </c>
      <c r="CZ66" s="2">
        <v>-2.56505416906805E-9</v>
      </c>
      <c r="DA66">
        <v>74.793853759765597</v>
      </c>
      <c r="DB66">
        <v>107.11676788330099</v>
      </c>
      <c r="DC66" s="2">
        <v>3.4028230607370999E+38</v>
      </c>
      <c r="DD66" s="2">
        <v>3.4028230607370999E+38</v>
      </c>
      <c r="DE66">
        <v>184.01745605468801</v>
      </c>
      <c r="DF66">
        <v>230.010986328125</v>
      </c>
      <c r="DG66">
        <v>-137.997802734375</v>
      </c>
      <c r="DH66" s="2">
        <v>3.4028230607370999E+38</v>
      </c>
      <c r="DI66" s="2">
        <v>3.4028230607370999E+38</v>
      </c>
      <c r="DJ66">
        <v>230.002365112305</v>
      </c>
      <c r="DK66">
        <v>1.000039935112</v>
      </c>
      <c r="DL66">
        <v>184.01795959472699</v>
      </c>
      <c r="DM66">
        <v>230.01138305664099</v>
      </c>
      <c r="DN66">
        <v>-137.99810791015599</v>
      </c>
      <c r="DO66">
        <v>49.9998779296875</v>
      </c>
      <c r="DP66">
        <v>36.866683959960902</v>
      </c>
      <c r="DQ66">
        <v>1.51812611147761E-2</v>
      </c>
      <c r="DR66" s="2">
        <v>3.4229547054564999E-6</v>
      </c>
      <c r="DS66" s="2">
        <v>-4.4676955468503398E-9</v>
      </c>
      <c r="DT66" s="2">
        <v>5.2611770939847702E-8</v>
      </c>
      <c r="DU66" s="2">
        <v>-3.4345053467887998E-9</v>
      </c>
      <c r="DV66">
        <v>74.700691223144503</v>
      </c>
      <c r="DW66">
        <v>142.44900512695301</v>
      </c>
      <c r="DX66">
        <v>1.6789518296718601E-2</v>
      </c>
      <c r="DY66" s="2">
        <v>3.1315335036197199E-6</v>
      </c>
      <c r="DZ66" s="2">
        <v>-8.7169427231970096E-10</v>
      </c>
      <c r="EA66" s="2">
        <v>5.2562207031314802E-8</v>
      </c>
      <c r="EB66" s="2">
        <v>-2.2966328838691702E-9</v>
      </c>
      <c r="EC66">
        <v>74.770484924316406</v>
      </c>
      <c r="ED66">
        <v>137.82107543945301</v>
      </c>
      <c r="EE66" s="2">
        <v>3.4028230607370999E+38</v>
      </c>
      <c r="EF66" s="2">
        <v>3.4028230607370999E+38</v>
      </c>
      <c r="EG66">
        <v>184.01794433593801</v>
      </c>
      <c r="EH66">
        <v>230.01138305664099</v>
      </c>
      <c r="EI66">
        <v>-137.998123168945</v>
      </c>
      <c r="EJ66" s="2">
        <v>3.4028230607370999E+38</v>
      </c>
      <c r="EK66" s="2">
        <v>3.4028230607370999E+38</v>
      </c>
      <c r="EL66">
        <v>123</v>
      </c>
      <c r="EM66">
        <v>230.00175476074199</v>
      </c>
      <c r="EN66">
        <v>1.00003921985626</v>
      </c>
      <c r="EO66">
        <v>184.01722717285199</v>
      </c>
      <c r="EP66">
        <v>230.01170349121099</v>
      </c>
      <c r="EQ66">
        <v>-137.99751281738301</v>
      </c>
      <c r="ER66">
        <v>49.999988555908203</v>
      </c>
      <c r="ES66">
        <v>36.8666381835938</v>
      </c>
      <c r="ET66">
        <v>0.80003952980041504</v>
      </c>
      <c r="EU66" s="2">
        <v>3.4028230607370999E+38</v>
      </c>
      <c r="EV66">
        <v>0</v>
      </c>
      <c r="EW66">
        <v>230.00509643554699</v>
      </c>
      <c r="EX66">
        <v>184.02233886718801</v>
      </c>
      <c r="EY66">
        <v>230.013916015625</v>
      </c>
      <c r="EZ66">
        <v>-137.99339294433599</v>
      </c>
      <c r="FA66" s="2">
        <v>2.3780341507517699E-5</v>
      </c>
      <c r="FB66">
        <v>1.42942797392607E-2</v>
      </c>
      <c r="FC66" s="2">
        <v>3.46992283084546E-6</v>
      </c>
      <c r="FD66" s="2">
        <v>-1.34305511156896E-9</v>
      </c>
      <c r="FE66" s="2">
        <v>4.9672756574636898E-8</v>
      </c>
      <c r="FF66" s="2">
        <v>-3.0977604925652701E-9</v>
      </c>
      <c r="FG66">
        <v>74.559738159179702</v>
      </c>
      <c r="FH66">
        <v>118.84693145752</v>
      </c>
      <c r="FI66">
        <v>-3.9173565804958302E-2</v>
      </c>
      <c r="FJ66" s="2">
        <v>3.4028230607370999E+38</v>
      </c>
      <c r="FK66">
        <v>-51.382350921630902</v>
      </c>
      <c r="FL66">
        <v>1.9718779250979399E-2</v>
      </c>
      <c r="FM66">
        <v>0</v>
      </c>
      <c r="FN66">
        <v>0</v>
      </c>
      <c r="FO66">
        <v>0</v>
      </c>
      <c r="FP66" s="2">
        <v>-7.8224969911389094E-5</v>
      </c>
      <c r="FQ66">
        <v>1.53013281524181E-2</v>
      </c>
      <c r="FR66" s="2">
        <v>3.0825383419141902E-6</v>
      </c>
      <c r="FS66" s="2">
        <v>-3.2110500369775299E-10</v>
      </c>
      <c r="FT66" s="2">
        <v>4.7760757126979998E-8</v>
      </c>
      <c r="FU66" s="2">
        <v>-7.9555478871284901E-10</v>
      </c>
      <c r="FV66">
        <v>74.800819396972699</v>
      </c>
      <c r="FW66">
        <v>111.980178833008</v>
      </c>
      <c r="FX66">
        <v>8.2576094428077297E-4</v>
      </c>
      <c r="FY66" s="2">
        <v>3.4028230607370999E+38</v>
      </c>
      <c r="FZ66">
        <v>19.6169757843018</v>
      </c>
      <c r="GA66">
        <v>229.850173950195</v>
      </c>
      <c r="GB66" s="2">
        <v>5.3026927293586802E-10</v>
      </c>
      <c r="GC66">
        <v>7.0457294350489996E-4</v>
      </c>
      <c r="GD66" s="2">
        <v>1.0425896257437699E-10</v>
      </c>
      <c r="GE66" s="2">
        <v>5.1655300921993303E-5</v>
      </c>
      <c r="GF66" s="2">
        <v>3.4028230607370999E+38</v>
      </c>
      <c r="GG66" s="2">
        <v>3.4028230607370999E+38</v>
      </c>
      <c r="GH66">
        <v>184.01708984375</v>
      </c>
      <c r="GI66">
        <v>230.01058959960901</v>
      </c>
      <c r="GJ66">
        <v>-137.99705505371099</v>
      </c>
      <c r="GK66" s="2">
        <v>3.4028230607370999E+38</v>
      </c>
      <c r="GL66" s="2">
        <v>3.4028230607370999E+38</v>
      </c>
      <c r="GM66" s="2">
        <v>3.4028230607370999E+38</v>
      </c>
      <c r="GN66" s="2">
        <v>3.4028230607370999E+38</v>
      </c>
      <c r="GO66" s="2">
        <v>3.4028230607370999E+38</v>
      </c>
      <c r="GP66" s="2">
        <v>3.4028230607370999E+38</v>
      </c>
      <c r="GQ66">
        <v>184.01963806152301</v>
      </c>
      <c r="GR66">
        <v>184.01962280273401</v>
      </c>
      <c r="GS66">
        <v>-137.99209594726599</v>
      </c>
      <c r="GT66">
        <v>-1.30602464196272E-4</v>
      </c>
      <c r="GX66">
        <f t="shared" si="1"/>
        <v>230.00236206054697</v>
      </c>
      <c r="GY66">
        <f t="shared" si="2"/>
        <v>1.0000405311584462</v>
      </c>
      <c r="GZ66">
        <f t="shared" si="3"/>
        <v>184.0180541992188</v>
      </c>
      <c r="HA66">
        <f t="shared" si="4"/>
        <v>230.01133728027361</v>
      </c>
      <c r="HB66">
        <f t="shared" si="5"/>
        <v>-137.99781799316401</v>
      </c>
      <c r="HC66">
        <f t="shared" si="6"/>
        <v>49.999918365478528</v>
      </c>
      <c r="HD66">
        <f t="shared" si="7"/>
        <v>36.866816711425784</v>
      </c>
      <c r="HW66" s="10">
        <f>(GX66/Data!$S66-1)*1000000</f>
        <v>25.471954813394149</v>
      </c>
      <c r="HX66" s="10">
        <f>(GY66/Data!$T66-1)*1000000</f>
        <v>38.56508262733982</v>
      </c>
      <c r="HY66" s="10">
        <f>(GZ66/Data!$BW66-1)*1000000</f>
        <v>76.721723683226273</v>
      </c>
      <c r="HZ66" s="10">
        <f>(HA66/(Data!$S66*Data!$T66)-1)*1000000</f>
        <v>62.529119566834268</v>
      </c>
      <c r="IA66" s="7">
        <f>(HB66/IF(HD66&gt;0, -Data!$BX66,Data!$BX66)-1)*1000000</f>
        <v>58.985521573795552</v>
      </c>
      <c r="IB66" s="10"/>
      <c r="IC66" s="9">
        <f>(HD66-Data!$U66)</f>
        <v>-4.3547857421799563E-4</v>
      </c>
    </row>
    <row r="67" spans="1:237" x14ac:dyDescent="0.2">
      <c r="A67">
        <v>67</v>
      </c>
      <c r="B67">
        <v>230.00178527832</v>
      </c>
      <c r="C67">
        <v>1.0000367164611801</v>
      </c>
      <c r="D67">
        <v>184.01637268066401</v>
      </c>
      <c r="E67">
        <v>230.01007080078099</v>
      </c>
      <c r="F67">
        <v>-137.99816894531199</v>
      </c>
      <c r="G67">
        <v>49.999958038330099</v>
      </c>
      <c r="H67">
        <v>36.866970062255902</v>
      </c>
      <c r="I67">
        <v>1.7145236954093E-2</v>
      </c>
      <c r="J67" s="2">
        <v>3.42833277500176E-6</v>
      </c>
      <c r="K67" s="2">
        <v>-3.7658653972982798E-9</v>
      </c>
      <c r="L67" s="2">
        <v>6.0282687286417098E-8</v>
      </c>
      <c r="M67" s="2">
        <v>-9.0852285694609203E-9</v>
      </c>
      <c r="N67">
        <v>74.780044555664105</v>
      </c>
      <c r="O67">
        <v>112.04583740234401</v>
      </c>
      <c r="P67">
        <v>1.9234761595725999E-2</v>
      </c>
      <c r="Q67" s="2">
        <v>3.0230544325604599E-6</v>
      </c>
      <c r="R67" s="2">
        <v>8.6657503395315395E-10</v>
      </c>
      <c r="S67" s="2">
        <v>6.0380045852070894E-8</v>
      </c>
      <c r="T67" s="2">
        <v>-2.0680903656256098E-9</v>
      </c>
      <c r="U67">
        <v>74.734039306640597</v>
      </c>
      <c r="V67">
        <v>107.79141998291</v>
      </c>
      <c r="W67" s="2">
        <v>3.4028230607370999E+38</v>
      </c>
      <c r="X67" s="2">
        <v>3.4028230607370999E+38</v>
      </c>
      <c r="Y67">
        <v>184.016357421875</v>
      </c>
      <c r="Z67">
        <v>230.01007080078099</v>
      </c>
      <c r="AA67">
        <v>-137.99818420410199</v>
      </c>
      <c r="AB67" s="2">
        <v>3.4028230607370999E+38</v>
      </c>
      <c r="AC67" s="2">
        <v>3.4028230607370999E+38</v>
      </c>
      <c r="AD67">
        <v>230.00169372558599</v>
      </c>
      <c r="AE67">
        <v>1.00003933906555</v>
      </c>
      <c r="AF67">
        <v>184.01803588867199</v>
      </c>
      <c r="AG67">
        <v>230.01123046875</v>
      </c>
      <c r="AH67">
        <v>-137.99745178222699</v>
      </c>
      <c r="AI67">
        <v>49.999969482421903</v>
      </c>
      <c r="AJ67">
        <v>36.866687774658203</v>
      </c>
      <c r="AK67">
        <v>1.66971292346716E-2</v>
      </c>
      <c r="AL67" s="2">
        <v>3.4545496419013901E-6</v>
      </c>
      <c r="AM67" s="2">
        <v>-5.9357425641337597E-9</v>
      </c>
      <c r="AN67" s="2">
        <v>5.7660951569005199E-8</v>
      </c>
      <c r="AO67" s="2">
        <v>-7.0168764132461101E-9</v>
      </c>
      <c r="AP67">
        <v>74.770858764648395</v>
      </c>
      <c r="AQ67">
        <v>129.05262756347699</v>
      </c>
      <c r="AR67">
        <v>1.85808409005404E-2</v>
      </c>
      <c r="AS67" s="2">
        <v>3.1207916890707599E-6</v>
      </c>
      <c r="AT67" s="2">
        <v>-1.6119378054568799E-9</v>
      </c>
      <c r="AU67" s="2">
        <v>5.5060041859178501E-8</v>
      </c>
      <c r="AV67" s="2">
        <v>-3.4059037812283999E-9</v>
      </c>
      <c r="AW67">
        <v>74.770751953125</v>
      </c>
      <c r="AX67">
        <v>125.63206481933599</v>
      </c>
      <c r="AY67" s="2">
        <v>3.4028230607370999E+38</v>
      </c>
      <c r="AZ67" s="2">
        <v>3.4028230607370999E+38</v>
      </c>
      <c r="BA67">
        <v>184.01802062988301</v>
      </c>
      <c r="BB67">
        <v>230.01123046875</v>
      </c>
      <c r="BC67">
        <v>-137.99746704101599</v>
      </c>
      <c r="BD67" s="2">
        <v>3.4028230607370999E+38</v>
      </c>
      <c r="BE67" s="2">
        <v>3.4028230607370999E+38</v>
      </c>
      <c r="BF67">
        <v>230.00238037109401</v>
      </c>
      <c r="BG67">
        <v>1.0000352859497099</v>
      </c>
      <c r="BH67">
        <v>184.01649475097699</v>
      </c>
      <c r="BI67">
        <v>230.01004028320301</v>
      </c>
      <c r="BJ67">
        <v>-137.99690246582</v>
      </c>
      <c r="BK67">
        <v>49.999912261962898</v>
      </c>
      <c r="BL67">
        <v>36.866916656494098</v>
      </c>
      <c r="BM67">
        <v>1.54431518167257E-2</v>
      </c>
      <c r="BN67" s="2">
        <v>3.4226532079628698E-6</v>
      </c>
      <c r="BO67" s="2">
        <v>-2.1767581070975001E-9</v>
      </c>
      <c r="BP67" s="2">
        <v>5.2857558330288203E-8</v>
      </c>
      <c r="BQ67" s="2">
        <v>-6.1432494646851402E-9</v>
      </c>
      <c r="BR67">
        <v>74.775131225585895</v>
      </c>
      <c r="BS67">
        <v>110.26604461669901</v>
      </c>
      <c r="BT67">
        <v>1.67503245174885E-2</v>
      </c>
      <c r="BU67" s="2">
        <v>3.0883049930707801E-6</v>
      </c>
      <c r="BV67" s="2">
        <v>3.4929681369533202E-10</v>
      </c>
      <c r="BW67" s="2">
        <v>5.16654914406445E-8</v>
      </c>
      <c r="BX67" s="2">
        <v>-1.7032080190659799E-9</v>
      </c>
      <c r="BY67">
        <v>74.857109069824205</v>
      </c>
      <c r="BZ67">
        <v>85.220550537109403</v>
      </c>
      <c r="CA67" s="2">
        <v>3.4028230607370999E+38</v>
      </c>
      <c r="CB67" s="2">
        <v>3.4028230607370999E+38</v>
      </c>
      <c r="CC67">
        <v>184.01647949218801</v>
      </c>
      <c r="CD67">
        <v>230.01004028320301</v>
      </c>
      <c r="CE67">
        <v>-137.99691772460901</v>
      </c>
      <c r="CF67" s="2">
        <v>3.4028230607370999E+38</v>
      </c>
      <c r="CG67" s="2">
        <v>3.4028230607370999E+38</v>
      </c>
      <c r="CH67">
        <v>230.00253295898401</v>
      </c>
      <c r="CI67">
        <v>1.00003397464752</v>
      </c>
      <c r="CJ67">
        <v>184.01689147949199</v>
      </c>
      <c r="CK67">
        <v>230.010177612305</v>
      </c>
      <c r="CL67">
        <v>-137.9970703125</v>
      </c>
      <c r="CM67">
        <v>49.999862670898402</v>
      </c>
      <c r="CN67">
        <v>36.866886138916001</v>
      </c>
      <c r="CO67">
        <v>1.49772819131613E-2</v>
      </c>
      <c r="CP67" s="2">
        <v>3.4920606140076399E-6</v>
      </c>
      <c r="CQ67" s="2">
        <v>-1.1313370240628699E-9</v>
      </c>
      <c r="CR67" s="2">
        <v>5.0597421363818298E-8</v>
      </c>
      <c r="CS67" s="2">
        <v>-4.2424024293552504E-9</v>
      </c>
      <c r="CT67">
        <v>74.730720520019503</v>
      </c>
      <c r="CU67">
        <v>103.94635009765599</v>
      </c>
      <c r="CV67">
        <v>1.6093185171484899E-2</v>
      </c>
      <c r="CW67" s="2">
        <v>3.0738851819478399E-6</v>
      </c>
      <c r="CX67" s="2">
        <v>-1.16822843065911E-10</v>
      </c>
      <c r="CY67" s="2">
        <v>4.94685643559478E-8</v>
      </c>
      <c r="CZ67" s="2">
        <v>-1.5894366933721899E-9</v>
      </c>
      <c r="DA67">
        <v>74.752037048339801</v>
      </c>
      <c r="DB67">
        <v>77.567932128906193</v>
      </c>
      <c r="DC67" s="2">
        <v>3.4028230607370999E+38</v>
      </c>
      <c r="DD67" s="2">
        <v>3.4028230607370999E+38</v>
      </c>
      <c r="DE67">
        <v>184.01687622070301</v>
      </c>
      <c r="DF67">
        <v>230.010177612305</v>
      </c>
      <c r="DG67">
        <v>-137.99708557128901</v>
      </c>
      <c r="DH67" s="2">
        <v>3.4028230607370999E+38</v>
      </c>
      <c r="DI67" s="2">
        <v>3.4028230607370999E+38</v>
      </c>
      <c r="DJ67">
        <v>230.00244140625</v>
      </c>
      <c r="DK67">
        <v>1.0000357627868699</v>
      </c>
      <c r="DL67">
        <v>184.01676940918</v>
      </c>
      <c r="DM67">
        <v>230.01020812988301</v>
      </c>
      <c r="DN67">
        <v>-137.99739074707</v>
      </c>
      <c r="DO67">
        <v>49.999912261962898</v>
      </c>
      <c r="DP67">
        <v>36.866867065429702</v>
      </c>
      <c r="DQ67">
        <v>1.4716962352395099E-2</v>
      </c>
      <c r="DR67" s="2">
        <v>3.4610898183018401E-6</v>
      </c>
      <c r="DS67" s="2">
        <v>-2.0516099930034699E-9</v>
      </c>
      <c r="DT67" s="2">
        <v>5.1162587055841901E-8</v>
      </c>
      <c r="DU67" s="2">
        <v>-4.4206354132825304E-9</v>
      </c>
      <c r="DV67">
        <v>74.735191345214801</v>
      </c>
      <c r="DW67">
        <v>114.89593505859401</v>
      </c>
      <c r="DX67">
        <v>1.6003085300326299E-2</v>
      </c>
      <c r="DY67" s="2">
        <v>3.1240970201906702E-6</v>
      </c>
      <c r="DZ67" s="2">
        <v>3.9532496720617902E-10</v>
      </c>
      <c r="EA67" s="2">
        <v>4.98954833005882E-8</v>
      </c>
      <c r="EB67" s="2">
        <v>-2.31898678038078E-9</v>
      </c>
      <c r="EC67">
        <v>74.784843444824205</v>
      </c>
      <c r="ED67">
        <v>93.221252441406193</v>
      </c>
      <c r="EE67" s="2">
        <v>3.4028230607370999E+38</v>
      </c>
      <c r="EF67" s="2">
        <v>3.4028230607370999E+38</v>
      </c>
      <c r="EG67">
        <v>184.01675415039099</v>
      </c>
      <c r="EH67">
        <v>230.01020812988301</v>
      </c>
      <c r="EI67">
        <v>-137.99740600585901</v>
      </c>
      <c r="EJ67" s="2">
        <v>3.4028230607370999E+38</v>
      </c>
      <c r="EK67" s="2">
        <v>3.4028230607370999E+38</v>
      </c>
      <c r="EL67">
        <v>123</v>
      </c>
      <c r="EM67">
        <v>230.00242614746099</v>
      </c>
      <c r="EN67">
        <v>1.00003385543823</v>
      </c>
      <c r="EO67">
        <v>184.01602172851599</v>
      </c>
      <c r="EP67">
        <v>230.00956726074199</v>
      </c>
      <c r="EQ67">
        <v>-137.99700927734401</v>
      </c>
      <c r="ER67">
        <v>49.999931335449197</v>
      </c>
      <c r="ES67">
        <v>36.866966247558601</v>
      </c>
      <c r="ET67">
        <v>0.80003631114959695</v>
      </c>
      <c r="EU67" s="2">
        <v>3.4028230607370999E+38</v>
      </c>
      <c r="EV67">
        <v>0</v>
      </c>
      <c r="EW67">
        <v>230.00129699707</v>
      </c>
      <c r="EX67">
        <v>184.018798828125</v>
      </c>
      <c r="EY67">
        <v>230.00892639160199</v>
      </c>
      <c r="EZ67">
        <v>-137.99166870117199</v>
      </c>
      <c r="FA67">
        <v>-1.7221826419699899E-4</v>
      </c>
      <c r="FB67">
        <v>1.47023722529411E-2</v>
      </c>
      <c r="FC67" s="2">
        <v>3.4635083920875302E-6</v>
      </c>
      <c r="FD67" s="2">
        <v>-1.1595046034429399E-9</v>
      </c>
      <c r="FE67" s="2">
        <v>5.09051893970991E-8</v>
      </c>
      <c r="FF67" s="2">
        <v>-4.16974010875037E-9</v>
      </c>
      <c r="FG67">
        <v>74.809715270996094</v>
      </c>
      <c r="FH67">
        <v>122.13744354248</v>
      </c>
      <c r="FI67">
        <v>-5.1669638603925698E-2</v>
      </c>
      <c r="FJ67" s="2">
        <v>3.4028230607370999E+38</v>
      </c>
      <c r="FK67">
        <v>-28.730087280273398</v>
      </c>
      <c r="FL67">
        <v>2.0377002656459801E-2</v>
      </c>
      <c r="FM67">
        <v>0</v>
      </c>
      <c r="FN67">
        <v>0</v>
      </c>
      <c r="FO67">
        <v>0</v>
      </c>
      <c r="FP67" s="2">
        <v>-8.4267165220808197E-5</v>
      </c>
      <c r="FQ67">
        <v>1.5907542780041702E-2</v>
      </c>
      <c r="FR67" s="2">
        <v>3.04174000120838E-6</v>
      </c>
      <c r="FS67" s="2">
        <v>2.7672761304664598E-10</v>
      </c>
      <c r="FT67" s="2">
        <v>4.8722846202053902E-8</v>
      </c>
      <c r="FU67" s="2">
        <v>-1.41594913571907E-9</v>
      </c>
      <c r="FV67">
        <v>74.810874938964801</v>
      </c>
      <c r="FW67">
        <v>78.941719055175795</v>
      </c>
      <c r="FX67">
        <v>1.51918595656753E-2</v>
      </c>
      <c r="FY67" s="2">
        <v>3.4028230607370999E+38</v>
      </c>
      <c r="FZ67">
        <v>-2.6646566390991202</v>
      </c>
      <c r="GA67">
        <v>229.43939208984401</v>
      </c>
      <c r="GB67" s="2">
        <v>2.9216043473390099E-10</v>
      </c>
      <c r="GC67">
        <v>7.0725608384236704E-4</v>
      </c>
      <c r="GD67" s="2">
        <v>1.7001848540143501E-10</v>
      </c>
      <c r="GE67" s="2">
        <v>5.4342894145520397E-5</v>
      </c>
      <c r="GF67" s="2">
        <v>3.4028230607370999E+38</v>
      </c>
      <c r="GG67" s="2">
        <v>3.4028230607370999E+38</v>
      </c>
      <c r="GH67">
        <v>184.01762390136699</v>
      </c>
      <c r="GI67">
        <v>230.01078796386699</v>
      </c>
      <c r="GJ67">
        <v>-137.99694824218801</v>
      </c>
      <c r="GK67" s="2">
        <v>3.4028230607370999E+38</v>
      </c>
      <c r="GL67" s="2">
        <v>3.4028230607370999E+38</v>
      </c>
      <c r="GM67" s="2">
        <v>3.4028230607370999E+38</v>
      </c>
      <c r="GN67" s="2">
        <v>3.4028230607370999E+38</v>
      </c>
      <c r="GO67" s="2">
        <v>3.4028230607370999E+38</v>
      </c>
      <c r="GP67" s="2">
        <v>3.4028230607370999E+38</v>
      </c>
      <c r="GQ67">
        <v>184.01908874511699</v>
      </c>
      <c r="GR67">
        <v>184.01907348632801</v>
      </c>
      <c r="GS67">
        <v>-137.99263000488301</v>
      </c>
      <c r="GT67">
        <v>-1.1372964945621799E-4</v>
      </c>
      <c r="GX67">
        <f t="shared" si="1"/>
        <v>230.00216674804679</v>
      </c>
      <c r="GY67">
        <f t="shared" si="2"/>
        <v>1.0000362157821658</v>
      </c>
      <c r="GZ67">
        <f t="shared" si="3"/>
        <v>184.01691284179699</v>
      </c>
      <c r="HA67">
        <f t="shared" si="4"/>
        <v>230.01034545898443</v>
      </c>
      <c r="HB67">
        <f t="shared" si="5"/>
        <v>-137.99739685058577</v>
      </c>
      <c r="HC67">
        <f t="shared" si="6"/>
        <v>49.999922943115237</v>
      </c>
      <c r="HD67">
        <f t="shared" si="7"/>
        <v>36.86686553955078</v>
      </c>
      <c r="HW67" s="10">
        <f>(GX67/Data!$S67-1)*1000000</f>
        <v>23.261835210952597</v>
      </c>
      <c r="HX67" s="10">
        <f>(GY67/Data!$T67-1)*1000000</f>
        <v>43.188083273193456</v>
      </c>
      <c r="HY67" s="10">
        <f>(GZ67/Data!$BW67-1)*1000000</f>
        <v>76.788739432398501</v>
      </c>
      <c r="HZ67" s="10">
        <f>(HA67/(Data!$S67*Data!$T67)-1)*1000000</f>
        <v>65.794398884655436</v>
      </c>
      <c r="IA67" s="7">
        <f>(HB67/IF(HD67&gt;0, -Data!$BX67,Data!$BX67)-1)*1000000</f>
        <v>65.83710205232407</v>
      </c>
      <c r="IB67" s="10"/>
      <c r="IC67" s="9">
        <f>(HD67-Data!$U67)</f>
        <v>-2.8671044921679822E-4</v>
      </c>
    </row>
    <row r="68" spans="1:237" x14ac:dyDescent="0.2">
      <c r="A68">
        <v>68</v>
      </c>
      <c r="B68">
        <v>230.00183105468801</v>
      </c>
      <c r="C68">
        <v>1.00003814697266</v>
      </c>
      <c r="D68">
        <v>184.016845703125</v>
      </c>
      <c r="E68">
        <v>230.010986328125</v>
      </c>
      <c r="F68">
        <v>-137.99743652343801</v>
      </c>
      <c r="G68">
        <v>49.9999389648438</v>
      </c>
      <c r="H68">
        <v>36.866783142089801</v>
      </c>
      <c r="I68">
        <v>1.7716992646455799E-2</v>
      </c>
      <c r="J68" s="2">
        <v>3.4309864531678601E-6</v>
      </c>
      <c r="K68" s="2">
        <v>-6.6712764201781697E-9</v>
      </c>
      <c r="L68" s="2">
        <v>6.1371636661533597E-8</v>
      </c>
      <c r="M68" s="2">
        <v>-9.3479215479419492E-9</v>
      </c>
      <c r="N68">
        <v>74.860092163085895</v>
      </c>
      <c r="O68">
        <v>124.95816040039099</v>
      </c>
      <c r="P68">
        <v>1.9530642777681399E-2</v>
      </c>
      <c r="Q68" s="2">
        <v>3.1047861739352798E-6</v>
      </c>
      <c r="R68" s="2">
        <v>-3.89764553965222E-10</v>
      </c>
      <c r="S68" s="2">
        <v>6.0630739540101799E-8</v>
      </c>
      <c r="T68" s="2">
        <v>-2.9464983786198201E-9</v>
      </c>
      <c r="U68">
        <v>74.809234619140597</v>
      </c>
      <c r="V68">
        <v>112.17137145996099</v>
      </c>
      <c r="W68" s="2">
        <v>3.4028230607370999E+38</v>
      </c>
      <c r="X68" s="2">
        <v>3.4028230607370999E+38</v>
      </c>
      <c r="Y68">
        <v>184.01683044433599</v>
      </c>
      <c r="Z68">
        <v>230.010986328125</v>
      </c>
      <c r="AA68">
        <v>-137.99745178222699</v>
      </c>
      <c r="AB68" s="2">
        <v>3.4028230607370999E+38</v>
      </c>
      <c r="AC68" s="2">
        <v>3.4028230607370999E+38</v>
      </c>
      <c r="AD68">
        <v>230.00201416015599</v>
      </c>
      <c r="AE68">
        <v>1.0000365972518901</v>
      </c>
      <c r="AF68">
        <v>184.01734924316401</v>
      </c>
      <c r="AG68">
        <v>230.01019287109401</v>
      </c>
      <c r="AH68">
        <v>-137.99606323242199</v>
      </c>
      <c r="AI68">
        <v>49.999954223632798</v>
      </c>
      <c r="AJ68">
        <v>36.8665161132812</v>
      </c>
      <c r="AK68">
        <v>1.472685392946E-2</v>
      </c>
      <c r="AL68" s="2">
        <v>3.4310864975850602E-6</v>
      </c>
      <c r="AM68" s="2">
        <v>-4.3294083873490796E-9</v>
      </c>
      <c r="AN68" s="2">
        <v>5.0639510362771001E-8</v>
      </c>
      <c r="AO68" s="2">
        <v>-3.4584417551997099E-9</v>
      </c>
      <c r="AP68">
        <v>74.675827026367202</v>
      </c>
      <c r="AQ68">
        <v>141.38125610351599</v>
      </c>
      <c r="AR68">
        <v>1.5871375799179101E-2</v>
      </c>
      <c r="AS68" s="2">
        <v>3.1283655061997702E-6</v>
      </c>
      <c r="AT68" s="2">
        <v>-7.6282075101019597E-10</v>
      </c>
      <c r="AU68" s="2">
        <v>4.79823363264131E-8</v>
      </c>
      <c r="AV68" s="2">
        <v>-1.9317134558605201E-9</v>
      </c>
      <c r="AW68">
        <v>74.779861450195298</v>
      </c>
      <c r="AX68">
        <v>126.154655456543</v>
      </c>
      <c r="AY68" s="2">
        <v>3.4028230607370999E+38</v>
      </c>
      <c r="AZ68" s="2">
        <v>3.4028230607370999E+38</v>
      </c>
      <c r="BA68">
        <v>184.017333984375</v>
      </c>
      <c r="BB68">
        <v>230.01019287109401</v>
      </c>
      <c r="BC68">
        <v>-137.99607849121099</v>
      </c>
      <c r="BD68" s="2">
        <v>3.4028230607370999E+38</v>
      </c>
      <c r="BE68" s="2">
        <v>3.4028230607370999E+38</v>
      </c>
      <c r="BF68">
        <v>230.00204467773401</v>
      </c>
      <c r="BG68">
        <v>1.0000373125076301</v>
      </c>
      <c r="BH68">
        <v>184.01719665527301</v>
      </c>
      <c r="BI68">
        <v>230.01052856445301</v>
      </c>
      <c r="BJ68">
        <v>-137.99725341796901</v>
      </c>
      <c r="BK68">
        <v>49.999988555908203</v>
      </c>
      <c r="BL68">
        <v>36.866737365722699</v>
      </c>
      <c r="BM68">
        <v>1.7159437760710699E-2</v>
      </c>
      <c r="BN68" s="2">
        <v>3.4005704492301401E-6</v>
      </c>
      <c r="BO68" s="2">
        <v>-5.43232658856141E-9</v>
      </c>
      <c r="BP68" s="2">
        <v>5.8351080411966898E-8</v>
      </c>
      <c r="BQ68" s="2">
        <v>-6.7709380324743101E-9</v>
      </c>
      <c r="BR68">
        <v>74.700752258300795</v>
      </c>
      <c r="BS68">
        <v>128.67604064941401</v>
      </c>
      <c r="BT68">
        <v>1.8841158598661398E-2</v>
      </c>
      <c r="BU68" s="2">
        <v>3.0687469916301801E-6</v>
      </c>
      <c r="BV68" s="2">
        <v>-3.26180060739034E-9</v>
      </c>
      <c r="BW68" s="2">
        <v>5.856474061261E-8</v>
      </c>
      <c r="BX68" s="2">
        <v>-3.1888103269039898E-9</v>
      </c>
      <c r="BY68">
        <v>74.727104187011705</v>
      </c>
      <c r="BZ68">
        <v>135.64828491210901</v>
      </c>
      <c r="CA68" s="2">
        <v>3.4028230607370999E+38</v>
      </c>
      <c r="CB68" s="2">
        <v>3.4028230607370999E+38</v>
      </c>
      <c r="CC68">
        <v>184.01718139648401</v>
      </c>
      <c r="CD68">
        <v>230.01052856445301</v>
      </c>
      <c r="CE68">
        <v>-137.99726867675801</v>
      </c>
      <c r="CF68" s="2">
        <v>3.4028230607370999E+38</v>
      </c>
      <c r="CG68" s="2">
        <v>3.4028230607370999E+38</v>
      </c>
      <c r="CH68">
        <v>230.00198364257801</v>
      </c>
      <c r="CI68">
        <v>1.0000373125076301</v>
      </c>
      <c r="CJ68">
        <v>184.017166137695</v>
      </c>
      <c r="CK68">
        <v>230.01036071777301</v>
      </c>
      <c r="CL68">
        <v>-137.99652099609401</v>
      </c>
      <c r="CM68">
        <v>49.999973297119098</v>
      </c>
      <c r="CN68">
        <v>36.866592407226598</v>
      </c>
      <c r="CO68">
        <v>1.56942531466484E-2</v>
      </c>
      <c r="CP68" s="2">
        <v>3.4228357890242499E-6</v>
      </c>
      <c r="CQ68" s="2">
        <v>-4.86960827217331E-9</v>
      </c>
      <c r="CR68" s="2">
        <v>5.3739615424319702E-8</v>
      </c>
      <c r="CS68" s="2">
        <v>-4.1728016597630796E-9</v>
      </c>
      <c r="CT68">
        <v>74.715141296386705</v>
      </c>
      <c r="CU68">
        <v>139.73118591308599</v>
      </c>
      <c r="CV68">
        <v>1.7416397109627699E-2</v>
      </c>
      <c r="CW68" s="2">
        <v>3.1184090403257899E-6</v>
      </c>
      <c r="CX68" s="2">
        <v>-2.0935126965326799E-9</v>
      </c>
      <c r="CY68" s="2">
        <v>5.3271740796390097E-8</v>
      </c>
      <c r="CZ68" s="2">
        <v>-3.0630893377292498E-9</v>
      </c>
      <c r="DA68">
        <v>74.777725219726605</v>
      </c>
      <c r="DB68">
        <v>135.62382507324199</v>
      </c>
      <c r="DC68" s="2">
        <v>3.4028230607370999E+38</v>
      </c>
      <c r="DD68" s="2">
        <v>3.4028230607370999E+38</v>
      </c>
      <c r="DE68">
        <v>184.01715087890599</v>
      </c>
      <c r="DF68">
        <v>230.01036071777301</v>
      </c>
      <c r="DG68">
        <v>-137.99653625488301</v>
      </c>
      <c r="DH68" s="2">
        <v>3.4028230607370999E+38</v>
      </c>
      <c r="DI68" s="2">
        <v>3.4028230607370999E+38</v>
      </c>
      <c r="DJ68">
        <v>230.00225830078099</v>
      </c>
      <c r="DK68">
        <v>1.00003385543823</v>
      </c>
      <c r="DL68">
        <v>184.01629638671901</v>
      </c>
      <c r="DM68">
        <v>230.01004028320301</v>
      </c>
      <c r="DN68">
        <v>-137.99768066406199</v>
      </c>
      <c r="DO68">
        <v>49.999954223632798</v>
      </c>
      <c r="DP68">
        <v>36.866764068603501</v>
      </c>
      <c r="DQ68">
        <v>1.48368254303932E-2</v>
      </c>
      <c r="DR68" s="2">
        <v>3.45783223565377E-6</v>
      </c>
      <c r="DS68" s="2">
        <v>-1.7761599968579801E-9</v>
      </c>
      <c r="DT68" s="2">
        <v>4.9789157685609098E-8</v>
      </c>
      <c r="DU68" s="2">
        <v>-3.2348455025754699E-9</v>
      </c>
      <c r="DV68">
        <v>74.608306884765597</v>
      </c>
      <c r="DW68">
        <v>112.029098510742</v>
      </c>
      <c r="DX68">
        <v>1.5761079266667401E-2</v>
      </c>
      <c r="DY68" s="2">
        <v>3.0259129744081301E-6</v>
      </c>
      <c r="DZ68" s="2">
        <v>-2.03480995941696E-10</v>
      </c>
      <c r="EA68" s="2">
        <v>4.7702680916472699E-8</v>
      </c>
      <c r="EB68" s="2">
        <v>-1.3506564755516601E-9</v>
      </c>
      <c r="EC68">
        <v>74.777549743652301</v>
      </c>
      <c r="ED68">
        <v>59.648612976074197</v>
      </c>
      <c r="EE68" s="2">
        <v>3.4028230607370999E+38</v>
      </c>
      <c r="EF68" s="2">
        <v>3.4028230607370999E+38</v>
      </c>
      <c r="EG68">
        <v>184.01628112793</v>
      </c>
      <c r="EH68">
        <v>230.01004028320301</v>
      </c>
      <c r="EI68">
        <v>-137.99769592285199</v>
      </c>
      <c r="EJ68" s="2">
        <v>3.4028230607370999E+38</v>
      </c>
      <c r="EK68" s="2">
        <v>3.4028230607370999E+38</v>
      </c>
      <c r="EL68">
        <v>123</v>
      </c>
      <c r="EM68">
        <v>230.00205993652301</v>
      </c>
      <c r="EN68">
        <v>1.00003397464752</v>
      </c>
      <c r="EO68">
        <v>184.01634216308599</v>
      </c>
      <c r="EP68">
        <v>230.00973510742199</v>
      </c>
      <c r="EQ68">
        <v>-137.99659729003901</v>
      </c>
      <c r="ER68">
        <v>49.999958038330099</v>
      </c>
      <c r="ES68">
        <v>36.866752624511697</v>
      </c>
      <c r="ET68">
        <v>0.800037741661072</v>
      </c>
      <c r="EU68" s="2">
        <v>3.4028230607370999E+38</v>
      </c>
      <c r="EV68">
        <v>0</v>
      </c>
      <c r="EW68">
        <v>230.00491333007801</v>
      </c>
      <c r="EX68">
        <v>184.02151489257801</v>
      </c>
      <c r="EY68">
        <v>230.01278686523401</v>
      </c>
      <c r="EZ68">
        <v>-137.99281311035199</v>
      </c>
      <c r="FA68">
        <v>2.3973341740202199E-4</v>
      </c>
      <c r="FB68">
        <v>1.4817581512033899E-2</v>
      </c>
      <c r="FC68" s="2">
        <v>3.4147176393162201E-6</v>
      </c>
      <c r="FD68" s="2">
        <v>-5.0313295751891498E-9</v>
      </c>
      <c r="FE68" s="2">
        <v>5.1118345112399799E-8</v>
      </c>
      <c r="FF68" s="2">
        <v>-4.2465297944716002E-9</v>
      </c>
      <c r="FG68">
        <v>74.683250427246094</v>
      </c>
      <c r="FH68">
        <v>142.22917175293</v>
      </c>
      <c r="FI68">
        <v>-9.1817758977413205E-2</v>
      </c>
      <c r="FJ68" s="2">
        <v>3.4028230607370999E+38</v>
      </c>
      <c r="FK68">
        <v>-56.212638854980497</v>
      </c>
      <c r="FL68">
        <v>2.0051706582307802E-2</v>
      </c>
      <c r="FM68">
        <v>0</v>
      </c>
      <c r="FN68">
        <v>0</v>
      </c>
      <c r="FO68">
        <v>0</v>
      </c>
      <c r="FP68" s="2">
        <v>-9.0842309873551103E-5</v>
      </c>
      <c r="FQ68">
        <v>1.69947203248739E-2</v>
      </c>
      <c r="FR68" s="2">
        <v>3.0877770313964001E-6</v>
      </c>
      <c r="FS68" s="2">
        <v>-3.1937859024111499E-9</v>
      </c>
      <c r="FT68" s="2">
        <v>5.3604864547196498E-8</v>
      </c>
      <c r="FU68" s="2">
        <v>-2.83617174190454E-9</v>
      </c>
      <c r="FV68">
        <v>74.760887145996094</v>
      </c>
      <c r="FW68">
        <v>138.39402770996099</v>
      </c>
      <c r="FX68">
        <v>-5.0531581044197103E-2</v>
      </c>
      <c r="FY68" s="2">
        <v>3.4028230607370999E+38</v>
      </c>
      <c r="FZ68">
        <v>35.4598999023438</v>
      </c>
      <c r="GA68">
        <v>229.106201171875</v>
      </c>
      <c r="GB68" s="2">
        <v>-3.30265453873935E-10</v>
      </c>
      <c r="GC68">
        <v>6.9113471545279004E-4</v>
      </c>
      <c r="GD68" s="2">
        <v>-3.78321401983683E-10</v>
      </c>
      <c r="GE68" s="2">
        <v>3.7669859011657502E-5</v>
      </c>
      <c r="GF68" s="2">
        <v>3.4028230607370999E+38</v>
      </c>
      <c r="GG68" s="2">
        <v>3.4028230607370999E+38</v>
      </c>
      <c r="GH68">
        <v>184.01721191406199</v>
      </c>
      <c r="GI68">
        <v>230.01051330566401</v>
      </c>
      <c r="GJ68">
        <v>-137.99691772460901</v>
      </c>
      <c r="GK68" s="2">
        <v>3.4028230607370999E+38</v>
      </c>
      <c r="GL68" s="2">
        <v>3.4028230607370999E+38</v>
      </c>
      <c r="GM68" s="2">
        <v>3.4028230607370999E+38</v>
      </c>
      <c r="GN68" s="2">
        <v>3.4028230607370999E+38</v>
      </c>
      <c r="GO68" s="2">
        <v>3.4028230607370999E+38</v>
      </c>
      <c r="GP68" s="2">
        <v>3.4028230607370999E+38</v>
      </c>
      <c r="GQ68">
        <v>184.02627563476599</v>
      </c>
      <c r="GR68">
        <v>184.02627563476599</v>
      </c>
      <c r="GS68">
        <v>-137.98815917968801</v>
      </c>
      <c r="GT68">
        <v>5.6299025891348698E-4</v>
      </c>
      <c r="GX68">
        <f t="shared" si="1"/>
        <v>230.0020263671874</v>
      </c>
      <c r="GY68">
        <f t="shared" si="2"/>
        <v>1.0000366449356082</v>
      </c>
      <c r="GZ68">
        <f t="shared" si="3"/>
        <v>184.01697082519519</v>
      </c>
      <c r="HA68">
        <f t="shared" si="4"/>
        <v>230.0104217529296</v>
      </c>
      <c r="HB68">
        <f t="shared" si="5"/>
        <v>-137.996990966797</v>
      </c>
      <c r="HC68">
        <f t="shared" si="6"/>
        <v>49.999961853027344</v>
      </c>
      <c r="HD68">
        <f t="shared" si="7"/>
        <v>36.866678619384764</v>
      </c>
      <c r="HW68" s="10">
        <f>(GX68/Data!$S68-1)*1000000</f>
        <v>23.724558988691413</v>
      </c>
      <c r="HX68" s="10">
        <f>(GY68/Data!$T68-1)*1000000</f>
        <v>38.827020328646711</v>
      </c>
      <c r="HY68" s="10">
        <f>(GZ68/Data!$BW68-1)*1000000</f>
        <v>74.855901485815224</v>
      </c>
      <c r="HZ68" s="10">
        <f>(HA68/(Data!$S68*Data!$T68)-1)*1000000</f>
        <v>62.408916695844141</v>
      </c>
      <c r="IA68" s="7">
        <f>(HB68/IF(HD68&gt;0, -Data!$BX68,Data!$BX68)-1)*1000000</f>
        <v>56.565061697044783</v>
      </c>
      <c r="IB68" s="10"/>
      <c r="IC68" s="9">
        <f>(HD68-Data!$U68)</f>
        <v>-5.8592061523654593E-4</v>
      </c>
    </row>
    <row r="69" spans="1:237" x14ac:dyDescent="0.2">
      <c r="A69">
        <v>69</v>
      </c>
      <c r="B69">
        <v>230.00175476074199</v>
      </c>
      <c r="C69">
        <v>0.50002038478851296</v>
      </c>
      <c r="D69">
        <v>92.009361267089801</v>
      </c>
      <c r="E69">
        <v>115.005577087402</v>
      </c>
      <c r="F69">
        <v>-68.998123168945298</v>
      </c>
      <c r="G69">
        <v>49.999923706054702</v>
      </c>
      <c r="H69">
        <v>36.866458892822301</v>
      </c>
      <c r="I69">
        <v>1.7825247719883901E-2</v>
      </c>
      <c r="J69" s="2">
        <v>3.3945684663194702E-6</v>
      </c>
      <c r="K69" s="2">
        <v>-3.54457752038684E-9</v>
      </c>
      <c r="L69" s="2">
        <v>6.0578983607228994E-8</v>
      </c>
      <c r="M69" s="2">
        <v>-5.6778555190817298E-9</v>
      </c>
      <c r="N69">
        <v>74.647682189941406</v>
      </c>
      <c r="O69">
        <v>120.59317779541</v>
      </c>
      <c r="P69">
        <v>1.9761042669415502E-2</v>
      </c>
      <c r="Q69" s="2">
        <v>3.0958162824390498E-6</v>
      </c>
      <c r="R69" s="2">
        <v>4.2548786716167802E-10</v>
      </c>
      <c r="S69" s="2">
        <v>6.1100116965917603E-8</v>
      </c>
      <c r="T69" s="2">
        <v>-1.0582380527424101E-9</v>
      </c>
      <c r="U69">
        <v>74.729698181152301</v>
      </c>
      <c r="V69">
        <v>22.333419799804702</v>
      </c>
      <c r="W69" s="2">
        <v>3.4028230607370999E+38</v>
      </c>
      <c r="X69" s="2">
        <v>3.4028230607370999E+38</v>
      </c>
      <c r="Y69">
        <v>92.009353637695298</v>
      </c>
      <c r="Z69">
        <v>115.005577087402</v>
      </c>
      <c r="AA69">
        <v>-68.998130798339801</v>
      </c>
      <c r="AB69" s="2">
        <v>3.4028230607370999E+38</v>
      </c>
      <c r="AC69" s="2">
        <v>3.4028230607370999E+38</v>
      </c>
      <c r="AD69">
        <v>230.00221252441401</v>
      </c>
      <c r="AE69">
        <v>0.50002032518386796</v>
      </c>
      <c r="AF69">
        <v>92.009391784667997</v>
      </c>
      <c r="AG69">
        <v>115.005577087402</v>
      </c>
      <c r="AH69">
        <v>-68.998001098632798</v>
      </c>
      <c r="AI69">
        <v>49.999973297119098</v>
      </c>
      <c r="AJ69">
        <v>36.866275787353501</v>
      </c>
      <c r="AK69">
        <v>1.4363666065037301E-2</v>
      </c>
      <c r="AL69" s="2">
        <v>3.3336623346258399E-6</v>
      </c>
      <c r="AM69" s="2">
        <v>-3.3312419489561798E-10</v>
      </c>
      <c r="AN69" s="2">
        <v>4.8066265634361103E-8</v>
      </c>
      <c r="AO69" s="2">
        <v>-1.4435708184379299E-9</v>
      </c>
      <c r="AP69">
        <v>74.779266357421903</v>
      </c>
      <c r="AQ69">
        <v>102.994331359863</v>
      </c>
      <c r="AR69">
        <v>1.5163569711148701E-2</v>
      </c>
      <c r="AS69" s="2">
        <v>3.0402604807022701E-6</v>
      </c>
      <c r="AT69" s="2">
        <v>4.2692860358073398E-10</v>
      </c>
      <c r="AU69" s="2">
        <v>4.7335493746913899E-8</v>
      </c>
      <c r="AV69" s="2">
        <v>-9.334696349228009E-10</v>
      </c>
      <c r="AW69">
        <v>74.709007263183594</v>
      </c>
      <c r="AX69">
        <v>80.694297790527301</v>
      </c>
      <c r="AY69" s="2">
        <v>3.4028230607370999E+38</v>
      </c>
      <c r="AZ69" s="2">
        <v>3.4028230607370999E+38</v>
      </c>
      <c r="BA69">
        <v>92.009384155273395</v>
      </c>
      <c r="BB69">
        <v>115.005577087402</v>
      </c>
      <c r="BC69">
        <v>-68.998008728027301</v>
      </c>
      <c r="BD69" s="2">
        <v>3.4028230607370999E+38</v>
      </c>
      <c r="BE69" s="2">
        <v>3.4028230607370999E+38</v>
      </c>
      <c r="BF69">
        <v>230.00192260742199</v>
      </c>
      <c r="BG69">
        <v>0.500019371509552</v>
      </c>
      <c r="BH69">
        <v>92.008750915527301</v>
      </c>
      <c r="BI69">
        <v>115.00527954101599</v>
      </c>
      <c r="BJ69">
        <v>-68.998329162597699</v>
      </c>
      <c r="BK69">
        <v>49.999912261962898</v>
      </c>
      <c r="BL69">
        <v>36.866363525390597</v>
      </c>
      <c r="BM69">
        <v>1.54990190640092E-2</v>
      </c>
      <c r="BN69" s="2">
        <v>3.3984240417339602E-6</v>
      </c>
      <c r="BO69" s="2">
        <v>-7.2212236190694096E-11</v>
      </c>
      <c r="BP69" s="2">
        <v>5.2948422535337198E-8</v>
      </c>
      <c r="BQ69" s="2">
        <v>-3.2980032038665298E-9</v>
      </c>
      <c r="BR69">
        <v>74.705810546875</v>
      </c>
      <c r="BS69">
        <v>123.269981384277</v>
      </c>
      <c r="BT69">
        <v>1.7061378806829501E-2</v>
      </c>
      <c r="BU69" s="2">
        <v>2.97381211566972E-6</v>
      </c>
      <c r="BV69" s="2">
        <v>1.50094736639517E-9</v>
      </c>
      <c r="BW69" s="2">
        <v>4.9883311703524702E-8</v>
      </c>
      <c r="BX69" s="2">
        <v>-5.0175191779189297E-10</v>
      </c>
      <c r="BY69">
        <v>74.766769409179702</v>
      </c>
      <c r="BZ69">
        <v>11.796348571777299</v>
      </c>
      <c r="CA69" s="2">
        <v>3.4028230607370999E+38</v>
      </c>
      <c r="CB69" s="2">
        <v>3.4028230607370999E+38</v>
      </c>
      <c r="CC69">
        <v>92.008743286132798</v>
      </c>
      <c r="CD69">
        <v>115.00527954101599</v>
      </c>
      <c r="CE69">
        <v>-68.998336791992202</v>
      </c>
      <c r="CF69" s="2">
        <v>3.4028230607370999E+38</v>
      </c>
      <c r="CG69" s="2">
        <v>3.4028230607370999E+38</v>
      </c>
      <c r="CH69">
        <v>230.001953125</v>
      </c>
      <c r="CI69">
        <v>0.50002253055572499</v>
      </c>
      <c r="CJ69">
        <v>92.009742736816406</v>
      </c>
      <c r="CK69">
        <v>115.00611877441401</v>
      </c>
      <c r="CL69">
        <v>-68.998260498046903</v>
      </c>
      <c r="CM69">
        <v>49.999835968017599</v>
      </c>
      <c r="CN69">
        <v>36.866462707519503</v>
      </c>
      <c r="CO69">
        <v>1.7773710191249799E-2</v>
      </c>
      <c r="CP69" s="2">
        <v>3.4168197089457E-6</v>
      </c>
      <c r="CQ69" s="2">
        <v>-3.9968273135571103E-9</v>
      </c>
      <c r="CR69" s="2">
        <v>6.0651117905763399E-8</v>
      </c>
      <c r="CS69" s="2">
        <v>-5.0970401233030299E-9</v>
      </c>
      <c r="CT69">
        <v>74.574699401855497</v>
      </c>
      <c r="CU69">
        <v>118.34593200683599</v>
      </c>
      <c r="CV69">
        <v>1.96580477058887E-2</v>
      </c>
      <c r="CW69" s="2">
        <v>3.1131901323533401E-6</v>
      </c>
      <c r="CX69" s="2">
        <v>3.44720307854374E-10</v>
      </c>
      <c r="CY69" s="2">
        <v>6.1439891396730699E-8</v>
      </c>
      <c r="CZ69" s="2">
        <v>-1.5199019820499899E-9</v>
      </c>
      <c r="DA69">
        <v>74.828292846679702</v>
      </c>
      <c r="DB69">
        <v>64.146278381347699</v>
      </c>
      <c r="DC69" s="2">
        <v>3.4028230607370999E+38</v>
      </c>
      <c r="DD69" s="2">
        <v>3.4028230607370999E+38</v>
      </c>
      <c r="DE69">
        <v>92.009735107421903</v>
      </c>
      <c r="DF69">
        <v>115.00611877441401</v>
      </c>
      <c r="DG69">
        <v>-68.998268127441406</v>
      </c>
      <c r="DH69" s="2">
        <v>3.4028230607370999E+38</v>
      </c>
      <c r="DI69" s="2">
        <v>3.4028230607370999E+38</v>
      </c>
      <c r="DJ69">
        <v>230.00198364257801</v>
      </c>
      <c r="DK69">
        <v>0.50002098083496105</v>
      </c>
      <c r="DL69">
        <v>92.008926391601605</v>
      </c>
      <c r="DM69">
        <v>115.005500793457</v>
      </c>
      <c r="DN69">
        <v>-68.998542785644503</v>
      </c>
      <c r="DO69">
        <v>49.999946594238303</v>
      </c>
      <c r="DP69">
        <v>36.866619110107401</v>
      </c>
      <c r="DQ69">
        <v>1.7394181340932801E-2</v>
      </c>
      <c r="DR69" s="2">
        <v>3.3500014069431902E-6</v>
      </c>
      <c r="DS69" s="2">
        <v>-2.33174457520136E-9</v>
      </c>
      <c r="DT69" s="2">
        <v>5.9960733267416799E-8</v>
      </c>
      <c r="DU69" s="2">
        <v>-5.10171727086117E-9</v>
      </c>
      <c r="DV69">
        <v>74.828231811523395</v>
      </c>
      <c r="DW69">
        <v>114.56280517578099</v>
      </c>
      <c r="DX69">
        <v>1.94101557135582E-2</v>
      </c>
      <c r="DY69" s="2">
        <v>3.0263383905548801E-6</v>
      </c>
      <c r="DZ69" s="2">
        <v>5.2960530405599095E-10</v>
      </c>
      <c r="EA69" s="2">
        <v>5.9148995035229699E-8</v>
      </c>
      <c r="EB69" s="2">
        <v>-2.87815965505089E-10</v>
      </c>
      <c r="EC69">
        <v>74.684257507324205</v>
      </c>
      <c r="ED69">
        <v>28.522031784057599</v>
      </c>
      <c r="EE69" s="2">
        <v>3.4028230607370999E+38</v>
      </c>
      <c r="EF69" s="2">
        <v>3.4028230607370999E+38</v>
      </c>
      <c r="EG69">
        <v>92.008918762207003</v>
      </c>
      <c r="EH69">
        <v>115.005500793457</v>
      </c>
      <c r="EI69">
        <v>-68.998550415039105</v>
      </c>
      <c r="EJ69" s="2">
        <v>3.4028230607370999E+38</v>
      </c>
      <c r="EK69" s="2">
        <v>3.4028230607370999E+38</v>
      </c>
      <c r="EL69">
        <v>123</v>
      </c>
      <c r="EM69">
        <v>230.00192260742199</v>
      </c>
      <c r="EN69">
        <v>0.500019431114197</v>
      </c>
      <c r="EO69">
        <v>92.008865356445298</v>
      </c>
      <c r="EP69">
        <v>115.00535583496099</v>
      </c>
      <c r="EQ69">
        <v>-68.998214721679702</v>
      </c>
      <c r="ER69">
        <v>49.9999389648438</v>
      </c>
      <c r="ES69">
        <v>36.866432189941399</v>
      </c>
      <c r="ET69">
        <v>0.80004179477691695</v>
      </c>
      <c r="EU69" s="2">
        <v>3.4028230607370999E+38</v>
      </c>
      <c r="EV69">
        <v>0</v>
      </c>
      <c r="EW69">
        <v>230.00263977050801</v>
      </c>
      <c r="EX69">
        <v>92.012527465820298</v>
      </c>
      <c r="EY69">
        <v>115.005828857422</v>
      </c>
      <c r="EZ69">
        <v>-68.993057250976605</v>
      </c>
      <c r="FA69">
        <v>2.8997953631915201E-4</v>
      </c>
      <c r="FB69">
        <v>1.7435384914279001E-2</v>
      </c>
      <c r="FC69" s="2">
        <v>3.3839992283901699E-6</v>
      </c>
      <c r="FD69" s="2">
        <v>-2.89437540601512E-9</v>
      </c>
      <c r="FE69" s="2">
        <v>5.8928744550712502E-8</v>
      </c>
      <c r="FF69" s="2">
        <v>-5.2541015982399098E-9</v>
      </c>
      <c r="FG69">
        <v>74.761550903320298</v>
      </c>
      <c r="FH69">
        <v>116.61696624755901</v>
      </c>
      <c r="FI69">
        <v>-4.2678002268075901E-2</v>
      </c>
      <c r="FJ69" s="2">
        <v>3.4028230607370999E+38</v>
      </c>
      <c r="FK69">
        <v>-37.206943511962898</v>
      </c>
      <c r="FL69">
        <v>2.0629826933145499E-2</v>
      </c>
      <c r="FM69">
        <v>0</v>
      </c>
      <c r="FN69">
        <v>0</v>
      </c>
      <c r="FO69">
        <v>0</v>
      </c>
      <c r="FP69" s="2">
        <v>-5.48769930901472E-5</v>
      </c>
      <c r="FQ69">
        <v>1.9359976053237901E-2</v>
      </c>
      <c r="FR69" s="2">
        <v>3.0963142307882701E-6</v>
      </c>
      <c r="FS69" s="2">
        <v>6.2116695120906198E-10</v>
      </c>
      <c r="FT69" s="2">
        <v>6.0860628536829595E-8</v>
      </c>
      <c r="FU69" s="2">
        <v>-5.4781074121379396E-10</v>
      </c>
      <c r="FV69">
        <v>74.825332641601605</v>
      </c>
      <c r="FW69">
        <v>77.943115234375</v>
      </c>
      <c r="FX69">
        <v>3.0087286140769698E-3</v>
      </c>
      <c r="FY69" s="2">
        <v>3.4028230607370999E+38</v>
      </c>
      <c r="FZ69">
        <v>-7.3758673667907697</v>
      </c>
      <c r="GA69">
        <v>229.08494567871099</v>
      </c>
      <c r="GB69" s="2">
        <v>-1.08054154512871E-9</v>
      </c>
      <c r="GC69">
        <v>6.9719564635306597E-4</v>
      </c>
      <c r="GD69" s="2">
        <v>-5.5706106394381998E-11</v>
      </c>
      <c r="GE69" s="2">
        <v>9.4111692305887101E-6</v>
      </c>
      <c r="GF69" s="2">
        <v>3.4028230607370999E+38</v>
      </c>
      <c r="GG69" s="2">
        <v>3.4028230607370999E+38</v>
      </c>
      <c r="GH69">
        <v>92.008987426757798</v>
      </c>
      <c r="GI69">
        <v>115.00514221191401</v>
      </c>
      <c r="GJ69">
        <v>-68.997955322265597</v>
      </c>
      <c r="GK69" s="2">
        <v>3.4028230607370999E+38</v>
      </c>
      <c r="GL69" s="2">
        <v>3.4028230607370999E+38</v>
      </c>
      <c r="GM69" s="2">
        <v>3.4028230607370999E+38</v>
      </c>
      <c r="GN69" s="2">
        <v>3.4028230607370999E+38</v>
      </c>
      <c r="GO69" s="2">
        <v>3.4028230607370999E+38</v>
      </c>
      <c r="GP69" s="2">
        <v>3.4028230607370999E+38</v>
      </c>
      <c r="GQ69">
        <v>92.013259887695298</v>
      </c>
      <c r="GR69">
        <v>92.013259887695298</v>
      </c>
      <c r="GS69">
        <v>-68.993011474609403</v>
      </c>
      <c r="GT69">
        <v>2.88040057057515E-4</v>
      </c>
      <c r="GX69">
        <f t="shared" si="1"/>
        <v>230.0019653320312</v>
      </c>
      <c r="GY69">
        <f t="shared" si="2"/>
        <v>0.50002071857452379</v>
      </c>
      <c r="GZ69">
        <f t="shared" si="3"/>
        <v>92.009234619140628</v>
      </c>
      <c r="HA69">
        <f t="shared" si="4"/>
        <v>115.00561065673818</v>
      </c>
      <c r="HB69">
        <f t="shared" si="5"/>
        <v>-68.998251342773443</v>
      </c>
      <c r="HC69">
        <f t="shared" si="6"/>
        <v>49.999918365478521</v>
      </c>
      <c r="HD69">
        <f t="shared" si="7"/>
        <v>36.866436004638658</v>
      </c>
      <c r="HW69" s="10">
        <f>(GX69/Data!$S69-1)*1000000</f>
        <v>23.270481928960862</v>
      </c>
      <c r="HX69" s="10">
        <f>(GY69/Data!$T69-1)*1000000</f>
        <v>51.571671674910391</v>
      </c>
      <c r="HY69" s="10">
        <f>(GZ69/Data!$BW69-1)*1000000</f>
        <v>85.527742543556329</v>
      </c>
      <c r="HZ69" s="10">
        <f>(HA69/(Data!$S69*Data!$T69)-1)*1000000</f>
        <v>73.649218479410195</v>
      </c>
      <c r="IA69" s="7">
        <f>(HB69/IF(HD69&gt;0, -Data!$BX69,Data!$BX69)-1)*1000000</f>
        <v>70.100208565682109</v>
      </c>
      <c r="IB69" s="10"/>
      <c r="IC69" s="9">
        <f>(HD69-Data!$U69)</f>
        <v>-4.2854536134484533E-4</v>
      </c>
    </row>
    <row r="70" spans="1:237" x14ac:dyDescent="0.2">
      <c r="A70">
        <v>70</v>
      </c>
      <c r="B70">
        <v>230.00178527832</v>
      </c>
      <c r="C70">
        <v>0.500019490718842</v>
      </c>
      <c r="D70">
        <v>92.008972167968807</v>
      </c>
      <c r="E70">
        <v>115.00531005859401</v>
      </c>
      <c r="F70">
        <v>-68.998039245605497</v>
      </c>
      <c r="G70">
        <v>49.999904632568402</v>
      </c>
      <c r="H70">
        <v>36.866367340087898</v>
      </c>
      <c r="I70">
        <v>1.5079152770340399E-2</v>
      </c>
      <c r="J70" s="2">
        <v>3.3463602449046401E-6</v>
      </c>
      <c r="K70" s="2">
        <v>-1.01646957517687E-9</v>
      </c>
      <c r="L70" s="2">
        <v>5.0363471615355599E-8</v>
      </c>
      <c r="M70" s="2">
        <v>-2.57998933328452E-9</v>
      </c>
      <c r="N70">
        <v>74.747024536132798</v>
      </c>
      <c r="O70">
        <v>119.084579467773</v>
      </c>
      <c r="P70">
        <v>1.6159614548087099E-2</v>
      </c>
      <c r="Q70" s="2">
        <v>3.0863368465361401E-6</v>
      </c>
      <c r="R70" s="2">
        <v>6.30400454060265E-10</v>
      </c>
      <c r="S70" s="2">
        <v>5.0435584597607899E-8</v>
      </c>
      <c r="T70" s="2">
        <v>-5.5196069936869197E-10</v>
      </c>
      <c r="U70">
        <v>74.764389038085895</v>
      </c>
      <c r="V70">
        <v>5.6120762825012198</v>
      </c>
      <c r="W70" s="2">
        <v>3.4028230607370999E+38</v>
      </c>
      <c r="X70" s="2">
        <v>3.4028230607370999E+38</v>
      </c>
      <c r="Y70">
        <v>92.008964538574205</v>
      </c>
      <c r="Z70">
        <v>115.00531005859401</v>
      </c>
      <c r="AA70">
        <v>-68.998046875</v>
      </c>
      <c r="AB70" s="2">
        <v>3.4028230607370999E+38</v>
      </c>
      <c r="AC70" s="2">
        <v>3.4028230607370999E+38</v>
      </c>
      <c r="AD70">
        <v>230.002029418945</v>
      </c>
      <c r="AE70">
        <v>0.50002014636993397</v>
      </c>
      <c r="AF70">
        <v>92.009071350097699</v>
      </c>
      <c r="AG70">
        <v>115.005477905273</v>
      </c>
      <c r="AH70">
        <v>-68.998313903808594</v>
      </c>
      <c r="AI70">
        <v>49.999912261962898</v>
      </c>
      <c r="AJ70">
        <v>36.866546630859403</v>
      </c>
      <c r="AK70">
        <v>1.7124706879258201E-2</v>
      </c>
      <c r="AL70" s="2">
        <v>3.3916855954885199E-6</v>
      </c>
      <c r="AM70" s="2">
        <v>-1.9300976372704802E-9</v>
      </c>
      <c r="AN70" s="2">
        <v>5.8021569770971797E-8</v>
      </c>
      <c r="AO70" s="2">
        <v>-3.9739389556814298E-9</v>
      </c>
      <c r="AP70">
        <v>74.690811157226605</v>
      </c>
      <c r="AQ70">
        <v>112.154991149902</v>
      </c>
      <c r="AR70">
        <v>1.9026141613721799E-2</v>
      </c>
      <c r="AS70" s="2">
        <v>3.0337262160173901E-6</v>
      </c>
      <c r="AT70" s="2">
        <v>2.3726198783435798E-9</v>
      </c>
      <c r="AU70" s="2">
        <v>5.77391219280798E-8</v>
      </c>
      <c r="AV70" s="2">
        <v>-1.6411084990952699E-10</v>
      </c>
      <c r="AW70">
        <v>74.736701965332003</v>
      </c>
      <c r="AX70">
        <v>5.5419273376464799</v>
      </c>
      <c r="AY70" s="2">
        <v>3.4028230607370999E+38</v>
      </c>
      <c r="AZ70" s="2">
        <v>3.4028230607370999E+38</v>
      </c>
      <c r="BA70">
        <v>92.009063720703097</v>
      </c>
      <c r="BB70">
        <v>115.005477905273</v>
      </c>
      <c r="BC70">
        <v>-68.998321533203097</v>
      </c>
      <c r="BD70" s="2">
        <v>3.4028230607370999E+38</v>
      </c>
      <c r="BE70" s="2">
        <v>3.4028230607370999E+38</v>
      </c>
      <c r="BF70">
        <v>230.00225830078099</v>
      </c>
      <c r="BG70">
        <v>0.50001978874206499</v>
      </c>
      <c r="BH70">
        <v>92.009460449218807</v>
      </c>
      <c r="BI70">
        <v>115.00563049316401</v>
      </c>
      <c r="BJ70">
        <v>-68.998123168945298</v>
      </c>
      <c r="BK70">
        <v>49.999904632568402</v>
      </c>
      <c r="BL70">
        <v>36.866188049316399</v>
      </c>
      <c r="BM70">
        <v>1.4807295054197299E-2</v>
      </c>
      <c r="BN70" s="2">
        <v>3.4002916891040501E-6</v>
      </c>
      <c r="BO70" s="2">
        <v>-1.4169576623146399E-9</v>
      </c>
      <c r="BP70" s="2">
        <v>4.8694285936789999E-8</v>
      </c>
      <c r="BQ70" s="2">
        <v>-1.9097101677800798E-9</v>
      </c>
      <c r="BR70">
        <v>74.763175964355497</v>
      </c>
      <c r="BS70">
        <v>116.11605834960901</v>
      </c>
      <c r="BT70">
        <v>1.5824181959032999E-2</v>
      </c>
      <c r="BU70" s="2">
        <v>3.0472560865746299E-6</v>
      </c>
      <c r="BV70" s="2">
        <v>-8.1885831448858002E-10</v>
      </c>
      <c r="BW70" s="2">
        <v>4.7966260297016601E-8</v>
      </c>
      <c r="BX70" s="2">
        <v>-1.1447324199664899E-9</v>
      </c>
      <c r="BY70">
        <v>74.700279235839801</v>
      </c>
      <c r="BZ70">
        <v>98.189849853515597</v>
      </c>
      <c r="CA70" s="2">
        <v>3.4028230607370999E+38</v>
      </c>
      <c r="CB70" s="2">
        <v>3.4028230607370999E+38</v>
      </c>
      <c r="CC70">
        <v>92.009452819824205</v>
      </c>
      <c r="CD70">
        <v>115.00563049316401</v>
      </c>
      <c r="CE70">
        <v>-68.998130798339801</v>
      </c>
      <c r="CF70" s="2">
        <v>3.4028230607370999E+38</v>
      </c>
      <c r="CG70" s="2">
        <v>3.4028230607370999E+38</v>
      </c>
      <c r="CH70">
        <v>230.00218200683599</v>
      </c>
      <c r="CI70">
        <v>0.50001990795135498</v>
      </c>
      <c r="CJ70">
        <v>92.009544372558594</v>
      </c>
      <c r="CK70">
        <v>115.00562286377</v>
      </c>
      <c r="CL70">
        <v>-68.997947692871094</v>
      </c>
      <c r="CM70">
        <v>49.999927520752003</v>
      </c>
      <c r="CN70">
        <v>36.866241455078097</v>
      </c>
      <c r="CO70">
        <v>1.4379907399415999E-2</v>
      </c>
      <c r="CP70" s="2">
        <v>3.33766070070851E-6</v>
      </c>
      <c r="CQ70" s="2">
        <v>-1.3428196332654399E-9</v>
      </c>
      <c r="CR70" s="2">
        <v>4.8649955175505999E-8</v>
      </c>
      <c r="CS70" s="2">
        <v>-1.23846877198019E-9</v>
      </c>
      <c r="CT70">
        <v>74.703575134277301</v>
      </c>
      <c r="CU70">
        <v>130.95463562011699</v>
      </c>
      <c r="CV70">
        <v>1.5303598716855001E-2</v>
      </c>
      <c r="CW70" s="2">
        <v>3.0003293431946102E-6</v>
      </c>
      <c r="CX70" s="2">
        <v>2.5750013232794799E-10</v>
      </c>
      <c r="CY70" s="2">
        <v>4.7100979116976298E-8</v>
      </c>
      <c r="CZ70" s="2">
        <v>-1.1828761303789301E-9</v>
      </c>
      <c r="DA70">
        <v>74.690986633300795</v>
      </c>
      <c r="DB70">
        <v>77.718887329101605</v>
      </c>
      <c r="DC70" s="2">
        <v>3.4028230607370999E+38</v>
      </c>
      <c r="DD70" s="2">
        <v>3.4028230607370999E+38</v>
      </c>
      <c r="DE70">
        <v>92.009536743164105</v>
      </c>
      <c r="DF70">
        <v>115.00562286377</v>
      </c>
      <c r="DG70">
        <v>-68.997955322265597</v>
      </c>
      <c r="DH70" s="2">
        <v>3.4028230607370999E+38</v>
      </c>
      <c r="DI70" s="2">
        <v>3.4028230607370999E+38</v>
      </c>
      <c r="DJ70">
        <v>230.00231933593801</v>
      </c>
      <c r="DK70">
        <v>0.50002187490463301</v>
      </c>
      <c r="DL70">
        <v>92.009757995605497</v>
      </c>
      <c r="DM70">
        <v>115.00601196289099</v>
      </c>
      <c r="DN70">
        <v>-68.998291015625</v>
      </c>
      <c r="DO70">
        <v>49.9998970031738</v>
      </c>
      <c r="DP70">
        <v>36.866367340087898</v>
      </c>
      <c r="DQ70">
        <v>1.66355222463608E-2</v>
      </c>
      <c r="DR70" s="2">
        <v>3.3625792639213601E-6</v>
      </c>
      <c r="DS70" s="2">
        <v>-3.0427982355973898E-9</v>
      </c>
      <c r="DT70" s="2">
        <v>5.5943353061138597E-8</v>
      </c>
      <c r="DU70" s="2">
        <v>-2.8571238708252601E-9</v>
      </c>
      <c r="DV70">
        <v>74.727760314941406</v>
      </c>
      <c r="DW70">
        <v>121.54770660400401</v>
      </c>
      <c r="DX70">
        <v>1.7824199050664902E-2</v>
      </c>
      <c r="DY70" s="2">
        <v>3.0136313853290601E-6</v>
      </c>
      <c r="DZ70" s="2">
        <v>-1.1902011598508001E-9</v>
      </c>
      <c r="EA70" s="2">
        <v>5.37206474859886E-8</v>
      </c>
      <c r="EB70" s="2">
        <v>-1.1969754076801599E-9</v>
      </c>
      <c r="EC70">
        <v>74.717506408691406</v>
      </c>
      <c r="ED70">
        <v>99.414276123046903</v>
      </c>
      <c r="EE70" s="2">
        <v>3.4028230607370999E+38</v>
      </c>
      <c r="EF70" s="2">
        <v>3.4028230607370999E+38</v>
      </c>
      <c r="EG70">
        <v>92.009750366210895</v>
      </c>
      <c r="EH70">
        <v>115.00601196289099</v>
      </c>
      <c r="EI70">
        <v>-68.998298645019503</v>
      </c>
      <c r="EJ70" s="2">
        <v>3.4028230607370999E+38</v>
      </c>
      <c r="EK70" s="2">
        <v>3.4028230607370999E+38</v>
      </c>
      <c r="EL70">
        <v>123</v>
      </c>
      <c r="EM70">
        <v>230.00184631347699</v>
      </c>
      <c r="EN70">
        <v>0.50002026557922397</v>
      </c>
      <c r="EO70">
        <v>92.009674072265597</v>
      </c>
      <c r="EP70">
        <v>115.00551605224599</v>
      </c>
      <c r="EQ70">
        <v>-68.998054504394503</v>
      </c>
      <c r="ER70">
        <v>49.999935150146499</v>
      </c>
      <c r="ES70">
        <v>36.866321563720703</v>
      </c>
      <c r="ET70">
        <v>0.80004310607910201</v>
      </c>
      <c r="EU70" s="2">
        <v>3.4028230607370999E+38</v>
      </c>
      <c r="EV70">
        <v>0</v>
      </c>
      <c r="EW70">
        <v>230.00704956054699</v>
      </c>
      <c r="EX70">
        <v>92.013168334960895</v>
      </c>
      <c r="EY70">
        <v>115.008422851562</v>
      </c>
      <c r="EZ70">
        <v>-68.99609375</v>
      </c>
      <c r="FA70">
        <v>1.3404758647084201E-4</v>
      </c>
      <c r="FB70">
        <v>1.51875521987677E-2</v>
      </c>
      <c r="FC70" s="2">
        <v>3.3723561045917399E-6</v>
      </c>
      <c r="FD70" s="2">
        <v>-1.6028427474168399E-9</v>
      </c>
      <c r="FE70" s="2">
        <v>5.2151634122310497E-8</v>
      </c>
      <c r="FF70" s="2">
        <v>-2.5267785641602801E-9</v>
      </c>
      <c r="FG70">
        <v>74.743095397949205</v>
      </c>
      <c r="FH70">
        <v>137.07514953613301</v>
      </c>
      <c r="FI70">
        <v>-5.20937480032444E-2</v>
      </c>
      <c r="FJ70" s="2">
        <v>3.4028230607370999E+38</v>
      </c>
      <c r="FK70">
        <v>-5.0545616149902299</v>
      </c>
      <c r="FL70">
        <v>2.02909223735332E-2</v>
      </c>
      <c r="FM70">
        <v>0</v>
      </c>
      <c r="FN70">
        <v>0</v>
      </c>
      <c r="FO70">
        <v>0</v>
      </c>
      <c r="FP70" s="2">
        <v>-3.9064376323949498E-5</v>
      </c>
      <c r="FQ70">
        <v>1.58213470131159E-2</v>
      </c>
      <c r="FR70" s="2">
        <v>3.07536197396985E-6</v>
      </c>
      <c r="FS70" s="2">
        <v>-1.8533480306004399E-10</v>
      </c>
      <c r="FT70" s="2">
        <v>4.7189047336360097E-8</v>
      </c>
      <c r="FU70" s="2">
        <v>-6.5958899453377698E-10</v>
      </c>
      <c r="FV70">
        <v>74.851478576660199</v>
      </c>
      <c r="FW70">
        <v>109.640785217285</v>
      </c>
      <c r="FX70">
        <v>-4.9884119071066397E-3</v>
      </c>
      <c r="FY70" s="2">
        <v>3.4028230607370999E+38</v>
      </c>
      <c r="FZ70">
        <v>15.3269052505493</v>
      </c>
      <c r="GA70">
        <v>229.45610046386699</v>
      </c>
      <c r="GB70" s="2">
        <v>-2.4290483513489402E-10</v>
      </c>
      <c r="GC70">
        <v>7.0232758298516295E-4</v>
      </c>
      <c r="GD70" s="2">
        <v>-1.92235907747751E-10</v>
      </c>
      <c r="GE70" s="2">
        <v>2.7454834707896201E-5</v>
      </c>
      <c r="GF70" s="2">
        <v>3.4028230607370999E+38</v>
      </c>
      <c r="GG70" s="2">
        <v>3.4028230607370999E+38</v>
      </c>
      <c r="GH70">
        <v>92.009246826171903</v>
      </c>
      <c r="GI70">
        <v>115.005317687988</v>
      </c>
      <c r="GJ70">
        <v>-68.997642517089801</v>
      </c>
      <c r="GK70" s="2">
        <v>3.4028230607370999E+38</v>
      </c>
      <c r="GL70" s="2">
        <v>3.4028230607370999E+38</v>
      </c>
      <c r="GM70" s="2">
        <v>3.4028230607370999E+38</v>
      </c>
      <c r="GN70" s="2">
        <v>3.4028230607370999E+38</v>
      </c>
      <c r="GO70" s="2">
        <v>3.4028230607370999E+38</v>
      </c>
      <c r="GP70" s="2">
        <v>3.4028230607370999E+38</v>
      </c>
      <c r="GQ70">
        <v>92.010299682617202</v>
      </c>
      <c r="GR70">
        <v>92.010299682617202</v>
      </c>
      <c r="GS70">
        <v>-68.9954833984375</v>
      </c>
      <c r="GT70" s="2">
        <v>-6.3093233620747897E-5</v>
      </c>
      <c r="GX70">
        <f t="shared" si="1"/>
        <v>230.00211486816397</v>
      </c>
      <c r="GY70">
        <f t="shared" si="2"/>
        <v>0.50002024173736581</v>
      </c>
      <c r="GZ70">
        <f t="shared" si="3"/>
        <v>92.009361267089886</v>
      </c>
      <c r="HA70">
        <f t="shared" si="4"/>
        <v>115.0056106567384</v>
      </c>
      <c r="HB70">
        <f t="shared" si="5"/>
        <v>-68.998143005371091</v>
      </c>
      <c r="HC70">
        <f t="shared" si="6"/>
        <v>49.999909210205104</v>
      </c>
      <c r="HD70">
        <f t="shared" si="7"/>
        <v>36.866342163085939</v>
      </c>
      <c r="HW70" s="10">
        <f>(GX70/Data!$S70-1)*1000000</f>
        <v>22.888435864398815</v>
      </c>
      <c r="HX70" s="10">
        <f>(GY70/Data!$T70-1)*1000000</f>
        <v>46.139735697892093</v>
      </c>
      <c r="HY70" s="10">
        <f>(GZ70/Data!$BW70-1)*1000000</f>
        <v>77.877456980290916</v>
      </c>
      <c r="HZ70" s="10">
        <f>(HA70/(Data!$S70*Data!$T70)-1)*1000000</f>
        <v>68.138603906309214</v>
      </c>
      <c r="IA70" s="7">
        <f>(HB70/IF(HD70&gt;0, -Data!$BX70,Data!$BX70)-1)*1000000</f>
        <v>69.269348562217559</v>
      </c>
      <c r="IB70" s="10"/>
      <c r="IC70" s="9">
        <f>(HD70-Data!$U70)</f>
        <v>-2.538269140615057E-4</v>
      </c>
    </row>
    <row r="71" spans="1:237" x14ac:dyDescent="0.2">
      <c r="A71">
        <v>71</v>
      </c>
      <c r="B71">
        <v>230.00205993652301</v>
      </c>
      <c r="C71">
        <v>0.50001990795135498</v>
      </c>
      <c r="D71">
        <v>92.009803771972699</v>
      </c>
      <c r="E71">
        <v>115.006050109863</v>
      </c>
      <c r="F71">
        <v>-68.998023986816406</v>
      </c>
      <c r="G71">
        <v>49.999973297119098</v>
      </c>
      <c r="H71">
        <v>36.866168975830099</v>
      </c>
      <c r="I71">
        <v>1.52697805315256E-2</v>
      </c>
      <c r="J71" s="2">
        <v>3.3823987450887199E-6</v>
      </c>
      <c r="K71" s="2">
        <v>-2.6631357119555299E-9</v>
      </c>
      <c r="L71" s="2">
        <v>5.1684320823142103E-8</v>
      </c>
      <c r="M71" s="2">
        <v>-1.8080039687618E-9</v>
      </c>
      <c r="N71">
        <v>74.837081909179702</v>
      </c>
      <c r="O71">
        <v>142.16172790527301</v>
      </c>
      <c r="P71">
        <v>1.6602499410510101E-2</v>
      </c>
      <c r="Q71" s="2">
        <v>3.0526332466251898E-6</v>
      </c>
      <c r="R71" s="2">
        <v>-1.3758587324996801E-10</v>
      </c>
      <c r="S71" s="2">
        <v>5.0147331620564701E-8</v>
      </c>
      <c r="T71" s="2">
        <v>-1.4013605831309E-9</v>
      </c>
      <c r="U71">
        <v>74.764221191406193</v>
      </c>
      <c r="V71">
        <v>139.40837097168</v>
      </c>
      <c r="W71" s="2">
        <v>3.4028230607370999E+38</v>
      </c>
      <c r="X71" s="2">
        <v>3.4028230607370999E+38</v>
      </c>
      <c r="Y71">
        <v>92.009796142578097</v>
      </c>
      <c r="Z71">
        <v>115.006050109863</v>
      </c>
      <c r="AA71">
        <v>-68.998031616210895</v>
      </c>
      <c r="AB71" s="2">
        <v>3.4028230607370999E+38</v>
      </c>
      <c r="AC71" s="2">
        <v>3.4028230607370999E+38</v>
      </c>
      <c r="AD71">
        <v>230.002029418945</v>
      </c>
      <c r="AE71">
        <v>0.50001901388168302</v>
      </c>
      <c r="AF71">
        <v>92.009094238281193</v>
      </c>
      <c r="AG71">
        <v>115.005401611328</v>
      </c>
      <c r="AH71">
        <v>-68.998138427734403</v>
      </c>
      <c r="AI71">
        <v>49.999889373779297</v>
      </c>
      <c r="AJ71">
        <v>36.8664360046387</v>
      </c>
      <c r="AK71">
        <v>1.5806980431079899E-2</v>
      </c>
      <c r="AL71" s="2">
        <v>3.3806579722295299E-6</v>
      </c>
      <c r="AM71" s="2">
        <v>-8.5547519068640595E-10</v>
      </c>
      <c r="AN71" s="2">
        <v>5.3454776605121899E-8</v>
      </c>
      <c r="AO71" s="2">
        <v>-3.1943787615063002E-9</v>
      </c>
      <c r="AP71">
        <v>74.749977111816406</v>
      </c>
      <c r="AQ71">
        <v>91.576004028320298</v>
      </c>
      <c r="AR71">
        <v>1.72257199883461E-2</v>
      </c>
      <c r="AS71" s="2">
        <v>3.0659005005872999E-6</v>
      </c>
      <c r="AT71" s="2">
        <v>1.9894701441813802E-9</v>
      </c>
      <c r="AU71" s="2">
        <v>5.2620212187548499E-8</v>
      </c>
      <c r="AV71" s="2">
        <v>6.7870170594730398E-10</v>
      </c>
      <c r="AW71">
        <v>74.750534057617202</v>
      </c>
      <c r="AX71">
        <v>25.302614212036101</v>
      </c>
      <c r="AY71" s="2">
        <v>3.4028230607370999E+38</v>
      </c>
      <c r="AZ71" s="2">
        <v>3.4028230607370999E+38</v>
      </c>
      <c r="BA71">
        <v>92.009086608886705</v>
      </c>
      <c r="BB71">
        <v>115.005401611328</v>
      </c>
      <c r="BC71">
        <v>-68.998146057128906</v>
      </c>
      <c r="BD71" s="2">
        <v>3.4028230607370999E+38</v>
      </c>
      <c r="BE71" s="2">
        <v>3.4028230607370999E+38</v>
      </c>
      <c r="BF71">
        <v>230.00244140625</v>
      </c>
      <c r="BG71">
        <v>0.50001895427703902</v>
      </c>
      <c r="BH71">
        <v>92.008934020996094</v>
      </c>
      <c r="BI71">
        <v>115.005172729492</v>
      </c>
      <c r="BJ71">
        <v>-68.997978210449205</v>
      </c>
      <c r="BK71">
        <v>49.999927520752003</v>
      </c>
      <c r="BL71">
        <v>36.8667602539062</v>
      </c>
      <c r="BM71">
        <v>1.6961516812443699E-2</v>
      </c>
      <c r="BN71" s="2">
        <v>3.4280142244824699E-6</v>
      </c>
      <c r="BO71" s="2">
        <v>-2.5716149210097699E-9</v>
      </c>
      <c r="BP71" s="2">
        <v>5.7266394293264999E-8</v>
      </c>
      <c r="BQ71" s="2">
        <v>-4.0089327413284098E-9</v>
      </c>
      <c r="BR71">
        <v>74.755813598632798</v>
      </c>
      <c r="BS71">
        <v>127.468864440918</v>
      </c>
      <c r="BT71">
        <v>1.8853977322578399E-2</v>
      </c>
      <c r="BU71" s="2">
        <v>3.0276005418272702E-6</v>
      </c>
      <c r="BV71" s="2">
        <v>1.3107969154546599E-9</v>
      </c>
      <c r="BW71" s="2">
        <v>5.7273275899660803E-8</v>
      </c>
      <c r="BX71" s="2">
        <v>3.3842106200721002E-11</v>
      </c>
      <c r="BY71">
        <v>74.7479248046875</v>
      </c>
      <c r="BZ71">
        <v>-1.0388996601104701</v>
      </c>
      <c r="CA71" s="2">
        <v>3.4028230607370999E+38</v>
      </c>
      <c r="CB71" s="2">
        <v>3.4028230607370999E+38</v>
      </c>
      <c r="CC71">
        <v>92.008926391601605</v>
      </c>
      <c r="CD71">
        <v>115.005172729492</v>
      </c>
      <c r="CE71">
        <v>-68.997985839843807</v>
      </c>
      <c r="CF71" s="2">
        <v>3.4028230607370999E+38</v>
      </c>
      <c r="CG71" s="2">
        <v>3.4028230607370999E+38</v>
      </c>
      <c r="CH71">
        <v>230.002029418945</v>
      </c>
      <c r="CI71">
        <v>0.50002145767211903</v>
      </c>
      <c r="CJ71">
        <v>92.009674072265597</v>
      </c>
      <c r="CK71">
        <v>115.00617980957</v>
      </c>
      <c r="CL71">
        <v>-68.998306274414105</v>
      </c>
      <c r="CM71">
        <v>49.999927520752003</v>
      </c>
      <c r="CN71">
        <v>36.866264343261697</v>
      </c>
      <c r="CO71">
        <v>1.60801019519567E-2</v>
      </c>
      <c r="CP71" s="2">
        <v>3.3426408663217402E-6</v>
      </c>
      <c r="CQ71" s="2">
        <v>-1.7423802400884401E-9</v>
      </c>
      <c r="CR71" s="2">
        <v>5.3656869170026799E-8</v>
      </c>
      <c r="CS71" s="2">
        <v>-2.7630091548047602E-9</v>
      </c>
      <c r="CT71">
        <v>74.757659912109403</v>
      </c>
      <c r="CU71">
        <v>127.44972991943401</v>
      </c>
      <c r="CV71">
        <v>1.7689524218440101E-2</v>
      </c>
      <c r="CW71" s="2">
        <v>3.1119527648115802E-6</v>
      </c>
      <c r="CX71" s="2">
        <v>-3.3395294862792499E-10</v>
      </c>
      <c r="CY71" s="2">
        <v>5.30468291515263E-8</v>
      </c>
      <c r="CZ71" s="2">
        <v>-1.4701777573122899E-9</v>
      </c>
      <c r="DA71">
        <v>74.771163940429702</v>
      </c>
      <c r="DB71">
        <v>138.83403015136699</v>
      </c>
      <c r="DC71" s="2">
        <v>3.4028230607370999E+38</v>
      </c>
      <c r="DD71" s="2">
        <v>3.4028230607370999E+38</v>
      </c>
      <c r="DE71">
        <v>92.009666442871094</v>
      </c>
      <c r="DF71">
        <v>115.00617980957</v>
      </c>
      <c r="DG71">
        <v>-68.998313903808594</v>
      </c>
      <c r="DH71" s="2">
        <v>3.4028230607370999E+38</v>
      </c>
      <c r="DI71" s="2">
        <v>3.4028230607370999E+38</v>
      </c>
      <c r="DJ71">
        <v>230.00228881835901</v>
      </c>
      <c r="DK71">
        <v>0.50001889467239402</v>
      </c>
      <c r="DL71">
        <v>92.008926391601605</v>
      </c>
      <c r="DM71">
        <v>115.00535583496099</v>
      </c>
      <c r="DN71">
        <v>-68.998374938964801</v>
      </c>
      <c r="DO71">
        <v>49.999988555908203</v>
      </c>
      <c r="DP71">
        <v>36.8665771484375</v>
      </c>
      <c r="DQ71">
        <v>1.6629904508590702E-2</v>
      </c>
      <c r="DR71" s="2">
        <v>3.34444689542579E-6</v>
      </c>
      <c r="DS71" s="2">
        <v>-3.07223091411402E-9</v>
      </c>
      <c r="DT71" s="2">
        <v>5.5552412447923403E-8</v>
      </c>
      <c r="DU71" s="2">
        <v>-4.5318926389370501E-9</v>
      </c>
      <c r="DV71">
        <v>74.741409301757798</v>
      </c>
      <c r="DW71">
        <v>116.69514465332</v>
      </c>
      <c r="DX71">
        <v>1.8114345148205799E-2</v>
      </c>
      <c r="DY71" s="2">
        <v>3.1285755994758802E-6</v>
      </c>
      <c r="DZ71" s="2">
        <v>8.2674583845587801E-10</v>
      </c>
      <c r="EA71" s="2">
        <v>5.7154476706955399E-8</v>
      </c>
      <c r="EB71" s="2">
        <v>-6.9608030450751802E-10</v>
      </c>
      <c r="EC71">
        <v>74.797080993652301</v>
      </c>
      <c r="ED71">
        <v>-1.5029325485229501</v>
      </c>
      <c r="EE71" s="2">
        <v>3.4028230607370999E+38</v>
      </c>
      <c r="EF71" s="2">
        <v>3.4028230607370999E+38</v>
      </c>
      <c r="EG71">
        <v>92.008918762207003</v>
      </c>
      <c r="EH71">
        <v>115.00535583496099</v>
      </c>
      <c r="EI71">
        <v>-68.998382568359403</v>
      </c>
      <c r="EJ71" s="2">
        <v>3.4028230607370999E+38</v>
      </c>
      <c r="EK71" s="2">
        <v>3.4028230607370999E+38</v>
      </c>
      <c r="EL71">
        <v>123</v>
      </c>
      <c r="EM71">
        <v>230.00209045410199</v>
      </c>
      <c r="EN71">
        <v>0.50001895427703902</v>
      </c>
      <c r="EO71">
        <v>92.008987426757798</v>
      </c>
      <c r="EP71">
        <v>115.005332946777</v>
      </c>
      <c r="EQ71">
        <v>-68.998184204101605</v>
      </c>
      <c r="ER71">
        <v>49.999927520752003</v>
      </c>
      <c r="ES71">
        <v>36.866539001464801</v>
      </c>
      <c r="ET71">
        <v>0.80003958940506004</v>
      </c>
      <c r="EU71" s="2">
        <v>3.4028230607370999E+38</v>
      </c>
      <c r="EV71">
        <v>0</v>
      </c>
      <c r="EW71">
        <v>230.00184631347699</v>
      </c>
      <c r="EX71">
        <v>92.011619567871094</v>
      </c>
      <c r="EY71">
        <v>115.005531311035</v>
      </c>
      <c r="EZ71">
        <v>-68.994148254394503</v>
      </c>
      <c r="FA71">
        <v>1.5676251496188299E-4</v>
      </c>
      <c r="FB71">
        <v>1.7125787213444699E-2</v>
      </c>
      <c r="FC71" s="2">
        <v>3.3759188227122599E-6</v>
      </c>
      <c r="FD71" s="2">
        <v>-1.9910746384965701E-9</v>
      </c>
      <c r="FE71" s="2">
        <v>5.7824429688935197E-8</v>
      </c>
      <c r="FF71" s="2">
        <v>-4.0696459535638496E-9</v>
      </c>
      <c r="FG71">
        <v>74.772789001464801</v>
      </c>
      <c r="FH71">
        <v>109.852424621582</v>
      </c>
      <c r="FI71">
        <v>-2.54108998924494E-2</v>
      </c>
      <c r="FJ71" s="2">
        <v>3.4028230607370999E+38</v>
      </c>
      <c r="FK71">
        <v>-17.839382171630898</v>
      </c>
      <c r="FL71">
        <v>2.0426688715815499E-2</v>
      </c>
      <c r="FM71">
        <v>0</v>
      </c>
      <c r="FN71">
        <v>0</v>
      </c>
      <c r="FO71">
        <v>0</v>
      </c>
      <c r="FP71" s="2">
        <v>-5.3235584346111898E-5</v>
      </c>
      <c r="FQ71">
        <v>1.91928800195456E-2</v>
      </c>
      <c r="FR71" s="2">
        <v>3.0416845220315702E-6</v>
      </c>
      <c r="FS71" s="2">
        <v>5.8882865250353699E-10</v>
      </c>
      <c r="FT71" s="2">
        <v>5.9832018450833897E-8</v>
      </c>
      <c r="FU71" s="2">
        <v>-9.92102622277002E-10</v>
      </c>
      <c r="FV71">
        <v>74.746315002441406</v>
      </c>
      <c r="FW71">
        <v>33.902946472167997</v>
      </c>
      <c r="FX71">
        <v>2.46730782091618E-2</v>
      </c>
      <c r="FY71" s="2">
        <v>3.4028230607370999E+38</v>
      </c>
      <c r="FZ71">
        <v>-34.256675720214801</v>
      </c>
      <c r="GA71">
        <v>229.70674133300801</v>
      </c>
      <c r="GB71" s="2">
        <v>3.5890632132940001E-10</v>
      </c>
      <c r="GC71">
        <v>7.0862972643226396E-4</v>
      </c>
      <c r="GD71" s="2">
        <v>-2.2415148903664999E-10</v>
      </c>
      <c r="GE71" s="2">
        <v>1.29000127344625E-5</v>
      </c>
      <c r="GF71" s="2">
        <v>3.4028230607370999E+38</v>
      </c>
      <c r="GG71" s="2">
        <v>3.4028230607370999E+38</v>
      </c>
      <c r="GH71">
        <v>92.008583068847699</v>
      </c>
      <c r="GI71">
        <v>115.005157470703</v>
      </c>
      <c r="GJ71">
        <v>-68.998840332031193</v>
      </c>
      <c r="GK71" s="2">
        <v>3.4028230607370999E+38</v>
      </c>
      <c r="GL71" s="2">
        <v>3.4028230607370999E+38</v>
      </c>
      <c r="GM71" s="2">
        <v>3.4028230607370999E+38</v>
      </c>
      <c r="GN71" s="2">
        <v>3.4028230607370999E+38</v>
      </c>
      <c r="GO71" s="2">
        <v>3.4028230607370999E+38</v>
      </c>
      <c r="GP71" s="2">
        <v>3.4028230607370999E+38</v>
      </c>
      <c r="GQ71">
        <v>92.012283325195298</v>
      </c>
      <c r="GR71">
        <v>92.012283325195298</v>
      </c>
      <c r="GS71">
        <v>-68.993461608886705</v>
      </c>
      <c r="GT71">
        <v>1.6523138037882699E-4</v>
      </c>
      <c r="GX71">
        <f t="shared" si="1"/>
        <v>230.00216979980442</v>
      </c>
      <c r="GY71">
        <f t="shared" si="2"/>
        <v>0.50001964569091795</v>
      </c>
      <c r="GZ71">
        <f t="shared" si="3"/>
        <v>92.009286499023446</v>
      </c>
      <c r="HA71">
        <f t="shared" si="4"/>
        <v>115.00563201904279</v>
      </c>
      <c r="HB71">
        <f t="shared" si="5"/>
        <v>-68.998164367675784</v>
      </c>
      <c r="HC71">
        <f t="shared" si="6"/>
        <v>49.999941253662122</v>
      </c>
      <c r="HD71">
        <f t="shared" si="7"/>
        <v>36.866441345214838</v>
      </c>
      <c r="HW71" s="10">
        <f>(GX71/Data!$S71-1)*1000000</f>
        <v>22.41985550344161</v>
      </c>
      <c r="HX71" s="10">
        <f>(GY71/Data!$T71-1)*1000000</f>
        <v>49.94391383861263</v>
      </c>
      <c r="HY71" s="10">
        <f>(GZ71/Data!$BW71-1)*1000000</f>
        <v>82.038112733551216</v>
      </c>
      <c r="HZ71" s="10">
        <f>(HA71/(Data!$S71*Data!$T71)-1)*1000000</f>
        <v>72.613308881974703</v>
      </c>
      <c r="IA71" s="7">
        <f>(HB71/IF(HD71&gt;0, -Data!$BX71,Data!$BX71)-1)*1000000</f>
        <v>72.652104446957466</v>
      </c>
      <c r="IB71" s="10"/>
      <c r="IC71" s="9">
        <f>(HD71-Data!$U71)</f>
        <v>-2.0690478515916766E-4</v>
      </c>
    </row>
    <row r="72" spans="1:237" x14ac:dyDescent="0.2">
      <c r="A72">
        <v>72</v>
      </c>
      <c r="B72">
        <v>230.00204467773401</v>
      </c>
      <c r="C72">
        <v>0.50001901388168302</v>
      </c>
      <c r="D72">
        <v>115.00539398193401</v>
      </c>
      <c r="E72">
        <v>115.005317687988</v>
      </c>
      <c r="F72">
        <v>8.0211274325847608E-3</v>
      </c>
      <c r="G72">
        <v>49.999874114990199</v>
      </c>
      <c r="H72">
        <v>-4.3471711687743698E-3</v>
      </c>
      <c r="I72">
        <v>1.61689911037683E-2</v>
      </c>
      <c r="J72" s="2">
        <v>3.34420747094555E-6</v>
      </c>
      <c r="K72" s="2">
        <v>4.07220007714315E-10</v>
      </c>
      <c r="L72" s="2">
        <v>5.2753566848196001E-8</v>
      </c>
      <c r="M72" s="2">
        <v>-1.4972004747093601E-9</v>
      </c>
      <c r="N72">
        <v>74.765907287597699</v>
      </c>
      <c r="O72">
        <v>61.997421264648402</v>
      </c>
      <c r="P72">
        <v>1.74439288675785E-2</v>
      </c>
      <c r="Q72" s="2">
        <v>3.04789227811852E-6</v>
      </c>
      <c r="R72" s="2">
        <v>3.8287084613841704E-9</v>
      </c>
      <c r="S72" s="2">
        <v>5.3172289682379401E-8</v>
      </c>
      <c r="T72" s="2">
        <v>5.5258803088875704E-10</v>
      </c>
      <c r="U72">
        <v>74.814109802246094</v>
      </c>
      <c r="V72">
        <v>-5.9280810356140101</v>
      </c>
      <c r="W72" s="2">
        <v>3.4028230607370999E+38</v>
      </c>
      <c r="X72" s="2">
        <v>3.4028230607370999E+38</v>
      </c>
      <c r="Y72">
        <v>115.00539398193401</v>
      </c>
      <c r="Z72">
        <v>115.005317687988</v>
      </c>
      <c r="AA72">
        <v>8.0211255699396099E-3</v>
      </c>
      <c r="AB72" s="2">
        <v>3.4028230607370999E+38</v>
      </c>
      <c r="AC72" s="2">
        <v>3.4028230607370999E+38</v>
      </c>
      <c r="AD72">
        <v>230.00221252441401</v>
      </c>
      <c r="AE72">
        <v>0.50001728534698497</v>
      </c>
      <c r="AF72">
        <v>115.005081176758</v>
      </c>
      <c r="AG72">
        <v>115.005020141602</v>
      </c>
      <c r="AH72">
        <v>8.2473959773778898E-3</v>
      </c>
      <c r="AI72">
        <v>49.999946594238303</v>
      </c>
      <c r="AJ72">
        <v>-4.10883221775293E-3</v>
      </c>
      <c r="AK72">
        <v>1.48229682818055E-2</v>
      </c>
      <c r="AL72" s="2">
        <v>3.37196775035409E-6</v>
      </c>
      <c r="AM72" s="2">
        <v>5.1761284147744401E-10</v>
      </c>
      <c r="AN72" s="2">
        <v>4.9974016036458098E-8</v>
      </c>
      <c r="AO72" s="2">
        <v>-1.4827683525453501E-9</v>
      </c>
      <c r="AP72">
        <v>74.657432556152301</v>
      </c>
      <c r="AQ72">
        <v>37.777790069580099</v>
      </c>
      <c r="AR72">
        <v>1.6345201060175899E-2</v>
      </c>
      <c r="AS72" s="2">
        <v>3.0816324851912201E-6</v>
      </c>
      <c r="AT72" s="2">
        <v>1.08671516230174E-9</v>
      </c>
      <c r="AU72" s="2">
        <v>5.0465096990137701E-8</v>
      </c>
      <c r="AV72" s="2">
        <v>-6.1151461672182005E-10</v>
      </c>
      <c r="AW72">
        <v>74.837585449218807</v>
      </c>
      <c r="AX72">
        <v>22.133857727050799</v>
      </c>
      <c r="AY72" s="2">
        <v>3.4028230607370999E+38</v>
      </c>
      <c r="AZ72" s="2">
        <v>3.4028230607370999E+38</v>
      </c>
      <c r="BA72">
        <v>115.005081176758</v>
      </c>
      <c r="BB72">
        <v>115.005020141602</v>
      </c>
      <c r="BC72">
        <v>8.2473931834101694E-3</v>
      </c>
      <c r="BD72" s="2">
        <v>3.4028230607370999E+38</v>
      </c>
      <c r="BE72" s="2">
        <v>3.4028230607370999E+38</v>
      </c>
      <c r="BF72">
        <v>230.001953125</v>
      </c>
      <c r="BG72">
        <v>0.50002104043960605</v>
      </c>
      <c r="BH72">
        <v>115.00568389892599</v>
      </c>
      <c r="BI72">
        <v>115.00559234619099</v>
      </c>
      <c r="BJ72">
        <v>8.1695867702364904E-3</v>
      </c>
      <c r="BK72">
        <v>49.9999389648438</v>
      </c>
      <c r="BL72">
        <v>-4.07008454203606E-3</v>
      </c>
      <c r="BM72">
        <v>1.6654839739203502E-2</v>
      </c>
      <c r="BN72" s="2">
        <v>3.3007863748935102E-6</v>
      </c>
      <c r="BO72" s="2">
        <v>-7.3120148824656905E-10</v>
      </c>
      <c r="BP72" s="2">
        <v>5.5035403789816E-8</v>
      </c>
      <c r="BQ72" s="2">
        <v>-3.4467282361561001E-9</v>
      </c>
      <c r="BR72">
        <v>74.690368652343807</v>
      </c>
      <c r="BS72">
        <v>104.725173950195</v>
      </c>
      <c r="BT72">
        <v>1.8100425601005599E-2</v>
      </c>
      <c r="BU72" s="2">
        <v>2.9867997000110302E-6</v>
      </c>
      <c r="BV72" s="2">
        <v>1.73751613097295E-9</v>
      </c>
      <c r="BW72" s="2">
        <v>5.6201088227680898E-8</v>
      </c>
      <c r="BX72" s="2">
        <v>-1.44750411656958E-9</v>
      </c>
      <c r="BY72">
        <v>74.755233764648395</v>
      </c>
      <c r="BZ72">
        <v>75.396064758300795</v>
      </c>
      <c r="CA72" s="2">
        <v>3.4028230607370999E+38</v>
      </c>
      <c r="CB72" s="2">
        <v>3.4028230607370999E+38</v>
      </c>
      <c r="CC72">
        <v>115.00567626953099</v>
      </c>
      <c r="CD72">
        <v>115.00559234619099</v>
      </c>
      <c r="CE72">
        <v>8.1695811823010393E-3</v>
      </c>
      <c r="CF72" s="2">
        <v>3.4028230607370999E+38</v>
      </c>
      <c r="CG72" s="2">
        <v>3.4028230607370999E+38</v>
      </c>
      <c r="CH72">
        <v>230.00248718261699</v>
      </c>
      <c r="CI72">
        <v>0.50001984834670998</v>
      </c>
      <c r="CJ72">
        <v>115.00579833984401</v>
      </c>
      <c r="CK72">
        <v>115.005722045898</v>
      </c>
      <c r="CL72">
        <v>8.7153045460581797E-3</v>
      </c>
      <c r="CM72">
        <v>49.999958038330099</v>
      </c>
      <c r="CN72">
        <v>-4.3560946360230402E-3</v>
      </c>
      <c r="CO72">
        <v>1.43032250925899E-2</v>
      </c>
      <c r="CP72" s="2">
        <v>3.3649262149992898E-6</v>
      </c>
      <c r="CQ72" s="2">
        <v>8.2939716206098503E-10</v>
      </c>
      <c r="CR72" s="2">
        <v>4.7652445545054401E-8</v>
      </c>
      <c r="CS72" s="2">
        <v>-1.06490916085278E-9</v>
      </c>
      <c r="CT72">
        <v>74.698448181152301</v>
      </c>
      <c r="CU72">
        <v>132.39291381835901</v>
      </c>
      <c r="CV72">
        <v>1.5417319722473601E-2</v>
      </c>
      <c r="CW72" s="2">
        <v>3.1169220164883899E-6</v>
      </c>
      <c r="CX72" s="2">
        <v>4.3996553622527301E-10</v>
      </c>
      <c r="CY72" s="2">
        <v>4.5415067262410997E-8</v>
      </c>
      <c r="CZ72" s="2">
        <v>-9.7717467451019502E-10</v>
      </c>
      <c r="DA72">
        <v>74.754989624023395</v>
      </c>
      <c r="DB72">
        <v>144.5634765625</v>
      </c>
      <c r="DC72" s="2">
        <v>3.4028230607370999E+38</v>
      </c>
      <c r="DD72" s="2">
        <v>3.4028230607370999E+38</v>
      </c>
      <c r="DE72">
        <v>115.00579833984401</v>
      </c>
      <c r="DF72">
        <v>115.005722045898</v>
      </c>
      <c r="DG72">
        <v>8.7153017520904506E-3</v>
      </c>
      <c r="DH72" s="2">
        <v>3.4028230607370999E+38</v>
      </c>
      <c r="DI72" s="2">
        <v>3.4028230607370999E+38</v>
      </c>
      <c r="DJ72">
        <v>230.00177001953099</v>
      </c>
      <c r="DK72">
        <v>0.50001847743988004</v>
      </c>
      <c r="DL72">
        <v>115.00513458252</v>
      </c>
      <c r="DM72">
        <v>115.00506591796901</v>
      </c>
      <c r="DN72">
        <v>8.1363301724195498E-3</v>
      </c>
      <c r="DO72">
        <v>49.999969482421903</v>
      </c>
      <c r="DP72">
        <v>-4.0535307489335502E-3</v>
      </c>
      <c r="DQ72">
        <v>1.6425300389528299E-2</v>
      </c>
      <c r="DR72" s="2">
        <v>3.3452229217800799E-6</v>
      </c>
      <c r="DS72" s="2">
        <v>-6.6274430388091306E-11</v>
      </c>
      <c r="DT72" s="2">
        <v>5.5781146812705602E-8</v>
      </c>
      <c r="DU72" s="2">
        <v>-3.1463016636479299E-9</v>
      </c>
      <c r="DV72">
        <v>74.741874694824205</v>
      </c>
      <c r="DW72">
        <v>84.292541503906193</v>
      </c>
      <c r="DX72">
        <v>1.8087120726704601E-2</v>
      </c>
      <c r="DY72" s="2">
        <v>3.1246943308360599E-6</v>
      </c>
      <c r="DZ72" s="2">
        <v>3.4528171433123601E-9</v>
      </c>
      <c r="EA72" s="2">
        <v>5.7580827217407198E-8</v>
      </c>
      <c r="EB72" s="2">
        <v>1.4844138418457199E-10</v>
      </c>
      <c r="EC72">
        <v>74.724777221679702</v>
      </c>
      <c r="ED72">
        <v>-1.28467845916748</v>
      </c>
      <c r="EE72" s="2">
        <v>3.4028230607370999E+38</v>
      </c>
      <c r="EF72" s="2">
        <v>3.4028230607370999E+38</v>
      </c>
      <c r="EG72">
        <v>115.005126953125</v>
      </c>
      <c r="EH72">
        <v>115.00506591796901</v>
      </c>
      <c r="EI72">
        <v>8.1363264471292496E-3</v>
      </c>
      <c r="EJ72" s="2">
        <v>3.4028230607370999E+38</v>
      </c>
      <c r="EK72" s="2">
        <v>3.4028230607370999E+38</v>
      </c>
      <c r="EL72">
        <v>123</v>
      </c>
      <c r="EM72">
        <v>230.00221252441401</v>
      </c>
      <c r="EN72">
        <v>0.50001984834670998</v>
      </c>
      <c r="EO72">
        <v>115.00560760498</v>
      </c>
      <c r="EP72">
        <v>115.00554656982401</v>
      </c>
      <c r="EQ72">
        <v>8.1859705969691294E-3</v>
      </c>
      <c r="ER72">
        <v>49.999973297119098</v>
      </c>
      <c r="ES72">
        <v>-4.0782494470477104E-3</v>
      </c>
      <c r="ET72">
        <v>1</v>
      </c>
      <c r="EU72" s="2">
        <v>3.4028230607370999E+38</v>
      </c>
      <c r="EV72">
        <v>0</v>
      </c>
      <c r="EW72">
        <v>230.00311279296901</v>
      </c>
      <c r="EX72">
        <v>115.006187438965</v>
      </c>
      <c r="EY72">
        <v>115.00600433349599</v>
      </c>
      <c r="EZ72">
        <v>1.2811692431569099E-2</v>
      </c>
      <c r="FA72" s="2">
        <v>6.7987872171215699E-5</v>
      </c>
      <c r="FB72">
        <v>1.7864750698208798E-2</v>
      </c>
      <c r="FC72" s="2">
        <v>3.3944720598810801E-6</v>
      </c>
      <c r="FD72" s="2">
        <v>-1.46364795283738E-10</v>
      </c>
      <c r="FE72" s="2">
        <v>6.0576063276585006E-8</v>
      </c>
      <c r="FF72" s="2">
        <v>-4.7049857343495197E-9</v>
      </c>
      <c r="FG72">
        <v>74.734825134277301</v>
      </c>
      <c r="FH72">
        <v>96.365493774414105</v>
      </c>
      <c r="FI72">
        <v>-8.5229817777872103E-3</v>
      </c>
      <c r="FJ72" s="2">
        <v>3.4028230607370999E+38</v>
      </c>
      <c r="FK72">
        <v>9.2777643203735405</v>
      </c>
      <c r="FL72">
        <v>2.0860718563199002E-2</v>
      </c>
      <c r="FM72">
        <v>0</v>
      </c>
      <c r="FN72">
        <v>0</v>
      </c>
      <c r="FO72">
        <v>0</v>
      </c>
      <c r="FP72" s="2">
        <v>-6.1199330957606394E-5</v>
      </c>
      <c r="FQ72">
        <v>1.9454974681138999E-2</v>
      </c>
      <c r="FR72" s="2">
        <v>3.02093712889473E-6</v>
      </c>
      <c r="FS72" s="2">
        <v>1.6758636700586699E-9</v>
      </c>
      <c r="FT72" s="2">
        <v>5.87122990225453E-8</v>
      </c>
      <c r="FU72" s="2">
        <v>-8.5040846586892402E-10</v>
      </c>
      <c r="FV72">
        <v>74.742523193359403</v>
      </c>
      <c r="FW72">
        <v>21.509853363037099</v>
      </c>
      <c r="FX72">
        <v>3.54793481528759E-2</v>
      </c>
      <c r="FY72" s="2">
        <v>3.4028230607370999E+38</v>
      </c>
      <c r="FZ72">
        <v>-39.953826904296903</v>
      </c>
      <c r="GA72">
        <v>229.41633605957</v>
      </c>
      <c r="GB72" s="2">
        <v>-1.1764105245504199E-9</v>
      </c>
      <c r="GC72">
        <v>6.8502174690365802E-4</v>
      </c>
      <c r="GD72" s="2">
        <v>-2.8943153429494802E-10</v>
      </c>
      <c r="GE72" s="2">
        <v>1.48277049447643E-5</v>
      </c>
      <c r="GF72" s="2">
        <v>3.4028230607370999E+38</v>
      </c>
      <c r="GG72" s="2">
        <v>3.4028230607370999E+38</v>
      </c>
      <c r="GH72">
        <v>115.006065368652</v>
      </c>
      <c r="GI72">
        <v>115.005989074707</v>
      </c>
      <c r="GJ72">
        <v>7.8851943835616094E-3</v>
      </c>
      <c r="GK72" s="2">
        <v>3.4028230607370999E+38</v>
      </c>
      <c r="GL72" s="2">
        <v>3.4028230607370999E+38</v>
      </c>
      <c r="GM72" s="2">
        <v>3.4028230607370999E+38</v>
      </c>
      <c r="GN72" s="2">
        <v>3.4028230607370999E+38</v>
      </c>
      <c r="GO72" s="2">
        <v>3.4028230607370999E+38</v>
      </c>
      <c r="GP72" s="2">
        <v>3.4028230607370999E+38</v>
      </c>
      <c r="GQ72">
        <v>115.007949829102</v>
      </c>
      <c r="GR72">
        <v>115.008010864258</v>
      </c>
      <c r="GS72">
        <v>1.3440381735563301E-2</v>
      </c>
      <c r="GT72" s="2">
        <v>1.99802234419622E-5</v>
      </c>
      <c r="GX72">
        <f t="shared" si="1"/>
        <v>230.00209350585919</v>
      </c>
      <c r="GY72">
        <f t="shared" si="2"/>
        <v>0.50001913309097279</v>
      </c>
      <c r="GZ72">
        <f t="shared" si="3"/>
        <v>115.00541839599639</v>
      </c>
      <c r="HA72">
        <f t="shared" si="4"/>
        <v>115.00534362792959</v>
      </c>
      <c r="HB72">
        <f t="shared" si="5"/>
        <v>8.2579489797353738E-3</v>
      </c>
      <c r="HC72">
        <f t="shared" si="6"/>
        <v>49.999937438964864</v>
      </c>
      <c r="HD72">
        <f t="shared" si="7"/>
        <v>-4.1871426627039902E-3</v>
      </c>
      <c r="HW72" s="10">
        <f>(GX72/Data!$S72-1)*1000000</f>
        <v>22.885558298657571</v>
      </c>
      <c r="HX72" s="10">
        <f>(GY72/Data!$T72-1)*1000000</f>
        <v>13.373849043540886</v>
      </c>
      <c r="HY72" s="10">
        <f>(GZ72/Data!$BW72-1)*1000000</f>
        <v>36.002173756655154</v>
      </c>
      <c r="HZ72" s="10">
        <f>(HA72/(Data!$S72*Data!$T72)-1)*1000000</f>
        <v>35.357323617368763</v>
      </c>
      <c r="IA72" s="7">
        <f>(HB72/IF(HD72&gt;0, -Data!$BX72,Data!$BX72)-1)*1000000</f>
        <v>1025469.6110807888</v>
      </c>
      <c r="IB72" s="10"/>
      <c r="IC72" s="9">
        <f>(HD72-Data!$U72)</f>
        <v>-2.1558766627039904E-3</v>
      </c>
    </row>
    <row r="73" spans="1:237" x14ac:dyDescent="0.2">
      <c r="A73">
        <v>73</v>
      </c>
      <c r="B73">
        <v>230.00216674804699</v>
      </c>
      <c r="C73">
        <v>0.500019550323486</v>
      </c>
      <c r="D73">
        <v>115.00559234619099</v>
      </c>
      <c r="E73">
        <v>115.005531311035</v>
      </c>
      <c r="F73">
        <v>8.7831951677799208E-3</v>
      </c>
      <c r="G73">
        <v>49.999855041503899</v>
      </c>
      <c r="H73">
        <v>-4.37579303979874E-3</v>
      </c>
      <c r="I73">
        <v>1.48883359506726E-2</v>
      </c>
      <c r="J73" s="2">
        <v>3.3803792121034302E-6</v>
      </c>
      <c r="K73" s="2">
        <v>-2.0819766743951401E-10</v>
      </c>
      <c r="L73" s="2">
        <v>5.0358931247274099E-8</v>
      </c>
      <c r="M73" s="2">
        <v>-1.7758271519951999E-9</v>
      </c>
      <c r="N73">
        <v>74.698890686035199</v>
      </c>
      <c r="O73">
        <v>119.058403015137</v>
      </c>
      <c r="P73">
        <v>1.6200484707951501E-2</v>
      </c>
      <c r="Q73" s="2">
        <v>3.0419660106417702E-6</v>
      </c>
      <c r="R73" s="2">
        <v>-1.02850938876742E-9</v>
      </c>
      <c r="S73" s="2">
        <v>4.9870884311076198E-8</v>
      </c>
      <c r="T73" s="2">
        <v>-1.9641390736069302E-9</v>
      </c>
      <c r="U73">
        <v>74.684524536132798</v>
      </c>
      <c r="V73">
        <v>109.5419921875</v>
      </c>
      <c r="W73" s="2">
        <v>3.4028230607370999E+38</v>
      </c>
      <c r="X73" s="2">
        <v>3.4028230607370999E+38</v>
      </c>
      <c r="Y73">
        <v>115.005584716797</v>
      </c>
      <c r="Z73">
        <v>115.005531311035</v>
      </c>
      <c r="AA73">
        <v>8.7831905111670494E-3</v>
      </c>
      <c r="AB73" s="2">
        <v>3.4028230607370999E+38</v>
      </c>
      <c r="AC73" s="2">
        <v>3.4028230607370999E+38</v>
      </c>
      <c r="AD73">
        <v>230.00224304199199</v>
      </c>
      <c r="AE73">
        <v>0.50002139806747403</v>
      </c>
      <c r="AF73">
        <v>115.006072998047</v>
      </c>
      <c r="AG73">
        <v>115.00601196289099</v>
      </c>
      <c r="AH73">
        <v>8.6286803707480396E-3</v>
      </c>
      <c r="AI73">
        <v>49.999958038330099</v>
      </c>
      <c r="AJ73">
        <v>-4.4652493670582797E-3</v>
      </c>
      <c r="AK73">
        <v>1.4846716076135601E-2</v>
      </c>
      <c r="AL73" s="2">
        <v>3.3483513561804999E-6</v>
      </c>
      <c r="AM73" s="2">
        <v>-6.5825306316824605E-10</v>
      </c>
      <c r="AN73" s="2">
        <v>4.9647567834654203E-8</v>
      </c>
      <c r="AO73" s="2">
        <v>-1.82320802899483E-9</v>
      </c>
      <c r="AP73">
        <v>74.680931091308594</v>
      </c>
      <c r="AQ73">
        <v>127.15854644775401</v>
      </c>
      <c r="AR73">
        <v>1.5895890071988099E-2</v>
      </c>
      <c r="AS73" s="2">
        <v>3.0180171961546901E-6</v>
      </c>
      <c r="AT73" s="2">
        <v>-3.6898004096563899E-10</v>
      </c>
      <c r="AU73" s="2">
        <v>4.8273310682134298E-8</v>
      </c>
      <c r="AV73" s="2">
        <v>-1.9707424581127998E-9</v>
      </c>
      <c r="AW73">
        <v>74.845672607421903</v>
      </c>
      <c r="AX73">
        <v>116.41268920898401</v>
      </c>
      <c r="AY73" s="2">
        <v>3.4028230607370999E+38</v>
      </c>
      <c r="AZ73" s="2">
        <v>3.4028230607370999E+38</v>
      </c>
      <c r="BA73">
        <v>115.006065368652</v>
      </c>
      <c r="BB73">
        <v>115.00601196289099</v>
      </c>
      <c r="BC73">
        <v>8.62867571413517E-3</v>
      </c>
      <c r="BD73" s="2">
        <v>3.4028230607370999E+38</v>
      </c>
      <c r="BE73" s="2">
        <v>3.4028230607370999E+38</v>
      </c>
      <c r="BF73">
        <v>230.00207519531199</v>
      </c>
      <c r="BG73">
        <v>0.50002032518386796</v>
      </c>
      <c r="BH73">
        <v>115.005722045898</v>
      </c>
      <c r="BI73">
        <v>115.005653381348</v>
      </c>
      <c r="BJ73">
        <v>7.6744882389903103E-3</v>
      </c>
      <c r="BK73">
        <v>49.999885559082003</v>
      </c>
      <c r="BL73">
        <v>-3.8234216626733498E-3</v>
      </c>
      <c r="BM73">
        <v>1.7164560034871101E-2</v>
      </c>
      <c r="BN73" s="2">
        <v>3.3984413221332901E-6</v>
      </c>
      <c r="BO73" s="2">
        <v>-4.5814693705459299E-10</v>
      </c>
      <c r="BP73" s="2">
        <v>5.82960026918045E-8</v>
      </c>
      <c r="BQ73" s="2">
        <v>-3.7216307813281401E-9</v>
      </c>
      <c r="BR73">
        <v>74.778427124023395</v>
      </c>
      <c r="BS73">
        <v>114.026931762695</v>
      </c>
      <c r="BT73">
        <v>1.8838683143258102E-2</v>
      </c>
      <c r="BU73" s="2">
        <v>3.0896444513928099E-6</v>
      </c>
      <c r="BV73" s="2">
        <v>4.7434495220599605E-10</v>
      </c>
      <c r="BW73" s="2">
        <v>5.80479415646096E-8</v>
      </c>
      <c r="BX73" s="2">
        <v>-1.8140480229078501E-9</v>
      </c>
      <c r="BY73">
        <v>74.811553955078097</v>
      </c>
      <c r="BZ73">
        <v>89.162742614746094</v>
      </c>
      <c r="CA73" s="2">
        <v>3.4028230607370999E+38</v>
      </c>
      <c r="CB73" s="2">
        <v>3.4028230607370999E+38</v>
      </c>
      <c r="CC73">
        <v>115.00571441650401</v>
      </c>
      <c r="CD73">
        <v>115.005653381348</v>
      </c>
      <c r="CE73">
        <v>7.67448265105486E-3</v>
      </c>
      <c r="CF73" s="2">
        <v>3.4028230607370999E+38</v>
      </c>
      <c r="CG73" s="2">
        <v>3.4028230607370999E+38</v>
      </c>
      <c r="CH73">
        <v>230.00225830078099</v>
      </c>
      <c r="CI73">
        <v>0.50001823902130105</v>
      </c>
      <c r="CJ73">
        <v>115.005317687988</v>
      </c>
      <c r="CK73">
        <v>115.005424499512</v>
      </c>
      <c r="CL73">
        <v>8.5740489885211008E-3</v>
      </c>
      <c r="CM73">
        <v>49.999958038330099</v>
      </c>
      <c r="CN73">
        <v>-4.2715938761830304E-3</v>
      </c>
      <c r="CO73">
        <v>1.46402353420854E-2</v>
      </c>
      <c r="CP73" s="2">
        <v>3.3473900202807301E-6</v>
      </c>
      <c r="CQ73" s="2">
        <v>6.6129302034312301E-10</v>
      </c>
      <c r="CR73" s="2">
        <v>5.0139327356646397E-8</v>
      </c>
      <c r="CS73" s="2">
        <v>-1.1111769282479099E-9</v>
      </c>
      <c r="CT73">
        <v>74.700431823730497</v>
      </c>
      <c r="CU73">
        <v>50.715656280517599</v>
      </c>
      <c r="CV73">
        <v>1.59412510693073E-2</v>
      </c>
      <c r="CW73" s="2">
        <v>3.0285577850008798E-6</v>
      </c>
      <c r="CX73" s="2">
        <v>3.9361793824355101E-9</v>
      </c>
      <c r="CY73" s="2">
        <v>4.9601105445162803E-8</v>
      </c>
      <c r="CZ73" s="2">
        <v>2.6199234448576202E-10</v>
      </c>
      <c r="DA73">
        <v>74.726264953613295</v>
      </c>
      <c r="DB73">
        <v>-3.8079936504364</v>
      </c>
      <c r="DC73" s="2">
        <v>3.4028230607370999E+38</v>
      </c>
      <c r="DD73" s="2">
        <v>3.4028230607370999E+38</v>
      </c>
      <c r="DE73">
        <v>115.005317687988</v>
      </c>
      <c r="DF73">
        <v>115.005424499512</v>
      </c>
      <c r="DG73">
        <v>8.5740480571985193E-3</v>
      </c>
      <c r="DH73" s="2">
        <v>3.4028230607370999E+38</v>
      </c>
      <c r="DI73" s="2">
        <v>3.4028230607370999E+38</v>
      </c>
      <c r="DJ73">
        <v>230.00207519531199</v>
      </c>
      <c r="DK73">
        <v>0.50002098083496105</v>
      </c>
      <c r="DL73">
        <v>115.005828857422</v>
      </c>
      <c r="DM73">
        <v>115.005752563477</v>
      </c>
      <c r="DN73">
        <v>8.4868315607309307E-3</v>
      </c>
      <c r="DO73">
        <v>49.9999389648438</v>
      </c>
      <c r="DP73">
        <v>-4.2379274964332598E-3</v>
      </c>
      <c r="DQ73">
        <v>1.47234601899981E-2</v>
      </c>
      <c r="DR73" s="2">
        <v>3.4259271615155702E-6</v>
      </c>
      <c r="DS73" s="2">
        <v>-7.8597445218875402E-10</v>
      </c>
      <c r="DT73" s="2">
        <v>4.8136286068256602E-8</v>
      </c>
      <c r="DU73" s="2">
        <v>-1.5443805123638301E-9</v>
      </c>
      <c r="DV73">
        <v>74.719924926757798</v>
      </c>
      <c r="DW73">
        <v>105.41192626953099</v>
      </c>
      <c r="DX73">
        <v>1.5885800123214701E-2</v>
      </c>
      <c r="DY73" s="2">
        <v>3.0500352750095801E-6</v>
      </c>
      <c r="DZ73" s="2">
        <v>1.9034045173338401E-10</v>
      </c>
      <c r="EA73" s="2">
        <v>4.8471182623188698E-8</v>
      </c>
      <c r="EB73" s="2">
        <v>-1.3010161836746201E-9</v>
      </c>
      <c r="EC73">
        <v>74.7236328125</v>
      </c>
      <c r="ED73">
        <v>103.789016723633</v>
      </c>
      <c r="EE73" s="2">
        <v>3.4028230607370999E+38</v>
      </c>
      <c r="EF73" s="2">
        <v>3.4028230607370999E+38</v>
      </c>
      <c r="EG73">
        <v>115.005821228027</v>
      </c>
      <c r="EH73">
        <v>115.005752563477</v>
      </c>
      <c r="EI73">
        <v>8.4868278354406392E-3</v>
      </c>
      <c r="EJ73" s="2">
        <v>3.4028230607370999E+38</v>
      </c>
      <c r="EK73" s="2">
        <v>3.4028230607370999E+38</v>
      </c>
      <c r="EL73">
        <v>123</v>
      </c>
      <c r="EM73">
        <v>230.00193786621099</v>
      </c>
      <c r="EN73">
        <v>0.50002062320709195</v>
      </c>
      <c r="EO73">
        <v>115.00567626953099</v>
      </c>
      <c r="EP73">
        <v>115.005615234375</v>
      </c>
      <c r="EQ73">
        <v>8.0380812287330593E-3</v>
      </c>
      <c r="ER73">
        <v>49.999988555908203</v>
      </c>
      <c r="ES73">
        <v>-4.0045627392828499E-3</v>
      </c>
      <c r="ET73">
        <v>1</v>
      </c>
      <c r="EU73" s="2">
        <v>3.4028230607370999E+38</v>
      </c>
      <c r="EV73">
        <v>0</v>
      </c>
      <c r="EW73">
        <v>230.00508117675801</v>
      </c>
      <c r="EX73">
        <v>115.006965637207</v>
      </c>
      <c r="EY73">
        <v>115.00691986084</v>
      </c>
      <c r="EZ73">
        <v>1.1184018105268499E-2</v>
      </c>
      <c r="FA73" s="2">
        <v>-4.8425703425891697E-5</v>
      </c>
      <c r="FB73">
        <v>1.42453275620937E-2</v>
      </c>
      <c r="FC73" s="2">
        <v>3.3779901968955498E-6</v>
      </c>
      <c r="FD73" s="2">
        <v>-7.1766287357277695E-10</v>
      </c>
      <c r="FE73" s="2">
        <v>4.8169631838845797E-8</v>
      </c>
      <c r="FF73" s="2">
        <v>-1.44214318265057E-9</v>
      </c>
      <c r="FG73">
        <v>74.648994445800795</v>
      </c>
      <c r="FH73">
        <v>98.772201538085895</v>
      </c>
      <c r="FI73">
        <v>-4.6299127861857397E-3</v>
      </c>
      <c r="FJ73" s="2">
        <v>3.4028230607370999E+38</v>
      </c>
      <c r="FK73">
        <v>-47.561756134033203</v>
      </c>
      <c r="FL73">
        <v>1.9595947116613398E-2</v>
      </c>
      <c r="FM73">
        <v>0</v>
      </c>
      <c r="FN73">
        <v>0</v>
      </c>
      <c r="FO73">
        <v>0</v>
      </c>
      <c r="FP73" s="2">
        <v>-4.1256695112679201E-5</v>
      </c>
      <c r="FQ73">
        <v>1.50771606713533E-2</v>
      </c>
      <c r="FR73" s="2">
        <v>3.0884705211064998E-6</v>
      </c>
      <c r="FS73" s="2">
        <v>1.00871078156928E-9</v>
      </c>
      <c r="FT73" s="2">
        <v>4.67684380112132E-8</v>
      </c>
      <c r="FU73" s="2">
        <v>-9.1465807150470399E-10</v>
      </c>
      <c r="FV73">
        <v>74.779136657714801</v>
      </c>
      <c r="FW73">
        <v>83.300933837890597</v>
      </c>
      <c r="FX73">
        <v>2.29711411520839E-3</v>
      </c>
      <c r="FY73" s="2">
        <v>3.4028230607370999E+38</v>
      </c>
      <c r="FZ73">
        <v>13.0310001373291</v>
      </c>
      <c r="GA73">
        <v>229.79254150390599</v>
      </c>
      <c r="GB73" s="2">
        <v>5.8785271095374004E-10</v>
      </c>
      <c r="GC73">
        <v>7.0923293242231001E-4</v>
      </c>
      <c r="GD73" s="2">
        <v>-8.2215784180661403E-10</v>
      </c>
      <c r="GE73" s="2">
        <v>3.1881583709036898E-5</v>
      </c>
      <c r="GF73" s="2">
        <v>3.4028230607370999E+38</v>
      </c>
      <c r="GG73" s="2">
        <v>3.4028230607370999E+38</v>
      </c>
      <c r="GH73">
        <v>115.00594329834</v>
      </c>
      <c r="GI73">
        <v>115.00592041015599</v>
      </c>
      <c r="GJ73">
        <v>8.7780905887484603E-3</v>
      </c>
      <c r="GK73" s="2">
        <v>3.4028230607370999E+38</v>
      </c>
      <c r="GL73" s="2">
        <v>3.4028230607370999E+38</v>
      </c>
      <c r="GM73" s="2">
        <v>3.4028230607370999E+38</v>
      </c>
      <c r="GN73" s="2">
        <v>3.4028230607370999E+38</v>
      </c>
      <c r="GO73" s="2">
        <v>3.4028230607370999E+38</v>
      </c>
      <c r="GP73" s="2">
        <v>3.4028230607370999E+38</v>
      </c>
      <c r="GQ73">
        <v>115.006591796875</v>
      </c>
      <c r="GR73">
        <v>115.006591796875</v>
      </c>
      <c r="GS73">
        <v>1.09461154788733E-2</v>
      </c>
      <c r="GT73" s="2">
        <v>-3.4927998058265102E-5</v>
      </c>
      <c r="GX73">
        <f t="shared" si="1"/>
        <v>230.00216369628879</v>
      </c>
      <c r="GY73">
        <f t="shared" si="2"/>
        <v>0.500020098686218</v>
      </c>
      <c r="GZ73">
        <f t="shared" si="3"/>
        <v>115.00570678710919</v>
      </c>
      <c r="HA73">
        <f t="shared" si="4"/>
        <v>115.00567474365259</v>
      </c>
      <c r="HB73">
        <f t="shared" si="5"/>
        <v>8.4294488653540618E-3</v>
      </c>
      <c r="HC73">
        <f t="shared" si="6"/>
        <v>49.999919128417986</v>
      </c>
      <c r="HD73">
        <f t="shared" si="7"/>
        <v>-4.2347970884293318E-3</v>
      </c>
      <c r="HW73" s="10">
        <f>(GX73/Data!$S73-1)*1000000</f>
        <v>23.334656671147869</v>
      </c>
      <c r="HX73" s="10">
        <f>(GY73/Data!$T73-1)*1000000</f>
        <v>4.6372075368505961</v>
      </c>
      <c r="HY73" s="10">
        <f>(GZ73/Data!$BW73-1)*1000000</f>
        <v>27.985369307703678</v>
      </c>
      <c r="HZ73" s="10">
        <f>(HA73/(Data!$S73*Data!$T73)-1)*1000000</f>
        <v>27.712449252481619</v>
      </c>
      <c r="IA73" s="7">
        <f>(HB73/IF(HD73&gt;0, -Data!$BX73,Data!$BX73)-1)*1000000</f>
        <v>1038739.7649065835</v>
      </c>
      <c r="IB73" s="10"/>
      <c r="IC73" s="9">
        <f>(HD73-Data!$U73)</f>
        <v>-2.1748640884293319E-3</v>
      </c>
    </row>
    <row r="74" spans="1:237" x14ac:dyDescent="0.2">
      <c r="A74">
        <v>74</v>
      </c>
      <c r="B74">
        <v>230.00161743164099</v>
      </c>
      <c r="C74">
        <v>1.0000408887863199</v>
      </c>
      <c r="D74">
        <v>1.4423259533941701E-2</v>
      </c>
      <c r="E74">
        <v>230.01159667968801</v>
      </c>
      <c r="F74">
        <v>-230.01599121093801</v>
      </c>
      <c r="G74">
        <v>49.999969482421903</v>
      </c>
      <c r="H74">
        <v>89.996307373046903</v>
      </c>
      <c r="I74">
        <v>1.5549742616713E-2</v>
      </c>
      <c r="J74" s="2">
        <v>3.67971847481385E-6</v>
      </c>
      <c r="K74" s="2">
        <v>-5.5944124888185301E-9</v>
      </c>
      <c r="L74" s="2">
        <v>5.6804719150704801E-8</v>
      </c>
      <c r="M74" s="2">
        <v>-4.6783314999743197E-9</v>
      </c>
      <c r="N74">
        <v>74.711647033691406</v>
      </c>
      <c r="O74">
        <v>131.70263671875</v>
      </c>
      <c r="P74">
        <v>1.70675367116928E-2</v>
      </c>
      <c r="Q74" s="2">
        <v>3.1259223760571301E-6</v>
      </c>
      <c r="R74" s="2">
        <v>-1.04126118838366E-9</v>
      </c>
      <c r="S74" s="2">
        <v>5.3893110418812298E-8</v>
      </c>
      <c r="T74" s="2">
        <v>-1.1666958510403399E-9</v>
      </c>
      <c r="U74">
        <v>74.795242309570298</v>
      </c>
      <c r="V74">
        <v>102.55785369873</v>
      </c>
      <c r="W74" s="2">
        <v>3.4028230607370999E+38</v>
      </c>
      <c r="X74" s="2">
        <v>3.4028230607370999E+38</v>
      </c>
      <c r="Y74">
        <v>1.44232520833611E-2</v>
      </c>
      <c r="Z74">
        <v>230.01159667968801</v>
      </c>
      <c r="AA74">
        <v>-230.01600646972699</v>
      </c>
      <c r="AB74" s="2">
        <v>3.4028230607370999E+38</v>
      </c>
      <c r="AC74" s="2">
        <v>3.4028230607370999E+38</v>
      </c>
      <c r="AD74">
        <v>230.00213623046901</v>
      </c>
      <c r="AE74">
        <v>1.00003910064697</v>
      </c>
      <c r="AF74">
        <v>1.4047566801309599E-2</v>
      </c>
      <c r="AG74">
        <v>230.01124572753901</v>
      </c>
      <c r="AH74">
        <v>-230.01580810546901</v>
      </c>
      <c r="AI74">
        <v>49.9998970031738</v>
      </c>
      <c r="AJ74">
        <v>89.996360778808594</v>
      </c>
      <c r="AK74">
        <v>1.4439604245126201E-2</v>
      </c>
      <c r="AL74" s="2">
        <v>3.62738978765265E-6</v>
      </c>
      <c r="AM74" s="2">
        <v>-3.1984404014195901E-9</v>
      </c>
      <c r="AN74" s="2">
        <v>5.2952007223439101E-8</v>
      </c>
      <c r="AO74" s="2">
        <v>-3.2132396743378401E-9</v>
      </c>
      <c r="AP74">
        <v>74.769607543945298</v>
      </c>
      <c r="AQ74">
        <v>139.88850402832</v>
      </c>
      <c r="AR74">
        <v>1.57176759094E-2</v>
      </c>
      <c r="AS74" s="2">
        <v>3.1603483421349699E-6</v>
      </c>
      <c r="AT74" s="2">
        <v>-8.7359369738138102E-10</v>
      </c>
      <c r="AU74" s="2">
        <v>4.8337604141579498E-8</v>
      </c>
      <c r="AV74" s="2">
        <v>-9.8425378958211199E-10</v>
      </c>
      <c r="AW74">
        <v>74.752922058105497</v>
      </c>
      <c r="AX74">
        <v>117.760147094727</v>
      </c>
      <c r="AY74" s="2">
        <v>3.4028230607370999E+38</v>
      </c>
      <c r="AZ74" s="2">
        <v>3.4028230607370999E+38</v>
      </c>
      <c r="BA74">
        <v>1.40475621446967E-2</v>
      </c>
      <c r="BB74">
        <v>230.01124572753901</v>
      </c>
      <c r="BC74">
        <v>-230.01582336425801</v>
      </c>
      <c r="BD74" s="2">
        <v>3.4028230607370999E+38</v>
      </c>
      <c r="BE74" s="2">
        <v>3.4028230607370999E+38</v>
      </c>
      <c r="BF74">
        <v>230.00146484375</v>
      </c>
      <c r="BG74">
        <v>1.0000417232513401</v>
      </c>
      <c r="BH74">
        <v>1.4575012959539901E-2</v>
      </c>
      <c r="BI74">
        <v>230.01133728027301</v>
      </c>
      <c r="BJ74">
        <v>-230.015625</v>
      </c>
      <c r="BK74">
        <v>49.999988555908203</v>
      </c>
      <c r="BL74">
        <v>89.996429443359403</v>
      </c>
      <c r="BM74">
        <v>1.7253965139389E-2</v>
      </c>
      <c r="BN74" s="2">
        <v>3.6934970921720399E-6</v>
      </c>
      <c r="BO74" s="2">
        <v>-8.0854070105829107E-9</v>
      </c>
      <c r="BP74" s="2">
        <v>6.3016919682468102E-8</v>
      </c>
      <c r="BQ74" s="2">
        <v>-5.7762319372045601E-9</v>
      </c>
      <c r="BR74">
        <v>74.747268676757798</v>
      </c>
      <c r="BS74">
        <v>147.71499633789099</v>
      </c>
      <c r="BT74">
        <v>1.8888367339968699E-2</v>
      </c>
      <c r="BU74" s="2">
        <v>3.1809620395506499E-6</v>
      </c>
      <c r="BV74" s="2">
        <v>-1.7174297539668301E-9</v>
      </c>
      <c r="BW74" s="2">
        <v>5.9994988532707794E-8</v>
      </c>
      <c r="BX74" s="2">
        <v>-1.46879630680274E-9</v>
      </c>
      <c r="BY74">
        <v>74.769317626953097</v>
      </c>
      <c r="BZ74">
        <v>146.776611328125</v>
      </c>
      <c r="CA74" s="2">
        <v>3.4028230607370999E+38</v>
      </c>
      <c r="CB74" s="2">
        <v>3.4028230607370999E+38</v>
      </c>
      <c r="CC74">
        <v>1.4575002714991601E-2</v>
      </c>
      <c r="CD74">
        <v>230.01133728027301</v>
      </c>
      <c r="CE74">
        <v>-230.01564025878901</v>
      </c>
      <c r="CF74" s="2">
        <v>3.4028230607370999E+38</v>
      </c>
      <c r="CG74" s="2">
        <v>3.4028230607370999E+38</v>
      </c>
      <c r="CH74">
        <v>230.00233459472699</v>
      </c>
      <c r="CI74">
        <v>1.00003933906555</v>
      </c>
      <c r="CJ74">
        <v>1.41826719045639E-2</v>
      </c>
      <c r="CK74">
        <v>230.01094055175801</v>
      </c>
      <c r="CL74">
        <v>-230.01547241210901</v>
      </c>
      <c r="CM74">
        <v>49.999931335449197</v>
      </c>
      <c r="CN74">
        <v>89.9964599609375</v>
      </c>
      <c r="CO74">
        <v>1.6245886683464099E-2</v>
      </c>
      <c r="CP74" s="2">
        <v>3.6590779473044702E-6</v>
      </c>
      <c r="CQ74" s="2">
        <v>-5.6983848750746802E-9</v>
      </c>
      <c r="CR74" s="2">
        <v>5.89399640205102E-8</v>
      </c>
      <c r="CS74" s="2">
        <v>-4.6072261561391803E-9</v>
      </c>
      <c r="CT74">
        <v>74.754829406738295</v>
      </c>
      <c r="CU74">
        <v>144.36103820800801</v>
      </c>
      <c r="CV74">
        <v>1.7308212816715199E-2</v>
      </c>
      <c r="CW74" s="2">
        <v>3.1255890462489299E-6</v>
      </c>
      <c r="CX74" s="2">
        <v>-9.7849106595049307E-10</v>
      </c>
      <c r="CY74" s="2">
        <v>5.5406527366130798E-8</v>
      </c>
      <c r="CZ74" s="2">
        <v>-1.7260529672213899E-9</v>
      </c>
      <c r="DA74">
        <v>74.800407409667997</v>
      </c>
      <c r="DB74">
        <v>132.40676879882801</v>
      </c>
      <c r="DC74" s="2">
        <v>3.4028230607370999E+38</v>
      </c>
      <c r="DD74" s="2">
        <v>3.4028230607370999E+38</v>
      </c>
      <c r="DE74">
        <v>1.41826644539833E-2</v>
      </c>
      <c r="DF74">
        <v>230.01094055175801</v>
      </c>
      <c r="DG74">
        <v>-230.01548767089801</v>
      </c>
      <c r="DH74" s="2">
        <v>3.4028230607370999E+38</v>
      </c>
      <c r="DI74" s="2">
        <v>3.4028230607370999E+38</v>
      </c>
      <c r="DJ74">
        <v>230.00244140625</v>
      </c>
      <c r="DK74">
        <v>1.0000364780426001</v>
      </c>
      <c r="DL74">
        <v>1.44494073465466E-2</v>
      </c>
      <c r="DM74">
        <v>230.01037597656199</v>
      </c>
      <c r="DN74">
        <v>-230.01478576660199</v>
      </c>
      <c r="DO74">
        <v>49.999973297119098</v>
      </c>
      <c r="DP74">
        <v>89.996276855468807</v>
      </c>
      <c r="DQ74">
        <v>1.43014239147305E-2</v>
      </c>
      <c r="DR74" s="2">
        <v>3.67888765140378E-6</v>
      </c>
      <c r="DS74" s="2">
        <v>-3.4459943787368299E-9</v>
      </c>
      <c r="DT74" s="2">
        <v>5.2585122034542999E-8</v>
      </c>
      <c r="DU74" s="2">
        <v>-1.52334622693928E-9</v>
      </c>
      <c r="DV74">
        <v>74.744926452636705</v>
      </c>
      <c r="DW74">
        <v>161.80958557128901</v>
      </c>
      <c r="DX74">
        <v>1.54422000050545E-2</v>
      </c>
      <c r="DY74" s="2">
        <v>3.17140938932425E-6</v>
      </c>
      <c r="DZ74" s="2">
        <v>-2.4237281626149401E-10</v>
      </c>
      <c r="EA74" s="2">
        <v>4.8949448938628802E-8</v>
      </c>
      <c r="EB74" s="2">
        <v>-1.3711954904849199E-9</v>
      </c>
      <c r="EC74">
        <v>74.784584045410199</v>
      </c>
      <c r="ED74">
        <v>151.97381591796901</v>
      </c>
      <c r="EE74" s="2">
        <v>3.4028230607370999E+38</v>
      </c>
      <c r="EF74" s="2">
        <v>3.4028230607370999E+38</v>
      </c>
      <c r="EG74">
        <v>1.44494036212564E-2</v>
      </c>
      <c r="EH74">
        <v>230.01037597656199</v>
      </c>
      <c r="EI74">
        <v>-230.01480102539099</v>
      </c>
      <c r="EJ74" s="2">
        <v>3.4028230607370999E+38</v>
      </c>
      <c r="EK74" s="2">
        <v>3.4028230607370999E+38</v>
      </c>
      <c r="EL74">
        <v>123</v>
      </c>
      <c r="EM74">
        <v>230.00230407714801</v>
      </c>
      <c r="EN74">
        <v>1.0000371932983401</v>
      </c>
      <c r="EO74">
        <v>1.4465251006186E-2</v>
      </c>
      <c r="EP74">
        <v>230.01072692871099</v>
      </c>
      <c r="EQ74">
        <v>-230.01507568359401</v>
      </c>
      <c r="ER74">
        <v>49.999923706054702</v>
      </c>
      <c r="ES74">
        <v>89.996261596679702</v>
      </c>
      <c r="ET74" s="2">
        <v>6.5202351834159304E-5</v>
      </c>
      <c r="EU74" s="2">
        <v>3.4028230607370999E+38</v>
      </c>
      <c r="EV74">
        <v>0</v>
      </c>
      <c r="EW74">
        <v>230.00369262695301</v>
      </c>
      <c r="EX74">
        <v>1.92814338952303E-2</v>
      </c>
      <c r="EY74">
        <v>230.01191711425801</v>
      </c>
      <c r="EZ74">
        <v>-230.01452636718801</v>
      </c>
      <c r="FA74" s="2">
        <v>9.8334225185681094E-5</v>
      </c>
      <c r="FB74">
        <v>1.42409959807992E-2</v>
      </c>
      <c r="FC74" s="2">
        <v>3.6604769775294699E-6</v>
      </c>
      <c r="FD74" s="2">
        <v>-3.4719724872900298E-9</v>
      </c>
      <c r="FE74" s="2">
        <v>5.2627814994821198E-8</v>
      </c>
      <c r="FF74" s="2">
        <v>-1.3256998832034099E-9</v>
      </c>
      <c r="FG74">
        <v>74.706932067871094</v>
      </c>
      <c r="FH74">
        <v>161.01712036132801</v>
      </c>
      <c r="FI74">
        <v>-7.3228366672992706E-2</v>
      </c>
      <c r="FJ74" s="2">
        <v>3.4028230607370999E+38</v>
      </c>
      <c r="FK74">
        <v>26.1577663421631</v>
      </c>
      <c r="FL74">
        <v>2.0375432446599E-2</v>
      </c>
      <c r="FM74">
        <v>0</v>
      </c>
      <c r="FN74">
        <v>0</v>
      </c>
      <c r="FO74">
        <v>0</v>
      </c>
      <c r="FP74" s="2">
        <v>-8.6110667325556295E-6</v>
      </c>
      <c r="FQ74">
        <v>1.53401838615537E-2</v>
      </c>
      <c r="FR74" s="2">
        <v>3.0640230761491702E-6</v>
      </c>
      <c r="FS74" s="2">
        <v>-2.0430059866072299E-9</v>
      </c>
      <c r="FT74" s="2">
        <v>4.7473207587245303E-8</v>
      </c>
      <c r="FU74" s="2">
        <v>-8.8700252698359298E-10</v>
      </c>
      <c r="FV74">
        <v>74.690971374511705</v>
      </c>
      <c r="FW74">
        <v>124.102157592773</v>
      </c>
      <c r="FX74">
        <v>-2.2147217765450498E-2</v>
      </c>
      <c r="FY74" s="2">
        <v>3.4028230607370999E+38</v>
      </c>
      <c r="FZ74">
        <v>-8.24536037445068</v>
      </c>
      <c r="GA74">
        <v>229.07247924804699</v>
      </c>
      <c r="GB74" s="2">
        <v>-5.2829962626788105E-10</v>
      </c>
      <c r="GC74">
        <v>7.0050219073891596E-4</v>
      </c>
      <c r="GD74" s="2">
        <v>-2.1005594832979E-11</v>
      </c>
      <c r="GE74" s="2">
        <v>9.4926881502033194E-6</v>
      </c>
      <c r="GF74" s="2">
        <v>3.4028230607370999E+38</v>
      </c>
      <c r="GG74" s="2">
        <v>3.4028230607370999E+38</v>
      </c>
      <c r="GH74">
        <v>1.45926205441356E-2</v>
      </c>
      <c r="GI74">
        <v>230.01039123535199</v>
      </c>
      <c r="GJ74">
        <v>-230.01545715332</v>
      </c>
      <c r="GK74" s="2">
        <v>3.4028230607370999E+38</v>
      </c>
      <c r="GL74" s="2">
        <v>3.4028230607370999E+38</v>
      </c>
      <c r="GM74" s="2">
        <v>3.4028230607370999E+38</v>
      </c>
      <c r="GN74" s="2">
        <v>3.4028230607370999E+38</v>
      </c>
      <c r="GO74" s="2">
        <v>3.4028230607370999E+38</v>
      </c>
      <c r="GP74" s="2">
        <v>3.4028230607370999E+38</v>
      </c>
      <c r="GQ74">
        <v>1.9620742648839999E-2</v>
      </c>
      <c r="GR74">
        <v>1.9813731312751801E-2</v>
      </c>
      <c r="GS74">
        <v>-230.01258850097699</v>
      </c>
      <c r="GT74">
        <v>1.2887951743323399E-4</v>
      </c>
      <c r="GX74">
        <f t="shared" si="1"/>
        <v>230.00199890136741</v>
      </c>
      <c r="GY74">
        <f t="shared" si="2"/>
        <v>1.0000395059585558</v>
      </c>
      <c r="GZ74">
        <f t="shared" si="3"/>
        <v>1.4335583709180338E-2</v>
      </c>
      <c r="HA74">
        <f t="shared" si="4"/>
        <v>230.01109924316401</v>
      </c>
      <c r="HB74">
        <f t="shared" si="5"/>
        <v>-230.01553649902363</v>
      </c>
      <c r="HC74">
        <f t="shared" si="6"/>
        <v>49.99995193481444</v>
      </c>
      <c r="HD74">
        <f t="shared" si="7"/>
        <v>89.996366882324239</v>
      </c>
      <c r="HW74" s="10">
        <f>(GX74/Data!$S74-1)*1000000</f>
        <v>24.008199764891103</v>
      </c>
      <c r="HX74" s="10">
        <f>(GY74/Data!$T74-1)*1000000</f>
        <v>61.855340899086286</v>
      </c>
      <c r="HY74" s="10">
        <f>(GZ74/Data!$BW74-1)*1000000</f>
        <v>-16733885.589269938</v>
      </c>
      <c r="HZ74" s="10">
        <f>(HA74/(Data!$S74*Data!$T74)-1)*1000000</f>
        <v>85.925429540445464</v>
      </c>
      <c r="IA74" s="7">
        <f>(HB74/IF(HD74&gt;0, -Data!$BX74,Data!$BX74)-1)*1000000</f>
        <v>105.21352326775535</v>
      </c>
      <c r="IB74" s="10"/>
      <c r="IC74" s="9">
        <f>(HD74-Data!$U74)</f>
        <v>-3.8600976757550143E-3</v>
      </c>
    </row>
    <row r="75" spans="1:237" x14ac:dyDescent="0.2">
      <c r="A75">
        <v>75</v>
      </c>
      <c r="B75">
        <v>230.00169372558599</v>
      </c>
      <c r="C75">
        <v>1.0000364780426001</v>
      </c>
      <c r="D75">
        <v>-1.5457164496183401E-2</v>
      </c>
      <c r="E75">
        <v>230.010009765625</v>
      </c>
      <c r="F75">
        <v>230.010009765625</v>
      </c>
      <c r="G75">
        <v>49.999958038330099</v>
      </c>
      <c r="H75">
        <v>-90.003822326660199</v>
      </c>
      <c r="I75">
        <v>1.57426781952381E-2</v>
      </c>
      <c r="J75" s="2">
        <v>3.6777410059585198E-6</v>
      </c>
      <c r="K75" s="2">
        <v>6.77330058707071E-9</v>
      </c>
      <c r="L75" s="2">
        <v>5.7898443373005602E-8</v>
      </c>
      <c r="M75" s="2">
        <v>2.24653726177415E-10</v>
      </c>
      <c r="N75">
        <v>74.738014221191406</v>
      </c>
      <c r="O75">
        <v>-2.0721321105957</v>
      </c>
      <c r="P75">
        <v>1.7121085897088099E-2</v>
      </c>
      <c r="Q75" s="2">
        <v>3.1038214274303801E-6</v>
      </c>
      <c r="R75" s="2">
        <v>3.6877776388166698E-9</v>
      </c>
      <c r="S75" s="2">
        <v>5.31271346915219E-8</v>
      </c>
      <c r="T75" s="2">
        <v>-7.5888945127999798E-10</v>
      </c>
      <c r="U75">
        <v>74.757865905761705</v>
      </c>
      <c r="V75">
        <v>10.157915115356399</v>
      </c>
      <c r="W75" s="2">
        <v>3.4028230607370999E+38</v>
      </c>
      <c r="X75" s="2">
        <v>3.4028230607370999E+38</v>
      </c>
      <c r="Y75">
        <v>-1.5457154251635101E-2</v>
      </c>
      <c r="Z75">
        <v>230.010009765625</v>
      </c>
      <c r="AA75">
        <v>230.00999450683599</v>
      </c>
      <c r="AB75" s="2">
        <v>3.4028230607370999E+38</v>
      </c>
      <c r="AC75" s="2">
        <v>3.4028230607370999E+38</v>
      </c>
      <c r="AD75">
        <v>230.00233459472699</v>
      </c>
      <c r="AE75">
        <v>1.0000355243682899</v>
      </c>
      <c r="AF75">
        <v>-1.5640335157513601E-2</v>
      </c>
      <c r="AG75">
        <v>230.00988769531199</v>
      </c>
      <c r="AH75">
        <v>230.00991821289099</v>
      </c>
      <c r="AI75">
        <v>49.999946594238303</v>
      </c>
      <c r="AJ75">
        <v>-90.004089355468807</v>
      </c>
      <c r="AK75">
        <v>1.7320437356829602E-2</v>
      </c>
      <c r="AL75" s="2">
        <v>3.6179023936711002E-6</v>
      </c>
      <c r="AM75" s="2">
        <v>6.8553167587026598E-9</v>
      </c>
      <c r="AN75" s="2">
        <v>6.27310896561539E-8</v>
      </c>
      <c r="AO75" s="2">
        <v>4.9687742809112503E-9</v>
      </c>
      <c r="AP75">
        <v>74.715835571289105</v>
      </c>
      <c r="AQ75">
        <v>-30.9448051452637</v>
      </c>
      <c r="AR75">
        <v>1.91692765802145E-2</v>
      </c>
      <c r="AS75" s="2">
        <v>3.2126424684975102E-6</v>
      </c>
      <c r="AT75" s="2">
        <v>6.9331660412785798E-9</v>
      </c>
      <c r="AU75" s="2">
        <v>5.9844275313025706E-8</v>
      </c>
      <c r="AV75" s="2">
        <v>4.8394235285798004E-9</v>
      </c>
      <c r="AW75">
        <v>74.7646484375</v>
      </c>
      <c r="AX75">
        <v>-31.699825286865199</v>
      </c>
      <c r="AY75" s="2">
        <v>3.4028230607370999E+38</v>
      </c>
      <c r="AZ75" s="2">
        <v>3.4028230607370999E+38</v>
      </c>
      <c r="BA75">
        <v>-1.5640322118997602E-2</v>
      </c>
      <c r="BB75">
        <v>230.00988769531199</v>
      </c>
      <c r="BC75">
        <v>230.00991821289099</v>
      </c>
      <c r="BD75" s="2">
        <v>3.4028230607370999E+38</v>
      </c>
      <c r="BE75" s="2">
        <v>3.4028230607370999E+38</v>
      </c>
      <c r="BF75">
        <v>230.002197265625</v>
      </c>
      <c r="BG75">
        <v>1.0000365972518901</v>
      </c>
      <c r="BH75">
        <v>-1.6469590365886699E-2</v>
      </c>
      <c r="BI75">
        <v>230.010498046875</v>
      </c>
      <c r="BJ75">
        <v>230.01048278808599</v>
      </c>
      <c r="BK75">
        <v>49.999969482421903</v>
      </c>
      <c r="BL75">
        <v>-90.004089355468807</v>
      </c>
      <c r="BM75">
        <v>1.5190240927040599E-2</v>
      </c>
      <c r="BN75" s="2">
        <v>3.6154319786874099E-6</v>
      </c>
      <c r="BO75" s="2">
        <v>3.8988172690324096E-9</v>
      </c>
      <c r="BP75" s="2">
        <v>5.4847198782681497E-8</v>
      </c>
      <c r="BQ75" s="2">
        <v>3.6590361851551701E-9</v>
      </c>
      <c r="BR75">
        <v>74.680198669433594</v>
      </c>
      <c r="BS75">
        <v>-44.070606231689503</v>
      </c>
      <c r="BT75">
        <v>1.6595358029007901E-2</v>
      </c>
      <c r="BU75" s="2">
        <v>3.21984543916187E-6</v>
      </c>
      <c r="BV75" s="2">
        <v>4.6639403450399203E-9</v>
      </c>
      <c r="BW75" s="2">
        <v>5.3532033916781101E-8</v>
      </c>
      <c r="BX75" s="2">
        <v>3.2710201214314301E-9</v>
      </c>
      <c r="BY75">
        <v>74.711120605468807</v>
      </c>
      <c r="BZ75">
        <v>-49.881584167480497</v>
      </c>
      <c r="CA75" s="2">
        <v>3.4028230607370999E+38</v>
      </c>
      <c r="CB75" s="2">
        <v>3.4028230607370999E+38</v>
      </c>
      <c r="CC75">
        <v>-1.6469582915306102E-2</v>
      </c>
      <c r="CD75">
        <v>230.010498046875</v>
      </c>
      <c r="CE75">
        <v>230.01048278808599</v>
      </c>
      <c r="CF75" s="2">
        <v>3.4028230607370999E+38</v>
      </c>
      <c r="CG75" s="2">
        <v>3.4028230607370999E+38</v>
      </c>
      <c r="CH75">
        <v>230.00184631347699</v>
      </c>
      <c r="CI75">
        <v>1.00003790855408</v>
      </c>
      <c r="CJ75">
        <v>-1.5110763721168E-2</v>
      </c>
      <c r="CK75">
        <v>230.01034545898401</v>
      </c>
      <c r="CL75">
        <v>230.01042175293</v>
      </c>
      <c r="CM75">
        <v>49.999931335449197</v>
      </c>
      <c r="CN75">
        <v>-90.003814697265597</v>
      </c>
      <c r="CO75">
        <v>1.6107283532619501E-2</v>
      </c>
      <c r="CP75" s="2">
        <v>3.6090282264922301E-6</v>
      </c>
      <c r="CQ75" s="2">
        <v>6.6604539661341302E-9</v>
      </c>
      <c r="CR75" s="2">
        <v>5.7907438844040397E-8</v>
      </c>
      <c r="CS75" s="2">
        <v>-1.01564229249007E-10</v>
      </c>
      <c r="CT75">
        <v>74.755973815917997</v>
      </c>
      <c r="CU75">
        <v>0.87362676858902</v>
      </c>
      <c r="CV75">
        <v>1.7222346737980801E-2</v>
      </c>
      <c r="CW75" s="2">
        <v>3.0676940241391999E-6</v>
      </c>
      <c r="CX75" s="2">
        <v>4.0380521149074899E-9</v>
      </c>
      <c r="CY75" s="2">
        <v>5.4923223302694202E-8</v>
      </c>
      <c r="CZ75" s="2">
        <v>2.04570346773458E-10</v>
      </c>
      <c r="DA75">
        <v>74.706047058105497</v>
      </c>
      <c r="DB75">
        <v>-2.5107622146606401</v>
      </c>
      <c r="DC75" s="2">
        <v>3.4028230607370999E+38</v>
      </c>
      <c r="DD75" s="2">
        <v>3.4028230607370999E+38</v>
      </c>
      <c r="DE75">
        <v>-1.51107534766197E-2</v>
      </c>
      <c r="DF75">
        <v>230.01034545898401</v>
      </c>
      <c r="DG75">
        <v>230.01040649414099</v>
      </c>
      <c r="DH75" s="2">
        <v>3.4028230607370999E+38</v>
      </c>
      <c r="DI75" s="2">
        <v>3.4028230607370999E+38</v>
      </c>
      <c r="DJ75">
        <v>230.00151062011699</v>
      </c>
      <c r="DK75">
        <v>1.00003361701965</v>
      </c>
      <c r="DL75">
        <v>-1.6289092600345601E-2</v>
      </c>
      <c r="DM75">
        <v>230.00924682617199</v>
      </c>
      <c r="DN75">
        <v>230.00907897949199</v>
      </c>
      <c r="DO75">
        <v>49.9999809265137</v>
      </c>
      <c r="DP75">
        <v>-90.003952026367202</v>
      </c>
      <c r="DQ75">
        <v>1.6966231167316399E-2</v>
      </c>
      <c r="DR75" s="2">
        <v>3.63080744136823E-6</v>
      </c>
      <c r="DS75" s="2">
        <v>6.5442113950098197E-9</v>
      </c>
      <c r="DT75" s="2">
        <v>6.1010595686639096E-8</v>
      </c>
      <c r="DU75" s="2">
        <v>4.2743426575952997E-9</v>
      </c>
      <c r="DV75">
        <v>74.694664001464801</v>
      </c>
      <c r="DW75">
        <v>-26.4588108062744</v>
      </c>
      <c r="DX75">
        <v>1.8649375066161201E-2</v>
      </c>
      <c r="DY75" s="2">
        <v>3.0782230169279501E-6</v>
      </c>
      <c r="DZ75" s="2">
        <v>7.1584391747592202E-9</v>
      </c>
      <c r="EA75" s="2">
        <v>5.77809622370751E-8</v>
      </c>
      <c r="EB75" s="2">
        <v>4.6226946714966702E-9</v>
      </c>
      <c r="EC75">
        <v>74.726142883300795</v>
      </c>
      <c r="ED75">
        <v>-33.745742797851598</v>
      </c>
      <c r="EE75" s="2">
        <v>3.4028230607370999E+38</v>
      </c>
      <c r="EF75" s="2">
        <v>3.4028230607370999E+38</v>
      </c>
      <c r="EG75">
        <v>-1.6289079561829602E-2</v>
      </c>
      <c r="EH75">
        <v>230.00924682617199</v>
      </c>
      <c r="EI75">
        <v>230.00907897949199</v>
      </c>
      <c r="EJ75" s="2">
        <v>3.4028230607370999E+38</v>
      </c>
      <c r="EK75" s="2">
        <v>3.4028230607370999E+38</v>
      </c>
      <c r="EL75">
        <v>123</v>
      </c>
      <c r="EM75">
        <v>230.00134277343801</v>
      </c>
      <c r="EN75">
        <v>1.0000365972518901</v>
      </c>
      <c r="EO75">
        <v>-1.62747129797935E-2</v>
      </c>
      <c r="EP75">
        <v>230.009765625</v>
      </c>
      <c r="EQ75">
        <v>230.00971984863301</v>
      </c>
      <c r="ER75">
        <v>49.999969482421903</v>
      </c>
      <c r="ES75">
        <v>-90.003883361816406</v>
      </c>
      <c r="ET75" s="2">
        <v>-6.7489658249542104E-5</v>
      </c>
      <c r="EU75" s="2">
        <v>3.4028230607370999E+38</v>
      </c>
      <c r="EV75">
        <v>0</v>
      </c>
      <c r="EW75">
        <v>230.00163269043</v>
      </c>
      <c r="EX75">
        <v>-2.6053516194224399E-2</v>
      </c>
      <c r="EY75">
        <v>230.00965881347699</v>
      </c>
      <c r="EZ75">
        <v>230.00486755371099</v>
      </c>
      <c r="FA75">
        <v>-8.4255845285952102E-4</v>
      </c>
      <c r="FB75">
        <v>1.7228940501809099E-2</v>
      </c>
      <c r="FC75" s="2">
        <v>3.6478768379311098E-6</v>
      </c>
      <c r="FD75" s="2">
        <v>9.0621634640797294E-9</v>
      </c>
      <c r="FE75" s="2">
        <v>6.2859982108420796E-8</v>
      </c>
      <c r="FF75" s="2">
        <v>4.8962687237974503E-9</v>
      </c>
      <c r="FG75">
        <v>74.792922973632798</v>
      </c>
      <c r="FH75">
        <v>-24.396602630615199</v>
      </c>
      <c r="FI75">
        <v>0.13684688508510601</v>
      </c>
      <c r="FJ75" s="2">
        <v>3.4028230607370999E+38</v>
      </c>
      <c r="FK75">
        <v>30.957647323608398</v>
      </c>
      <c r="FL75">
        <v>1.9925143569707902E-2</v>
      </c>
      <c r="FM75">
        <v>0</v>
      </c>
      <c r="FN75">
        <v>0</v>
      </c>
      <c r="FO75">
        <v>0</v>
      </c>
      <c r="FP75" s="2">
        <v>1.12454035843257E-5</v>
      </c>
      <c r="FQ75">
        <v>1.9226545467972801E-2</v>
      </c>
      <c r="FR75" s="2">
        <v>3.1759043395140898E-6</v>
      </c>
      <c r="FS75" s="2">
        <v>6.2266858336101896E-9</v>
      </c>
      <c r="FT75" s="2">
        <v>6.1347130042577205E-8</v>
      </c>
      <c r="FU75" s="2">
        <v>5.0129491668826598E-9</v>
      </c>
      <c r="FV75">
        <v>74.777351379394503</v>
      </c>
      <c r="FW75">
        <v>-35.100486755371101</v>
      </c>
      <c r="FX75">
        <v>0.105244971811771</v>
      </c>
      <c r="FY75" s="2">
        <v>3.4028230607370999E+38</v>
      </c>
      <c r="FZ75">
        <v>41.002059936523402</v>
      </c>
      <c r="GA75">
        <v>229.03535461425801</v>
      </c>
      <c r="GB75" s="2">
        <v>-2.0710384796007699E-10</v>
      </c>
      <c r="GC75">
        <v>7.4387778295204E-4</v>
      </c>
      <c r="GD75" s="2">
        <v>1.048844067153E-10</v>
      </c>
      <c r="GE75" s="2">
        <v>-1.3858900274499299E-5</v>
      </c>
      <c r="GF75" s="2">
        <v>3.4028230607370999E+38</v>
      </c>
      <c r="GG75" s="2">
        <v>3.4028230607370999E+38</v>
      </c>
      <c r="GH75">
        <v>-1.5957918018102601E-2</v>
      </c>
      <c r="GI75">
        <v>230.009521484375</v>
      </c>
      <c r="GJ75">
        <v>230.00978088378901</v>
      </c>
      <c r="GK75" s="2">
        <v>3.4028230607370999E+38</v>
      </c>
      <c r="GL75" s="2">
        <v>3.4028230607370999E+38</v>
      </c>
      <c r="GM75" s="2">
        <v>3.4028230607370999E+38</v>
      </c>
      <c r="GN75" s="2">
        <v>3.4028230607370999E+38</v>
      </c>
      <c r="GO75" s="2">
        <v>3.4028230607370999E+38</v>
      </c>
      <c r="GP75" s="2">
        <v>3.4028230607370999E+38</v>
      </c>
      <c r="GQ75">
        <v>-2.5465456768870399E-2</v>
      </c>
      <c r="GR75">
        <v>-2.5465458631515499E-2</v>
      </c>
      <c r="GS75">
        <v>230.00460815429699</v>
      </c>
      <c r="GT75">
        <v>-8.0015172716230197E-4</v>
      </c>
      <c r="GX75">
        <f t="shared" si="1"/>
        <v>230.00191650390639</v>
      </c>
      <c r="GY75">
        <f t="shared" si="2"/>
        <v>1.0000360250473019</v>
      </c>
      <c r="GZ75">
        <f t="shared" si="3"/>
        <v>-1.5793389268219458E-2</v>
      </c>
      <c r="HA75">
        <f t="shared" si="4"/>
        <v>230.00999755859362</v>
      </c>
      <c r="HB75">
        <f t="shared" si="5"/>
        <v>230.00998229980482</v>
      </c>
      <c r="HC75">
        <f t="shared" si="6"/>
        <v>49.999957275390635</v>
      </c>
      <c r="HD75">
        <f t="shared" si="7"/>
        <v>-90.003953552246116</v>
      </c>
      <c r="HW75" s="10">
        <f>(GX75/Data!$S75-1)*1000000</f>
        <v>23.131228851447361</v>
      </c>
      <c r="HX75" s="10">
        <f>(GY75/Data!$T75-1)*1000000</f>
        <v>65.039934305621827</v>
      </c>
      <c r="HY75" s="10">
        <f>(GZ75/Data!$BW75-1)*1000000</f>
        <v>416557147.79565656</v>
      </c>
      <c r="HZ75" s="10">
        <f>(HA75/(Data!$S75*Data!$T75)-1)*1000000</f>
        <v>87.282301497237924</v>
      </c>
      <c r="IA75" s="7">
        <f>(HB75/IF(HD75&gt;0, -Data!$BX75,Data!$BX75)-1)*1000000</f>
        <v>87.209906318941322</v>
      </c>
      <c r="IB75" s="10"/>
      <c r="IC75" s="9">
        <f>(HD75-Data!$U75)</f>
        <v>-3.9441322461186701E-3</v>
      </c>
    </row>
    <row r="76" spans="1:237" x14ac:dyDescent="0.2">
      <c r="A76">
        <v>76</v>
      </c>
      <c r="B76">
        <v>230.001953125</v>
      </c>
      <c r="C76">
        <v>1.00003373622894</v>
      </c>
      <c r="D76">
        <v>-1.52819324284792E-2</v>
      </c>
      <c r="E76">
        <v>230.00950622558599</v>
      </c>
      <c r="F76">
        <v>230.00944519043</v>
      </c>
      <c r="G76">
        <v>49.999954223632798</v>
      </c>
      <c r="H76">
        <v>-90.003738403320298</v>
      </c>
      <c r="I76">
        <v>1.67342443019152E-2</v>
      </c>
      <c r="J76" s="2">
        <v>3.63194112651399E-6</v>
      </c>
      <c r="K76" s="2">
        <v>5.9286566767013896E-9</v>
      </c>
      <c r="L76" s="2">
        <v>6.1849085852827596E-8</v>
      </c>
      <c r="M76" s="2">
        <v>6.6717698032903203E-10</v>
      </c>
      <c r="N76">
        <v>74.795921325683594</v>
      </c>
      <c r="O76">
        <v>-5.5902981758117702</v>
      </c>
      <c r="P76">
        <v>1.85374058783054E-2</v>
      </c>
      <c r="Q76" s="2">
        <v>3.2206664855039001E-6</v>
      </c>
      <c r="R76" s="2">
        <v>5.7689253374348904E-9</v>
      </c>
      <c r="S76" s="2">
        <v>5.7687810084416897E-8</v>
      </c>
      <c r="T76" s="2">
        <v>2.2988443093563399E-10</v>
      </c>
      <c r="U76">
        <v>74.708488464355497</v>
      </c>
      <c r="V76">
        <v>-2.6947951316833501</v>
      </c>
      <c r="W76" s="2">
        <v>3.4028230607370999E+38</v>
      </c>
      <c r="X76" s="2">
        <v>3.4028230607370999E+38</v>
      </c>
      <c r="Y76">
        <v>-1.5281921252608299E-2</v>
      </c>
      <c r="Z76">
        <v>230.00950622558599</v>
      </c>
      <c r="AA76">
        <v>230.00944519043</v>
      </c>
      <c r="AB76" s="2">
        <v>3.4028230607370999E+38</v>
      </c>
      <c r="AC76" s="2">
        <v>3.4028230607370999E+38</v>
      </c>
      <c r="AD76">
        <v>230.00183105468801</v>
      </c>
      <c r="AE76">
        <v>1.00003862380981</v>
      </c>
      <c r="AF76">
        <v>-1.58693417906761E-2</v>
      </c>
      <c r="AG76">
        <v>230.01058959960901</v>
      </c>
      <c r="AH76">
        <v>230.01036071777301</v>
      </c>
      <c r="AI76">
        <v>50</v>
      </c>
      <c r="AJ76">
        <v>-90.003959655761705</v>
      </c>
      <c r="AK76">
        <v>1.46757094189525E-2</v>
      </c>
      <c r="AL76" s="2">
        <v>3.6558928968588601E-6</v>
      </c>
      <c r="AM76" s="2">
        <v>2.8769120419269699E-9</v>
      </c>
      <c r="AN76" s="2">
        <v>5.4141477079383502E-8</v>
      </c>
      <c r="AO76" s="2">
        <v>3.1013824841608101E-9</v>
      </c>
      <c r="AP76">
        <v>74.752525329589801</v>
      </c>
      <c r="AQ76">
        <v>-37.495697021484403</v>
      </c>
      <c r="AR76">
        <v>1.6103558242321001E-2</v>
      </c>
      <c r="AS76" s="2">
        <v>3.20762705996458E-6</v>
      </c>
      <c r="AT76" s="2">
        <v>3.7113248030351501E-9</v>
      </c>
      <c r="AU76" s="2">
        <v>5.0186624633852301E-8</v>
      </c>
      <c r="AV76" s="2">
        <v>2.31002816875048E-9</v>
      </c>
      <c r="AW76">
        <v>74.77685546875</v>
      </c>
      <c r="AX76">
        <v>-34.0262451171875</v>
      </c>
      <c r="AY76" s="2">
        <v>3.4028230607370999E+38</v>
      </c>
      <c r="AZ76" s="2">
        <v>3.4028230607370999E+38</v>
      </c>
      <c r="BA76">
        <v>-1.58693362027407E-2</v>
      </c>
      <c r="BB76">
        <v>230.01058959960901</v>
      </c>
      <c r="BC76">
        <v>230.01036071777301</v>
      </c>
      <c r="BD76" s="2">
        <v>3.4028230607370999E+38</v>
      </c>
      <c r="BE76" s="2">
        <v>3.4028230607370999E+38</v>
      </c>
      <c r="BF76">
        <v>230.00222778320301</v>
      </c>
      <c r="BG76">
        <v>1.0000373125076301</v>
      </c>
      <c r="BH76">
        <v>-1.5103217214345901E-2</v>
      </c>
      <c r="BI76">
        <v>230.00988769531199</v>
      </c>
      <c r="BJ76">
        <v>230.01022338867199</v>
      </c>
      <c r="BK76">
        <v>50.000007629394503</v>
      </c>
      <c r="BL76">
        <v>-90.003753662109403</v>
      </c>
      <c r="BM76">
        <v>1.6377558931708301E-2</v>
      </c>
      <c r="BN76" s="2">
        <v>3.6647054457716902E-6</v>
      </c>
      <c r="BO76" s="2">
        <v>7.0307049071516303E-9</v>
      </c>
      <c r="BP76" s="2">
        <v>5.9978319200126901E-8</v>
      </c>
      <c r="BQ76" s="2">
        <v>3.9095945925104998E-10</v>
      </c>
      <c r="BR76">
        <v>74.756706237792997</v>
      </c>
      <c r="BS76">
        <v>-3.56633853912354</v>
      </c>
      <c r="BT76">
        <v>1.8044177442789099E-2</v>
      </c>
      <c r="BU76" s="2">
        <v>3.09712959278841E-6</v>
      </c>
      <c r="BV76" s="2">
        <v>5.31565769179565E-9</v>
      </c>
      <c r="BW76" s="2">
        <v>5.5798096809667199E-8</v>
      </c>
      <c r="BX76" s="2">
        <v>7.8041184625732295E-10</v>
      </c>
      <c r="BY76">
        <v>74.749038696289105</v>
      </c>
      <c r="BZ76">
        <v>-10.378862380981399</v>
      </c>
      <c r="CA76" s="2">
        <v>3.4028230607370999E+38</v>
      </c>
      <c r="CB76" s="2">
        <v>3.4028230607370999E+38</v>
      </c>
      <c r="CC76">
        <v>-1.51032051071525E-2</v>
      </c>
      <c r="CD76">
        <v>230.00988769531199</v>
      </c>
      <c r="CE76">
        <v>230.01022338867199</v>
      </c>
      <c r="CF76" s="2">
        <v>3.4028230607370999E+38</v>
      </c>
      <c r="CG76" s="2">
        <v>3.4028230607370999E+38</v>
      </c>
      <c r="CH76">
        <v>230.00167846679699</v>
      </c>
      <c r="CI76">
        <v>1.00003433227539</v>
      </c>
      <c r="CJ76">
        <v>-1.51688838377595E-2</v>
      </c>
      <c r="CK76">
        <v>230.01004028320301</v>
      </c>
      <c r="CL76">
        <v>230.00991821289099</v>
      </c>
      <c r="CM76">
        <v>49.999870300292997</v>
      </c>
      <c r="CN76">
        <v>-90.003822326660199</v>
      </c>
      <c r="CO76">
        <v>1.70273426920176E-2</v>
      </c>
      <c r="CP76" s="2">
        <v>3.7057106965221499E-6</v>
      </c>
      <c r="CQ76" s="2">
        <v>8.4093727537037905E-9</v>
      </c>
      <c r="CR76" s="2">
        <v>6.31004510864841E-8</v>
      </c>
      <c r="CS76" s="2">
        <v>5.9463617363419995E-10</v>
      </c>
      <c r="CT76">
        <v>74.765914916992202</v>
      </c>
      <c r="CU76">
        <v>-4.6940803527831996</v>
      </c>
      <c r="CV76">
        <v>1.8440280109643901E-2</v>
      </c>
      <c r="CW76" s="2">
        <v>3.2111311156768398E-6</v>
      </c>
      <c r="CX76" s="2">
        <v>4.7207180386976696E-9</v>
      </c>
      <c r="CY76" s="2">
        <v>5.9157709841883797E-8</v>
      </c>
      <c r="CZ76" s="2">
        <v>-2.7847188444063399E-10</v>
      </c>
      <c r="DA76">
        <v>74.722953796386705</v>
      </c>
      <c r="DB76">
        <v>2.9447042942047101</v>
      </c>
      <c r="DC76" s="2">
        <v>3.4028230607370999E+38</v>
      </c>
      <c r="DD76" s="2">
        <v>3.4028230607370999E+38</v>
      </c>
      <c r="DE76">
        <v>-1.51688707992435E-2</v>
      </c>
      <c r="DF76">
        <v>230.01004028320301</v>
      </c>
      <c r="DG76">
        <v>230.00990295410199</v>
      </c>
      <c r="DH76" s="2">
        <v>3.4028230607370999E+38</v>
      </c>
      <c r="DI76" s="2">
        <v>3.4028230607370999E+38</v>
      </c>
      <c r="DJ76">
        <v>230.00207519531199</v>
      </c>
      <c r="DK76">
        <v>1.0000352859497099</v>
      </c>
      <c r="DL76">
        <v>-1.6126835718750999E-2</v>
      </c>
      <c r="DM76">
        <v>230.01002502441401</v>
      </c>
      <c r="DN76">
        <v>230.01026916503901</v>
      </c>
      <c r="DO76">
        <v>49.999893188476598</v>
      </c>
      <c r="DP76">
        <v>-90.003929138183594</v>
      </c>
      <c r="DQ76">
        <v>1.6478655859827999E-2</v>
      </c>
      <c r="DR76" s="2">
        <v>3.5848229344992399E-6</v>
      </c>
      <c r="DS76" s="2">
        <v>6.1287193098280601E-9</v>
      </c>
      <c r="DT76" s="2">
        <v>5.9614514213990306E-8</v>
      </c>
      <c r="DU76" s="2">
        <v>4.04860100999826E-9</v>
      </c>
      <c r="DV76">
        <v>74.727111816406193</v>
      </c>
      <c r="DW76">
        <v>-37.883293151855497</v>
      </c>
      <c r="DX76">
        <v>1.7965354025363901E-2</v>
      </c>
      <c r="DY76" s="2">
        <v>3.18464617521386E-6</v>
      </c>
      <c r="DZ76" s="2">
        <v>6.1851901378417998E-9</v>
      </c>
      <c r="EA76" s="2">
        <v>5.6459043662471198E-8</v>
      </c>
      <c r="EB76" s="2">
        <v>5.5333835291548902E-9</v>
      </c>
      <c r="EC76">
        <v>74.664527893066406</v>
      </c>
      <c r="ED76">
        <v>-36.8919067382812</v>
      </c>
      <c r="EE76" s="2">
        <v>3.4028230607370999E+38</v>
      </c>
      <c r="EF76" s="2">
        <v>3.4028230607370999E+38</v>
      </c>
      <c r="EG76">
        <v>-1.61268245428801E-2</v>
      </c>
      <c r="EH76">
        <v>230.01002502441401</v>
      </c>
      <c r="EI76">
        <v>230.01026916503901</v>
      </c>
      <c r="EJ76" s="2">
        <v>3.4028230607370999E+38</v>
      </c>
      <c r="EK76" s="2">
        <v>3.4028230607370999E+38</v>
      </c>
      <c r="EL76">
        <v>123</v>
      </c>
      <c r="EM76">
        <v>230.00161743164099</v>
      </c>
      <c r="EN76">
        <v>1.0000349283218399</v>
      </c>
      <c r="EO76">
        <v>-1.5717284753918599E-2</v>
      </c>
      <c r="EP76">
        <v>230.00949096679699</v>
      </c>
      <c r="EQ76">
        <v>230.01007080078099</v>
      </c>
      <c r="ER76">
        <v>49.999904632568402</v>
      </c>
      <c r="ES76">
        <v>-90.004035949707003</v>
      </c>
      <c r="ET76" s="2">
        <v>-7.0265254180412699E-5</v>
      </c>
      <c r="EU76" s="2">
        <v>3.4028230607370999E+38</v>
      </c>
      <c r="EV76">
        <v>0</v>
      </c>
      <c r="EW76">
        <v>230.00143432617199</v>
      </c>
      <c r="EX76">
        <v>-2.4573184549808499E-2</v>
      </c>
      <c r="EY76">
        <v>230.00895690918</v>
      </c>
      <c r="EZ76">
        <v>230.00468444824199</v>
      </c>
      <c r="FA76">
        <v>-7.4301555287092902E-4</v>
      </c>
      <c r="FB76">
        <v>1.67907997965813E-2</v>
      </c>
      <c r="FC76" s="2">
        <v>3.5638024655781898E-6</v>
      </c>
      <c r="FD76" s="2">
        <v>6.7013532500936898E-9</v>
      </c>
      <c r="FE76" s="2">
        <v>6.1171185450348302E-8</v>
      </c>
      <c r="FF76" s="2">
        <v>5.1549449153753796E-9</v>
      </c>
      <c r="FG76">
        <v>74.744880676269503</v>
      </c>
      <c r="FH76">
        <v>-37.568901062011697</v>
      </c>
      <c r="FI76">
        <v>0.130438342690468</v>
      </c>
      <c r="FJ76" s="2">
        <v>3.4028230607370999E+38</v>
      </c>
      <c r="FK76">
        <v>30.741863250732401</v>
      </c>
      <c r="FL76">
        <v>2.0780788734555199E-2</v>
      </c>
      <c r="FM76">
        <v>0</v>
      </c>
      <c r="FN76">
        <v>0</v>
      </c>
      <c r="FO76">
        <v>0</v>
      </c>
      <c r="FP76" s="2">
        <v>9.9596772997756506E-6</v>
      </c>
      <c r="FQ76">
        <v>1.9111607223749199E-2</v>
      </c>
      <c r="FR76" s="2">
        <v>3.2066436688182901E-6</v>
      </c>
      <c r="FS76" s="2">
        <v>7.2068480072573501E-9</v>
      </c>
      <c r="FT76" s="2">
        <v>6.1348622182322301E-8</v>
      </c>
      <c r="FU76" s="2">
        <v>4.1038226150646998E-9</v>
      </c>
      <c r="FV76">
        <v>74.702781677246094</v>
      </c>
      <c r="FW76">
        <v>-32.623207092285199</v>
      </c>
      <c r="FX76">
        <v>0.107790157198906</v>
      </c>
      <c r="FY76" s="2">
        <v>3.4028230607370999E+38</v>
      </c>
      <c r="FZ76">
        <v>-12.8437194824219</v>
      </c>
      <c r="GA76">
        <v>229.64094543457</v>
      </c>
      <c r="GB76" s="2">
        <v>-6.7879152298999698E-10</v>
      </c>
      <c r="GC76">
        <v>7.2466884739697001E-4</v>
      </c>
      <c r="GD76" s="2">
        <v>-1.3522123698539399E-10</v>
      </c>
      <c r="GE76" s="2">
        <v>-1.2266957128304099E-5</v>
      </c>
      <c r="GF76" s="2">
        <v>3.4028230607370999E+38</v>
      </c>
      <c r="GG76" s="2">
        <v>3.4028230607370999E+38</v>
      </c>
      <c r="GH76">
        <v>-1.55552364885807E-2</v>
      </c>
      <c r="GI76">
        <v>230.00910949707</v>
      </c>
      <c r="GJ76">
        <v>230.00914001464801</v>
      </c>
      <c r="GK76" s="2">
        <v>3.4028230607370999E+38</v>
      </c>
      <c r="GL76" s="2">
        <v>3.4028230607370999E+38</v>
      </c>
      <c r="GM76" s="2">
        <v>3.4028230607370999E+38</v>
      </c>
      <c r="GN76" s="2">
        <v>3.4028230607370999E+38</v>
      </c>
      <c r="GO76" s="2">
        <v>3.4028230607370999E+38</v>
      </c>
      <c r="GP76" s="2">
        <v>3.4028230607370999E+38</v>
      </c>
      <c r="GQ76">
        <v>-2.6170197874307601E-2</v>
      </c>
      <c r="GR76">
        <v>-2.6170197874307601E-2</v>
      </c>
      <c r="GS76">
        <v>230.003982543945</v>
      </c>
      <c r="GT76">
        <v>-7.3074776446446798E-4</v>
      </c>
      <c r="GX76">
        <f t="shared" si="1"/>
        <v>230.001953125</v>
      </c>
      <c r="GY76">
        <f t="shared" si="2"/>
        <v>1.0000358581542961</v>
      </c>
      <c r="GZ76">
        <f t="shared" si="3"/>
        <v>-1.5510042198002342E-2</v>
      </c>
      <c r="HA76">
        <f t="shared" si="4"/>
        <v>230.01000976562477</v>
      </c>
      <c r="HB76">
        <f t="shared" si="5"/>
        <v>230.01004333496098</v>
      </c>
      <c r="HC76">
        <f t="shared" si="6"/>
        <v>49.999945068359374</v>
      </c>
      <c r="HD76">
        <f t="shared" si="7"/>
        <v>-90.003840637207048</v>
      </c>
      <c r="HW76" s="10">
        <f>(GX76/Data!$S76-1)*1000000</f>
        <v>22.250849620819579</v>
      </c>
      <c r="HX76" s="10">
        <f>(GY76/Data!$T76-1)*1000000</f>
        <v>74.305010877795397</v>
      </c>
      <c r="HY76" s="10">
        <f>(GZ76/Data!$BW76-1)*1000000</f>
        <v>112945563.39354342</v>
      </c>
      <c r="HZ76" s="10">
        <f>(HA76/(Data!$S76*Data!$T76)-1)*1000000</f>
        <v>95.727884023455445</v>
      </c>
      <c r="IA76" s="7">
        <f>(HB76/IF(HD76&gt;0, -Data!$BX76,Data!$BX76)-1)*1000000</f>
        <v>95.867764622115104</v>
      </c>
      <c r="IB76" s="10"/>
      <c r="IC76" s="9">
        <f>(HD76-Data!$U76)</f>
        <v>-3.8067272070492209E-3</v>
      </c>
    </row>
    <row r="77" spans="1:237" x14ac:dyDescent="0.2">
      <c r="A77">
        <v>77</v>
      </c>
      <c r="B77">
        <v>230.00180053710901</v>
      </c>
      <c r="C77">
        <v>1.0000361204147299</v>
      </c>
      <c r="D77">
        <v>-1.5763312578201301E-2</v>
      </c>
      <c r="E77">
        <v>230.00959777832</v>
      </c>
      <c r="F77">
        <v>230.00982666015599</v>
      </c>
      <c r="G77">
        <v>49.999904632568402</v>
      </c>
      <c r="H77">
        <v>-90.003791809082003</v>
      </c>
      <c r="I77">
        <v>1.6224535182118398E-2</v>
      </c>
      <c r="J77" s="2">
        <v>3.5953505630459399E-6</v>
      </c>
      <c r="K77" s="2">
        <v>4.8092072546523898E-9</v>
      </c>
      <c r="L77" s="2">
        <v>5.8280864578819098E-8</v>
      </c>
      <c r="M77" s="2">
        <v>-8.7577284313411496E-10</v>
      </c>
      <c r="N77">
        <v>74.749862670898395</v>
      </c>
      <c r="O77">
        <v>9.8138351440429705</v>
      </c>
      <c r="P77">
        <v>1.7836002632975599E-2</v>
      </c>
      <c r="Q77" s="2">
        <v>3.14072440232849E-6</v>
      </c>
      <c r="R77" s="2">
        <v>4.8332209345858196E-9</v>
      </c>
      <c r="S77" s="2">
        <v>5.6041855600597E-8</v>
      </c>
      <c r="T77" s="2">
        <v>-4.1785852555875599E-10</v>
      </c>
      <c r="U77">
        <v>74.693641662597699</v>
      </c>
      <c r="V77">
        <v>5.37160348892212</v>
      </c>
      <c r="W77" s="2">
        <v>3.4028230607370999E+38</v>
      </c>
      <c r="X77" s="2">
        <v>3.4028230607370999E+38</v>
      </c>
      <c r="Y77">
        <v>-1.5763303264975499E-2</v>
      </c>
      <c r="Z77">
        <v>230.00959777832</v>
      </c>
      <c r="AA77">
        <v>230.00981140136699</v>
      </c>
      <c r="AB77" s="2">
        <v>3.4028230607370999E+38</v>
      </c>
      <c r="AC77" s="2">
        <v>3.4028230607370999E+38</v>
      </c>
      <c r="AD77">
        <v>230.00141906738301</v>
      </c>
      <c r="AE77">
        <v>1.00003349781036</v>
      </c>
      <c r="AF77">
        <v>-1.5241790562868099E-2</v>
      </c>
      <c r="AG77">
        <v>230.00936889648401</v>
      </c>
      <c r="AH77">
        <v>230.00964355468801</v>
      </c>
      <c r="AI77">
        <v>49.999908447265597</v>
      </c>
      <c r="AJ77">
        <v>-90.003738403320298</v>
      </c>
      <c r="AK77">
        <v>1.7767023295164101E-2</v>
      </c>
      <c r="AL77" s="2">
        <v>3.6318901948106898E-6</v>
      </c>
      <c r="AM77" s="2">
        <v>8.9608072073588102E-9</v>
      </c>
      <c r="AN77" s="2">
        <v>6.3840523978342403E-8</v>
      </c>
      <c r="AO77" s="2">
        <v>2.7391031665047198E-9</v>
      </c>
      <c r="AP77">
        <v>74.763710021972699</v>
      </c>
      <c r="AQ77">
        <v>-18.506494522094702</v>
      </c>
      <c r="AR77">
        <v>1.9301325082778899E-2</v>
      </c>
      <c r="AS77" s="2">
        <v>3.1339270663011099E-6</v>
      </c>
      <c r="AT77" s="2">
        <v>7.69688579538297E-9</v>
      </c>
      <c r="AU77" s="2">
        <v>6.1534301210031104E-8</v>
      </c>
      <c r="AV77" s="2">
        <v>2.7129136714876301E-9</v>
      </c>
      <c r="AW77">
        <v>74.611198425292997</v>
      </c>
      <c r="AX77">
        <v>-21.028234481811499</v>
      </c>
      <c r="AY77" s="2">
        <v>3.4028230607370999E+38</v>
      </c>
      <c r="AZ77" s="2">
        <v>3.4028230607370999E+38</v>
      </c>
      <c r="BA77">
        <v>-1.52417747303843E-2</v>
      </c>
      <c r="BB77">
        <v>230.00936889648401</v>
      </c>
      <c r="BC77">
        <v>230.00964355468801</v>
      </c>
      <c r="BD77" s="2">
        <v>3.4028230607370999E+38</v>
      </c>
      <c r="BE77" s="2">
        <v>3.4028230607370999E+38</v>
      </c>
      <c r="BF77">
        <v>230.001953125</v>
      </c>
      <c r="BG77">
        <v>1.00003373622894</v>
      </c>
      <c r="BH77">
        <v>-1.6242051497101801E-2</v>
      </c>
      <c r="BI77">
        <v>230.00958251953099</v>
      </c>
      <c r="BJ77">
        <v>230.00949096679699</v>
      </c>
      <c r="BK77">
        <v>49.999923706054702</v>
      </c>
      <c r="BL77">
        <v>-90.003982543945298</v>
      </c>
      <c r="BM77">
        <v>1.6638008877634999E-2</v>
      </c>
      <c r="BN77" s="2">
        <v>3.67508914678183E-6</v>
      </c>
      <c r="BO77" s="2">
        <v>5.7366538186443003E-9</v>
      </c>
      <c r="BP77" s="2">
        <v>6.1078061719399596E-8</v>
      </c>
      <c r="BQ77" s="2">
        <v>4.7011057269230597E-9</v>
      </c>
      <c r="BR77">
        <v>74.750801086425795</v>
      </c>
      <c r="BS77">
        <v>-28.7086277008057</v>
      </c>
      <c r="BT77">
        <v>1.8394211307168E-2</v>
      </c>
      <c r="BU77" s="2">
        <v>3.2452883260702901E-6</v>
      </c>
      <c r="BV77" s="2">
        <v>7.0125487638961204E-9</v>
      </c>
      <c r="BW77" s="2">
        <v>5.7919265827877098E-8</v>
      </c>
      <c r="BX77" s="2">
        <v>4.2767265284737699E-9</v>
      </c>
      <c r="BY77">
        <v>74.8140869140625</v>
      </c>
      <c r="BZ77">
        <v>-31.37766456604</v>
      </c>
      <c r="CA77" s="2">
        <v>3.4028230607370999E+38</v>
      </c>
      <c r="CB77" s="2">
        <v>3.4028230607370999E+38</v>
      </c>
      <c r="CC77">
        <v>-1.6242040321230899E-2</v>
      </c>
      <c r="CD77">
        <v>230.00958251953099</v>
      </c>
      <c r="CE77">
        <v>230.00949096679699</v>
      </c>
      <c r="CF77" s="2">
        <v>3.4028230607370999E+38</v>
      </c>
      <c r="CG77" s="2">
        <v>3.4028230607370999E+38</v>
      </c>
      <c r="CH77">
        <v>230.00198364257801</v>
      </c>
      <c r="CI77">
        <v>1.0000361204147299</v>
      </c>
      <c r="CJ77">
        <v>-1.5287533402442899E-2</v>
      </c>
      <c r="CK77">
        <v>230.01020812988301</v>
      </c>
      <c r="CL77">
        <v>230.01019287109401</v>
      </c>
      <c r="CM77">
        <v>49.999958038330099</v>
      </c>
      <c r="CN77">
        <v>-90.003929138183594</v>
      </c>
      <c r="CO77">
        <v>1.4364168047904999E-2</v>
      </c>
      <c r="CP77" s="2">
        <v>3.6358380839374098E-6</v>
      </c>
      <c r="CQ77" s="2">
        <v>3.46574702270175E-9</v>
      </c>
      <c r="CR77" s="2">
        <v>5.2211980516858603E-8</v>
      </c>
      <c r="CS77" s="2">
        <v>1.9373833093361301E-10</v>
      </c>
      <c r="CT77">
        <v>74.775634765625</v>
      </c>
      <c r="CU77">
        <v>-3.8851261138915998</v>
      </c>
      <c r="CV77">
        <v>1.52787258848548E-2</v>
      </c>
      <c r="CW77" s="2">
        <v>3.2067882784758699E-6</v>
      </c>
      <c r="CX77" s="2">
        <v>1.9066930256883602E-9</v>
      </c>
      <c r="CY77" s="2">
        <v>4.8999027058016502E-8</v>
      </c>
      <c r="CZ77" s="2">
        <v>1.49951231986911E-10</v>
      </c>
      <c r="DA77">
        <v>74.741630554199205</v>
      </c>
      <c r="DB77">
        <v>-4.08148145675659</v>
      </c>
      <c r="DC77" s="2">
        <v>3.4028230607370999E+38</v>
      </c>
      <c r="DD77" s="2">
        <v>3.4028230607370999E+38</v>
      </c>
      <c r="DE77">
        <v>-1.5287528745830101E-2</v>
      </c>
      <c r="DF77">
        <v>230.01020812988301</v>
      </c>
      <c r="DG77">
        <v>230.01019287109401</v>
      </c>
      <c r="DH77" s="2">
        <v>3.4028230607370999E+38</v>
      </c>
      <c r="DI77" s="2">
        <v>3.4028230607370999E+38</v>
      </c>
      <c r="DJ77">
        <v>230.00181579589801</v>
      </c>
      <c r="DK77">
        <v>1.0000331401825</v>
      </c>
      <c r="DL77">
        <v>-1.5561774373054499E-2</v>
      </c>
      <c r="DM77">
        <v>230.00950622558599</v>
      </c>
      <c r="DN77">
        <v>230.00917053222699</v>
      </c>
      <c r="DO77">
        <v>50.000026702880902</v>
      </c>
      <c r="DP77">
        <v>-90.003913879394503</v>
      </c>
      <c r="DQ77">
        <v>1.7486620694398901E-2</v>
      </c>
      <c r="DR77" s="2">
        <v>3.6199478472553901E-6</v>
      </c>
      <c r="DS77" s="2">
        <v>7.4831527641094908E-9</v>
      </c>
      <c r="DT77" s="2">
        <v>6.1088393010777495E-8</v>
      </c>
      <c r="DU77" s="2">
        <v>4.9507380417423999E-9</v>
      </c>
      <c r="DV77">
        <v>74.707679748535199</v>
      </c>
      <c r="DW77">
        <v>-36.173328399658203</v>
      </c>
      <c r="DX77">
        <v>1.92004460841417E-2</v>
      </c>
      <c r="DY77" s="2">
        <v>3.1032202514325002E-6</v>
      </c>
      <c r="DZ77" s="2">
        <v>7.4685759798853707E-9</v>
      </c>
      <c r="EA77" s="2">
        <v>6.1162140241321996E-8</v>
      </c>
      <c r="EB77" s="2">
        <v>5.2932200844679797E-9</v>
      </c>
      <c r="EC77">
        <v>74.735610961914105</v>
      </c>
      <c r="ED77">
        <v>-38.736427307128899</v>
      </c>
      <c r="EE77" s="2">
        <v>3.4028230607370999E+38</v>
      </c>
      <c r="EF77" s="2">
        <v>3.4028230607370999E+38</v>
      </c>
      <c r="EG77">
        <v>-1.55617594718933E-2</v>
      </c>
      <c r="EH77">
        <v>230.00950622558599</v>
      </c>
      <c r="EI77">
        <v>230.00917053222699</v>
      </c>
      <c r="EJ77" s="2">
        <v>3.4028230607370999E+38</v>
      </c>
      <c r="EK77" s="2">
        <v>3.4028230607370999E+38</v>
      </c>
      <c r="EL77">
        <v>123</v>
      </c>
      <c r="EM77">
        <v>230.00128173828099</v>
      </c>
      <c r="EN77">
        <v>1.0000358819961499</v>
      </c>
      <c r="EO77">
        <v>-1.6160978004336399E-2</v>
      </c>
      <c r="EP77">
        <v>230.00939941406199</v>
      </c>
      <c r="EQ77">
        <v>230.00971984863301</v>
      </c>
      <c r="ER77">
        <v>49.999927520752003</v>
      </c>
      <c r="ES77">
        <v>-90.003952026367202</v>
      </c>
      <c r="ET77" s="2">
        <v>-6.87803185428493E-5</v>
      </c>
      <c r="EU77" s="2">
        <v>3.4028230607370999E+38</v>
      </c>
      <c r="EV77">
        <v>0</v>
      </c>
      <c r="EW77">
        <v>230.00071716308599</v>
      </c>
      <c r="EX77">
        <v>-2.4516949430108102E-2</v>
      </c>
      <c r="EY77">
        <v>230.00874328613301</v>
      </c>
      <c r="EZ77">
        <v>230.004150390625</v>
      </c>
      <c r="FA77">
        <v>-5.3581345127895496E-4</v>
      </c>
      <c r="FB77">
        <v>1.6376044601202001E-2</v>
      </c>
      <c r="FC77" s="2">
        <v>3.5919604215450801E-6</v>
      </c>
      <c r="FD77" s="2">
        <v>4.7389492330296401E-9</v>
      </c>
      <c r="FE77" s="2">
        <v>5.8270092750945002E-8</v>
      </c>
      <c r="FF77" s="2">
        <v>4.30570779030859E-9</v>
      </c>
      <c r="FG77">
        <v>74.696540832519503</v>
      </c>
      <c r="FH77">
        <v>-42.566852569580099</v>
      </c>
      <c r="FI77">
        <v>7.6443932950496701E-2</v>
      </c>
      <c r="FJ77" s="2">
        <v>3.4028230607370999E+38</v>
      </c>
      <c r="FK77">
        <v>3.5216715335845898</v>
      </c>
      <c r="FL77">
        <v>2.07632184028625E-2</v>
      </c>
      <c r="FM77">
        <v>0</v>
      </c>
      <c r="FN77">
        <v>0</v>
      </c>
      <c r="FO77">
        <v>0</v>
      </c>
      <c r="FP77" s="2">
        <v>2.1141850083949999E-5</v>
      </c>
      <c r="FQ77">
        <v>1.73098966479301E-2</v>
      </c>
      <c r="FR77" s="2">
        <v>3.1670460884924999E-6</v>
      </c>
      <c r="FS77" s="2">
        <v>5.7150888466139796E-9</v>
      </c>
      <c r="FT77" s="2">
        <v>5.5116469610538803E-8</v>
      </c>
      <c r="FU77" s="2">
        <v>3.7095473359727302E-9</v>
      </c>
      <c r="FV77">
        <v>74.837860107421903</v>
      </c>
      <c r="FW77">
        <v>-34.649791717529297</v>
      </c>
      <c r="FX77">
        <v>8.6631372570991502E-2</v>
      </c>
      <c r="FY77" s="2">
        <v>3.4028230607370999E+38</v>
      </c>
      <c r="FZ77">
        <v>-24.9792671203613</v>
      </c>
      <c r="GA77">
        <v>229.73258972168</v>
      </c>
      <c r="GB77" s="2">
        <v>-2.6346991255365998E-10</v>
      </c>
      <c r="GC77">
        <v>7.4275676161050797E-4</v>
      </c>
      <c r="GD77" s="2">
        <v>5.2067496147944997E-11</v>
      </c>
      <c r="GE77" s="2">
        <v>-5.7297670537081996E-6</v>
      </c>
      <c r="GF77" s="2">
        <v>3.4028230607370999E+38</v>
      </c>
      <c r="GG77" s="2">
        <v>3.4028230607370999E+38</v>
      </c>
      <c r="GH77">
        <v>-1.57583355903625E-2</v>
      </c>
      <c r="GI77">
        <v>230.00993347168</v>
      </c>
      <c r="GJ77">
        <v>230.00958251953099</v>
      </c>
      <c r="GK77" s="2">
        <v>3.4028230607370999E+38</v>
      </c>
      <c r="GL77" s="2">
        <v>3.4028230607370999E+38</v>
      </c>
      <c r="GM77" s="2">
        <v>3.4028230607370999E+38</v>
      </c>
      <c r="GN77" s="2">
        <v>3.4028230607370999E+38</v>
      </c>
      <c r="GO77" s="2">
        <v>3.4028230607370999E+38</v>
      </c>
      <c r="GP77" s="2">
        <v>3.4028230607370999E+38</v>
      </c>
      <c r="GQ77">
        <v>-2.2976316511631002E-2</v>
      </c>
      <c r="GR77">
        <v>-2.2976316511631002E-2</v>
      </c>
      <c r="GS77">
        <v>230.00459289550801</v>
      </c>
      <c r="GT77">
        <v>-3.4985737875103999E-4</v>
      </c>
      <c r="GX77">
        <f t="shared" ref="GX77:GX140" si="8">AVERAGE(B77,AD77,BF77,CH77,DJ77)</f>
        <v>230.0017944335936</v>
      </c>
      <c r="GY77">
        <f t="shared" ref="GY77:GY140" si="9">AVERAGE(C77,AE77,BG77,CI77,DK77)</f>
        <v>1.0000345230102521</v>
      </c>
      <c r="GZ77">
        <f t="shared" ref="GZ77:GZ140" si="10">AVERAGE(D77,AF77,BH77,CJ77,DL77)</f>
        <v>-1.5619292482733721E-2</v>
      </c>
      <c r="HA77">
        <f t="shared" ref="HA77:HA140" si="11">AVERAGE(E77,AG77,BI77,CK77,DM77)</f>
        <v>230.00965270996079</v>
      </c>
      <c r="HB77">
        <f t="shared" ref="HB77:HB140" si="12">AVERAGE(F77,AH77,BJ77,CL77,DN77)</f>
        <v>230.00966491699236</v>
      </c>
      <c r="HC77">
        <f t="shared" ref="HC77:HC140" si="13">AVERAGE(G77,AI77,BK77,CM77,DO77)</f>
        <v>49.999944305419945</v>
      </c>
      <c r="HD77">
        <f t="shared" ref="HD77:HD140" si="14">AVERAGE(H77,AJ77,BL77,CN77,DP77)</f>
        <v>-90.003871154785131</v>
      </c>
      <c r="HW77" s="10">
        <f>(GX77/Data!$S77-1)*1000000</f>
        <v>21.759580201008433</v>
      </c>
      <c r="HX77" s="10">
        <f>(GY77/Data!$T77-1)*1000000</f>
        <v>82.149922477903203</v>
      </c>
      <c r="HY77" s="10">
        <f>(GZ77/Data!$BW77-1)*1000000</f>
        <v>-57634731.073402666</v>
      </c>
      <c r="HZ77" s="10">
        <f>(HA77/(Data!$S77*Data!$T77)-1)*1000000</f>
        <v>103.55440764109325</v>
      </c>
      <c r="IA77" s="7">
        <f>(HB77/IF(HD77&gt;0, -Data!$BX77,Data!$BX77)-1)*1000000</f>
        <v>103.60123557706657</v>
      </c>
      <c r="IB77" s="10"/>
      <c r="IC77" s="9">
        <f>(HD77-Data!$U77)</f>
        <v>-3.939864785124314E-3</v>
      </c>
    </row>
    <row r="78" spans="1:237" x14ac:dyDescent="0.2">
      <c r="A78">
        <v>78</v>
      </c>
      <c r="B78">
        <v>230.00181579589801</v>
      </c>
      <c r="C78">
        <v>1.0000365972518901</v>
      </c>
      <c r="D78">
        <v>199.18739318847699</v>
      </c>
      <c r="E78">
        <v>230.00997924804699</v>
      </c>
      <c r="F78">
        <v>115.018585205078</v>
      </c>
      <c r="G78">
        <v>49.9998779296875</v>
      </c>
      <c r="H78">
        <v>-30.003847122192401</v>
      </c>
      <c r="I78">
        <v>1.7705915495753299E-2</v>
      </c>
      <c r="J78" s="2">
        <v>3.6882672702631701E-6</v>
      </c>
      <c r="K78" s="2">
        <v>3.0832065789354601E-9</v>
      </c>
      <c r="L78" s="2">
        <v>6.5301080098834103E-8</v>
      </c>
      <c r="M78" s="2">
        <v>-6.2466298800245601E-9</v>
      </c>
      <c r="N78">
        <v>74.714393615722699</v>
      </c>
      <c r="O78">
        <v>69.803504943847699</v>
      </c>
      <c r="P78">
        <v>1.9390340894460699E-2</v>
      </c>
      <c r="Q78" s="2">
        <v>3.21772313327529E-6</v>
      </c>
      <c r="R78" s="2">
        <v>2.6552589016404202E-9</v>
      </c>
      <c r="S78" s="2">
        <v>6.2320978599927899E-8</v>
      </c>
      <c r="T78" s="2">
        <v>-2.2107251584913001E-9</v>
      </c>
      <c r="U78">
        <v>74.737770080566406</v>
      </c>
      <c r="V78">
        <v>33.160877227783203</v>
      </c>
      <c r="W78" s="2">
        <v>3.4028230607370999E+38</v>
      </c>
      <c r="X78" s="2">
        <v>3.4028230607370999E+38</v>
      </c>
      <c r="Y78">
        <v>199.18739318847699</v>
      </c>
      <c r="Z78">
        <v>230.00997924804699</v>
      </c>
      <c r="AA78">
        <v>115.01857757568401</v>
      </c>
      <c r="AB78" s="2">
        <v>3.4028230607370999E+38</v>
      </c>
      <c r="AC78" s="2">
        <v>3.4028230607370999E+38</v>
      </c>
      <c r="AD78">
        <v>230.00125122070301</v>
      </c>
      <c r="AE78">
        <v>1.0000342130661</v>
      </c>
      <c r="AF78">
        <v>199.18615722656199</v>
      </c>
      <c r="AG78">
        <v>230.00904846191401</v>
      </c>
      <c r="AH78">
        <v>115.01747894287099</v>
      </c>
      <c r="AI78">
        <v>49.999973297119098</v>
      </c>
      <c r="AJ78">
        <v>-30.0036296844482</v>
      </c>
      <c r="AK78">
        <v>1.6953712329268501E-2</v>
      </c>
      <c r="AL78" s="2">
        <v>3.6024237033416301E-6</v>
      </c>
      <c r="AM78" s="2">
        <v>5.8915001766024497E-9</v>
      </c>
      <c r="AN78" s="2">
        <v>6.0830700476799406E-8</v>
      </c>
      <c r="AO78" s="2">
        <v>-1.39531253218195E-9</v>
      </c>
      <c r="AP78">
        <v>74.752716064453097</v>
      </c>
      <c r="AQ78">
        <v>24.541000366210898</v>
      </c>
      <c r="AR78">
        <v>1.8565993756055801E-2</v>
      </c>
      <c r="AS78" s="2">
        <v>3.1466206564800801E-6</v>
      </c>
      <c r="AT78" s="2">
        <v>5.2209658818469498E-9</v>
      </c>
      <c r="AU78" s="2">
        <v>5.96173563849334E-8</v>
      </c>
      <c r="AV78" s="2">
        <v>-5.6413502341756702E-11</v>
      </c>
      <c r="AW78">
        <v>74.813911437988295</v>
      </c>
      <c r="AX78">
        <v>-0.65049207210540805</v>
      </c>
      <c r="AY78" s="2">
        <v>3.4028230607370999E+38</v>
      </c>
      <c r="AZ78" s="2">
        <v>3.4028230607370999E+38</v>
      </c>
      <c r="BA78">
        <v>199.18615722656199</v>
      </c>
      <c r="BB78">
        <v>230.00904846191401</v>
      </c>
      <c r="BC78">
        <v>115.017471313477</v>
      </c>
      <c r="BD78" s="2">
        <v>3.4028230607370999E+38</v>
      </c>
      <c r="BE78" s="2">
        <v>3.4028230607370999E+38</v>
      </c>
      <c r="BF78">
        <v>230.00149536132801</v>
      </c>
      <c r="BG78">
        <v>1.0000346899032599</v>
      </c>
      <c r="BH78">
        <v>199.18690490722699</v>
      </c>
      <c r="BI78">
        <v>230.00987243652301</v>
      </c>
      <c r="BJ78">
        <v>115.018196105957</v>
      </c>
      <c r="BK78">
        <v>49.999908447265597</v>
      </c>
      <c r="BL78">
        <v>-30.0038547515869</v>
      </c>
      <c r="BM78">
        <v>1.61610618233681E-2</v>
      </c>
      <c r="BN78" s="2">
        <v>3.61846377927577E-6</v>
      </c>
      <c r="BO78" s="2">
        <v>4.4541108579210198E-9</v>
      </c>
      <c r="BP78" s="2">
        <v>5.84430104311195E-8</v>
      </c>
      <c r="BQ78" s="2">
        <v>-1.7910722904801401E-9</v>
      </c>
      <c r="BR78">
        <v>74.771629333496094</v>
      </c>
      <c r="BS78">
        <v>23.8047180175781</v>
      </c>
      <c r="BT78">
        <v>1.78803410381079E-2</v>
      </c>
      <c r="BU78" s="2">
        <v>3.1254435270966501E-6</v>
      </c>
      <c r="BV78" s="2">
        <v>5.0770734283389596E-9</v>
      </c>
      <c r="BW78" s="2">
        <v>5.5920224895089599E-8</v>
      </c>
      <c r="BX78" s="2">
        <v>4.1527159488907702E-10</v>
      </c>
      <c r="BY78">
        <v>74.5010986328125</v>
      </c>
      <c r="BZ78">
        <v>-5.8026485443115199</v>
      </c>
      <c r="CA78" s="2">
        <v>3.4028230607370999E+38</v>
      </c>
      <c r="CB78" s="2">
        <v>3.4028230607370999E+38</v>
      </c>
      <c r="CC78">
        <v>199.18690490722699</v>
      </c>
      <c r="CD78">
        <v>230.00987243652301</v>
      </c>
      <c r="CE78">
        <v>115.018188476562</v>
      </c>
      <c r="CF78" s="2">
        <v>3.4028230607370999E+38</v>
      </c>
      <c r="CG78" s="2">
        <v>3.4028230607370999E+38</v>
      </c>
      <c r="CH78">
        <v>230.00178527832</v>
      </c>
      <c r="CI78">
        <v>1.0000371932983401</v>
      </c>
      <c r="CJ78">
        <v>199.18687438964801</v>
      </c>
      <c r="CK78">
        <v>230.00967407226599</v>
      </c>
      <c r="CL78">
        <v>115.01862335205099</v>
      </c>
      <c r="CM78">
        <v>49.999927520752003</v>
      </c>
      <c r="CN78">
        <v>-30.0039157867432</v>
      </c>
      <c r="CO78">
        <v>1.43667384982109E-2</v>
      </c>
      <c r="CP78" s="2">
        <v>3.5942930480814501E-6</v>
      </c>
      <c r="CQ78" s="2">
        <v>1.3662733167052501E-9</v>
      </c>
      <c r="CR78" s="2">
        <v>5.1635076658840302E-8</v>
      </c>
      <c r="CS78" s="2">
        <v>-1.0309576525813201E-9</v>
      </c>
      <c r="CT78">
        <v>74.681320190429702</v>
      </c>
      <c r="CU78">
        <v>17.7238464355469</v>
      </c>
      <c r="CV78">
        <v>1.5707785263657601E-2</v>
      </c>
      <c r="CW78" s="2">
        <v>3.1107997529033999E-6</v>
      </c>
      <c r="CX78" s="2">
        <v>1.66238023346921E-9</v>
      </c>
      <c r="CY78" s="2">
        <v>4.8666208840586498E-8</v>
      </c>
      <c r="CZ78" s="2">
        <v>-1.0101335323753301E-9</v>
      </c>
      <c r="DA78">
        <v>74.817848205566406</v>
      </c>
      <c r="DB78">
        <v>27.539119720458999</v>
      </c>
      <c r="DC78" s="2">
        <v>3.4028230607370999E+38</v>
      </c>
      <c r="DD78" s="2">
        <v>3.4028230607370999E+38</v>
      </c>
      <c r="DE78">
        <v>199.18687438964801</v>
      </c>
      <c r="DF78">
        <v>230.00967407226599</v>
      </c>
      <c r="DG78">
        <v>115.01861572265599</v>
      </c>
      <c r="DH78" s="2">
        <v>3.4028230607370999E+38</v>
      </c>
      <c r="DI78" s="2">
        <v>3.4028230607370999E+38</v>
      </c>
      <c r="DJ78">
        <v>230.00155639648401</v>
      </c>
      <c r="DK78">
        <v>1.00003433227539</v>
      </c>
      <c r="DL78">
        <v>199.18646240234401</v>
      </c>
      <c r="DM78">
        <v>230.00909423828099</v>
      </c>
      <c r="DN78">
        <v>115.018112182617</v>
      </c>
      <c r="DO78">
        <v>49.999923706054702</v>
      </c>
      <c r="DP78">
        <v>-30.003747940063501</v>
      </c>
      <c r="DQ78">
        <v>1.7470026388764399E-2</v>
      </c>
      <c r="DR78" s="2">
        <v>3.6380276924319299E-6</v>
      </c>
      <c r="DS78" s="2">
        <v>4.2588941262522398E-9</v>
      </c>
      <c r="DT78" s="2">
        <v>6.1329451739311493E-8</v>
      </c>
      <c r="DU78" s="2">
        <v>-3.2819855722010499E-9</v>
      </c>
      <c r="DV78">
        <v>74.660675048828097</v>
      </c>
      <c r="DW78">
        <v>32.636241912841797</v>
      </c>
      <c r="DX78">
        <v>1.9259246066212699E-2</v>
      </c>
      <c r="DY78" s="2">
        <v>3.15378088089346E-6</v>
      </c>
      <c r="DZ78" s="2">
        <v>5.3093205387710904E-9</v>
      </c>
      <c r="EA78" s="2">
        <v>5.8335007935283998E-8</v>
      </c>
      <c r="EB78" s="2">
        <v>-2.8382426964235197E-10</v>
      </c>
      <c r="EC78">
        <v>74.720672607421903</v>
      </c>
      <c r="ED78">
        <v>-1.28055739402771</v>
      </c>
      <c r="EE78" s="2">
        <v>3.4028230607370999E+38</v>
      </c>
      <c r="EF78" s="2">
        <v>3.4028230607370999E+38</v>
      </c>
      <c r="EG78">
        <v>199.18646240234401</v>
      </c>
      <c r="EH78">
        <v>230.00909423828099</v>
      </c>
      <c r="EI78">
        <v>115.018104553223</v>
      </c>
      <c r="EJ78" s="2">
        <v>3.4028230607370999E+38</v>
      </c>
      <c r="EK78" s="2">
        <v>3.4028230607370999E+38</v>
      </c>
      <c r="EL78">
        <v>123</v>
      </c>
      <c r="EM78">
        <v>230.00228881835901</v>
      </c>
      <c r="EN78">
        <v>1.0000351667404199</v>
      </c>
      <c r="EO78">
        <v>199.18688964843801</v>
      </c>
      <c r="EP78">
        <v>230.00999450683599</v>
      </c>
      <c r="EQ78">
        <v>115.01886749267599</v>
      </c>
      <c r="ER78">
        <v>49.999923706054702</v>
      </c>
      <c r="ES78">
        <v>-30.003877639770501</v>
      </c>
      <c r="ET78">
        <v>0.86599212884902999</v>
      </c>
      <c r="EU78" s="2">
        <v>3.4028230607370999E+38</v>
      </c>
      <c r="EV78">
        <v>0</v>
      </c>
      <c r="EW78">
        <v>230.00183105468801</v>
      </c>
      <c r="EX78">
        <v>199.18438720703099</v>
      </c>
      <c r="EY78">
        <v>230.00985717773401</v>
      </c>
      <c r="EZ78">
        <v>115.02117156982401</v>
      </c>
      <c r="FA78">
        <v>-1.03696242149454E-4</v>
      </c>
      <c r="FB78">
        <v>1.4518719166517299E-2</v>
      </c>
      <c r="FC78" s="2">
        <v>3.6257388273952499E-6</v>
      </c>
      <c r="FD78" s="2">
        <v>4.8996216805985401E-11</v>
      </c>
      <c r="FE78" s="2">
        <v>5.2137639983129702E-8</v>
      </c>
      <c r="FF78" s="2">
        <v>-2.2886545991696002E-9</v>
      </c>
      <c r="FG78">
        <v>74.761070251464801</v>
      </c>
      <c r="FH78">
        <v>68.235176086425795</v>
      </c>
      <c r="FI78">
        <v>2.2710992023348801E-2</v>
      </c>
      <c r="FJ78" s="2">
        <v>3.4028230607370999E+38</v>
      </c>
      <c r="FK78">
        <v>-80.585067749023395</v>
      </c>
      <c r="FL78">
        <v>1.9999993965029699E-2</v>
      </c>
      <c r="FM78">
        <v>0</v>
      </c>
      <c r="FN78">
        <v>0</v>
      </c>
      <c r="FO78">
        <v>0</v>
      </c>
      <c r="FP78" s="2">
        <v>-7.6607197115663398E-5</v>
      </c>
      <c r="FQ78">
        <v>1.6809696331620199E-2</v>
      </c>
      <c r="FR78" s="2">
        <v>3.0949611300456998E-6</v>
      </c>
      <c r="FS78" s="2">
        <v>1.20201104625295E-9</v>
      </c>
      <c r="FT78" s="2">
        <v>5.5950270194671201E-8</v>
      </c>
      <c r="FU78" s="2">
        <v>-2.9315925242911999E-9</v>
      </c>
      <c r="FV78">
        <v>74.734596252441406</v>
      </c>
      <c r="FW78">
        <v>97.024620056152301</v>
      </c>
      <c r="FX78">
        <v>3.8987092673778499E-2</v>
      </c>
      <c r="FY78" s="2">
        <v>3.4028230607370999E+38</v>
      </c>
      <c r="FZ78">
        <v>-42.1218452453613</v>
      </c>
      <c r="GA78">
        <v>229.71513366699199</v>
      </c>
      <c r="GB78" s="2">
        <v>-7.87971465854298E-10</v>
      </c>
      <c r="GC78">
        <v>7.3490617796778701E-4</v>
      </c>
      <c r="GD78" s="2">
        <v>5.9795823847963396E-10</v>
      </c>
      <c r="GE78" s="2">
        <v>3.75560593965929E-5</v>
      </c>
      <c r="GF78" s="2">
        <v>3.4028230607370999E+38</v>
      </c>
      <c r="GG78" s="2">
        <v>3.4028230607370999E+38</v>
      </c>
      <c r="GH78">
        <v>199.18688964843801</v>
      </c>
      <c r="GI78">
        <v>230.00981140136699</v>
      </c>
      <c r="GJ78">
        <v>115.01829528808599</v>
      </c>
      <c r="GK78" s="2">
        <v>3.4028230607370999E+38</v>
      </c>
      <c r="GL78" s="2">
        <v>3.4028230607370999E+38</v>
      </c>
      <c r="GM78" s="2">
        <v>3.4028230607370999E+38</v>
      </c>
      <c r="GN78" s="2">
        <v>3.4028230607370999E+38</v>
      </c>
      <c r="GO78" s="2">
        <v>3.4028230607370999E+38</v>
      </c>
      <c r="GP78" s="2">
        <v>3.4028230607370999E+38</v>
      </c>
      <c r="GQ78">
        <v>199.18389892578099</v>
      </c>
      <c r="GR78">
        <v>199.18389892578099</v>
      </c>
      <c r="GS78">
        <v>115.023971557617</v>
      </c>
      <c r="GT78">
        <v>-6.1207538237795201E-4</v>
      </c>
      <c r="GX78">
        <f t="shared" si="8"/>
        <v>230.00158081054661</v>
      </c>
      <c r="GY78">
        <f t="shared" si="9"/>
        <v>1.0000354051589959</v>
      </c>
      <c r="GZ78">
        <f t="shared" si="10"/>
        <v>199.1867584228516</v>
      </c>
      <c r="HA78">
        <f t="shared" si="11"/>
        <v>230.0095336914062</v>
      </c>
      <c r="HB78">
        <f t="shared" si="12"/>
        <v>115.0181991577148</v>
      </c>
      <c r="HC78">
        <f t="shared" si="13"/>
        <v>49.99992218017578</v>
      </c>
      <c r="HD78">
        <f t="shared" si="14"/>
        <v>-30.003799057006841</v>
      </c>
      <c r="HW78" s="10">
        <f>(GX78/Data!$S78-1)*1000000</f>
        <v>20.869468380535494</v>
      </c>
      <c r="HX78" s="10">
        <f>(GY78/Data!$T78-1)*1000000</f>
        <v>10.324900047598007</v>
      </c>
      <c r="HY78" s="10">
        <f>(GZ78/Data!$BW78-1)*1000000</f>
        <v>-6.1839930568519108</v>
      </c>
      <c r="HZ78" s="10">
        <f>(HA78/(Data!$S78*Data!$T78)-1)*1000000</f>
        <v>30.3669336054746</v>
      </c>
      <c r="IA78" s="7">
        <f>(HB78/IF(HD78&gt;0, -Data!$BX78,Data!$BX78)-1)*1000000</f>
        <v>146.23613604958229</v>
      </c>
      <c r="IB78" s="10"/>
      <c r="IC78" s="9">
        <f>(HD78-Data!$U78)</f>
        <v>-3.7684170068423839E-3</v>
      </c>
    </row>
    <row r="79" spans="1:237" x14ac:dyDescent="0.2">
      <c r="A79">
        <v>79</v>
      </c>
      <c r="B79">
        <v>230.00173950195301</v>
      </c>
      <c r="C79">
        <v>1.0000367164611801</v>
      </c>
      <c r="D79">
        <v>199.186599731445</v>
      </c>
      <c r="E79">
        <v>230.00938415527301</v>
      </c>
      <c r="F79">
        <v>115.017951965332</v>
      </c>
      <c r="G79">
        <v>49.999958038330099</v>
      </c>
      <c r="H79">
        <v>-30.003826141357401</v>
      </c>
      <c r="I79">
        <v>1.7028164118528401E-2</v>
      </c>
      <c r="J79" s="2">
        <v>3.6346143588161799E-6</v>
      </c>
      <c r="K79" s="2">
        <v>7.8927309132836895E-10</v>
      </c>
      <c r="L79" s="2">
        <v>6.3674484351849996E-8</v>
      </c>
      <c r="M79" s="2">
        <v>-7.7237274354047308E-9</v>
      </c>
      <c r="N79">
        <v>74.711456298828097</v>
      </c>
      <c r="O79">
        <v>89.109283447265597</v>
      </c>
      <c r="P79">
        <v>1.8901096656918501E-2</v>
      </c>
      <c r="Q79" s="2">
        <v>3.1397946713696001E-6</v>
      </c>
      <c r="R79" s="2">
        <v>2.19723927941118E-9</v>
      </c>
      <c r="S79" s="2">
        <v>6.0684335778660197E-8</v>
      </c>
      <c r="T79" s="2">
        <v>-3.1018088098022599E-9</v>
      </c>
      <c r="U79">
        <v>74.858451843261705</v>
      </c>
      <c r="V79">
        <v>34.8457641601562</v>
      </c>
      <c r="W79" s="2">
        <v>3.4028230607370999E+38</v>
      </c>
      <c r="X79" s="2">
        <v>3.4028230607370999E+38</v>
      </c>
      <c r="Y79">
        <v>199.186599731445</v>
      </c>
      <c r="Z79">
        <v>230.00938415527301</v>
      </c>
      <c r="AA79">
        <v>115.017944335938</v>
      </c>
      <c r="AB79" s="2">
        <v>3.4028230607370999E+38</v>
      </c>
      <c r="AC79" s="2">
        <v>3.4028230607370999E+38</v>
      </c>
      <c r="AD79">
        <v>230.00163269043</v>
      </c>
      <c r="AE79">
        <v>1.0000369548797601</v>
      </c>
      <c r="AF79">
        <v>199.186599731445</v>
      </c>
      <c r="AG79">
        <v>230.010177612305</v>
      </c>
      <c r="AH79">
        <v>115.018997192383</v>
      </c>
      <c r="AI79">
        <v>49.999889373779297</v>
      </c>
      <c r="AJ79">
        <v>-30.003959655761701</v>
      </c>
      <c r="AK79">
        <v>1.42317535355687E-2</v>
      </c>
      <c r="AL79" s="2">
        <v>3.5615387332654799E-6</v>
      </c>
      <c r="AM79" s="2">
        <v>3.2247742254298799E-9</v>
      </c>
      <c r="AN79" s="2">
        <v>5.0692705144683701E-8</v>
      </c>
      <c r="AO79" s="2">
        <v>-1.52586343560301E-9</v>
      </c>
      <c r="AP79">
        <v>74.745376586914105</v>
      </c>
      <c r="AQ79">
        <v>36.808746337890597</v>
      </c>
      <c r="AR79">
        <v>1.54115445911884E-2</v>
      </c>
      <c r="AS79" s="2">
        <v>3.1592742288921701E-6</v>
      </c>
      <c r="AT79" s="2">
        <v>2.4848842983260498E-9</v>
      </c>
      <c r="AU79" s="2">
        <v>5.0367042092602801E-8</v>
      </c>
      <c r="AV79" s="2">
        <v>-6.1317723121234704E-10</v>
      </c>
      <c r="AW79">
        <v>74.837059020996094</v>
      </c>
      <c r="AX79">
        <v>12.3959350585938</v>
      </c>
      <c r="AY79" s="2">
        <v>3.4028230607370999E+38</v>
      </c>
      <c r="AZ79" s="2">
        <v>3.4028230607370999E+38</v>
      </c>
      <c r="BA79">
        <v>199.186599731445</v>
      </c>
      <c r="BB79">
        <v>230.010177612305</v>
      </c>
      <c r="BC79">
        <v>115.018989562988</v>
      </c>
      <c r="BD79" s="2">
        <v>3.4028230607370999E+38</v>
      </c>
      <c r="BE79" s="2">
        <v>3.4028230607370999E+38</v>
      </c>
      <c r="BF79">
        <v>230.00199890136699</v>
      </c>
      <c r="BG79">
        <v>1.0000350475311299</v>
      </c>
      <c r="BH79">
        <v>199.18669128418</v>
      </c>
      <c r="BI79">
        <v>230.00990295410199</v>
      </c>
      <c r="BJ79">
        <v>115.018432617188</v>
      </c>
      <c r="BK79">
        <v>49.999889373779297</v>
      </c>
      <c r="BL79">
        <v>-30.0038166046143</v>
      </c>
      <c r="BM79">
        <v>1.43999354913831E-2</v>
      </c>
      <c r="BN79" s="2">
        <v>3.6278665902500498E-6</v>
      </c>
      <c r="BO79" s="2">
        <v>2.53742671318946E-9</v>
      </c>
      <c r="BP79" s="2">
        <v>5.35211981400607E-8</v>
      </c>
      <c r="BQ79" s="2">
        <v>-1.34957789388324E-9</v>
      </c>
      <c r="BR79">
        <v>74.745559692382798</v>
      </c>
      <c r="BS79">
        <v>28.360681533813501</v>
      </c>
      <c r="BT79">
        <v>1.6018085181713101E-2</v>
      </c>
      <c r="BU79" s="2">
        <v>3.13824898512394E-6</v>
      </c>
      <c r="BV79" s="2">
        <v>2.4146467048069599E-9</v>
      </c>
      <c r="BW79" s="2">
        <v>4.9702801874218501E-8</v>
      </c>
      <c r="BX79" s="2">
        <v>4.62139576606901E-10</v>
      </c>
      <c r="BY79">
        <v>74.777801513671903</v>
      </c>
      <c r="BZ79">
        <v>-4.7933506965637198</v>
      </c>
      <c r="CA79" s="2">
        <v>3.4028230607370999E+38</v>
      </c>
      <c r="CB79" s="2">
        <v>3.4028230607370999E+38</v>
      </c>
      <c r="CC79">
        <v>199.18669128418</v>
      </c>
      <c r="CD79">
        <v>230.00990295410199</v>
      </c>
      <c r="CE79">
        <v>115.018424987793</v>
      </c>
      <c r="CF79" s="2">
        <v>3.4028230607370999E+38</v>
      </c>
      <c r="CG79" s="2">
        <v>3.4028230607370999E+38</v>
      </c>
      <c r="CH79">
        <v>230.00175476074199</v>
      </c>
      <c r="CI79">
        <v>1.0000369548797601</v>
      </c>
      <c r="CJ79">
        <v>199.18682861328099</v>
      </c>
      <c r="CK79">
        <v>230.01026916503901</v>
      </c>
      <c r="CL79">
        <v>115.01856994628901</v>
      </c>
      <c r="CM79">
        <v>49.999996185302699</v>
      </c>
      <c r="CN79">
        <v>-30.003847122192401</v>
      </c>
      <c r="CO79">
        <v>1.43164834007621E-2</v>
      </c>
      <c r="CP79" s="2">
        <v>3.6419016851141401E-6</v>
      </c>
      <c r="CQ79" s="2">
        <v>2.0998069949484902E-9</v>
      </c>
      <c r="CR79" s="2">
        <v>5.2108635628656001E-8</v>
      </c>
      <c r="CS79" s="2">
        <v>-1.4451666530135301E-9</v>
      </c>
      <c r="CT79">
        <v>74.646751403808594</v>
      </c>
      <c r="CU79">
        <v>46.398101806640597</v>
      </c>
      <c r="CV79">
        <v>1.5329681336879701E-2</v>
      </c>
      <c r="CW79" s="2">
        <v>3.1614604267815602E-6</v>
      </c>
      <c r="CX79" s="2">
        <v>1.3273904198030099E-9</v>
      </c>
      <c r="CY79" s="2">
        <v>4.8377579275893401E-8</v>
      </c>
      <c r="CZ79" s="2">
        <v>-8.6673601629172502E-10</v>
      </c>
      <c r="DA79">
        <v>74.702667236328097</v>
      </c>
      <c r="DB79">
        <v>58.248390197753899</v>
      </c>
      <c r="DC79" s="2">
        <v>3.4028230607370999E+38</v>
      </c>
      <c r="DD79" s="2">
        <v>3.4028230607370999E+38</v>
      </c>
      <c r="DE79">
        <v>199.18682861328099</v>
      </c>
      <c r="DF79">
        <v>230.01026916503901</v>
      </c>
      <c r="DG79">
        <v>115.018562316895</v>
      </c>
      <c r="DH79" s="2">
        <v>3.4028230607370999E+38</v>
      </c>
      <c r="DI79" s="2">
        <v>3.4028230607370999E+38</v>
      </c>
      <c r="DJ79">
        <v>230.00173950195301</v>
      </c>
      <c r="DK79">
        <v>1.0000345706939699</v>
      </c>
      <c r="DL79">
        <v>199.18667602539099</v>
      </c>
      <c r="DM79">
        <v>230.00949096679699</v>
      </c>
      <c r="DN79">
        <v>115.01804351806599</v>
      </c>
      <c r="DO79">
        <v>49.999954223632798</v>
      </c>
      <c r="DP79">
        <v>-30.0037956237793</v>
      </c>
      <c r="DQ79">
        <v>1.69123336672783E-2</v>
      </c>
      <c r="DR79" s="2">
        <v>3.6050967082701399E-6</v>
      </c>
      <c r="DS79" s="2">
        <v>5.3356590257180902E-9</v>
      </c>
      <c r="DT79" s="2">
        <v>5.9068856472777003E-8</v>
      </c>
      <c r="DU79" s="2">
        <v>-1.7995486212285501E-9</v>
      </c>
      <c r="DV79">
        <v>74.725387573242202</v>
      </c>
      <c r="DW79">
        <v>21.719305038452099</v>
      </c>
      <c r="DX79">
        <v>1.8525127321481701E-2</v>
      </c>
      <c r="DY79" s="2">
        <v>3.2368741358368399E-6</v>
      </c>
      <c r="DZ79" s="2">
        <v>5.4951780903422803E-9</v>
      </c>
      <c r="EA79" s="2">
        <v>5.9222177384299397E-8</v>
      </c>
      <c r="EB79" s="2">
        <v>1.7436815324956001E-9</v>
      </c>
      <c r="EC79">
        <v>74.785118103027301</v>
      </c>
      <c r="ED79">
        <v>-12.0298070907593</v>
      </c>
      <c r="EE79" s="2">
        <v>3.4028230607370999E+38</v>
      </c>
      <c r="EF79" s="2">
        <v>3.4028230607370999E+38</v>
      </c>
      <c r="EG79">
        <v>199.18667602539099</v>
      </c>
      <c r="EH79">
        <v>230.00949096679699</v>
      </c>
      <c r="EI79">
        <v>115.018035888672</v>
      </c>
      <c r="EJ79" s="2">
        <v>3.4028230607370999E+38</v>
      </c>
      <c r="EK79" s="2">
        <v>3.4028230607370999E+38</v>
      </c>
      <c r="EL79">
        <v>123</v>
      </c>
      <c r="EM79">
        <v>230.00172424316401</v>
      </c>
      <c r="EN79">
        <v>1.0000348091125499</v>
      </c>
      <c r="EO79">
        <v>199.18692016601599</v>
      </c>
      <c r="EP79">
        <v>230.00997924804699</v>
      </c>
      <c r="EQ79">
        <v>115.01848602294901</v>
      </c>
      <c r="ER79">
        <v>49.9999809265137</v>
      </c>
      <c r="ES79">
        <v>-30.003850936889599</v>
      </c>
      <c r="ET79">
        <v>0.86599242687225297</v>
      </c>
      <c r="EU79" s="2">
        <v>3.4028230607370999E+38</v>
      </c>
      <c r="EV79">
        <v>0</v>
      </c>
      <c r="EW79">
        <v>230.00045776367199</v>
      </c>
      <c r="EX79">
        <v>199.18211364746099</v>
      </c>
      <c r="EY79">
        <v>230.00770568847699</v>
      </c>
      <c r="EZ79">
        <v>115.02072906494099</v>
      </c>
      <c r="FA79">
        <v>-4.5695155858993498E-4</v>
      </c>
      <c r="FB79">
        <v>1.50899663567543E-2</v>
      </c>
      <c r="FC79" s="2">
        <v>3.6521278161671902E-6</v>
      </c>
      <c r="FD79" s="2">
        <v>3.8226204424063301E-9</v>
      </c>
      <c r="FE79" s="2">
        <v>5.46166987192009E-8</v>
      </c>
      <c r="FF79" s="2">
        <v>-5.8083210463522102E-10</v>
      </c>
      <c r="FG79">
        <v>74.773719787597699</v>
      </c>
      <c r="FH79">
        <v>10.8699140548706</v>
      </c>
      <c r="FI79">
        <v>4.1828956454992301E-2</v>
      </c>
      <c r="FJ79" s="2">
        <v>3.4028230607370999E+38</v>
      </c>
      <c r="FK79">
        <v>-53.832996368408203</v>
      </c>
      <c r="FL79">
        <v>1.9765146076679199E-2</v>
      </c>
      <c r="FM79">
        <v>0</v>
      </c>
      <c r="FN79">
        <v>0</v>
      </c>
      <c r="FO79">
        <v>0</v>
      </c>
      <c r="FP79" s="2">
        <v>-6.9708992668893202E-5</v>
      </c>
      <c r="FQ79">
        <v>1.6103750094771399E-2</v>
      </c>
      <c r="FR79" s="2">
        <v>3.22482082992792E-6</v>
      </c>
      <c r="FS79" s="2">
        <v>1.7671650809347699E-9</v>
      </c>
      <c r="FT79" s="2">
        <v>4.9801514023783999E-8</v>
      </c>
      <c r="FU79" s="2">
        <v>-2.01616098816082E-10</v>
      </c>
      <c r="FV79">
        <v>74.718322753906193</v>
      </c>
      <c r="FW79">
        <v>4.5178704261779803</v>
      </c>
      <c r="FX79">
        <v>5.1235392689704902E-2</v>
      </c>
      <c r="FY79" s="2">
        <v>3.4028230607370999E+38</v>
      </c>
      <c r="FZ79">
        <v>-14.857372283935501</v>
      </c>
      <c r="GA79">
        <v>229.07893371582</v>
      </c>
      <c r="GB79" s="2">
        <v>7.4653316861628096E-10</v>
      </c>
      <c r="GC79">
        <v>7.1334803942590995E-4</v>
      </c>
      <c r="GD79" s="2">
        <v>1.0145788653659301E-9</v>
      </c>
      <c r="GE79" s="2">
        <v>4.8665802751202102E-5</v>
      </c>
      <c r="GF79" s="2">
        <v>3.4028230607370999E+38</v>
      </c>
      <c r="GG79" s="2">
        <v>3.4028230607370999E+38</v>
      </c>
      <c r="GH79">
        <v>199.18696594238301</v>
      </c>
      <c r="GI79">
        <v>230.01043701171901</v>
      </c>
      <c r="GJ79">
        <v>115.018280029297</v>
      </c>
      <c r="GK79" s="2">
        <v>3.4028230607370999E+38</v>
      </c>
      <c r="GL79" s="2">
        <v>3.4028230607370999E+38</v>
      </c>
      <c r="GM79" s="2">
        <v>3.4028230607370999E+38</v>
      </c>
      <c r="GN79" s="2">
        <v>3.4028230607370999E+38</v>
      </c>
      <c r="GO79" s="2">
        <v>3.4028230607370999E+38</v>
      </c>
      <c r="GP79" s="2">
        <v>3.4028230607370999E+38</v>
      </c>
      <c r="GQ79">
        <v>199.18460083007801</v>
      </c>
      <c r="GR79">
        <v>199.18460083007801</v>
      </c>
      <c r="GS79">
        <v>115.021369934082</v>
      </c>
      <c r="GT79">
        <v>-2.3824481468182101E-4</v>
      </c>
      <c r="GX79">
        <f t="shared" si="8"/>
        <v>230.00177307128897</v>
      </c>
      <c r="GY79">
        <f t="shared" si="9"/>
        <v>1.00003604888916</v>
      </c>
      <c r="GZ79">
        <f t="shared" si="10"/>
        <v>199.1866790771484</v>
      </c>
      <c r="HA79">
        <f t="shared" si="11"/>
        <v>230.00984497070323</v>
      </c>
      <c r="HB79">
        <f t="shared" si="12"/>
        <v>115.0183990478516</v>
      </c>
      <c r="HC79">
        <f t="shared" si="13"/>
        <v>49.999937438964842</v>
      </c>
      <c r="HD79">
        <f t="shared" si="14"/>
        <v>-30.003849029541023</v>
      </c>
      <c r="HW79" s="10">
        <f>(GX79/Data!$S79-1)*1000000</f>
        <v>21.571478544757383</v>
      </c>
      <c r="HX79" s="10">
        <f>(GY79/Data!$T79-1)*1000000</f>
        <v>9.1186435948742428</v>
      </c>
      <c r="HY79" s="10">
        <f>(GZ79/Data!$BW79-1)*1000000</f>
        <v>-4.4225796610453116</v>
      </c>
      <c r="HZ79" s="10">
        <f>(HA79/(Data!$S79*Data!$T79)-1)*1000000</f>
        <v>29.736379091538367</v>
      </c>
      <c r="IA79" s="7">
        <f>(HB79/IF(HD79&gt;0, -Data!$BX79,Data!$BX79)-1)*1000000</f>
        <v>133.55688601834891</v>
      </c>
      <c r="IB79" s="10"/>
      <c r="IC79" s="9">
        <f>(HD79-Data!$U79)</f>
        <v>-3.4071695410240466E-3</v>
      </c>
    </row>
    <row r="80" spans="1:237" x14ac:dyDescent="0.2">
      <c r="A80">
        <v>80</v>
      </c>
      <c r="B80">
        <v>230.00192260742199</v>
      </c>
      <c r="C80">
        <v>1.00003802776337</v>
      </c>
      <c r="D80">
        <v>199.18722534179699</v>
      </c>
      <c r="E80">
        <v>230.01036071777301</v>
      </c>
      <c r="F80">
        <v>115.01929473877</v>
      </c>
      <c r="G80">
        <v>49.999923706054702</v>
      </c>
      <c r="H80">
        <v>-30.004011154174801</v>
      </c>
      <c r="I80">
        <v>1.57123096287251E-2</v>
      </c>
      <c r="J80" s="2">
        <v>3.6234685012459501E-6</v>
      </c>
      <c r="K80" s="2">
        <v>3.1958749535654399E-10</v>
      </c>
      <c r="L80" s="2">
        <v>5.6962484507039302E-8</v>
      </c>
      <c r="M80" s="2">
        <v>-5.1020263569512297E-9</v>
      </c>
      <c r="N80">
        <v>74.749259948730497</v>
      </c>
      <c r="O80">
        <v>82.493797302246094</v>
      </c>
      <c r="P80">
        <v>1.6807049512863201E-2</v>
      </c>
      <c r="Q80" s="2">
        <v>3.10429140881752E-6</v>
      </c>
      <c r="R80" s="2">
        <v>6.8156558175047601E-10</v>
      </c>
      <c r="S80" s="2">
        <v>5.3517712927941803E-8</v>
      </c>
      <c r="T80" s="2">
        <v>-3.0540066031647902E-9</v>
      </c>
      <c r="U80">
        <v>74.746040344238295</v>
      </c>
      <c r="V80">
        <v>111.37043762207</v>
      </c>
      <c r="W80" s="2">
        <v>3.4028230607370999E+38</v>
      </c>
      <c r="X80" s="2">
        <v>3.4028230607370999E+38</v>
      </c>
      <c r="Y80">
        <v>199.18722534179699</v>
      </c>
      <c r="Z80">
        <v>230.01036071777301</v>
      </c>
      <c r="AA80">
        <v>115.019287109375</v>
      </c>
      <c r="AB80" s="2">
        <v>3.4028230607370999E+38</v>
      </c>
      <c r="AC80" s="2">
        <v>3.4028230607370999E+38</v>
      </c>
      <c r="AD80">
        <v>230.00158691406199</v>
      </c>
      <c r="AE80">
        <v>1.0000350475311299</v>
      </c>
      <c r="AF80">
        <v>199.18641662597699</v>
      </c>
      <c r="AG80">
        <v>230.00950622558599</v>
      </c>
      <c r="AH80">
        <v>115.018119812012</v>
      </c>
      <c r="AI80">
        <v>49.999870300292997</v>
      </c>
      <c r="AJ80">
        <v>-30.003953933715799</v>
      </c>
      <c r="AK80">
        <v>1.6934784129261998E-2</v>
      </c>
      <c r="AL80" s="2">
        <v>3.61708748641831E-6</v>
      </c>
      <c r="AM80" s="2">
        <v>4.9152926173689998E-9</v>
      </c>
      <c r="AN80" s="2">
        <v>6.1600275103046403E-8</v>
      </c>
      <c r="AO80" s="2">
        <v>-2.1614472434094999E-9</v>
      </c>
      <c r="AP80">
        <v>74.694137573242202</v>
      </c>
      <c r="AQ80">
        <v>25.7554531097412</v>
      </c>
      <c r="AR80">
        <v>1.86734292656183E-2</v>
      </c>
      <c r="AS80" s="2">
        <v>3.2122432003234301E-6</v>
      </c>
      <c r="AT80" s="2">
        <v>6.5592535847258701E-9</v>
      </c>
      <c r="AU80" s="2">
        <v>6.0463129614163296E-8</v>
      </c>
      <c r="AV80" s="2">
        <v>1.45790401973045E-9</v>
      </c>
      <c r="AW80">
        <v>74.630241394042997</v>
      </c>
      <c r="AX80">
        <v>-3.6087958812713601</v>
      </c>
      <c r="AY80" s="2">
        <v>3.4028230607370999E+38</v>
      </c>
      <c r="AZ80" s="2">
        <v>3.4028230607370999E+38</v>
      </c>
      <c r="BA80">
        <v>199.18641662597699</v>
      </c>
      <c r="BB80">
        <v>230.00950622558599</v>
      </c>
      <c r="BC80">
        <v>115.018112182617</v>
      </c>
      <c r="BD80" s="2">
        <v>3.4028230607370999E+38</v>
      </c>
      <c r="BE80" s="2">
        <v>3.4028230607370999E+38</v>
      </c>
      <c r="BF80">
        <v>230.00172424316401</v>
      </c>
      <c r="BG80">
        <v>1.0000342130661</v>
      </c>
      <c r="BH80">
        <v>199.18641662597699</v>
      </c>
      <c r="BI80">
        <v>230.00975036621099</v>
      </c>
      <c r="BJ80">
        <v>115.019004821777</v>
      </c>
      <c r="BK80">
        <v>49.999927520752003</v>
      </c>
      <c r="BL80">
        <v>-30.004011154174801</v>
      </c>
      <c r="BM80">
        <v>1.5196118503809E-2</v>
      </c>
      <c r="BN80" s="2">
        <v>3.6011265365232201E-6</v>
      </c>
      <c r="BO80" s="2">
        <v>3.56308271776129E-9</v>
      </c>
      <c r="BP80" s="2">
        <v>5.47063443434581E-8</v>
      </c>
      <c r="BQ80" s="2">
        <v>-1.3097500861647399E-10</v>
      </c>
      <c r="BR80">
        <v>74.718475341796903</v>
      </c>
      <c r="BS80">
        <v>2.4353501796722399</v>
      </c>
      <c r="BT80">
        <v>1.6296392306685399E-2</v>
      </c>
      <c r="BU80" s="2">
        <v>3.12036104332947E-6</v>
      </c>
      <c r="BV80" s="2">
        <v>3.1450420046041898E-9</v>
      </c>
      <c r="BW80" s="2">
        <v>5.3004008293555698E-8</v>
      </c>
      <c r="BX80" s="2">
        <v>6.0826838010896701E-10</v>
      </c>
      <c r="BY80">
        <v>74.809295654296903</v>
      </c>
      <c r="BZ80">
        <v>-11.469202041626</v>
      </c>
      <c r="CA80" s="2">
        <v>3.4028230607370999E+38</v>
      </c>
      <c r="CB80" s="2">
        <v>3.4028230607370999E+38</v>
      </c>
      <c r="CC80">
        <v>199.18641662597699</v>
      </c>
      <c r="CD80">
        <v>230.00975036621099</v>
      </c>
      <c r="CE80">
        <v>115.018997192383</v>
      </c>
      <c r="CF80" s="2">
        <v>3.4028230607370999E+38</v>
      </c>
      <c r="CG80" s="2">
        <v>3.4028230607370999E+38</v>
      </c>
      <c r="CH80">
        <v>230.00189208984401</v>
      </c>
      <c r="CI80">
        <v>1.00003790855408</v>
      </c>
      <c r="CJ80">
        <v>199.18745422363301</v>
      </c>
      <c r="CK80">
        <v>230.01048278808599</v>
      </c>
      <c r="CL80">
        <v>115.01846313476599</v>
      </c>
      <c r="CM80">
        <v>49.999912261962898</v>
      </c>
      <c r="CN80">
        <v>-30.003847122192401</v>
      </c>
      <c r="CO80">
        <v>1.5886193141341199E-2</v>
      </c>
      <c r="CP80" s="2">
        <v>3.6788178476854202E-6</v>
      </c>
      <c r="CQ80" s="2">
        <v>1.8182070293804E-9</v>
      </c>
      <c r="CR80" s="2">
        <v>5.7919667284522802E-8</v>
      </c>
      <c r="CS80" s="2">
        <v>-5.3433892865939503E-9</v>
      </c>
      <c r="CT80">
        <v>74.721435546875</v>
      </c>
      <c r="CU80">
        <v>77.967132568359403</v>
      </c>
      <c r="CV80">
        <v>1.7221434041857699E-2</v>
      </c>
      <c r="CW80" s="2">
        <v>3.1029057936393698E-6</v>
      </c>
      <c r="CX80" s="2">
        <v>1.3121187469877801E-9</v>
      </c>
      <c r="CY80" s="2">
        <v>5.33767590127354E-8</v>
      </c>
      <c r="CZ80" s="2">
        <v>-3.2010722961217698E-9</v>
      </c>
      <c r="DA80">
        <v>74.698890686035199</v>
      </c>
      <c r="DB80">
        <v>77.275367736816406</v>
      </c>
      <c r="DC80" s="2">
        <v>3.4028230607370999E+38</v>
      </c>
      <c r="DD80" s="2">
        <v>3.4028230607370999E+38</v>
      </c>
      <c r="DE80">
        <v>199.18745422363301</v>
      </c>
      <c r="DF80">
        <v>230.01048278808599</v>
      </c>
      <c r="DG80">
        <v>115.01845550537099</v>
      </c>
      <c r="DH80" s="2">
        <v>3.4028230607370999E+38</v>
      </c>
      <c r="DI80" s="2">
        <v>3.4028230607370999E+38</v>
      </c>
      <c r="DJ80">
        <v>230.00180053710901</v>
      </c>
      <c r="DK80">
        <v>1.00003850460052</v>
      </c>
      <c r="DL80">
        <v>199.186767578125</v>
      </c>
      <c r="DM80">
        <v>230.00958251953099</v>
      </c>
      <c r="DN80">
        <v>115.01797485351599</v>
      </c>
      <c r="DO80">
        <v>49.999912261962898</v>
      </c>
      <c r="DP80">
        <v>-30.003761291503899</v>
      </c>
      <c r="DQ80">
        <v>1.6672659665346101E-2</v>
      </c>
      <c r="DR80" s="2">
        <v>3.7188449368841201E-6</v>
      </c>
      <c r="DS80" s="2">
        <v>5.62200841436322E-10</v>
      </c>
      <c r="DT80" s="2">
        <v>6.1959354979990206E-8</v>
      </c>
      <c r="DU80" s="2">
        <v>-7.1008017243912003E-9</v>
      </c>
      <c r="DV80">
        <v>74.751281738281193</v>
      </c>
      <c r="DW80">
        <v>86.856292724609403</v>
      </c>
      <c r="DX80">
        <v>1.8387999385595301E-2</v>
      </c>
      <c r="DY80" s="2">
        <v>3.1699910323368398E-6</v>
      </c>
      <c r="DZ80" s="2">
        <v>9.0820434506255796E-10</v>
      </c>
      <c r="EA80" s="2">
        <v>5.6323479213915601E-8</v>
      </c>
      <c r="EB80" s="2">
        <v>-2.9864630768372498E-9</v>
      </c>
      <c r="EC80">
        <v>74.722602844238295</v>
      </c>
      <c r="ED80">
        <v>55.651130676269503</v>
      </c>
      <c r="EE80" s="2">
        <v>3.4028230607370999E+38</v>
      </c>
      <c r="EF80" s="2">
        <v>3.4028230607370999E+38</v>
      </c>
      <c r="EG80">
        <v>199.186767578125</v>
      </c>
      <c r="EH80">
        <v>230.00958251953099</v>
      </c>
      <c r="EI80">
        <v>115.01796722412099</v>
      </c>
      <c r="EJ80" s="2">
        <v>3.4028230607370999E+38</v>
      </c>
      <c r="EK80" s="2">
        <v>3.4028230607370999E+38</v>
      </c>
      <c r="EL80">
        <v>123</v>
      </c>
      <c r="EM80">
        <v>230.00119018554699</v>
      </c>
      <c r="EN80">
        <v>1.0000357627868699</v>
      </c>
      <c r="EO80">
        <v>199.18653869628901</v>
      </c>
      <c r="EP80">
        <v>230.00929260253901</v>
      </c>
      <c r="EQ80">
        <v>115.01815032959</v>
      </c>
      <c r="ER80">
        <v>49.999889373779297</v>
      </c>
      <c r="ES80">
        <v>-30.0037651062012</v>
      </c>
      <c r="ET80">
        <v>0.86599314212799094</v>
      </c>
      <c r="EU80" s="2">
        <v>3.4028230607370999E+38</v>
      </c>
      <c r="EV80">
        <v>0</v>
      </c>
      <c r="EW80">
        <v>230.0068359375</v>
      </c>
      <c r="EX80">
        <v>199.18772888183599</v>
      </c>
      <c r="EY80">
        <v>230.01463317871099</v>
      </c>
      <c r="EZ80">
        <v>115.027465820312</v>
      </c>
      <c r="FA80" s="2">
        <v>-6.9792862632311894E-5</v>
      </c>
      <c r="FB80">
        <v>1.7147675156593298E-2</v>
      </c>
      <c r="FC80" s="2">
        <v>3.61421257366601E-6</v>
      </c>
      <c r="FD80" s="2">
        <v>1.13388809452886E-9</v>
      </c>
      <c r="FE80" s="2">
        <v>6.2302419223669898E-8</v>
      </c>
      <c r="FF80" s="2">
        <v>-5.5542446197876002E-9</v>
      </c>
      <c r="FG80">
        <v>74.768821716308594</v>
      </c>
      <c r="FH80">
        <v>69.691108703613295</v>
      </c>
      <c r="FI80">
        <v>2.9675550758838699E-2</v>
      </c>
      <c r="FJ80" s="2">
        <v>3.4028230607370999E+38</v>
      </c>
      <c r="FK80">
        <v>36.666316986083999</v>
      </c>
      <c r="FL80">
        <v>2.0635042339563401E-2</v>
      </c>
      <c r="FM80">
        <v>0</v>
      </c>
      <c r="FN80">
        <v>0</v>
      </c>
      <c r="FO80">
        <v>0</v>
      </c>
      <c r="FP80" s="2">
        <v>-8.66883565322496E-5</v>
      </c>
      <c r="FQ80">
        <v>1.90662574023008E-2</v>
      </c>
      <c r="FR80" s="2">
        <v>3.1319032132159902E-6</v>
      </c>
      <c r="FS80" s="2">
        <v>2.2789543585588498E-9</v>
      </c>
      <c r="FT80" s="2">
        <v>5.9691430465136403E-8</v>
      </c>
      <c r="FU80" s="2">
        <v>-3.0134961193084601E-9</v>
      </c>
      <c r="FV80">
        <v>74.739677429199205</v>
      </c>
      <c r="FW80">
        <v>64.099060058593807</v>
      </c>
      <c r="FX80">
        <v>2.37212441861629E-2</v>
      </c>
      <c r="FY80" s="2">
        <v>3.4028230607370999E+38</v>
      </c>
      <c r="FZ80">
        <v>3.6893668174743701</v>
      </c>
      <c r="GA80">
        <v>229.71733093261699</v>
      </c>
      <c r="GB80" s="2">
        <v>-5.5486565342377503E-10</v>
      </c>
      <c r="GC80">
        <v>7.0909655187278997E-4</v>
      </c>
      <c r="GD80" s="2">
        <v>9.754681506990439E-10</v>
      </c>
      <c r="GE80" s="2">
        <v>3.2592008210485801E-5</v>
      </c>
      <c r="GF80" s="2">
        <v>3.4028230607370999E+38</v>
      </c>
      <c r="GG80" s="2">
        <v>3.4028230607370999E+38</v>
      </c>
      <c r="GH80">
        <v>199.18743896484401</v>
      </c>
      <c r="GI80">
        <v>230.01039123535199</v>
      </c>
      <c r="GJ80">
        <v>115.018356323242</v>
      </c>
      <c r="GK80" s="2">
        <v>3.4028230607370999E+38</v>
      </c>
      <c r="GL80" s="2">
        <v>3.4028230607370999E+38</v>
      </c>
      <c r="GM80" s="2">
        <v>3.4028230607370999E+38</v>
      </c>
      <c r="GN80" s="2">
        <v>3.4028230607370999E+38</v>
      </c>
      <c r="GO80" s="2">
        <v>3.4028230607370999E+38</v>
      </c>
      <c r="GP80" s="2">
        <v>3.4028230607370999E+38</v>
      </c>
      <c r="GQ80">
        <v>199.18618774414099</v>
      </c>
      <c r="GR80">
        <v>199.18620300293</v>
      </c>
      <c r="GS80">
        <v>115.02703094482401</v>
      </c>
      <c r="GT80">
        <v>-1.9608049478847501E-4</v>
      </c>
      <c r="GX80">
        <f t="shared" si="8"/>
        <v>230.00178527832017</v>
      </c>
      <c r="GY80">
        <f t="shared" si="9"/>
        <v>1.0000367403030399</v>
      </c>
      <c r="GZ80">
        <f t="shared" si="10"/>
        <v>199.1868560791018</v>
      </c>
      <c r="HA80">
        <f t="shared" si="11"/>
        <v>230.0099365234374</v>
      </c>
      <c r="HB80">
        <f t="shared" si="12"/>
        <v>115.01857147216819</v>
      </c>
      <c r="HC80">
        <f t="shared" si="13"/>
        <v>49.999909210205097</v>
      </c>
      <c r="HD80">
        <f t="shared" si="14"/>
        <v>-30.003916931152339</v>
      </c>
      <c r="HW80" s="10">
        <f>(GX80/Data!$S80-1)*1000000</f>
        <v>21.764558317149962</v>
      </c>
      <c r="HX80" s="10">
        <f>(GY80/Data!$T80-1)*1000000</f>
        <v>6.8470983596302659</v>
      </c>
      <c r="HY80" s="10">
        <f>(GZ80/Data!$BW80-1)*1000000</f>
        <v>-9.0312417552196322</v>
      </c>
      <c r="HZ80" s="10">
        <f>(HA80/(Data!$S80*Data!$T80)-1)*1000000</f>
        <v>27.311434305010707</v>
      </c>
      <c r="IA80" s="7">
        <f>(HB80/IF(HD80&gt;0, -Data!$BX80,Data!$BX80)-1)*1000000</f>
        <v>140.2567801498389</v>
      </c>
      <c r="IB80" s="10"/>
      <c r="IC80" s="9">
        <f>(HD80-Data!$U80)</f>
        <v>-3.7404611523399467E-3</v>
      </c>
    </row>
    <row r="81" spans="1:237" x14ac:dyDescent="0.2">
      <c r="A81">
        <v>81</v>
      </c>
      <c r="B81">
        <v>230.00192260742199</v>
      </c>
      <c r="C81">
        <v>1.00003290176392</v>
      </c>
      <c r="D81">
        <v>-138.02117919921901</v>
      </c>
      <c r="E81">
        <v>230.00930786132801</v>
      </c>
      <c r="F81">
        <v>183.99798583984401</v>
      </c>
      <c r="G81">
        <v>49.999912261962898</v>
      </c>
      <c r="H81">
        <v>-126.87435913085901</v>
      </c>
      <c r="I81">
        <v>1.7819188535213502E-2</v>
      </c>
      <c r="J81" s="2">
        <v>3.6136748349235901E-6</v>
      </c>
      <c r="K81" s="2">
        <v>7.4392469961992397E-9</v>
      </c>
      <c r="L81" s="2">
        <v>6.4040179381663594E-8</v>
      </c>
      <c r="M81" s="2">
        <v>7.3555757040821804E-9</v>
      </c>
      <c r="N81">
        <v>74.764358520507798</v>
      </c>
      <c r="O81">
        <v>-45.754074096679702</v>
      </c>
      <c r="P81">
        <v>1.9585784524679201E-2</v>
      </c>
      <c r="Q81" s="2">
        <v>3.21233483191463E-6</v>
      </c>
      <c r="R81" s="2">
        <v>5.8667750657548401E-9</v>
      </c>
      <c r="S81" s="2">
        <v>6.2894905283883404E-8</v>
      </c>
      <c r="T81" s="2">
        <v>5.3773896446784899E-9</v>
      </c>
      <c r="U81">
        <v>74.887893676757798</v>
      </c>
      <c r="V81">
        <v>-43.663822174072301</v>
      </c>
      <c r="W81" s="2">
        <v>3.4028230607370999E+38</v>
      </c>
      <c r="X81" s="2">
        <v>3.4028230607370999E+38</v>
      </c>
      <c r="Y81">
        <v>-138.02117919921901</v>
      </c>
      <c r="Z81">
        <v>230.00930786132801</v>
      </c>
      <c r="AA81">
        <v>183.99798583984401</v>
      </c>
      <c r="AB81" s="2">
        <v>3.4028230607370999E+38</v>
      </c>
      <c r="AC81" s="2">
        <v>3.4028230607370999E+38</v>
      </c>
      <c r="AD81">
        <v>230.00196838378901</v>
      </c>
      <c r="AE81">
        <v>1.0000331401825</v>
      </c>
      <c r="AF81">
        <v>-138.02131652832</v>
      </c>
      <c r="AG81">
        <v>230.00987243652301</v>
      </c>
      <c r="AH81">
        <v>183.99862670898401</v>
      </c>
      <c r="AI81">
        <v>49.999935150146499</v>
      </c>
      <c r="AJ81">
        <v>-126.874305725098</v>
      </c>
      <c r="AK81">
        <v>1.7002996057271999E-2</v>
      </c>
      <c r="AL81" s="2">
        <v>3.6489898320723998E-6</v>
      </c>
      <c r="AM81" s="2">
        <v>6.9949117609269301E-9</v>
      </c>
      <c r="AN81" s="2">
        <v>6.2205110396007499E-8</v>
      </c>
      <c r="AO81" s="2">
        <v>3.8791725387454798E-9</v>
      </c>
      <c r="AP81">
        <v>74.781074523925795</v>
      </c>
      <c r="AQ81">
        <v>-29.084600448608398</v>
      </c>
      <c r="AR81">
        <v>1.8857160583138501E-2</v>
      </c>
      <c r="AS81" s="2">
        <v>3.2060422654467402E-6</v>
      </c>
      <c r="AT81" s="2">
        <v>5.3901274554846201E-9</v>
      </c>
      <c r="AU81" s="2">
        <v>6.0047895544812504E-8</v>
      </c>
      <c r="AV81" s="2">
        <v>2.77759659716992E-9</v>
      </c>
      <c r="AW81">
        <v>74.766464233398395</v>
      </c>
      <c r="AX81">
        <v>-32.317001342773402</v>
      </c>
      <c r="AY81" s="2">
        <v>3.4028230607370999E+38</v>
      </c>
      <c r="AZ81" s="2">
        <v>3.4028230607370999E+38</v>
      </c>
      <c r="BA81">
        <v>-138.02131652832</v>
      </c>
      <c r="BB81">
        <v>230.00987243652301</v>
      </c>
      <c r="BC81">
        <v>183.99862670898401</v>
      </c>
      <c r="BD81" s="2">
        <v>3.4028230607370999E+38</v>
      </c>
      <c r="BE81" s="2">
        <v>3.4028230607370999E+38</v>
      </c>
      <c r="BF81">
        <v>230.00189208984401</v>
      </c>
      <c r="BG81">
        <v>1.0000315904617301</v>
      </c>
      <c r="BH81">
        <v>-138.02041625976599</v>
      </c>
      <c r="BI81">
        <v>230.00921630859401</v>
      </c>
      <c r="BJ81">
        <v>183.99855041503901</v>
      </c>
      <c r="BK81">
        <v>49.9998779296875</v>
      </c>
      <c r="BL81">
        <v>-126.874214172363</v>
      </c>
      <c r="BM81">
        <v>1.7324326559901199E-2</v>
      </c>
      <c r="BN81" s="2">
        <v>3.6550322874973101E-6</v>
      </c>
      <c r="BO81" s="2">
        <v>7.8097075473237998E-9</v>
      </c>
      <c r="BP81" s="2">
        <v>6.3382728399119501E-8</v>
      </c>
      <c r="BQ81" s="2">
        <v>5.6977902396226901E-9</v>
      </c>
      <c r="BR81">
        <v>74.771240234375</v>
      </c>
      <c r="BS81">
        <v>-31.591173171997099</v>
      </c>
      <c r="BT81">
        <v>1.89378727227449E-2</v>
      </c>
      <c r="BU81" s="2">
        <v>3.1167014640232099E-6</v>
      </c>
      <c r="BV81" s="2">
        <v>7.1543122537320902E-9</v>
      </c>
      <c r="BW81" s="2">
        <v>6.1527323680366006E-8</v>
      </c>
      <c r="BX81" s="2">
        <v>4.1284144991493601E-9</v>
      </c>
      <c r="BY81">
        <v>74.802574157714801</v>
      </c>
      <c r="BZ81">
        <v>-29.2903861999512</v>
      </c>
      <c r="CA81" s="2">
        <v>3.4028230607370999E+38</v>
      </c>
      <c r="CB81" s="2">
        <v>3.4028230607370999E+38</v>
      </c>
      <c r="CC81">
        <v>-138.02041625976599</v>
      </c>
      <c r="CD81">
        <v>230.00921630859401</v>
      </c>
      <c r="CE81">
        <v>183.99855041503901</v>
      </c>
      <c r="CF81" s="2">
        <v>3.4028230607370999E+38</v>
      </c>
      <c r="CG81" s="2">
        <v>3.4028230607370999E+38</v>
      </c>
      <c r="CH81">
        <v>230.00204467773401</v>
      </c>
      <c r="CI81">
        <v>1.0000364780426001</v>
      </c>
      <c r="CJ81">
        <v>-138.02108764648401</v>
      </c>
      <c r="CK81">
        <v>230.01031494140599</v>
      </c>
      <c r="CL81">
        <v>183.99917602539099</v>
      </c>
      <c r="CM81">
        <v>49.999988555908203</v>
      </c>
      <c r="CN81">
        <v>-126.87433624267599</v>
      </c>
      <c r="CO81">
        <v>1.4537676237523601E-2</v>
      </c>
      <c r="CP81" s="2">
        <v>3.6317669582786E-6</v>
      </c>
      <c r="CQ81" s="2">
        <v>3.53170714895157E-9</v>
      </c>
      <c r="CR81" s="2">
        <v>5.2333014366467998E-8</v>
      </c>
      <c r="CS81" s="2">
        <v>4.0033678594397803E-9</v>
      </c>
      <c r="CT81">
        <v>74.729827880859403</v>
      </c>
      <c r="CU81">
        <v>-55.397731781005902</v>
      </c>
      <c r="CV81">
        <v>1.5633758157491701E-2</v>
      </c>
      <c r="CW81" s="2">
        <v>3.1191214020509501E-6</v>
      </c>
      <c r="CX81" s="2">
        <v>2.0243331455560602E-9</v>
      </c>
      <c r="CY81" s="2">
        <v>4.8772268002039703E-8</v>
      </c>
      <c r="CZ81" s="2">
        <v>2.1385748727453802E-9</v>
      </c>
      <c r="DA81">
        <v>74.786491394042997</v>
      </c>
      <c r="DB81">
        <v>-42.6743774414062</v>
      </c>
      <c r="DC81" s="2">
        <v>3.4028230607370999E+38</v>
      </c>
      <c r="DD81" s="2">
        <v>3.4028230607370999E+38</v>
      </c>
      <c r="DE81">
        <v>-138.02108764648401</v>
      </c>
      <c r="DF81">
        <v>230.01031494140599</v>
      </c>
      <c r="DG81">
        <v>183.99917602539099</v>
      </c>
      <c r="DH81" s="2">
        <v>3.4028230607370999E+38</v>
      </c>
      <c r="DI81" s="2">
        <v>3.4028230607370999E+38</v>
      </c>
      <c r="DJ81">
        <v>230.00225830078099</v>
      </c>
      <c r="DK81">
        <v>1.0000352859497099</v>
      </c>
      <c r="DL81">
        <v>-138.02105712890599</v>
      </c>
      <c r="DM81">
        <v>230.00994873046901</v>
      </c>
      <c r="DN81">
        <v>183.99916076660199</v>
      </c>
      <c r="DO81">
        <v>49.999885559082003</v>
      </c>
      <c r="DP81">
        <v>-126.87435913085901</v>
      </c>
      <c r="DQ81">
        <v>1.56923159956932E-2</v>
      </c>
      <c r="DR81" s="2">
        <v>3.5827779356623098E-6</v>
      </c>
      <c r="DS81" s="2">
        <v>4.4031276402733998E-9</v>
      </c>
      <c r="DT81" s="2">
        <v>5.6407607473829597E-8</v>
      </c>
      <c r="DU81" s="2">
        <v>5.6464575237669099E-9</v>
      </c>
      <c r="DV81">
        <v>74.779502868652301</v>
      </c>
      <c r="DW81">
        <v>-62.875698089599602</v>
      </c>
      <c r="DX81">
        <v>1.73548180609941E-2</v>
      </c>
      <c r="DY81" s="2">
        <v>3.2116874990606401E-6</v>
      </c>
      <c r="DZ81" s="2">
        <v>3.7708924871537899E-9</v>
      </c>
      <c r="EA81" s="2">
        <v>5.3702152058576797E-8</v>
      </c>
      <c r="EB81" s="2">
        <v>4.95452878723768E-9</v>
      </c>
      <c r="EC81">
        <v>74.651885986328097</v>
      </c>
      <c r="ED81">
        <v>-49.718994140625</v>
      </c>
      <c r="EE81" s="2">
        <v>3.4028230607370999E+38</v>
      </c>
      <c r="EF81" s="2">
        <v>3.4028230607370999E+38</v>
      </c>
      <c r="EG81">
        <v>-138.02105712890599</v>
      </c>
      <c r="EH81">
        <v>230.00994873046901</v>
      </c>
      <c r="EI81">
        <v>183.99916076660199</v>
      </c>
      <c r="EJ81" s="2">
        <v>3.4028230607370999E+38</v>
      </c>
      <c r="EK81" s="2">
        <v>3.4028230607370999E+38</v>
      </c>
      <c r="EL81">
        <v>123</v>
      </c>
      <c r="EM81">
        <v>230.00169372558599</v>
      </c>
      <c r="EN81">
        <v>1.0000351667404199</v>
      </c>
      <c r="EO81">
        <v>-138.02096557617199</v>
      </c>
      <c r="EP81">
        <v>230.01004028320301</v>
      </c>
      <c r="EQ81">
        <v>183.99896240234401</v>
      </c>
      <c r="ER81">
        <v>49.999954223632798</v>
      </c>
      <c r="ES81">
        <v>-126.87425231933599</v>
      </c>
      <c r="ET81">
        <v>-0.60006743669509899</v>
      </c>
      <c r="EU81" s="2">
        <v>3.4028230607370999E+38</v>
      </c>
      <c r="EV81">
        <v>0</v>
      </c>
      <c r="EW81">
        <v>230.000732421875</v>
      </c>
      <c r="EX81">
        <v>-138.02516174316401</v>
      </c>
      <c r="EY81">
        <v>230.00909423828099</v>
      </c>
      <c r="EZ81">
        <v>183.99337768554699</v>
      </c>
      <c r="FA81" s="2">
        <v>4.3965672375634299E-5</v>
      </c>
      <c r="FB81">
        <v>1.50208752602339E-2</v>
      </c>
      <c r="FC81" s="2">
        <v>3.6115211514697901E-6</v>
      </c>
      <c r="FD81" s="2">
        <v>2.4565813827592799E-9</v>
      </c>
      <c r="FE81" s="2">
        <v>5.4220723910702899E-8</v>
      </c>
      <c r="FF81" s="2">
        <v>3.97523658435261E-9</v>
      </c>
      <c r="FG81">
        <v>74.786819458007798</v>
      </c>
      <c r="FH81">
        <v>-66.728141784667997</v>
      </c>
      <c r="FI81">
        <v>3.51292230188847E-2</v>
      </c>
      <c r="FJ81" s="2">
        <v>3.4028230607370999E+38</v>
      </c>
      <c r="FK81">
        <v>40.667488098144503</v>
      </c>
      <c r="FL81">
        <v>1.99420060962439E-2</v>
      </c>
      <c r="FM81">
        <v>0</v>
      </c>
      <c r="FN81">
        <v>0</v>
      </c>
      <c r="FO81">
        <v>0</v>
      </c>
      <c r="FP81" s="2">
        <v>8.3905768406111706E-5</v>
      </c>
      <c r="FQ81">
        <v>1.5490527264773801E-2</v>
      </c>
      <c r="FR81" s="2">
        <v>3.1322501854447199E-6</v>
      </c>
      <c r="FS81" s="2">
        <v>2.2172963465294499E-9</v>
      </c>
      <c r="FT81" s="2">
        <v>5.1295327097022898E-8</v>
      </c>
      <c r="FU81" s="2">
        <v>2.1297119623398E-9</v>
      </c>
      <c r="FV81">
        <v>74.706993103027301</v>
      </c>
      <c r="FW81">
        <v>-43.678367614746101</v>
      </c>
      <c r="FX81">
        <v>5.2534312009811401E-2</v>
      </c>
      <c r="FY81" s="2">
        <v>3.4028230607370999E+38</v>
      </c>
      <c r="FZ81">
        <v>-1.6699689626693699</v>
      </c>
      <c r="GA81">
        <v>229.205490112305</v>
      </c>
      <c r="GB81" s="2">
        <v>8.4978685199743598E-10</v>
      </c>
      <c r="GC81">
        <v>7.3327188147231904E-4</v>
      </c>
      <c r="GD81" s="2">
        <v>6.8758126969825598E-10</v>
      </c>
      <c r="GE81" s="2">
        <v>-3.2611689675832201E-5</v>
      </c>
      <c r="GF81" s="2">
        <v>3.4028230607370999E+38</v>
      </c>
      <c r="GG81" s="2">
        <v>3.4028230607370999E+38</v>
      </c>
      <c r="GH81">
        <v>-138.02145385742199</v>
      </c>
      <c r="GI81">
        <v>230.01039123535199</v>
      </c>
      <c r="GJ81">
        <v>183.99917602539099</v>
      </c>
      <c r="GK81" s="2">
        <v>3.4028230607370999E+38</v>
      </c>
      <c r="GL81" s="2">
        <v>3.4028230607370999E+38</v>
      </c>
      <c r="GM81" s="2">
        <v>3.4028230607370999E+38</v>
      </c>
      <c r="GN81" s="2">
        <v>3.4028230607370999E+38</v>
      </c>
      <c r="GO81" s="2">
        <v>3.4028230607370999E+38</v>
      </c>
      <c r="GP81" s="2">
        <v>3.4028230607370999E+38</v>
      </c>
      <c r="GQ81">
        <v>-138.025314331055</v>
      </c>
      <c r="GR81">
        <v>-138.02488708496099</v>
      </c>
      <c r="GS81">
        <v>183.99501037597699</v>
      </c>
      <c r="GT81" s="2">
        <v>8.4741222963202704E-5</v>
      </c>
      <c r="GX81">
        <f t="shared" si="8"/>
        <v>230.00201721191402</v>
      </c>
      <c r="GY81">
        <f t="shared" si="9"/>
        <v>1.000033879280092</v>
      </c>
      <c r="GZ81">
        <f t="shared" si="10"/>
        <v>-138.02101135253901</v>
      </c>
      <c r="HA81">
        <f t="shared" si="11"/>
        <v>230.00973205566402</v>
      </c>
      <c r="HB81">
        <f t="shared" si="12"/>
        <v>183.998699951172</v>
      </c>
      <c r="HC81">
        <f t="shared" si="13"/>
        <v>49.999919891357422</v>
      </c>
      <c r="HD81">
        <f t="shared" si="14"/>
        <v>-126.874314880371</v>
      </c>
      <c r="HW81" s="10">
        <f>(GX81/Data!$S81-1)*1000000</f>
        <v>22.427314601003445</v>
      </c>
      <c r="HX81" s="10">
        <f>(GY81/Data!$T81-1)*1000000</f>
        <v>63.571167519871352</v>
      </c>
      <c r="HY81" s="10">
        <f>(GZ81/Data!$BW81-1)*1000000</f>
        <v>143.91657198697948</v>
      </c>
      <c r="HZ81" s="10">
        <f>(HA81/(Data!$S81*Data!$T81)-1)*1000000</f>
        <v>85.663114935963236</v>
      </c>
      <c r="IA81" s="7">
        <f>(HB81/IF(HD81&gt;0, -Data!$BX81,Data!$BX81)-1)*1000000</f>
        <v>65.349575310236219</v>
      </c>
      <c r="IB81" s="10"/>
      <c r="IC81" s="9">
        <f>(HD81-Data!$U81)</f>
        <v>-2.19638037100367E-3</v>
      </c>
    </row>
    <row r="82" spans="1:237" x14ac:dyDescent="0.2">
      <c r="A82">
        <v>82</v>
      </c>
      <c r="B82">
        <v>230.00157165527301</v>
      </c>
      <c r="C82">
        <v>1.0000361204147299</v>
      </c>
      <c r="D82">
        <v>-138.02090454101599</v>
      </c>
      <c r="E82">
        <v>230.00962829589801</v>
      </c>
      <c r="F82">
        <v>183.99867248535199</v>
      </c>
      <c r="G82">
        <v>49.999958038330099</v>
      </c>
      <c r="H82">
        <v>-126.87425231933599</v>
      </c>
      <c r="I82">
        <v>1.50504624471068E-2</v>
      </c>
      <c r="J82" s="2">
        <v>3.6035601169714899E-6</v>
      </c>
      <c r="K82" s="2">
        <v>6.5156124939846896E-9</v>
      </c>
      <c r="L82" s="2">
        <v>5.55316290729024E-8</v>
      </c>
      <c r="M82" s="2">
        <v>3.0678408702300401E-9</v>
      </c>
      <c r="N82">
        <v>74.721244812011705</v>
      </c>
      <c r="O82">
        <v>-30.7203178405762</v>
      </c>
      <c r="P82">
        <v>1.6182968392968199E-2</v>
      </c>
      <c r="Q82" s="2">
        <v>3.1987067359295898E-6</v>
      </c>
      <c r="R82" s="2">
        <v>3.5610940862795798E-9</v>
      </c>
      <c r="S82" s="2">
        <v>5.2817735962662502E-8</v>
      </c>
      <c r="T82" s="2">
        <v>1.78036341225152E-9</v>
      </c>
      <c r="U82">
        <v>74.740440368652301</v>
      </c>
      <c r="V82">
        <v>-11.5907554626465</v>
      </c>
      <c r="W82" s="2">
        <v>3.4028230607370999E+38</v>
      </c>
      <c r="X82" s="2">
        <v>3.4028230607370999E+38</v>
      </c>
      <c r="Y82">
        <v>-138.02090454101599</v>
      </c>
      <c r="Z82">
        <v>230.00962829589801</v>
      </c>
      <c r="AA82">
        <v>183.99867248535199</v>
      </c>
      <c r="AB82" s="2">
        <v>3.4028230607370999E+38</v>
      </c>
      <c r="AC82" s="2">
        <v>3.4028230607370999E+38</v>
      </c>
      <c r="AD82">
        <v>230.00160217285199</v>
      </c>
      <c r="AE82">
        <v>1.0000373125076301</v>
      </c>
      <c r="AF82">
        <v>-138.02108764648401</v>
      </c>
      <c r="AG82">
        <v>230.01007080078099</v>
      </c>
      <c r="AH82">
        <v>183.99879455566401</v>
      </c>
      <c r="AI82">
        <v>49.999996185302699</v>
      </c>
      <c r="AJ82">
        <v>-126.87442016601599</v>
      </c>
      <c r="AK82">
        <v>1.42374383285642E-2</v>
      </c>
      <c r="AL82" s="2">
        <v>3.6301316868048199E-6</v>
      </c>
      <c r="AM82" s="2">
        <v>2.7816811076775101E-9</v>
      </c>
      <c r="AN82" s="2">
        <v>5.1730701500218903E-8</v>
      </c>
      <c r="AO82" s="2">
        <v>3.38022676515948E-9</v>
      </c>
      <c r="AP82">
        <v>74.830337524414105</v>
      </c>
      <c r="AQ82">
        <v>-57.578662872314503</v>
      </c>
      <c r="AR82">
        <v>1.5666350722312899E-2</v>
      </c>
      <c r="AS82" s="2">
        <v>3.0643761874671302E-6</v>
      </c>
      <c r="AT82" s="2">
        <v>1.7155971088200799E-9</v>
      </c>
      <c r="AU82" s="2">
        <v>5.0316586452936502E-8</v>
      </c>
      <c r="AV82" s="2">
        <v>2.3990582853628001E-9</v>
      </c>
      <c r="AW82">
        <v>74.722175598144503</v>
      </c>
      <c r="AX82">
        <v>-26.763353347778299</v>
      </c>
      <c r="AY82" s="2">
        <v>3.4028230607370999E+38</v>
      </c>
      <c r="AZ82" s="2">
        <v>3.4028230607370999E+38</v>
      </c>
      <c r="BA82">
        <v>-138.02108764648401</v>
      </c>
      <c r="BB82">
        <v>230.01007080078099</v>
      </c>
      <c r="BC82">
        <v>183.99879455566401</v>
      </c>
      <c r="BD82" s="2">
        <v>3.4028230607370999E+38</v>
      </c>
      <c r="BE82" s="2">
        <v>3.4028230607370999E+38</v>
      </c>
      <c r="BF82">
        <v>230.00175476074199</v>
      </c>
      <c r="BG82">
        <v>1.0000374317169201</v>
      </c>
      <c r="BH82">
        <v>-138.02145385742199</v>
      </c>
      <c r="BI82">
        <v>230.010009765625</v>
      </c>
      <c r="BJ82">
        <v>183.99851989746099</v>
      </c>
      <c r="BK82">
        <v>49.999954223632798</v>
      </c>
      <c r="BL82">
        <v>-126.87435913085901</v>
      </c>
      <c r="BM82">
        <v>1.46569451317191E-2</v>
      </c>
      <c r="BN82" s="2">
        <v>3.6959070257580602E-6</v>
      </c>
      <c r="BO82" s="2">
        <v>2.10864614658135E-9</v>
      </c>
      <c r="BP82" s="2">
        <v>5.45864295986576E-8</v>
      </c>
      <c r="BQ82" s="2">
        <v>5.0561377307189998E-9</v>
      </c>
      <c r="BR82">
        <v>74.780738830566406</v>
      </c>
      <c r="BS82">
        <v>-67.361595153808594</v>
      </c>
      <c r="BT82">
        <v>1.6300188377499601E-2</v>
      </c>
      <c r="BU82" s="2">
        <v>3.1436113658855902E-6</v>
      </c>
      <c r="BV82" s="2">
        <v>2.3396766746230899E-9</v>
      </c>
      <c r="BW82" s="2">
        <v>5.0155264830209503E-8</v>
      </c>
      <c r="BX82" s="2">
        <v>1.67686542429379E-9</v>
      </c>
      <c r="BY82">
        <v>74.749061584472699</v>
      </c>
      <c r="BZ82">
        <v>-35.871437072753899</v>
      </c>
      <c r="CA82" s="2">
        <v>3.4028230607370999E+38</v>
      </c>
      <c r="CB82" s="2">
        <v>3.4028230607370999E+38</v>
      </c>
      <c r="CC82">
        <v>-138.02145385742199</v>
      </c>
      <c r="CD82">
        <v>230.010009765625</v>
      </c>
      <c r="CE82">
        <v>183.99851989746099</v>
      </c>
      <c r="CF82" s="2">
        <v>3.4028230607370999E+38</v>
      </c>
      <c r="CG82" s="2">
        <v>3.4028230607370999E+38</v>
      </c>
      <c r="CH82">
        <v>230.00189208984401</v>
      </c>
      <c r="CI82">
        <v>1.0000362396240201</v>
      </c>
      <c r="CJ82">
        <v>-138.02162170410199</v>
      </c>
      <c r="CK82">
        <v>230.01011657714801</v>
      </c>
      <c r="CL82">
        <v>183.99850463867199</v>
      </c>
      <c r="CM82">
        <v>49.999946594238303</v>
      </c>
      <c r="CN82">
        <v>-126.874389648438</v>
      </c>
      <c r="CO82">
        <v>1.4928154647350299E-2</v>
      </c>
      <c r="CP82" s="2">
        <v>3.5967689200333599E-6</v>
      </c>
      <c r="CQ82" s="2">
        <v>1.8672636770134002E-9</v>
      </c>
      <c r="CR82" s="2">
        <v>5.3918803644137403E-8</v>
      </c>
      <c r="CS82" s="2">
        <v>5.4431770202256799E-9</v>
      </c>
      <c r="CT82">
        <v>74.672821044921903</v>
      </c>
      <c r="CU82">
        <v>-69.679405212402301</v>
      </c>
      <c r="CV82">
        <v>1.6302723437547701E-2</v>
      </c>
      <c r="CW82" s="2">
        <v>3.2165348784474199E-6</v>
      </c>
      <c r="CX82" s="2">
        <v>2.5417246085623901E-9</v>
      </c>
      <c r="CY82" s="2">
        <v>5.0084949521078703E-8</v>
      </c>
      <c r="CZ82" s="2">
        <v>3.32992766693962E-9</v>
      </c>
      <c r="DA82">
        <v>74.773223876953097</v>
      </c>
      <c r="DB82">
        <v>-49.3175659179688</v>
      </c>
      <c r="DC82" s="2">
        <v>3.4028230607370999E+38</v>
      </c>
      <c r="DD82" s="2">
        <v>3.4028230607370999E+38</v>
      </c>
      <c r="DE82">
        <v>-138.02162170410199</v>
      </c>
      <c r="DF82">
        <v>230.01011657714801</v>
      </c>
      <c r="DG82">
        <v>183.99850463867199</v>
      </c>
      <c r="DH82" s="2">
        <v>3.4028230607370999E+38</v>
      </c>
      <c r="DI82" s="2">
        <v>3.4028230607370999E+38</v>
      </c>
      <c r="DJ82">
        <v>230.00166320800801</v>
      </c>
      <c r="DK82">
        <v>1.00003433227539</v>
      </c>
      <c r="DL82">
        <v>-138.02168273925801</v>
      </c>
      <c r="DM82">
        <v>230.00959777832</v>
      </c>
      <c r="DN82">
        <v>183.99786376953099</v>
      </c>
      <c r="DO82">
        <v>49.9999389648438</v>
      </c>
      <c r="DP82">
        <v>-126.874320983887</v>
      </c>
      <c r="DQ82">
        <v>1.71524323523045E-2</v>
      </c>
      <c r="DR82" s="2">
        <v>3.6489796002570099E-6</v>
      </c>
      <c r="DS82" s="2">
        <v>4.7987627205259303E-9</v>
      </c>
      <c r="DT82" s="2">
        <v>6.0133785950711198E-8</v>
      </c>
      <c r="DU82" s="2">
        <v>7.3519146326361798E-9</v>
      </c>
      <c r="DV82">
        <v>74.657394409179702</v>
      </c>
      <c r="DW82">
        <v>-58.332332611083999</v>
      </c>
      <c r="DX82">
        <v>1.8674600869417201E-2</v>
      </c>
      <c r="DY82" s="2">
        <v>3.2272009775624602E-6</v>
      </c>
      <c r="DZ82" s="2">
        <v>5.0979220844737897E-9</v>
      </c>
      <c r="EA82" s="2">
        <v>6.0188533268501501E-8</v>
      </c>
      <c r="EB82" s="2">
        <v>5.8366058652836703E-9</v>
      </c>
      <c r="EC82">
        <v>74.762619018554702</v>
      </c>
      <c r="ED82">
        <v>-50.524726867675803</v>
      </c>
      <c r="EE82" s="2">
        <v>3.4028230607370999E+38</v>
      </c>
      <c r="EF82" s="2">
        <v>3.4028230607370999E+38</v>
      </c>
      <c r="EG82">
        <v>-138.02168273925801</v>
      </c>
      <c r="EH82">
        <v>230.00959777832</v>
      </c>
      <c r="EI82">
        <v>183.99786376953099</v>
      </c>
      <c r="EJ82" s="2">
        <v>3.4028230607370999E+38</v>
      </c>
      <c r="EK82" s="2">
        <v>3.4028230607370999E+38</v>
      </c>
      <c r="EL82">
        <v>123</v>
      </c>
      <c r="EM82">
        <v>230.00260925293</v>
      </c>
      <c r="EN82">
        <v>1.0000354051589999</v>
      </c>
      <c r="EO82">
        <v>-138.021072387695</v>
      </c>
      <c r="EP82">
        <v>230.00946044921901</v>
      </c>
      <c r="EQ82">
        <v>183.99809265136699</v>
      </c>
      <c r="ER82">
        <v>49.999935150146499</v>
      </c>
      <c r="ES82">
        <v>-126.874305725098</v>
      </c>
      <c r="ET82">
        <v>-0.60006642341613803</v>
      </c>
      <c r="EU82" s="2">
        <v>3.4028230607370999E+38</v>
      </c>
      <c r="EV82">
        <v>0</v>
      </c>
      <c r="EW82">
        <v>230.00032043457</v>
      </c>
      <c r="EX82">
        <v>-138.02708435058599</v>
      </c>
      <c r="EY82">
        <v>230.00836181640599</v>
      </c>
      <c r="EZ82">
        <v>183.99043273925801</v>
      </c>
      <c r="FA82">
        <v>-1.7338534235023E-4</v>
      </c>
      <c r="FB82">
        <v>1.6172457486391099E-2</v>
      </c>
      <c r="FC82" s="2">
        <v>3.6105543586018E-6</v>
      </c>
      <c r="FD82" s="2">
        <v>2.0525301458462801E-9</v>
      </c>
      <c r="FE82" s="2">
        <v>5.82768109325116E-8</v>
      </c>
      <c r="FF82" s="2">
        <v>5.1878927820325804E-9</v>
      </c>
      <c r="FG82">
        <v>74.647521972656193</v>
      </c>
      <c r="FH82">
        <v>-71.252532958984403</v>
      </c>
      <c r="FI82">
        <v>3.1965941190719598E-2</v>
      </c>
      <c r="FJ82" s="2">
        <v>3.4028230607370999E+38</v>
      </c>
      <c r="FK82">
        <v>5.4168930053710902</v>
      </c>
      <c r="FL82">
        <v>1.95635296404362E-2</v>
      </c>
      <c r="FM82">
        <v>0</v>
      </c>
      <c r="FN82">
        <v>0</v>
      </c>
      <c r="FO82">
        <v>0</v>
      </c>
      <c r="FP82" s="2">
        <v>8.0025383795145899E-5</v>
      </c>
      <c r="FQ82">
        <v>1.67431887239218E-2</v>
      </c>
      <c r="FR82" s="2">
        <v>3.1654508347855902E-6</v>
      </c>
      <c r="FS82" s="2">
        <v>5.1526405364654701E-9</v>
      </c>
      <c r="FT82" s="2">
        <v>5.2968157859822902E-8</v>
      </c>
      <c r="FU82" s="2">
        <v>4.85541606920492E-9</v>
      </c>
      <c r="FV82">
        <v>74.798278808593807</v>
      </c>
      <c r="FW82">
        <v>-55.363250732421903</v>
      </c>
      <c r="FX82">
        <v>6.9113641977310195E-2</v>
      </c>
      <c r="FY82" s="2">
        <v>3.4028230607370999E+38</v>
      </c>
      <c r="FZ82">
        <v>-35.006397247314503</v>
      </c>
      <c r="GA82">
        <v>229.01921081543</v>
      </c>
      <c r="GB82" s="2">
        <v>-4.20358747810212E-10</v>
      </c>
      <c r="GC82">
        <v>7.2498654481023604E-4</v>
      </c>
      <c r="GD82" s="2">
        <v>5.40733069431809E-10</v>
      </c>
      <c r="GE82" s="2">
        <v>-3.6617264413507703E-5</v>
      </c>
      <c r="GF82" s="2">
        <v>3.4028230607370999E+38</v>
      </c>
      <c r="GG82" s="2">
        <v>3.4028230607370999E+38</v>
      </c>
      <c r="GH82">
        <v>-138.02095031738301</v>
      </c>
      <c r="GI82">
        <v>230.00990295410199</v>
      </c>
      <c r="GJ82">
        <v>183.998947143555</v>
      </c>
      <c r="GK82" s="2">
        <v>3.4028230607370999E+38</v>
      </c>
      <c r="GL82" s="2">
        <v>3.4028230607370999E+38</v>
      </c>
      <c r="GM82" s="2">
        <v>3.4028230607370999E+38</v>
      </c>
      <c r="GN82" s="2">
        <v>3.4028230607370999E+38</v>
      </c>
      <c r="GO82" s="2">
        <v>3.4028230607370999E+38</v>
      </c>
      <c r="GP82" s="2">
        <v>3.4028230607370999E+38</v>
      </c>
      <c r="GQ82">
        <v>-138.02488708496099</v>
      </c>
      <c r="GR82">
        <v>-138.02488708496099</v>
      </c>
      <c r="GS82">
        <v>183.99293518066401</v>
      </c>
      <c r="GT82" s="2">
        <v>6.9380257627926794E-5</v>
      </c>
      <c r="GX82">
        <f t="shared" si="8"/>
        <v>230.0016967773438</v>
      </c>
      <c r="GY82">
        <f t="shared" si="9"/>
        <v>1.0000362873077377</v>
      </c>
      <c r="GZ82">
        <f t="shared" si="10"/>
        <v>-138.02135009765641</v>
      </c>
      <c r="HA82">
        <f t="shared" si="11"/>
        <v>230.00988464355441</v>
      </c>
      <c r="HB82">
        <f t="shared" si="12"/>
        <v>183.99847106933601</v>
      </c>
      <c r="HC82">
        <f t="shared" si="13"/>
        <v>49.999958801269543</v>
      </c>
      <c r="HD82">
        <f t="shared" si="14"/>
        <v>-126.87434844970721</v>
      </c>
      <c r="HW82" s="10">
        <f>(GX82/Data!$S82-1)*1000000</f>
        <v>20.890183775712501</v>
      </c>
      <c r="HX82" s="10">
        <f>(GY82/Data!$T82-1)*1000000</f>
        <v>70.526722361297089</v>
      </c>
      <c r="HY82" s="10">
        <f>(GZ82/Data!$BW82-1)*1000000</f>
        <v>142.85336184061137</v>
      </c>
      <c r="HZ82" s="10">
        <f>(HA82/(Data!$S82*Data!$T82)-1)*1000000</f>
        <v>90.73018945970901</v>
      </c>
      <c r="IA82" s="7">
        <f>(HB82/IF(HD82&gt;0, -Data!$BX82,Data!$BX82)-1)*1000000</f>
        <v>72.966089357251462</v>
      </c>
      <c r="IB82" s="10"/>
      <c r="IC82" s="9">
        <f>(HD82-Data!$U82)</f>
        <v>-1.8895497072151102E-3</v>
      </c>
    </row>
    <row r="83" spans="1:237" x14ac:dyDescent="0.2">
      <c r="A83">
        <v>83</v>
      </c>
      <c r="B83">
        <v>230.00189208984401</v>
      </c>
      <c r="C83">
        <v>1.0000363588333101</v>
      </c>
      <c r="D83">
        <v>-138.02120971679699</v>
      </c>
      <c r="E83">
        <v>230.01011657714801</v>
      </c>
      <c r="F83">
        <v>183.99858093261699</v>
      </c>
      <c r="G83">
        <v>49.999969482421903</v>
      </c>
      <c r="H83">
        <v>-126.87433624267599</v>
      </c>
      <c r="I83">
        <v>1.45592270419002E-2</v>
      </c>
      <c r="J83" s="2">
        <v>3.63312869922083E-6</v>
      </c>
      <c r="K83" s="2">
        <v>2.6912760908715001E-9</v>
      </c>
      <c r="L83" s="2">
        <v>5.2689536289562999E-8</v>
      </c>
      <c r="M83" s="2">
        <v>4.1504826242544401E-9</v>
      </c>
      <c r="N83">
        <v>74.762718200683594</v>
      </c>
      <c r="O83">
        <v>-57.039638519287102</v>
      </c>
      <c r="P83">
        <v>1.55541095882654E-2</v>
      </c>
      <c r="Q83" s="2">
        <v>3.0841165425954399E-6</v>
      </c>
      <c r="R83" s="2">
        <v>2.6016879761670002E-9</v>
      </c>
      <c r="S83" s="2">
        <v>4.8002032571048403E-8</v>
      </c>
      <c r="T83" s="2">
        <v>2.50288922920561E-9</v>
      </c>
      <c r="U83">
        <v>74.679389953613295</v>
      </c>
      <c r="V83">
        <v>-33.863132476806598</v>
      </c>
      <c r="W83" s="2">
        <v>3.4028230607370999E+38</v>
      </c>
      <c r="X83" s="2">
        <v>3.4028230607370999E+38</v>
      </c>
      <c r="Y83">
        <v>-138.02120971679699</v>
      </c>
      <c r="Z83">
        <v>230.01011657714801</v>
      </c>
      <c r="AA83">
        <v>183.99858093261699</v>
      </c>
      <c r="AB83" s="2">
        <v>3.4028230607370999E+38</v>
      </c>
      <c r="AC83" s="2">
        <v>3.4028230607370999E+38</v>
      </c>
      <c r="AD83">
        <v>230.001541137695</v>
      </c>
      <c r="AE83">
        <v>1.00003337860107</v>
      </c>
      <c r="AF83">
        <v>-138.02177429199199</v>
      </c>
      <c r="AG83">
        <v>230.01023864746099</v>
      </c>
      <c r="AH83">
        <v>183.99856567382801</v>
      </c>
      <c r="AI83">
        <v>49.999904632568402</v>
      </c>
      <c r="AJ83">
        <v>-126.87442016601599</v>
      </c>
      <c r="AK83">
        <v>1.7659336328506501E-2</v>
      </c>
      <c r="AL83" s="2">
        <v>3.5978121104562901E-6</v>
      </c>
      <c r="AM83" s="2">
        <v>4.5431587381017396E-9</v>
      </c>
      <c r="AN83" s="2">
        <v>6.2241930720574601E-8</v>
      </c>
      <c r="AO83" s="2">
        <v>6.5217191647093403E-9</v>
      </c>
      <c r="AP83">
        <v>74.759986877441406</v>
      </c>
      <c r="AQ83">
        <v>-58.911102294921903</v>
      </c>
      <c r="AR83">
        <v>1.92346554249525E-2</v>
      </c>
      <c r="AS83" s="2">
        <v>3.2349748835258698E-6</v>
      </c>
      <c r="AT83" s="2">
        <v>6.9183960782481799E-9</v>
      </c>
      <c r="AU83" s="2">
        <v>5.8353144538614301E-8</v>
      </c>
      <c r="AV83" s="2">
        <v>7.70541586092577E-9</v>
      </c>
      <c r="AW83">
        <v>74.809646606445298</v>
      </c>
      <c r="AX83">
        <v>-53.248012542724602</v>
      </c>
      <c r="AY83" s="2">
        <v>3.4028230607370999E+38</v>
      </c>
      <c r="AZ83" s="2">
        <v>3.4028230607370999E+38</v>
      </c>
      <c r="BA83">
        <v>-138.02177429199199</v>
      </c>
      <c r="BB83">
        <v>230.01023864746099</v>
      </c>
      <c r="BC83">
        <v>183.99856567382801</v>
      </c>
      <c r="BD83" s="2">
        <v>3.4028230607370999E+38</v>
      </c>
      <c r="BE83" s="2">
        <v>3.4028230607370999E+38</v>
      </c>
      <c r="BF83">
        <v>230.00137329101599</v>
      </c>
      <c r="BG83">
        <v>1.0000360012054399</v>
      </c>
      <c r="BH83">
        <v>-138.02146911621099</v>
      </c>
      <c r="BI83">
        <v>230.00938415527301</v>
      </c>
      <c r="BJ83">
        <v>183.99807739257801</v>
      </c>
      <c r="BK83">
        <v>49.999893188476598</v>
      </c>
      <c r="BL83">
        <v>-126.874351501465</v>
      </c>
      <c r="BM83">
        <v>1.54277039691806E-2</v>
      </c>
      <c r="BN83" s="2">
        <v>3.5794132600131E-6</v>
      </c>
      <c r="BO83" s="2">
        <v>1.4265271186531E-9</v>
      </c>
      <c r="BP83" s="2">
        <v>5.7167735434404703E-8</v>
      </c>
      <c r="BQ83" s="2">
        <v>5.4560462814379199E-9</v>
      </c>
      <c r="BR83">
        <v>74.755668640136705</v>
      </c>
      <c r="BS83">
        <v>-66.140655517578097</v>
      </c>
      <c r="BT83">
        <v>1.68016143143177E-2</v>
      </c>
      <c r="BU83" s="2">
        <v>3.1589654554409199E-6</v>
      </c>
      <c r="BV83" s="2">
        <v>3.3268026111699101E-9</v>
      </c>
      <c r="BW83" s="2">
        <v>5.3044857395434499E-8</v>
      </c>
      <c r="BX83" s="2">
        <v>3.8407983460331302E-9</v>
      </c>
      <c r="BY83">
        <v>74.753288269042997</v>
      </c>
      <c r="BZ83">
        <v>-43.485538482666001</v>
      </c>
      <c r="CA83" s="2">
        <v>3.4028230607370999E+38</v>
      </c>
      <c r="CB83" s="2">
        <v>3.4028230607370999E+38</v>
      </c>
      <c r="CC83">
        <v>-138.02146911621099</v>
      </c>
      <c r="CD83">
        <v>230.00938415527301</v>
      </c>
      <c r="CE83">
        <v>183.99807739257801</v>
      </c>
      <c r="CF83" s="2">
        <v>3.4028230607370999E+38</v>
      </c>
      <c r="CG83" s="2">
        <v>3.4028230607370999E+38</v>
      </c>
      <c r="CH83">
        <v>230.00141906738301</v>
      </c>
      <c r="CI83">
        <v>1.00003445148468</v>
      </c>
      <c r="CJ83">
        <v>-138.02056884765599</v>
      </c>
      <c r="CK83">
        <v>230.00917053222699</v>
      </c>
      <c r="CL83">
        <v>183.99810791015599</v>
      </c>
      <c r="CM83">
        <v>49.999927520752003</v>
      </c>
      <c r="CN83">
        <v>-126.87442779541</v>
      </c>
      <c r="CO83">
        <v>1.56116914004087E-2</v>
      </c>
      <c r="CP83" s="2">
        <v>3.6844689930148901E-6</v>
      </c>
      <c r="CQ83" s="2">
        <v>7.1665815504218203E-9</v>
      </c>
      <c r="CR83" s="2">
        <v>5.75587435491798E-8</v>
      </c>
      <c r="CS83" s="2">
        <v>3.3848344127562801E-9</v>
      </c>
      <c r="CT83">
        <v>74.711563110351605</v>
      </c>
      <c r="CU83">
        <v>-29.677248001098601</v>
      </c>
      <c r="CV83">
        <v>1.7078917473554601E-2</v>
      </c>
      <c r="CW83" s="2">
        <v>3.1974720968719301E-6</v>
      </c>
      <c r="CX83" s="2">
        <v>3.7555460963289997E-9</v>
      </c>
      <c r="CY83" s="2">
        <v>5.4493828116619598E-8</v>
      </c>
      <c r="CZ83" s="2">
        <v>1.58486912482658E-9</v>
      </c>
      <c r="DA83">
        <v>74.742866516113295</v>
      </c>
      <c r="DB83">
        <v>-25.95676612854</v>
      </c>
      <c r="DC83" s="2">
        <v>3.4028230607370999E+38</v>
      </c>
      <c r="DD83" s="2">
        <v>3.4028230607370999E+38</v>
      </c>
      <c r="DE83">
        <v>-138.02056884765599</v>
      </c>
      <c r="DF83">
        <v>230.00917053222699</v>
      </c>
      <c r="DG83">
        <v>183.99810791015599</v>
      </c>
      <c r="DH83" s="2">
        <v>3.4028230607370999E+38</v>
      </c>
      <c r="DI83" s="2">
        <v>3.4028230607370999E+38</v>
      </c>
      <c r="DJ83">
        <v>230.001953125</v>
      </c>
      <c r="DK83">
        <v>1.0000349283218399</v>
      </c>
      <c r="DL83">
        <v>-138.02082824707</v>
      </c>
      <c r="DM83">
        <v>230.00944519043</v>
      </c>
      <c r="DN83">
        <v>183.99867248535199</v>
      </c>
      <c r="DO83">
        <v>49.999923706054702</v>
      </c>
      <c r="DP83">
        <v>-126.87433624267599</v>
      </c>
      <c r="DQ83">
        <v>1.5183787792921099E-2</v>
      </c>
      <c r="DR83" s="2">
        <v>3.6638714391301602E-6</v>
      </c>
      <c r="DS83" s="2">
        <v>6.6010090726820197E-9</v>
      </c>
      <c r="DT83" s="2">
        <v>5.5384916208822701E-8</v>
      </c>
      <c r="DU83" s="2">
        <v>3.36596928107724E-9</v>
      </c>
      <c r="DV83">
        <v>74.769981384277301</v>
      </c>
      <c r="DW83">
        <v>-28.9866828918457</v>
      </c>
      <c r="DX83">
        <v>1.6453590244054801E-2</v>
      </c>
      <c r="DY83" s="2">
        <v>3.1491103982261801E-6</v>
      </c>
      <c r="DZ83" s="2">
        <v>4.2730867733098396E-9</v>
      </c>
      <c r="EA83" s="2">
        <v>5.1834838643571903E-8</v>
      </c>
      <c r="EB83" s="2">
        <v>1.51279166971108E-9</v>
      </c>
      <c r="EC83">
        <v>74.698692321777301</v>
      </c>
      <c r="ED83">
        <v>-21.1317024230957</v>
      </c>
      <c r="EE83" s="2">
        <v>3.4028230607370999E+38</v>
      </c>
      <c r="EF83" s="2">
        <v>3.4028230607370999E+38</v>
      </c>
      <c r="EG83">
        <v>-138.02082824707</v>
      </c>
      <c r="EH83">
        <v>230.00944519043</v>
      </c>
      <c r="EI83">
        <v>183.99867248535199</v>
      </c>
      <c r="EJ83" s="2">
        <v>3.4028230607370999E+38</v>
      </c>
      <c r="EK83" s="2">
        <v>3.4028230607370999E+38</v>
      </c>
      <c r="EL83">
        <v>123</v>
      </c>
      <c r="EM83">
        <v>230.00140380859401</v>
      </c>
      <c r="EN83">
        <v>1.0000346899032599</v>
      </c>
      <c r="EO83">
        <v>-138.02101135253901</v>
      </c>
      <c r="EP83">
        <v>230.00967407226599</v>
      </c>
      <c r="EQ83">
        <v>183.99871826171901</v>
      </c>
      <c r="ER83">
        <v>49.999931335449197</v>
      </c>
      <c r="ES83">
        <v>-126.874374389648</v>
      </c>
      <c r="ET83">
        <v>-0.600067138671875</v>
      </c>
      <c r="EU83" s="2">
        <v>3.4028230607370999E+38</v>
      </c>
      <c r="EV83">
        <v>0</v>
      </c>
      <c r="EW83">
        <v>230.00679016113301</v>
      </c>
      <c r="EX83">
        <v>-138.02902221679699</v>
      </c>
      <c r="EY83">
        <v>230.01448059082</v>
      </c>
      <c r="EZ83">
        <v>183.994384765625</v>
      </c>
      <c r="FA83">
        <v>-5.9393869014456901E-4</v>
      </c>
      <c r="FB83">
        <v>1.62485931068659E-2</v>
      </c>
      <c r="FC83" s="2">
        <v>3.6005214951728699E-6</v>
      </c>
      <c r="FD83" s="2">
        <v>7.6248021230185292E-9</v>
      </c>
      <c r="FE83" s="2">
        <v>5.83983066348992E-8</v>
      </c>
      <c r="FF83" s="2">
        <v>3.45658035527663E-9</v>
      </c>
      <c r="FG83">
        <v>74.726654052734403</v>
      </c>
      <c r="FH83">
        <v>-27.260789871215799</v>
      </c>
      <c r="FI83">
        <v>0.11627560108900099</v>
      </c>
      <c r="FJ83" s="2">
        <v>3.4028230607370999E+38</v>
      </c>
      <c r="FK83">
        <v>28.8718967437744</v>
      </c>
      <c r="FL83">
        <v>2.0145544782280901E-2</v>
      </c>
      <c r="FM83">
        <v>0</v>
      </c>
      <c r="FN83">
        <v>0</v>
      </c>
      <c r="FO83">
        <v>0</v>
      </c>
      <c r="FP83" s="2">
        <v>7.0909918576944606E-5</v>
      </c>
      <c r="FQ83">
        <v>1.7795909196138399E-2</v>
      </c>
      <c r="FR83" s="2">
        <v>3.1818135539651802E-6</v>
      </c>
      <c r="FS83" s="2">
        <v>5.9093108184526996E-9</v>
      </c>
      <c r="FT83" s="2">
        <v>5.69041418430061E-8</v>
      </c>
      <c r="FU83" s="2">
        <v>2.4417263766451899E-9</v>
      </c>
      <c r="FV83">
        <v>74.756095886230497</v>
      </c>
      <c r="FW83">
        <v>-33.434741973877003</v>
      </c>
      <c r="FX83">
        <v>6.5209850668907193E-2</v>
      </c>
      <c r="FY83" s="2">
        <v>3.4028230607370999E+38</v>
      </c>
      <c r="FZ83">
        <v>3.0021402835845898</v>
      </c>
      <c r="GA83">
        <v>229.05564880371099</v>
      </c>
      <c r="GB83" s="2">
        <v>-7.5261008536387005E-10</v>
      </c>
      <c r="GC83">
        <v>7.2857638588175199E-4</v>
      </c>
      <c r="GD83" s="2">
        <v>-4.8839410293766202E-10</v>
      </c>
      <c r="GE83" s="2">
        <v>-4.2899802792817402E-5</v>
      </c>
      <c r="GF83" s="2">
        <v>3.4028230607370999E+38</v>
      </c>
      <c r="GG83" s="2">
        <v>3.4028230607370999E+38</v>
      </c>
      <c r="GH83">
        <v>-138.02082824707</v>
      </c>
      <c r="GI83">
        <v>230.00962829589801</v>
      </c>
      <c r="GJ83">
        <v>183.99851989746099</v>
      </c>
      <c r="GK83" s="2">
        <v>3.4028230607370999E+38</v>
      </c>
      <c r="GL83" s="2">
        <v>3.4028230607370999E+38</v>
      </c>
      <c r="GM83" s="2">
        <v>3.4028230607370999E+38</v>
      </c>
      <c r="GN83" s="2">
        <v>3.4028230607370999E+38</v>
      </c>
      <c r="GO83" s="2">
        <v>3.4028230607370999E+38</v>
      </c>
      <c r="GP83" s="2">
        <v>3.4028230607370999E+38</v>
      </c>
      <c r="GQ83">
        <v>-138.03036499023401</v>
      </c>
      <c r="GR83">
        <v>-138.03036499023401</v>
      </c>
      <c r="GS83">
        <v>183.99375915527301</v>
      </c>
      <c r="GT83">
        <v>-6.3264946220442696E-4</v>
      </c>
      <c r="GX83">
        <f t="shared" si="8"/>
        <v>230.0016357421876</v>
      </c>
      <c r="GY83">
        <f t="shared" si="9"/>
        <v>1.0000350236892681</v>
      </c>
      <c r="GZ83">
        <f t="shared" si="10"/>
        <v>-138.02117004394518</v>
      </c>
      <c r="HA83">
        <f t="shared" si="11"/>
        <v>230.00967102050782</v>
      </c>
      <c r="HB83">
        <f t="shared" si="12"/>
        <v>183.99840087890621</v>
      </c>
      <c r="HC83">
        <f t="shared" si="13"/>
        <v>49.999923706054723</v>
      </c>
      <c r="HD83">
        <f t="shared" si="14"/>
        <v>-126.87437438964859</v>
      </c>
      <c r="HW83" s="10">
        <f>(GX83/Data!$S83-1)*1000000</f>
        <v>21.660933345435396</v>
      </c>
      <c r="HX83" s="10">
        <f>(GY83/Data!$T83-1)*1000000</f>
        <v>71.097253817153927</v>
      </c>
      <c r="HY83" s="10">
        <f>(GZ83/Data!$BW83-1)*1000000</f>
        <v>143.41047937271867</v>
      </c>
      <c r="HZ83" s="10">
        <f>(HA83/(Data!$S83*Data!$T83)-1)*1000000</f>
        <v>92.671777086161811</v>
      </c>
      <c r="IA83" s="7">
        <f>(HB83/IF(HD83&gt;0, -Data!$BX83,Data!$BX83)-1)*1000000</f>
        <v>76.022629361460758</v>
      </c>
      <c r="IB83" s="10"/>
      <c r="IC83" s="9">
        <f>(HD83-Data!$U83)</f>
        <v>-1.8720896486001948E-3</v>
      </c>
    </row>
    <row r="84" spans="1:237" x14ac:dyDescent="0.2">
      <c r="A84">
        <v>84</v>
      </c>
      <c r="B84">
        <v>230.001541137695</v>
      </c>
      <c r="C84">
        <v>6.0003280639648402</v>
      </c>
      <c r="D84">
        <v>1380.08752441406</v>
      </c>
      <c r="E84">
        <v>1380.08801269531</v>
      </c>
      <c r="F84">
        <v>6.4144872128963498E-2</v>
      </c>
      <c r="G84">
        <v>49.999954223632798</v>
      </c>
      <c r="H84">
        <v>-3.1722960993647601E-3</v>
      </c>
      <c r="I84">
        <v>1.6114722937345501E-2</v>
      </c>
      <c r="J84" s="2">
        <v>3.9122592170315304E-6</v>
      </c>
      <c r="K84" s="2">
        <v>1.1601202665190199E-8</v>
      </c>
      <c r="L84" s="2">
        <v>6.3640115399721306E-8</v>
      </c>
      <c r="M84" s="2">
        <v>-3.5850938884252101E-10</v>
      </c>
      <c r="N84">
        <v>74.618392944335895</v>
      </c>
      <c r="O84">
        <v>1.86082887649536</v>
      </c>
      <c r="P84">
        <v>1.7487147822976098E-2</v>
      </c>
      <c r="Q84" s="2">
        <v>3.2391687909694198E-6</v>
      </c>
      <c r="R84" s="2">
        <v>7.08508984814671E-9</v>
      </c>
      <c r="S84" s="2">
        <v>5.6623022715029901E-8</v>
      </c>
      <c r="T84" s="2">
        <v>7.8808541914554603E-9</v>
      </c>
      <c r="U84">
        <v>74.611145019531193</v>
      </c>
      <c r="V84">
        <v>-51.773040771484403</v>
      </c>
      <c r="W84" s="2">
        <v>3.4028230607370999E+38</v>
      </c>
      <c r="X84" s="2">
        <v>3.4028230607370999E+38</v>
      </c>
      <c r="Y84">
        <v>1380.08752441406</v>
      </c>
      <c r="Z84">
        <v>1380.08801269531</v>
      </c>
      <c r="AA84">
        <v>6.4144879579544095E-2</v>
      </c>
      <c r="AB84" s="2">
        <v>3.4028230607370999E+38</v>
      </c>
      <c r="AC84" s="2">
        <v>3.4028230607370999E+38</v>
      </c>
      <c r="AD84">
        <v>230.00233459472699</v>
      </c>
      <c r="AE84">
        <v>6.0003480911254901</v>
      </c>
      <c r="AF84">
        <v>1380.0927734375</v>
      </c>
      <c r="AG84">
        <v>1380.09020996094</v>
      </c>
      <c r="AH84">
        <v>7.1269616484642001E-2</v>
      </c>
      <c r="AI84">
        <v>49.999893188476598</v>
      </c>
      <c r="AJ84">
        <v>-2.9588283505290699E-3</v>
      </c>
      <c r="AK84">
        <v>1.53044210746884E-2</v>
      </c>
      <c r="AL84" s="2">
        <v>3.92103584090364E-6</v>
      </c>
      <c r="AM84" s="2">
        <v>6.07360250981515E-9</v>
      </c>
      <c r="AN84" s="2">
        <v>5.7256510643810497E-8</v>
      </c>
      <c r="AO84" s="2">
        <v>-4.3088496659571299E-10</v>
      </c>
      <c r="AP84">
        <v>74.646583557128906</v>
      </c>
      <c r="AQ84">
        <v>1.7727246284484901</v>
      </c>
      <c r="AR84">
        <v>1.6139687970280599E-2</v>
      </c>
      <c r="AS84" s="2">
        <v>3.30419493366207E-6</v>
      </c>
      <c r="AT84" s="2">
        <v>4.4706602864152997E-9</v>
      </c>
      <c r="AU84" s="2">
        <v>5.0580904797925501E-8</v>
      </c>
      <c r="AV84" s="2">
        <v>4.0537351253533399E-9</v>
      </c>
      <c r="AW84">
        <v>74.823226928710895</v>
      </c>
      <c r="AX84">
        <v>-42.199916839599602</v>
      </c>
      <c r="AY84" s="2">
        <v>3.4028230607370999E+38</v>
      </c>
      <c r="AZ84" s="2">
        <v>3.4028230607370999E+38</v>
      </c>
      <c r="BA84">
        <v>1380.0927734375</v>
      </c>
      <c r="BB84">
        <v>1380.09020996094</v>
      </c>
      <c r="BC84">
        <v>7.1269616484642001E-2</v>
      </c>
      <c r="BD84" s="2">
        <v>3.4028230607370999E+38</v>
      </c>
      <c r="BE84" s="2">
        <v>3.4028230607370999E+38</v>
      </c>
      <c r="BF84">
        <v>230.00183105468801</v>
      </c>
      <c r="BG84">
        <v>6.00034379959106</v>
      </c>
      <c r="BH84">
        <v>1380.08679199219</v>
      </c>
      <c r="BI84">
        <v>1380.08728027344</v>
      </c>
      <c r="BJ84">
        <v>7.5220949947834001E-2</v>
      </c>
      <c r="BK84">
        <v>49.999923706054702</v>
      </c>
      <c r="BL84">
        <v>-2.8576054610311998E-3</v>
      </c>
      <c r="BM84">
        <v>1.7492922022938701E-2</v>
      </c>
      <c r="BN84" s="2">
        <v>3.8972398215264497E-6</v>
      </c>
      <c r="BO84" s="2">
        <v>1.36977726938881E-8</v>
      </c>
      <c r="BP84" s="2">
        <v>6.8159131672018702E-8</v>
      </c>
      <c r="BQ84" s="2">
        <v>-2.2942538979720001E-9</v>
      </c>
      <c r="BR84">
        <v>74.628173828125</v>
      </c>
      <c r="BS84">
        <v>8.7978773117065394</v>
      </c>
      <c r="BT84">
        <v>1.94571893662214E-2</v>
      </c>
      <c r="BU84" s="2">
        <v>3.3277228794759101E-6</v>
      </c>
      <c r="BV84" s="2">
        <v>9.2780370053446892E-9</v>
      </c>
      <c r="BW84" s="2">
        <v>6.3590071874841696E-8</v>
      </c>
      <c r="BX84" s="2">
        <v>8.6916198682729406E-9</v>
      </c>
      <c r="BY84">
        <v>74.756919860839801</v>
      </c>
      <c r="BZ84">
        <v>-41.790554046630902</v>
      </c>
      <c r="CA84" s="2">
        <v>3.4028230607370999E+38</v>
      </c>
      <c r="CB84" s="2">
        <v>3.4028230607370999E+38</v>
      </c>
      <c r="CC84">
        <v>1380.08679199219</v>
      </c>
      <c r="CD84">
        <v>1380.08728027344</v>
      </c>
      <c r="CE84">
        <v>7.5220949947834001E-2</v>
      </c>
      <c r="CF84" s="2">
        <v>3.4028230607370999E+38</v>
      </c>
      <c r="CG84" s="2">
        <v>3.4028230607370999E+38</v>
      </c>
      <c r="CH84">
        <v>230.00189208984401</v>
      </c>
      <c r="CI84">
        <v>6.00032758712769</v>
      </c>
      <c r="CJ84">
        <v>1380.08508300781</v>
      </c>
      <c r="CK84">
        <v>1380.087890625</v>
      </c>
      <c r="CL84">
        <v>6.69067427515984E-2</v>
      </c>
      <c r="CM84">
        <v>49.999935150146499</v>
      </c>
      <c r="CN84">
        <v>-2.7777038048952801E-3</v>
      </c>
      <c r="CO84">
        <v>1.6750374808907498E-2</v>
      </c>
      <c r="CP84" s="2">
        <v>3.9223968997248398E-6</v>
      </c>
      <c r="CQ84" s="2">
        <v>1.2036938557002899E-8</v>
      </c>
      <c r="CR84" s="2">
        <v>6.4241660879815794E-8</v>
      </c>
      <c r="CS84" s="2">
        <v>-7.41724959230083E-10</v>
      </c>
      <c r="CT84">
        <v>74.665344238281193</v>
      </c>
      <c r="CU84">
        <v>-2.1163799762725799</v>
      </c>
      <c r="CV84">
        <v>1.8300682306289701E-2</v>
      </c>
      <c r="CW84" s="2">
        <v>3.2423706670670101E-6</v>
      </c>
      <c r="CX84" s="2">
        <v>8.9728420249457502E-9</v>
      </c>
      <c r="CY84" s="2">
        <v>5.8726136842324201E-8</v>
      </c>
      <c r="CZ84" s="2">
        <v>8.0995610218792502E-9</v>
      </c>
      <c r="DA84">
        <v>74.760505676269503</v>
      </c>
      <c r="DB84">
        <v>-41.587619781494098</v>
      </c>
      <c r="DC84" s="2">
        <v>3.4028230607370999E+38</v>
      </c>
      <c r="DD84" s="2">
        <v>3.4028230607370999E+38</v>
      </c>
      <c r="DE84">
        <v>1380.08508300781</v>
      </c>
      <c r="DF84">
        <v>1380.087890625</v>
      </c>
      <c r="DG84">
        <v>6.69067427515984E-2</v>
      </c>
      <c r="DH84" s="2">
        <v>3.4028230607370999E+38</v>
      </c>
      <c r="DI84" s="2">
        <v>3.4028230607370999E+38</v>
      </c>
      <c r="DJ84">
        <v>230.00183105468801</v>
      </c>
      <c r="DK84">
        <v>6.0003380775451696</v>
      </c>
      <c r="DL84">
        <v>1380.08764648438</v>
      </c>
      <c r="DM84">
        <v>1380.08825683594</v>
      </c>
      <c r="DN84">
        <v>7.2632826864719405E-2</v>
      </c>
      <c r="DO84">
        <v>49.999973297119098</v>
      </c>
      <c r="DP84">
        <v>-2.90254107676446E-3</v>
      </c>
      <c r="DQ84">
        <v>1.6675941646099101E-2</v>
      </c>
      <c r="DR84" s="2">
        <v>4.0199611248681296E-6</v>
      </c>
      <c r="DS84" s="2">
        <v>5.5861599790318897E-9</v>
      </c>
      <c r="DT84" s="2">
        <v>6.7167725603667297E-8</v>
      </c>
      <c r="DU84" s="2">
        <v>-1.19763861050615E-8</v>
      </c>
      <c r="DV84">
        <v>74.637527465820298</v>
      </c>
      <c r="DW84">
        <v>69.674476623535199</v>
      </c>
      <c r="DX84">
        <v>1.8278339877724599E-2</v>
      </c>
      <c r="DY84" s="2">
        <v>3.2289872251567401E-6</v>
      </c>
      <c r="DZ84" s="2">
        <v>8.6975520119381095E-9</v>
      </c>
      <c r="EA84" s="2">
        <v>5.9008570474361497E-8</v>
      </c>
      <c r="EB84" s="2">
        <v>4.1761012425922697E-9</v>
      </c>
      <c r="EC84">
        <v>74.778251647949205</v>
      </c>
      <c r="ED84">
        <v>-22.460597991943398</v>
      </c>
      <c r="EE84" s="2">
        <v>3.4028230607370999E+38</v>
      </c>
      <c r="EF84" s="2">
        <v>3.4028230607370999E+38</v>
      </c>
      <c r="EG84">
        <v>1380.08764648438</v>
      </c>
      <c r="EH84">
        <v>1380.08825683594</v>
      </c>
      <c r="EI84">
        <v>7.2632811963558197E-2</v>
      </c>
      <c r="EJ84" s="2">
        <v>3.4028230607370999E+38</v>
      </c>
      <c r="EK84" s="2">
        <v>3.4028230607370999E+38</v>
      </c>
      <c r="EL84">
        <v>123</v>
      </c>
      <c r="EM84">
        <v>230.001876831055</v>
      </c>
      <c r="EN84">
        <v>6.0003418922424299</v>
      </c>
      <c r="EO84">
        <v>1380.08984375</v>
      </c>
      <c r="EP84">
        <v>1380.09008789062</v>
      </c>
      <c r="EQ84">
        <v>6.7932702600956005E-2</v>
      </c>
      <c r="ER84">
        <v>49.999969482421903</v>
      </c>
      <c r="ES84">
        <v>-3.0413114000111801E-3</v>
      </c>
      <c r="ET84">
        <v>0.99999946355819702</v>
      </c>
      <c r="EU84" s="2">
        <v>3.4028230607370999E+38</v>
      </c>
      <c r="EV84">
        <v>0</v>
      </c>
      <c r="EW84">
        <v>230.00695800781199</v>
      </c>
      <c r="EX84">
        <v>1380.119140625</v>
      </c>
      <c r="EY84">
        <v>1380.11987304688</v>
      </c>
      <c r="EZ84">
        <v>0.125474348664284</v>
      </c>
      <c r="FA84">
        <v>1.9173704786226201E-3</v>
      </c>
      <c r="FB84">
        <v>1.6843670979142199E-2</v>
      </c>
      <c r="FC84" s="2">
        <v>4.01164061258896E-6</v>
      </c>
      <c r="FD84" s="2">
        <v>5.6585349739179897E-9</v>
      </c>
      <c r="FE84" s="2">
        <v>6.9300561733598403E-8</v>
      </c>
      <c r="FF84" s="2">
        <v>-1.11815676717697E-8</v>
      </c>
      <c r="FG84">
        <v>74.742614746093807</v>
      </c>
      <c r="FH84">
        <v>65.949043273925795</v>
      </c>
      <c r="FI84">
        <v>6.8926088511943803E-2</v>
      </c>
      <c r="FJ84" s="2">
        <v>3.4028230607370999E+38</v>
      </c>
      <c r="FK84">
        <v>-44.370594024658203</v>
      </c>
      <c r="FL84">
        <v>2.1330356597900401E-2</v>
      </c>
      <c r="FM84">
        <v>0</v>
      </c>
      <c r="FN84">
        <v>0</v>
      </c>
      <c r="FO84">
        <v>0</v>
      </c>
      <c r="FP84">
        <v>-1.4874692715238799E-4</v>
      </c>
      <c r="FQ84">
        <v>1.91360283643007E-2</v>
      </c>
      <c r="FR84" s="2">
        <v>3.3048700061044698E-6</v>
      </c>
      <c r="FS84" s="2">
        <v>1.06466160332275E-8</v>
      </c>
      <c r="FT84" s="2">
        <v>6.3274349315634E-8</v>
      </c>
      <c r="FU84" s="2">
        <v>4.5794465997062203E-9</v>
      </c>
      <c r="FV84">
        <v>74.765594482421903</v>
      </c>
      <c r="FW84">
        <v>-21.5409126281738</v>
      </c>
      <c r="FX84">
        <v>0.174631863832474</v>
      </c>
      <c r="FY84" s="2">
        <v>3.4028230607370999E+38</v>
      </c>
      <c r="FZ84">
        <v>54.450958251953097</v>
      </c>
      <c r="GA84">
        <v>229.13623046875</v>
      </c>
      <c r="GB84" s="2">
        <v>-1.00984598461196E-9</v>
      </c>
      <c r="GC84">
        <v>7.5625814497470899E-4</v>
      </c>
      <c r="GD84" s="2">
        <v>-1.2975865937292501E-9</v>
      </c>
      <c r="GE84" s="2">
        <v>-5.2323350246297202E-5</v>
      </c>
      <c r="GF84" s="2">
        <v>3.4028230607370999E+38</v>
      </c>
      <c r="GG84" s="2">
        <v>3.4028230607370999E+38</v>
      </c>
      <c r="GH84">
        <v>1380.09228515625</v>
      </c>
      <c r="GI84">
        <v>1380.08850097656</v>
      </c>
      <c r="GJ84">
        <v>7.1333959698677105E-2</v>
      </c>
      <c r="GK84" s="2">
        <v>3.4028230607370999E+38</v>
      </c>
      <c r="GL84" s="2">
        <v>3.4028230607370999E+38</v>
      </c>
      <c r="GM84" s="2">
        <v>3.4028230607370999E+38</v>
      </c>
      <c r="GN84" s="2">
        <v>3.4028230607370999E+38</v>
      </c>
      <c r="GO84" s="2">
        <v>3.4028230607370999E+38</v>
      </c>
      <c r="GP84" s="2">
        <v>3.4028230607370999E+38</v>
      </c>
      <c r="GQ84">
        <v>1380.10974121094</v>
      </c>
      <c r="GR84">
        <v>1380.10974121094</v>
      </c>
      <c r="GS84">
        <v>0.136594623327255</v>
      </c>
      <c r="GT84">
        <v>2.1345925051718998E-3</v>
      </c>
      <c r="GX84">
        <f t="shared" si="8"/>
        <v>230.0018859863284</v>
      </c>
      <c r="GY84">
        <f t="shared" si="9"/>
        <v>6.0003371238708496</v>
      </c>
      <c r="GZ84">
        <f t="shared" si="10"/>
        <v>1380.0879638671879</v>
      </c>
      <c r="HA84">
        <f t="shared" si="11"/>
        <v>1380.0883300781261</v>
      </c>
      <c r="HB84">
        <f t="shared" si="12"/>
        <v>7.0035001635551458E-2</v>
      </c>
      <c r="HC84">
        <f t="shared" si="13"/>
        <v>49.999935913085935</v>
      </c>
      <c r="HD84">
        <f t="shared" si="14"/>
        <v>-2.9337949585169542E-3</v>
      </c>
      <c r="HW84" s="10">
        <f>(GX84/Data!$S84-1)*1000000</f>
        <v>23.076805599986372</v>
      </c>
      <c r="HX84" s="10">
        <f>(GY84/Data!$T84-1)*1000000</f>
        <v>1.0934182341770793</v>
      </c>
      <c r="HY84" s="10">
        <f>(GZ84/Data!$BW84-1)*1000000</f>
        <v>23.519247629444351</v>
      </c>
      <c r="HZ84" s="10">
        <f>(HA84/(Data!$S84*Data!$T84)-1)*1000000</f>
        <v>23.78985425566249</v>
      </c>
      <c r="IA84" s="7">
        <f>(HB84/IF(HD84&gt;0, -Data!$BX84,Data!$BX84)-1)*1000000</f>
        <v>384743.65922070207</v>
      </c>
      <c r="IB84" s="10"/>
      <c r="IC84" s="9">
        <f>(HD84-Data!$U84)</f>
        <v>-8.3402395851695432E-4</v>
      </c>
    </row>
    <row r="85" spans="1:237" x14ac:dyDescent="0.2">
      <c r="A85">
        <v>85</v>
      </c>
      <c r="B85">
        <v>230.00270080566401</v>
      </c>
      <c r="C85">
        <v>6.0003237724304199</v>
      </c>
      <c r="D85">
        <v>1380.08947753906</v>
      </c>
      <c r="E85">
        <v>1380.08984375</v>
      </c>
      <c r="F85">
        <v>7.2941005229950007E-2</v>
      </c>
      <c r="G85">
        <v>49.999973297119098</v>
      </c>
      <c r="H85">
        <v>-3.0282272491604098E-3</v>
      </c>
      <c r="I85">
        <v>1.42701081931591E-2</v>
      </c>
      <c r="J85" s="2">
        <v>3.9826227293815498E-6</v>
      </c>
      <c r="K85" s="2">
        <v>7.0109509309190798E-9</v>
      </c>
      <c r="L85" s="2">
        <v>5.7362154137763401E-8</v>
      </c>
      <c r="M85" s="2">
        <v>-9.0922402939952504E-10</v>
      </c>
      <c r="N85">
        <v>74.602821350097699</v>
      </c>
      <c r="O85">
        <v>2.97328877449036</v>
      </c>
      <c r="P85">
        <v>1.5438249334693E-2</v>
      </c>
      <c r="Q85" s="2">
        <v>3.2388809358963002E-6</v>
      </c>
      <c r="R85" s="2">
        <v>4.6731742919803301E-9</v>
      </c>
      <c r="S85" s="2">
        <v>5.1723432648031997E-8</v>
      </c>
      <c r="T85" s="2">
        <v>3.9802632301189103E-9</v>
      </c>
      <c r="U85">
        <v>74.726547241210895</v>
      </c>
      <c r="V85">
        <v>-36.178260803222699</v>
      </c>
      <c r="W85" s="2">
        <v>3.4028230607370999E+38</v>
      </c>
      <c r="X85" s="2">
        <v>3.4028230607370999E+38</v>
      </c>
      <c r="Y85">
        <v>1380.08947753906</v>
      </c>
      <c r="Z85">
        <v>1380.08984375</v>
      </c>
      <c r="AA85">
        <v>7.2941005229950007E-2</v>
      </c>
      <c r="AB85" s="2">
        <v>3.4028230607370999E+38</v>
      </c>
      <c r="AC85" s="2">
        <v>3.4028230607370999E+38</v>
      </c>
      <c r="AD85">
        <v>230.00183105468801</v>
      </c>
      <c r="AE85">
        <v>6.00030612945557</v>
      </c>
      <c r="AF85">
        <v>1380.08032226562</v>
      </c>
      <c r="AG85">
        <v>1380.0810546875</v>
      </c>
      <c r="AH85">
        <v>6.5658159554004697E-2</v>
      </c>
      <c r="AI85">
        <v>49.999923706054702</v>
      </c>
      <c r="AJ85">
        <v>-2.9078344814479399E-3</v>
      </c>
      <c r="AK85">
        <v>1.77118964493275E-2</v>
      </c>
      <c r="AL85" s="2">
        <v>4.0001054912863799E-6</v>
      </c>
      <c r="AM85" s="2">
        <v>1.0796957106151699E-8</v>
      </c>
      <c r="AN85" s="2">
        <v>6.9905134125747295E-8</v>
      </c>
      <c r="AO85" s="2">
        <v>-1.0408025552521799E-8</v>
      </c>
      <c r="AP85">
        <v>74.640213012695298</v>
      </c>
      <c r="AQ85">
        <v>44.652595520019503</v>
      </c>
      <c r="AR85">
        <v>1.98379252105951E-2</v>
      </c>
      <c r="AS85" s="2">
        <v>3.19770583701029E-6</v>
      </c>
      <c r="AT85" s="2">
        <v>1.32764927940343E-8</v>
      </c>
      <c r="AU85" s="2">
        <v>6.3432374020067099E-8</v>
      </c>
      <c r="AV85" s="2">
        <v>6.9869665608735001E-9</v>
      </c>
      <c r="AW85">
        <v>74.798057556152301</v>
      </c>
      <c r="AX85">
        <v>-33.017127990722699</v>
      </c>
      <c r="AY85" s="2">
        <v>3.4028230607370999E+38</v>
      </c>
      <c r="AZ85" s="2">
        <v>3.4028230607370999E+38</v>
      </c>
      <c r="BA85">
        <v>1380.08032226562</v>
      </c>
      <c r="BB85">
        <v>1380.0810546875</v>
      </c>
      <c r="BC85">
        <v>6.56581521034241E-2</v>
      </c>
      <c r="BD85" s="2">
        <v>3.4028230607370999E+38</v>
      </c>
      <c r="BE85" s="2">
        <v>3.4028230607370999E+38</v>
      </c>
      <c r="BF85">
        <v>230.00256347656199</v>
      </c>
      <c r="BG85">
        <v>6.0003080368042001</v>
      </c>
      <c r="BH85">
        <v>1380.08520507812</v>
      </c>
      <c r="BI85">
        <v>1380.08544921875</v>
      </c>
      <c r="BJ85">
        <v>7.4146524071693407E-2</v>
      </c>
      <c r="BK85">
        <v>49.999954223632798</v>
      </c>
      <c r="BL85">
        <v>-3.0782711692154399E-3</v>
      </c>
      <c r="BM85">
        <v>1.4453995041549201E-2</v>
      </c>
      <c r="BN85" s="2">
        <v>3.9343913158518296E-6</v>
      </c>
      <c r="BO85" s="2">
        <v>5.2207664857917296E-9</v>
      </c>
      <c r="BP85" s="2">
        <v>5.5715979385695398E-8</v>
      </c>
      <c r="BQ85" s="2">
        <v>-2.5871673692279298E-9</v>
      </c>
      <c r="BR85">
        <v>74.576507568359403</v>
      </c>
      <c r="BS85">
        <v>29.373067855835</v>
      </c>
      <c r="BT85">
        <v>1.53326094150543E-2</v>
      </c>
      <c r="BU85" s="2">
        <v>3.3339292713208099E-6</v>
      </c>
      <c r="BV85" s="2">
        <v>2.7243864941794998E-9</v>
      </c>
      <c r="BW85" s="2">
        <v>4.9920739542130799E-8</v>
      </c>
      <c r="BX85" s="2">
        <v>1.3742018634133001E-9</v>
      </c>
      <c r="BY85">
        <v>74.665023803710895</v>
      </c>
      <c r="BZ85">
        <v>-30.1769714355469</v>
      </c>
      <c r="CA85" s="2">
        <v>3.4028230607370999E+38</v>
      </c>
      <c r="CB85" s="2">
        <v>3.4028230607370999E+38</v>
      </c>
      <c r="CC85">
        <v>1380.08520507812</v>
      </c>
      <c r="CD85">
        <v>1380.08544921875</v>
      </c>
      <c r="CE85">
        <v>7.4146516621112796E-2</v>
      </c>
      <c r="CF85" s="2">
        <v>3.4028230607370999E+38</v>
      </c>
      <c r="CG85" s="2">
        <v>3.4028230607370999E+38</v>
      </c>
      <c r="CH85">
        <v>230.00224304199199</v>
      </c>
      <c r="CI85">
        <v>6.0003314018249503</v>
      </c>
      <c r="CJ85">
        <v>1380.08911132812</v>
      </c>
      <c r="CK85">
        <v>1380.08959960938</v>
      </c>
      <c r="CL85">
        <v>7.1381643414497403E-2</v>
      </c>
      <c r="CM85">
        <v>49.9999389648438</v>
      </c>
      <c r="CN85">
        <v>-2.9188918415457002E-3</v>
      </c>
      <c r="CO85">
        <v>1.7497969791293099E-2</v>
      </c>
      <c r="CP85" s="2">
        <v>4.0415125113213401E-6</v>
      </c>
      <c r="CQ85" s="2">
        <v>7.3523498400618304E-9</v>
      </c>
      <c r="CR85" s="2">
        <v>6.9979606109882297E-8</v>
      </c>
      <c r="CS85" s="2">
        <v>-1.01810089248033E-8</v>
      </c>
      <c r="CT85">
        <v>74.725349426269503</v>
      </c>
      <c r="CU85">
        <v>45.09716796875</v>
      </c>
      <c r="CV85">
        <v>1.9222380593419099E-2</v>
      </c>
      <c r="CW85" s="2">
        <v>3.2898944937187501E-6</v>
      </c>
      <c r="CX85" s="2">
        <v>9.9655830254619104E-9</v>
      </c>
      <c r="CY85" s="2">
        <v>6.3406289996237306E-8</v>
      </c>
      <c r="CZ85" s="2">
        <v>6.3117209236907001E-9</v>
      </c>
      <c r="DA85">
        <v>74.878944396972699</v>
      </c>
      <c r="DB85">
        <v>-27.862245559692401</v>
      </c>
      <c r="DC85" s="2">
        <v>3.4028230607370999E+38</v>
      </c>
      <c r="DD85" s="2">
        <v>3.4028230607370999E+38</v>
      </c>
      <c r="DE85">
        <v>1380.08911132812</v>
      </c>
      <c r="DF85">
        <v>1380.08959960938</v>
      </c>
      <c r="DG85">
        <v>7.1381635963916806E-2</v>
      </c>
      <c r="DH85" s="2">
        <v>3.4028230607370999E+38</v>
      </c>
      <c r="DI85" s="2">
        <v>3.4028230607370999E+38</v>
      </c>
      <c r="DJ85">
        <v>230.00199890136699</v>
      </c>
      <c r="DK85">
        <v>6.0003209114074698</v>
      </c>
      <c r="DL85">
        <v>1380.08447265625</v>
      </c>
      <c r="DM85">
        <v>1380.08361816406</v>
      </c>
      <c r="DN85">
        <v>6.9022037088871002E-2</v>
      </c>
      <c r="DO85">
        <v>49.999969482421903</v>
      </c>
      <c r="DP85">
        <v>-2.8655317146331098E-3</v>
      </c>
      <c r="DQ85">
        <v>1.4302066527307001E-2</v>
      </c>
      <c r="DR85" s="2">
        <v>3.9847523112257502E-6</v>
      </c>
      <c r="DS85" s="2">
        <v>3.2946634309638499E-9</v>
      </c>
      <c r="DT85" s="2">
        <v>5.6611153098629101E-8</v>
      </c>
      <c r="DU85" s="2">
        <v>-3.8748000363853002E-9</v>
      </c>
      <c r="DV85">
        <v>74.727508544921903</v>
      </c>
      <c r="DW85">
        <v>40.853187561035199</v>
      </c>
      <c r="DX85">
        <v>1.5169111080467699E-2</v>
      </c>
      <c r="DY85" s="2">
        <v>3.2097329949465301E-6</v>
      </c>
      <c r="DZ85" s="2">
        <v>3.64778141026534E-9</v>
      </c>
      <c r="EA85" s="2">
        <v>5.0573831344991003E-8</v>
      </c>
      <c r="EB85" s="2">
        <v>9.8435604112267997E-10</v>
      </c>
      <c r="EC85">
        <v>74.750953674316406</v>
      </c>
      <c r="ED85">
        <v>-25.597154617309599</v>
      </c>
      <c r="EE85" s="2">
        <v>3.4028230607370999E+38</v>
      </c>
      <c r="EF85" s="2">
        <v>3.4028230607370999E+38</v>
      </c>
      <c r="EG85">
        <v>1380.08447265625</v>
      </c>
      <c r="EH85">
        <v>1380.08361816406</v>
      </c>
      <c r="EI85">
        <v>6.9022029638290405E-2</v>
      </c>
      <c r="EJ85" s="2">
        <v>3.4028230607370999E+38</v>
      </c>
      <c r="EK85" s="2">
        <v>3.4028230607370999E+38</v>
      </c>
      <c r="EL85">
        <v>123</v>
      </c>
      <c r="EM85">
        <v>230.00183105468801</v>
      </c>
      <c r="EN85">
        <v>6.0002899169921902</v>
      </c>
      <c r="EO85">
        <v>1380.07678222656</v>
      </c>
      <c r="EP85">
        <v>1380.0771484375</v>
      </c>
      <c r="EQ85">
        <v>7.5606927275657695E-2</v>
      </c>
      <c r="ER85">
        <v>50</v>
      </c>
      <c r="ES85">
        <v>-2.9110724572092299E-3</v>
      </c>
      <c r="ET85">
        <v>0.99999946355819702</v>
      </c>
      <c r="EU85" s="2">
        <v>3.4028230607370999E+38</v>
      </c>
      <c r="EV85">
        <v>0</v>
      </c>
      <c r="EW85">
        <v>230.00177001953099</v>
      </c>
      <c r="EX85">
        <v>1380.08081054688</v>
      </c>
      <c r="EY85">
        <v>1380.08117675781</v>
      </c>
      <c r="EZ85">
        <v>9.48067978024483E-2</v>
      </c>
      <c r="FA85">
        <v>-2.2098845802247498E-3</v>
      </c>
      <c r="FB85">
        <v>1.46227357909083E-2</v>
      </c>
      <c r="FC85" s="2">
        <v>3.9034389374137399E-6</v>
      </c>
      <c r="FD85" s="2">
        <v>7.8859638819039901E-9</v>
      </c>
      <c r="FE85" s="2">
        <v>5.7044598378297497E-8</v>
      </c>
      <c r="FF85" s="2">
        <v>1.16729392818371E-9</v>
      </c>
      <c r="FG85">
        <v>74.748832702636705</v>
      </c>
      <c r="FH85">
        <v>-7.7164320945739702</v>
      </c>
      <c r="FI85">
        <v>0.14683338999748199</v>
      </c>
      <c r="FJ85" s="2">
        <v>3.4028230607370999E+38</v>
      </c>
      <c r="FK85">
        <v>-15.9705410003662</v>
      </c>
      <c r="FL85">
        <v>1.9810697063803701E-2</v>
      </c>
      <c r="FM85">
        <v>0</v>
      </c>
      <c r="FN85">
        <v>0</v>
      </c>
      <c r="FO85">
        <v>0</v>
      </c>
      <c r="FP85">
        <v>-1.27135499496944E-4</v>
      </c>
      <c r="FQ85">
        <v>1.6810098662972499E-2</v>
      </c>
      <c r="FR85" s="2">
        <v>3.38146151079854E-6</v>
      </c>
      <c r="FS85" s="2">
        <v>6.9533210300676298E-9</v>
      </c>
      <c r="FT85" s="2">
        <v>5.6857743402360899E-8</v>
      </c>
      <c r="FU85" s="2">
        <v>8.2420426039675493E-9</v>
      </c>
      <c r="FV85">
        <v>74.740203857421903</v>
      </c>
      <c r="FW85">
        <v>-51.0985298156738</v>
      </c>
      <c r="FX85">
        <v>0.121412716805935</v>
      </c>
      <c r="FY85" s="2">
        <v>3.4028230607370999E+38</v>
      </c>
      <c r="FZ85">
        <v>10.937608718872101</v>
      </c>
      <c r="GA85">
        <v>229.63412475585901</v>
      </c>
      <c r="GB85" s="2">
        <v>3.4887814859274603E-10</v>
      </c>
      <c r="GC85">
        <v>7.4115552706643896E-4</v>
      </c>
      <c r="GD85" s="2">
        <v>1.26516908061092E-9</v>
      </c>
      <c r="GE85" s="2">
        <v>-4.9085203499998897E-5</v>
      </c>
      <c r="GF85" s="2">
        <v>3.4028230607370999E+38</v>
      </c>
      <c r="GG85" s="2">
        <v>3.4028230607370999E+38</v>
      </c>
      <c r="GH85">
        <v>1380.08056640625</v>
      </c>
      <c r="GI85">
        <v>1380.0810546875</v>
      </c>
      <c r="GJ85">
        <v>6.9433636963367504E-2</v>
      </c>
      <c r="GK85" s="2">
        <v>3.4028230607370999E+38</v>
      </c>
      <c r="GL85" s="2">
        <v>3.4028230607370999E+38</v>
      </c>
      <c r="GM85" s="2">
        <v>3.4028230607370999E+38</v>
      </c>
      <c r="GN85" s="2">
        <v>3.4028230607370999E+38</v>
      </c>
      <c r="GO85" s="2">
        <v>3.4028230607370999E+38</v>
      </c>
      <c r="GP85" s="2">
        <v>3.4028230607370999E+38</v>
      </c>
      <c r="GQ85">
        <v>1380.07006835938</v>
      </c>
      <c r="GR85">
        <v>1380.07006835938</v>
      </c>
      <c r="GS85">
        <v>0.109835118055344</v>
      </c>
      <c r="GT85">
        <v>-1.5881807776168E-3</v>
      </c>
      <c r="GX85">
        <f t="shared" si="8"/>
        <v>230.0022674560546</v>
      </c>
      <c r="GY85">
        <f t="shared" si="9"/>
        <v>6.0003180503845224</v>
      </c>
      <c r="GZ85">
        <f t="shared" si="10"/>
        <v>1380.0857177734338</v>
      </c>
      <c r="HA85">
        <f t="shared" si="11"/>
        <v>1380.085913085938</v>
      </c>
      <c r="HB85">
        <f t="shared" si="12"/>
        <v>7.0629873871803306E-2</v>
      </c>
      <c r="HC85">
        <f t="shared" si="13"/>
        <v>49.999951934814462</v>
      </c>
      <c r="HD85">
        <f t="shared" si="14"/>
        <v>-2.9597512912005199E-3</v>
      </c>
      <c r="HW85" s="10">
        <f>(GX85/Data!$S85-1)*1000000</f>
        <v>24.4314693109704</v>
      </c>
      <c r="HX85" s="10">
        <f>(GY85/Data!$T85-1)*1000000</f>
        <v>5.4588045244052807</v>
      </c>
      <c r="HY85" s="10">
        <f>(GZ85/Data!$BW85-1)*1000000</f>
        <v>29.132208340998389</v>
      </c>
      <c r="HZ85" s="10">
        <f>(HA85/(Data!$S85*Data!$T85)-1)*1000000</f>
        <v>29.278862154757945</v>
      </c>
      <c r="IA85" s="7">
        <f>(HB85/IF(HD85&gt;0, -Data!$BX85,Data!$BX85)-1)*1000000</f>
        <v>462615.68692197261</v>
      </c>
      <c r="IB85" s="10"/>
      <c r="IC85" s="9">
        <f>(HD85-Data!$U85)</f>
        <v>-9.5487529120051986E-4</v>
      </c>
    </row>
    <row r="86" spans="1:237" x14ac:dyDescent="0.2">
      <c r="A86">
        <v>86</v>
      </c>
      <c r="B86">
        <v>230.00157165527301</v>
      </c>
      <c r="C86">
        <v>6.0003080368042001</v>
      </c>
      <c r="D86">
        <v>1380.0791015625</v>
      </c>
      <c r="E86">
        <v>1380.07653808594</v>
      </c>
      <c r="F86">
        <v>6.9411151111125904E-2</v>
      </c>
      <c r="G86">
        <v>49.999912261962898</v>
      </c>
      <c r="H86">
        <v>-2.7640464249998301E-3</v>
      </c>
      <c r="I86">
        <v>1.52181815356016E-2</v>
      </c>
      <c r="J86" s="2">
        <v>3.9582018871442398E-6</v>
      </c>
      <c r="K86" s="2">
        <v>8.9769711664189295E-9</v>
      </c>
      <c r="L86" s="2">
        <v>6.0577839633424407E-8</v>
      </c>
      <c r="M86" s="2">
        <v>1.2835870144556299E-9</v>
      </c>
      <c r="N86">
        <v>74.804779052734403</v>
      </c>
      <c r="O86">
        <v>-6.93170166015625</v>
      </c>
      <c r="P86">
        <v>1.6598816961049999E-2</v>
      </c>
      <c r="Q86" s="2">
        <v>3.2748737339716201E-6</v>
      </c>
      <c r="R86" s="2">
        <v>6.5503207302697303E-9</v>
      </c>
      <c r="S86" s="2">
        <v>5.3915606201826403E-8</v>
      </c>
      <c r="T86" s="2">
        <v>7.7721384883488992E-9</v>
      </c>
      <c r="U86">
        <v>74.767662048339801</v>
      </c>
      <c r="V86">
        <v>-54.715259552002003</v>
      </c>
      <c r="W86" s="2">
        <v>3.4028230607370999E+38</v>
      </c>
      <c r="X86" s="2">
        <v>3.4028230607370999E+38</v>
      </c>
      <c r="Y86">
        <v>1380.0791015625</v>
      </c>
      <c r="Z86">
        <v>1380.07653808594</v>
      </c>
      <c r="AA86">
        <v>6.9411158561706501E-2</v>
      </c>
      <c r="AB86" s="2">
        <v>3.4028230607370999E+38</v>
      </c>
      <c r="AC86" s="2">
        <v>3.4028230607370999E+38</v>
      </c>
      <c r="AD86">
        <v>230.00210571289099</v>
      </c>
      <c r="AE86">
        <v>6.0003161430358896</v>
      </c>
      <c r="AF86">
        <v>1380.083984375</v>
      </c>
      <c r="AG86">
        <v>1380.08776855469</v>
      </c>
      <c r="AH86">
        <v>6.9939441978931399E-2</v>
      </c>
      <c r="AI86">
        <v>49.999927520752003</v>
      </c>
      <c r="AJ86">
        <v>-2.9036100022494802E-3</v>
      </c>
      <c r="AK86">
        <v>1.45874479785562E-2</v>
      </c>
      <c r="AL86" s="2">
        <v>4.0004047150432598E-6</v>
      </c>
      <c r="AM86" s="2">
        <v>4.27510205014414E-9</v>
      </c>
      <c r="AN86" s="2">
        <v>5.8633506938576803E-8</v>
      </c>
      <c r="AO86" s="2">
        <v>-5.2905950731485502E-9</v>
      </c>
      <c r="AP86">
        <v>74.743347167968807</v>
      </c>
      <c r="AQ86">
        <v>53.583209991455099</v>
      </c>
      <c r="AR86">
        <v>1.52415074408054E-2</v>
      </c>
      <c r="AS86" s="2">
        <v>3.2174873467738499E-6</v>
      </c>
      <c r="AT86" s="2">
        <v>4.31353930352429E-9</v>
      </c>
      <c r="AU86" s="2">
        <v>4.9014875713737598E-8</v>
      </c>
      <c r="AV86" s="2">
        <v>1.5929377816803499E-9</v>
      </c>
      <c r="AW86">
        <v>74.806022644042997</v>
      </c>
      <c r="AX86">
        <v>-15.900159835815399</v>
      </c>
      <c r="AY86" s="2">
        <v>3.4028230607370999E+38</v>
      </c>
      <c r="AZ86" s="2">
        <v>3.4028230607370999E+38</v>
      </c>
      <c r="BA86">
        <v>1380.083984375</v>
      </c>
      <c r="BB86">
        <v>1380.08776855469</v>
      </c>
      <c r="BC86">
        <v>6.9939434528350802E-2</v>
      </c>
      <c r="BD86" s="2">
        <v>3.4028230607370999E+38</v>
      </c>
      <c r="BE86" s="2">
        <v>3.4028230607370999E+38</v>
      </c>
      <c r="BF86">
        <v>230.00149536132801</v>
      </c>
      <c r="BG86">
        <v>6.0003156661987296</v>
      </c>
      <c r="BH86">
        <v>1380.080078125</v>
      </c>
      <c r="BI86">
        <v>1380.08068847656</v>
      </c>
      <c r="BJ86">
        <v>7.2745516896247905E-2</v>
      </c>
      <c r="BK86">
        <v>49.999931335449197</v>
      </c>
      <c r="BL86">
        <v>-2.7538081631064402E-3</v>
      </c>
      <c r="BM86">
        <v>1.7509233206510499E-2</v>
      </c>
      <c r="BN86" s="2">
        <v>4.0214622458734101E-6</v>
      </c>
      <c r="BO86" s="2">
        <v>7.1710961613291602E-9</v>
      </c>
      <c r="BP86" s="2">
        <v>7.0269990715132695E-8</v>
      </c>
      <c r="BQ86" s="2">
        <v>-1.0289197049928601E-8</v>
      </c>
      <c r="BR86">
        <v>74.736022949218807</v>
      </c>
      <c r="BS86">
        <v>52.961776733398402</v>
      </c>
      <c r="BT86">
        <v>1.9152790307998699E-2</v>
      </c>
      <c r="BU86" s="2">
        <v>3.24409643326362E-6</v>
      </c>
      <c r="BV86" s="2">
        <v>1.3844281276931299E-8</v>
      </c>
      <c r="BW86" s="2">
        <v>6.2849473181358904E-8</v>
      </c>
      <c r="BX86" s="2">
        <v>6.8789871576768697E-9</v>
      </c>
      <c r="BY86">
        <v>74.616905212402301</v>
      </c>
      <c r="BZ86">
        <v>-27.385337829589801</v>
      </c>
      <c r="CA86" s="2">
        <v>3.4028230607370999E+38</v>
      </c>
      <c r="CB86" s="2">
        <v>3.4028230607370999E+38</v>
      </c>
      <c r="CC86">
        <v>1380.080078125</v>
      </c>
      <c r="CD86">
        <v>1380.08068847656</v>
      </c>
      <c r="CE86">
        <v>7.2745509445667295E-2</v>
      </c>
      <c r="CF86" s="2">
        <v>3.4028230607370999E+38</v>
      </c>
      <c r="CG86" s="2">
        <v>3.4028230607370999E+38</v>
      </c>
      <c r="CH86">
        <v>230.001953125</v>
      </c>
      <c r="CI86">
        <v>6.0002956390380904</v>
      </c>
      <c r="CJ86">
        <v>1380.08679199219</v>
      </c>
      <c r="CK86">
        <v>1380.08728027344</v>
      </c>
      <c r="CL86">
        <v>6.9630570709705394E-2</v>
      </c>
      <c r="CM86">
        <v>49.999969482421903</v>
      </c>
      <c r="CN86">
        <v>-3.0649628024548301E-3</v>
      </c>
      <c r="CO86">
        <v>1.42925968393683E-2</v>
      </c>
      <c r="CP86" s="2">
        <v>4.00090539187659E-6</v>
      </c>
      <c r="CQ86" s="2">
        <v>3.67938635115195E-9</v>
      </c>
      <c r="CR86" s="2">
        <v>5.7491767790907E-8</v>
      </c>
      <c r="CS86" s="2">
        <v>-3.9872127821638498E-9</v>
      </c>
      <c r="CT86">
        <v>74.622184753417997</v>
      </c>
      <c r="CU86">
        <v>55.519401550292997</v>
      </c>
      <c r="CV86">
        <v>1.53453145176172E-2</v>
      </c>
      <c r="CW86" s="2">
        <v>3.3112926303147101E-6</v>
      </c>
      <c r="CX86" s="2">
        <v>3.8059102536180903E-9</v>
      </c>
      <c r="CY86" s="2">
        <v>4.9055589812496698E-8</v>
      </c>
      <c r="CZ86" s="2">
        <v>1.8834684922808302E-9</v>
      </c>
      <c r="DA86">
        <v>74.738967895507798</v>
      </c>
      <c r="DB86">
        <v>-17.912227630615199</v>
      </c>
      <c r="DC86" s="2">
        <v>3.4028230607370999E+38</v>
      </c>
      <c r="DD86" s="2">
        <v>3.4028230607370999E+38</v>
      </c>
      <c r="DE86">
        <v>1380.08679199219</v>
      </c>
      <c r="DF86">
        <v>1380.08728027344</v>
      </c>
      <c r="DG86">
        <v>6.9630563259124797E-2</v>
      </c>
      <c r="DH86" s="2">
        <v>3.4028230607370999E+38</v>
      </c>
      <c r="DI86" s="2">
        <v>3.4028230607370999E+38</v>
      </c>
      <c r="DJ86">
        <v>230.00209045410199</v>
      </c>
      <c r="DK86">
        <v>6.0003223419189498</v>
      </c>
      <c r="DL86">
        <v>1380.0849609375</v>
      </c>
      <c r="DM86">
        <v>1380.0830078125</v>
      </c>
      <c r="DN86">
        <v>7.3899544775486006E-2</v>
      </c>
      <c r="DO86">
        <v>49.999908447265597</v>
      </c>
      <c r="DP86">
        <v>-3.0680287163704599E-3</v>
      </c>
      <c r="DQ86">
        <v>1.6030285507440602E-2</v>
      </c>
      <c r="DR86" s="2">
        <v>4.0028439798334097E-6</v>
      </c>
      <c r="DS86" s="2">
        <v>3.7602165825489903E-9</v>
      </c>
      <c r="DT86" s="2">
        <v>6.3921127946287002E-8</v>
      </c>
      <c r="DU86" s="2">
        <v>-1.13882947516686E-8</v>
      </c>
      <c r="DV86">
        <v>74.556777954101605</v>
      </c>
      <c r="DW86">
        <v>68.726539611816406</v>
      </c>
      <c r="DX86">
        <v>1.7652690410614E-2</v>
      </c>
      <c r="DY86" s="2">
        <v>3.27795396515285E-6</v>
      </c>
      <c r="DZ86" s="2">
        <v>9.7936609932958196E-9</v>
      </c>
      <c r="EA86" s="2">
        <v>5.7930783725623802E-8</v>
      </c>
      <c r="EB86" s="2">
        <v>2.8028825926895698E-9</v>
      </c>
      <c r="EC86">
        <v>74.718620300292997</v>
      </c>
      <c r="ED86">
        <v>-18.783460617065401</v>
      </c>
      <c r="EE86" s="2">
        <v>3.4028230607370999E+38</v>
      </c>
      <c r="EF86" s="2">
        <v>3.4028230607370999E+38</v>
      </c>
      <c r="EG86">
        <v>1380.0849609375</v>
      </c>
      <c r="EH86">
        <v>1380.0830078125</v>
      </c>
      <c r="EI86">
        <v>7.3899529874324799E-2</v>
      </c>
      <c r="EJ86" s="2">
        <v>3.4028230607370999E+38</v>
      </c>
      <c r="EK86" s="2">
        <v>3.4028230607370999E+38</v>
      </c>
      <c r="EL86">
        <v>123</v>
      </c>
      <c r="EM86">
        <v>230.00218200683599</v>
      </c>
      <c r="EN86">
        <v>6.0003323554992702</v>
      </c>
      <c r="EO86">
        <v>1380.08813476562</v>
      </c>
      <c r="EP86">
        <v>1380.08874511719</v>
      </c>
      <c r="EQ86">
        <v>7.0361085236072499E-2</v>
      </c>
      <c r="ER86">
        <v>49.999969482421903</v>
      </c>
      <c r="ES86">
        <v>-2.8516142629087002E-3</v>
      </c>
      <c r="ET86">
        <v>0.99999946355819702</v>
      </c>
      <c r="EU86" s="2">
        <v>3.4028230607370999E+38</v>
      </c>
      <c r="EV86">
        <v>0</v>
      </c>
      <c r="EW86">
        <v>230.00686645507801</v>
      </c>
      <c r="EX86">
        <v>1380.11315917969</v>
      </c>
      <c r="EY86">
        <v>1380.11364746094</v>
      </c>
      <c r="EZ86">
        <v>0.106805004179478</v>
      </c>
      <c r="FA86">
        <v>1.34084466844797E-3</v>
      </c>
      <c r="FB86">
        <v>1.54871335253119E-2</v>
      </c>
      <c r="FC86" s="2">
        <v>3.9746373658999801E-6</v>
      </c>
      <c r="FD86" s="2">
        <v>1.7126854379157E-9</v>
      </c>
      <c r="FE86" s="2">
        <v>6.0564360637727104E-8</v>
      </c>
      <c r="FF86" s="2">
        <v>-1.01292796372832E-8</v>
      </c>
      <c r="FG86">
        <v>74.705909729003906</v>
      </c>
      <c r="FH86">
        <v>80.986473083496094</v>
      </c>
      <c r="FI86">
        <v>2.4608515202999101E-2</v>
      </c>
      <c r="FJ86" s="2">
        <v>3.4028230607370999E+38</v>
      </c>
      <c r="FK86">
        <v>15.1048736572266</v>
      </c>
      <c r="FL86">
        <v>1.97430290281773E-2</v>
      </c>
      <c r="FM86">
        <v>0</v>
      </c>
      <c r="FN86">
        <v>0</v>
      </c>
      <c r="FO86">
        <v>0</v>
      </c>
      <c r="FP86">
        <v>-1.3487743854057E-4</v>
      </c>
      <c r="FQ86">
        <v>1.6810160130262399E-2</v>
      </c>
      <c r="FR86" s="2">
        <v>3.2430846204079002E-6</v>
      </c>
      <c r="FS86" s="2">
        <v>6.5363177093047398E-9</v>
      </c>
      <c r="FT86" s="2">
        <v>5.4638039870269501E-8</v>
      </c>
      <c r="FU86" s="2">
        <v>1.5376930839750001E-9</v>
      </c>
      <c r="FV86">
        <v>74.739723205566406</v>
      </c>
      <c r="FW86">
        <v>-12.322838783264199</v>
      </c>
      <c r="FX86">
        <v>0.129432544112206</v>
      </c>
      <c r="FY86" s="2">
        <v>3.4028230607370999E+38</v>
      </c>
      <c r="FZ86">
        <v>-67.274658203125</v>
      </c>
      <c r="GA86">
        <v>229.64714050293</v>
      </c>
      <c r="GB86" s="2">
        <v>5.7168847433786099E-10</v>
      </c>
      <c r="GC86">
        <v>7.5163453584536899E-4</v>
      </c>
      <c r="GD86" s="2">
        <v>4.0965580927476698E-10</v>
      </c>
      <c r="GE86" s="2">
        <v>-4.52082749688998E-5</v>
      </c>
      <c r="GF86" s="2">
        <v>3.4028230607370999E+38</v>
      </c>
      <c r="GG86" s="2">
        <v>3.4028230607370999E+38</v>
      </c>
      <c r="GH86">
        <v>1380.08288574219</v>
      </c>
      <c r="GI86">
        <v>1380.08349609375</v>
      </c>
      <c r="GJ86">
        <v>7.20966681838036E-2</v>
      </c>
      <c r="GK86" s="2">
        <v>3.4028230607370999E+38</v>
      </c>
      <c r="GL86" s="2">
        <v>3.4028230607370999E+38</v>
      </c>
      <c r="GM86" s="2">
        <v>3.4028230607370999E+38</v>
      </c>
      <c r="GN86" s="2">
        <v>3.4028230607370999E+38</v>
      </c>
      <c r="GO86" s="2">
        <v>3.4028230607370999E+38</v>
      </c>
      <c r="GP86" s="2">
        <v>3.4028230607370999E+38</v>
      </c>
      <c r="GQ86">
        <v>1380.11682128906</v>
      </c>
      <c r="GR86">
        <v>1380.11413574219</v>
      </c>
      <c r="GS86">
        <v>0.12583531439304399</v>
      </c>
      <c r="GT86">
        <v>1.89205328933895E-3</v>
      </c>
      <c r="GX86">
        <f t="shared" si="8"/>
        <v>230.00184326171879</v>
      </c>
      <c r="GY86">
        <f t="shared" si="9"/>
        <v>6.000311565399171</v>
      </c>
      <c r="GZ86">
        <f t="shared" si="10"/>
        <v>1380.082983398438</v>
      </c>
      <c r="HA86">
        <f t="shared" si="11"/>
        <v>1380.0830566406262</v>
      </c>
      <c r="HB86">
        <f t="shared" si="12"/>
        <v>7.1125245094299322E-2</v>
      </c>
      <c r="HC86">
        <f t="shared" si="13"/>
        <v>49.999929809570318</v>
      </c>
      <c r="HD86">
        <f t="shared" si="14"/>
        <v>-2.9108912218362079E-3</v>
      </c>
      <c r="HW86" s="10">
        <f>(GX86/Data!$S86-1)*1000000</f>
        <v>22.519725430880655</v>
      </c>
      <c r="HX86" s="10">
        <f>(GY86/Data!$T86-1)*1000000</f>
        <v>5.0181644639657463</v>
      </c>
      <c r="HY86" s="10">
        <f>(GZ86/Data!$BW86-1)*1000000</f>
        <v>27.724027924946881</v>
      </c>
      <c r="HZ86" s="10">
        <f>(HA86/(Data!$S86*Data!$T86)-1)*1000000</f>
        <v>27.78180239948469</v>
      </c>
      <c r="IA86" s="7">
        <f>(HB86/IF(HD86&gt;0, -Data!$BX86,Data!$BX86)-1)*1000000</f>
        <v>513010.75412002462</v>
      </c>
      <c r="IB86" s="10"/>
      <c r="IC86" s="9">
        <f>(HD86-Data!$U86)</f>
        <v>-9.5919922183620781E-4</v>
      </c>
    </row>
    <row r="87" spans="1:237" x14ac:dyDescent="0.2">
      <c r="A87">
        <v>87</v>
      </c>
      <c r="B87">
        <v>230.00167846679699</v>
      </c>
      <c r="C87">
        <v>6.0002985000610396</v>
      </c>
      <c r="D87">
        <v>689.98156738281205</v>
      </c>
      <c r="E87">
        <v>1380.07983398438</v>
      </c>
      <c r="F87">
        <v>1195.21960449219</v>
      </c>
      <c r="G87">
        <v>49.999927520752003</v>
      </c>
      <c r="H87">
        <v>-60.002830505371101</v>
      </c>
      <c r="I87">
        <v>1.74812525510788E-2</v>
      </c>
      <c r="J87" s="2">
        <v>3.9339624890999403E-6</v>
      </c>
      <c r="K87" s="2">
        <v>1.52754857651871E-8</v>
      </c>
      <c r="L87" s="2">
        <v>6.8756229154587305E-8</v>
      </c>
      <c r="M87" s="2">
        <v>1.17444107772258E-8</v>
      </c>
      <c r="N87">
        <v>74.699630737304702</v>
      </c>
      <c r="O87">
        <v>-37.742805480957003</v>
      </c>
      <c r="P87">
        <v>1.94952320307493E-2</v>
      </c>
      <c r="Q87" s="2">
        <v>3.26473741552036E-6</v>
      </c>
      <c r="R87" s="2">
        <v>4.9336832397273197E-9</v>
      </c>
      <c r="S87" s="2">
        <v>6.3643184944339697E-8</v>
      </c>
      <c r="T87" s="2">
        <v>1.04294421987561E-8</v>
      </c>
      <c r="U87">
        <v>74.824172973632798</v>
      </c>
      <c r="V87">
        <v>-67.902572631835895</v>
      </c>
      <c r="W87" s="2">
        <v>3.4028230607370999E+38</v>
      </c>
      <c r="X87" s="2">
        <v>3.4028230607370999E+38</v>
      </c>
      <c r="Y87">
        <v>689.98156738281205</v>
      </c>
      <c r="Z87">
        <v>1380.07983398438</v>
      </c>
      <c r="AA87">
        <v>1195.21960449219</v>
      </c>
      <c r="AB87" s="2">
        <v>3.4028230607370999E+38</v>
      </c>
      <c r="AC87" s="2">
        <v>3.4028230607370999E+38</v>
      </c>
      <c r="AD87">
        <v>230.00213623046901</v>
      </c>
      <c r="AE87">
        <v>6.0003256797790501</v>
      </c>
      <c r="AF87">
        <v>689.986328125</v>
      </c>
      <c r="AG87">
        <v>1380.08374023438</v>
      </c>
      <c r="AH87">
        <v>1195.22033691406</v>
      </c>
      <c r="AI87">
        <v>49.999988555908203</v>
      </c>
      <c r="AJ87">
        <v>-60.0026664733887</v>
      </c>
      <c r="AK87">
        <v>1.6950756311416602E-2</v>
      </c>
      <c r="AL87" s="2">
        <v>3.9921742427395699E-6</v>
      </c>
      <c r="AM87" s="2">
        <v>1.8217171771084402E-8</v>
      </c>
      <c r="AN87" s="2">
        <v>6.7162041261781295E-8</v>
      </c>
      <c r="AO87" s="2">
        <v>6.54543441669375E-9</v>
      </c>
      <c r="AP87">
        <v>74.492340087890597</v>
      </c>
      <c r="AQ87">
        <v>-17.287782669067401</v>
      </c>
      <c r="AR87">
        <v>1.84126775711775E-2</v>
      </c>
      <c r="AS87" s="2">
        <v>3.1608572044206102E-6</v>
      </c>
      <c r="AT87" s="2">
        <v>5.9202278634984404E-9</v>
      </c>
      <c r="AU87" s="2">
        <v>5.8821409965048601E-8</v>
      </c>
      <c r="AV87" s="2">
        <v>8.2362046072148604E-9</v>
      </c>
      <c r="AW87">
        <v>74.851943969726605</v>
      </c>
      <c r="AX87">
        <v>-56.529457092285199</v>
      </c>
      <c r="AY87" s="2">
        <v>3.4028230607370999E+38</v>
      </c>
      <c r="AZ87" s="2">
        <v>3.4028230607370999E+38</v>
      </c>
      <c r="BA87">
        <v>689.986328125</v>
      </c>
      <c r="BB87">
        <v>1380.08374023438</v>
      </c>
      <c r="BC87">
        <v>1195.22033691406</v>
      </c>
      <c r="BD87" s="2">
        <v>3.4028230607370999E+38</v>
      </c>
      <c r="BE87" s="2">
        <v>3.4028230607370999E+38</v>
      </c>
      <c r="BF87">
        <v>230.00215148925801</v>
      </c>
      <c r="BG87">
        <v>6.0003089904785201</v>
      </c>
      <c r="BH87">
        <v>689.98376464843795</v>
      </c>
      <c r="BI87">
        <v>1380.08374023438</v>
      </c>
      <c r="BJ87">
        <v>1195.22119140625</v>
      </c>
      <c r="BK87">
        <v>49.999996185302699</v>
      </c>
      <c r="BL87">
        <v>-60.002853393554702</v>
      </c>
      <c r="BM87">
        <v>1.53882997110486E-2</v>
      </c>
      <c r="BN87" s="2">
        <v>3.9670130718150202E-6</v>
      </c>
      <c r="BO87" s="2">
        <v>1.03613722046703E-8</v>
      </c>
      <c r="BP87" s="2">
        <v>6.1043721188980298E-8</v>
      </c>
      <c r="BQ87" s="2">
        <v>1.16978240427557E-8</v>
      </c>
      <c r="BR87">
        <v>74.671630859375</v>
      </c>
      <c r="BS87">
        <v>-53.624622344970703</v>
      </c>
      <c r="BT87">
        <v>1.65976881980896E-2</v>
      </c>
      <c r="BU87" s="2">
        <v>3.30753277921758E-6</v>
      </c>
      <c r="BV87" s="2">
        <v>1.8367053433721001E-9</v>
      </c>
      <c r="BW87" s="2">
        <v>5.4888232625671702E-8</v>
      </c>
      <c r="BX87" s="2">
        <v>6.0831597537003298E-9</v>
      </c>
      <c r="BY87">
        <v>74.732940673828097</v>
      </c>
      <c r="BZ87">
        <v>-75.171569824218807</v>
      </c>
      <c r="CA87" s="2">
        <v>3.4028230607370999E+38</v>
      </c>
      <c r="CB87" s="2">
        <v>3.4028230607370999E+38</v>
      </c>
      <c r="CC87">
        <v>689.98376464843795</v>
      </c>
      <c r="CD87">
        <v>1380.08374023438</v>
      </c>
      <c r="CE87">
        <v>1195.22119140625</v>
      </c>
      <c r="CF87" s="2">
        <v>3.4028230607370999E+38</v>
      </c>
      <c r="CG87" s="2">
        <v>3.4028230607370999E+38</v>
      </c>
      <c r="CH87">
        <v>230.00225830078099</v>
      </c>
      <c r="CI87">
        <v>6.0003108978271502</v>
      </c>
      <c r="CJ87">
        <v>689.980712890625</v>
      </c>
      <c r="CK87">
        <v>1380.08264160156</v>
      </c>
      <c r="CL87">
        <v>1195.22155761719</v>
      </c>
      <c r="CM87">
        <v>49.999931335449197</v>
      </c>
      <c r="CN87">
        <v>-60.002708435058601</v>
      </c>
      <c r="CO87">
        <v>1.76394432783127E-2</v>
      </c>
      <c r="CP87" s="2">
        <v>3.9460314837924696E-6</v>
      </c>
      <c r="CQ87" s="2">
        <v>1.8585049943453698E-8</v>
      </c>
      <c r="CR87" s="2">
        <v>6.9851623152317201E-8</v>
      </c>
      <c r="CS87" s="2">
        <v>1.19480665361493E-8</v>
      </c>
      <c r="CT87">
        <v>74.757072448730497</v>
      </c>
      <c r="CU87">
        <v>-43.7442626953125</v>
      </c>
      <c r="CV87">
        <v>1.9448276609182399E-2</v>
      </c>
      <c r="CW87" s="2">
        <v>3.2076773095468499E-6</v>
      </c>
      <c r="CX87" s="2">
        <v>2.3098936097198901E-9</v>
      </c>
      <c r="CY87" s="2">
        <v>6.44429292151472E-8</v>
      </c>
      <c r="CZ87" s="2">
        <v>1.15979661430288E-8</v>
      </c>
      <c r="DA87">
        <v>74.659362792968807</v>
      </c>
      <c r="DB87">
        <v>-77.063095092773395</v>
      </c>
      <c r="DC87" s="2">
        <v>3.4028230607370999E+38</v>
      </c>
      <c r="DD87" s="2">
        <v>3.4028230607370999E+38</v>
      </c>
      <c r="DE87">
        <v>689.980712890625</v>
      </c>
      <c r="DF87">
        <v>1380.08264160156</v>
      </c>
      <c r="DG87">
        <v>1195.22155761719</v>
      </c>
      <c r="DH87" s="2">
        <v>3.4028230607370999E+38</v>
      </c>
      <c r="DI87" s="2">
        <v>3.4028230607370999E+38</v>
      </c>
      <c r="DJ87">
        <v>230.00254821777301</v>
      </c>
      <c r="DK87">
        <v>6.0003199577331499</v>
      </c>
      <c r="DL87">
        <v>689.98419189453102</v>
      </c>
      <c r="DM87">
        <v>1380.083984375</v>
      </c>
      <c r="DN87">
        <v>1195.22448730469</v>
      </c>
      <c r="DO87">
        <v>49.999954223632798</v>
      </c>
      <c r="DP87">
        <v>-60.002803802490199</v>
      </c>
      <c r="DQ87">
        <v>1.55057637020946E-2</v>
      </c>
      <c r="DR87" s="2">
        <v>3.8917569327168201E-6</v>
      </c>
      <c r="DS87" s="2">
        <v>9.5539114397524794E-9</v>
      </c>
      <c r="DT87" s="2">
        <v>6.03858723025041E-8</v>
      </c>
      <c r="DU87" s="2">
        <v>1.13320490768842E-8</v>
      </c>
      <c r="DV87">
        <v>74.748458862304702</v>
      </c>
      <c r="DW87">
        <v>-50.358497619628899</v>
      </c>
      <c r="DX87">
        <v>1.6922654584050199E-2</v>
      </c>
      <c r="DY87" s="2">
        <v>3.2113453016791002E-6</v>
      </c>
      <c r="DZ87" s="2">
        <v>1.05193610766552E-10</v>
      </c>
      <c r="EA87" s="2">
        <v>5.4329621690385499E-8</v>
      </c>
      <c r="EB87" s="2">
        <v>5.5843201174354801E-9</v>
      </c>
      <c r="EC87">
        <v>74.762977600097699</v>
      </c>
      <c r="ED87">
        <v>-78.019241333007798</v>
      </c>
      <c r="EE87" s="2">
        <v>3.4028230607370999E+38</v>
      </c>
      <c r="EF87" s="2">
        <v>3.4028230607370999E+38</v>
      </c>
      <c r="EG87">
        <v>689.98419189453102</v>
      </c>
      <c r="EH87">
        <v>1380.083984375</v>
      </c>
      <c r="EI87">
        <v>1195.22448730469</v>
      </c>
      <c r="EJ87" s="2">
        <v>3.4028230607370999E+38</v>
      </c>
      <c r="EK87" s="2">
        <v>3.4028230607370999E+38</v>
      </c>
      <c r="EL87">
        <v>123</v>
      </c>
      <c r="EM87">
        <v>230.00231933593801</v>
      </c>
      <c r="EN87">
        <v>6.0003066062927202</v>
      </c>
      <c r="EO87">
        <v>689.98132324218795</v>
      </c>
      <c r="EP87">
        <v>1380.08056640625</v>
      </c>
      <c r="EQ87">
        <v>1195.220703125</v>
      </c>
      <c r="ER87">
        <v>49.999969482421903</v>
      </c>
      <c r="ES87">
        <v>-60.002891540527301</v>
      </c>
      <c r="ET87">
        <v>0.49995720386505099</v>
      </c>
      <c r="EU87" s="2">
        <v>3.4028230607370999E+38</v>
      </c>
      <c r="EV87">
        <v>0</v>
      </c>
      <c r="EW87">
        <v>230.001052856445</v>
      </c>
      <c r="EX87">
        <v>689.94970703125</v>
      </c>
      <c r="EY87">
        <v>1380.078125</v>
      </c>
      <c r="EZ87">
        <v>1195.21997070312</v>
      </c>
      <c r="FA87">
        <v>-2.0715284626931E-3</v>
      </c>
      <c r="FB87">
        <v>1.48293599486351E-2</v>
      </c>
      <c r="FC87" s="2">
        <v>3.9578430914843904E-6</v>
      </c>
      <c r="FD87" s="2">
        <v>6.0578475569173001E-9</v>
      </c>
      <c r="FE87" s="2">
        <v>5.7514522922019797E-8</v>
      </c>
      <c r="FF87" s="2">
        <v>7.1880856822303899E-9</v>
      </c>
      <c r="FG87">
        <v>74.709892272949205</v>
      </c>
      <c r="FH87">
        <v>-47.022785186767599</v>
      </c>
      <c r="FI87">
        <v>0.10964256525039701</v>
      </c>
      <c r="FJ87" s="2">
        <v>3.4028230607370999E+38</v>
      </c>
      <c r="FK87">
        <v>9.9426479339599592</v>
      </c>
      <c r="FL87">
        <v>1.99405215680599E-2</v>
      </c>
      <c r="FM87">
        <v>0</v>
      </c>
      <c r="FN87">
        <v>0</v>
      </c>
      <c r="FO87">
        <v>0</v>
      </c>
      <c r="FP87">
        <v>1.04431579529773E-4</v>
      </c>
      <c r="FQ87">
        <v>1.5861317515373199E-2</v>
      </c>
      <c r="FR87" s="2">
        <v>3.2017067042033899E-6</v>
      </c>
      <c r="FS87" s="2">
        <v>1.16982756814821E-9</v>
      </c>
      <c r="FT87" s="2">
        <v>5.1524089883514501E-8</v>
      </c>
      <c r="FU87" s="2">
        <v>4.2022247903616996E-9</v>
      </c>
      <c r="FV87">
        <v>74.781318664550795</v>
      </c>
      <c r="FW87">
        <v>-69.773132324218807</v>
      </c>
      <c r="FX87">
        <v>2.94105466455221E-2</v>
      </c>
      <c r="FY87" s="2">
        <v>3.4028230607370999E+38</v>
      </c>
      <c r="FZ87">
        <v>-13.412351608276399</v>
      </c>
      <c r="GA87">
        <v>229.22578430175801</v>
      </c>
      <c r="GB87" s="2">
        <v>-1.07970277163361E-9</v>
      </c>
      <c r="GC87">
        <v>7.4756884714588501E-4</v>
      </c>
      <c r="GD87" s="2">
        <v>-2.0883561546725099E-10</v>
      </c>
      <c r="GE87">
        <v>-1.00075740192551E-4</v>
      </c>
      <c r="GF87" s="2">
        <v>3.4028230607370999E+38</v>
      </c>
      <c r="GG87" s="2">
        <v>3.4028230607370999E+38</v>
      </c>
      <c r="GH87">
        <v>689.979736328125</v>
      </c>
      <c r="GI87">
        <v>1380.08251953125</v>
      </c>
      <c r="GJ87">
        <v>1195.22521972656</v>
      </c>
      <c r="GK87" s="2">
        <v>3.4028230607370999E+38</v>
      </c>
      <c r="GL87" s="2">
        <v>3.4028230607370999E+38</v>
      </c>
      <c r="GM87" s="2">
        <v>3.4028230607370999E+38</v>
      </c>
      <c r="GN87" s="2">
        <v>3.4028230607370999E+38</v>
      </c>
      <c r="GO87" s="2">
        <v>3.4028230607370999E+38</v>
      </c>
      <c r="GP87" s="2">
        <v>3.4028230607370999E+38</v>
      </c>
      <c r="GQ87">
        <v>689.96710205078102</v>
      </c>
      <c r="GR87">
        <v>689.96569824218795</v>
      </c>
      <c r="GS87">
        <v>1195.23645019531</v>
      </c>
      <c r="GT87">
        <v>-6.2909984262660102E-4</v>
      </c>
      <c r="GX87">
        <f t="shared" si="8"/>
        <v>230.00215454101561</v>
      </c>
      <c r="GY87">
        <f t="shared" si="9"/>
        <v>6.0003128051757821</v>
      </c>
      <c r="GZ87">
        <f t="shared" si="10"/>
        <v>689.98331298828123</v>
      </c>
      <c r="HA87">
        <f t="shared" si="11"/>
        <v>1380.0827880859399</v>
      </c>
      <c r="HB87">
        <f t="shared" si="12"/>
        <v>1195.2214355468761</v>
      </c>
      <c r="HC87">
        <f t="shared" si="13"/>
        <v>49.999959564208986</v>
      </c>
      <c r="HD87">
        <f t="shared" si="14"/>
        <v>-60.002772521972659</v>
      </c>
      <c r="HW87" s="10">
        <f>(GX87/Data!$S87-1)*1000000</f>
        <v>23.582687464607233</v>
      </c>
      <c r="HX87" s="10">
        <f>(GY87/Data!$T87-1)*1000000</f>
        <v>29.251693298038006</v>
      </c>
      <c r="HY87" s="10">
        <f>(GZ87/Data!$BW87-1)*1000000</f>
        <v>-42.229399835891357</v>
      </c>
      <c r="HZ87" s="10">
        <f>(HA87/(Data!$S87*Data!$T87)-1)*1000000</f>
        <v>51.324196346014261</v>
      </c>
      <c r="IA87" s="7">
        <f>(HB87/IF(HD87&gt;0, -Data!$BX87,Data!$BX87)-1)*1000000</f>
        <v>83.462251482702143</v>
      </c>
      <c r="IB87" s="10"/>
      <c r="IC87" s="9">
        <f>(HD87-Data!$U87)</f>
        <v>-3.0825919726567008E-3</v>
      </c>
    </row>
    <row r="88" spans="1:237" x14ac:dyDescent="0.2">
      <c r="A88">
        <v>88</v>
      </c>
      <c r="B88">
        <v>230.00213623046901</v>
      </c>
      <c r="C88">
        <v>6.0003104209899902</v>
      </c>
      <c r="D88">
        <v>689.98480224609398</v>
      </c>
      <c r="E88">
        <v>1380.08337402344</v>
      </c>
      <c r="F88">
        <v>1195.22326660156</v>
      </c>
      <c r="G88">
        <v>49.999935150146499</v>
      </c>
      <c r="H88">
        <v>-60.0029907226562</v>
      </c>
      <c r="I88">
        <v>1.7866449430584901E-2</v>
      </c>
      <c r="J88" s="2">
        <v>3.92734182241838E-6</v>
      </c>
      <c r="K88" s="2">
        <v>1.9052134092589801E-8</v>
      </c>
      <c r="L88" s="2">
        <v>6.91031729616043E-8</v>
      </c>
      <c r="M88" s="2">
        <v>1.23032464216521E-8</v>
      </c>
      <c r="N88">
        <v>74.637634277343807</v>
      </c>
      <c r="O88">
        <v>-32.4686088562012</v>
      </c>
      <c r="P88">
        <v>1.9507301971316299E-2</v>
      </c>
      <c r="Q88" s="2">
        <v>3.31250407725747E-6</v>
      </c>
      <c r="R88" s="2">
        <v>6.5691945216883596E-9</v>
      </c>
      <c r="S88" s="2">
        <v>6.5302003804390604E-8</v>
      </c>
      <c r="T88" s="2">
        <v>1.12817364339435E-8</v>
      </c>
      <c r="U88">
        <v>74.734664916992202</v>
      </c>
      <c r="V88">
        <v>-62.4640083312988</v>
      </c>
      <c r="W88" s="2">
        <v>3.4028230607370999E+38</v>
      </c>
      <c r="X88" s="2">
        <v>3.4028230607370999E+38</v>
      </c>
      <c r="Y88">
        <v>689.98480224609398</v>
      </c>
      <c r="Z88">
        <v>1380.08337402344</v>
      </c>
      <c r="AA88">
        <v>1195.22326660156</v>
      </c>
      <c r="AB88" s="2">
        <v>3.4028230607370999E+38</v>
      </c>
      <c r="AC88" s="2">
        <v>3.4028230607370999E+38</v>
      </c>
      <c r="AD88">
        <v>230.00204467773401</v>
      </c>
      <c r="AE88">
        <v>6.0002980232238796</v>
      </c>
      <c r="AF88">
        <v>689.97918701171898</v>
      </c>
      <c r="AG88">
        <v>1380.08020019531</v>
      </c>
      <c r="AH88">
        <v>1195.22241210938</v>
      </c>
      <c r="AI88">
        <v>49.999923706054702</v>
      </c>
      <c r="AJ88">
        <v>-60.002845764160199</v>
      </c>
      <c r="AK88">
        <v>1.7049087211489702E-2</v>
      </c>
      <c r="AL88" s="2">
        <v>3.9223009480338103E-6</v>
      </c>
      <c r="AM88" s="2">
        <v>1.30304211864996E-8</v>
      </c>
      <c r="AN88" s="2">
        <v>6.6853331759375605E-8</v>
      </c>
      <c r="AO88" s="2">
        <v>1.1736929650396599E-8</v>
      </c>
      <c r="AP88">
        <v>74.665199279785199</v>
      </c>
      <c r="AQ88">
        <v>-45.026180267333999</v>
      </c>
      <c r="AR88">
        <v>1.8682759255170801E-2</v>
      </c>
      <c r="AS88" s="2">
        <v>3.2318328067049202E-6</v>
      </c>
      <c r="AT88" s="2">
        <v>2.1474551026301498E-9</v>
      </c>
      <c r="AU88" s="2">
        <v>6.1526705508185802E-8</v>
      </c>
      <c r="AV88" s="2">
        <v>9.2460750167333605E-9</v>
      </c>
      <c r="AW88">
        <v>74.750778198242202</v>
      </c>
      <c r="AX88">
        <v>-77.660087585449205</v>
      </c>
      <c r="AY88" s="2">
        <v>3.4028230607370999E+38</v>
      </c>
      <c r="AZ88" s="2">
        <v>3.4028230607370999E+38</v>
      </c>
      <c r="BA88">
        <v>689.97918701171898</v>
      </c>
      <c r="BB88">
        <v>1380.08020019531</v>
      </c>
      <c r="BC88">
        <v>1195.22241210938</v>
      </c>
      <c r="BD88" s="2">
        <v>3.4028230607370999E+38</v>
      </c>
      <c r="BE88" s="2">
        <v>3.4028230607370999E+38</v>
      </c>
      <c r="BF88">
        <v>230.00158691406199</v>
      </c>
      <c r="BG88">
        <v>6.0003256797790501</v>
      </c>
      <c r="BH88">
        <v>689.98791503906205</v>
      </c>
      <c r="BI88">
        <v>1380.08361816406</v>
      </c>
      <c r="BJ88">
        <v>1195.22399902344</v>
      </c>
      <c r="BK88">
        <v>49.999893188476598</v>
      </c>
      <c r="BL88">
        <v>-60.002796173095703</v>
      </c>
      <c r="BM88">
        <v>1.6431437805295001E-2</v>
      </c>
      <c r="BN88" s="2">
        <v>4.0153295230993501E-6</v>
      </c>
      <c r="BO88" s="2">
        <v>1.7389499618047901E-8</v>
      </c>
      <c r="BP88" s="2">
        <v>6.6035433121669498E-8</v>
      </c>
      <c r="BQ88" s="2">
        <v>5.0447392929697799E-9</v>
      </c>
      <c r="BR88">
        <v>74.589385986328097</v>
      </c>
      <c r="BS88">
        <v>-14.9333763122559</v>
      </c>
      <c r="BT88">
        <v>1.8103713169693898E-2</v>
      </c>
      <c r="BU88" s="2">
        <v>3.1857027806836401E-6</v>
      </c>
      <c r="BV88" s="2">
        <v>4.9768895671320504E-9</v>
      </c>
      <c r="BW88" s="2">
        <v>5.74822109911111E-8</v>
      </c>
      <c r="BX88" s="2">
        <v>8.3475297785184904E-9</v>
      </c>
      <c r="BY88">
        <v>74.752090454101605</v>
      </c>
      <c r="BZ88">
        <v>-56.0802192687988</v>
      </c>
      <c r="CA88" s="2">
        <v>3.4028230607370999E+38</v>
      </c>
      <c r="CB88" s="2">
        <v>3.4028230607370999E+38</v>
      </c>
      <c r="CC88">
        <v>689.98791503906205</v>
      </c>
      <c r="CD88">
        <v>1380.08361816406</v>
      </c>
      <c r="CE88">
        <v>1195.22399902344</v>
      </c>
      <c r="CF88" s="2">
        <v>3.4028230607370999E+38</v>
      </c>
      <c r="CG88" s="2">
        <v>3.4028230607370999E+38</v>
      </c>
      <c r="CH88">
        <v>230.00263977050801</v>
      </c>
      <c r="CI88">
        <v>6.0003232955932599</v>
      </c>
      <c r="CJ88">
        <v>689.98370361328102</v>
      </c>
      <c r="CK88">
        <v>1380.08911132812</v>
      </c>
      <c r="CL88">
        <v>1195.22973632812</v>
      </c>
      <c r="CM88">
        <v>49.999927520752003</v>
      </c>
      <c r="CN88">
        <v>-60.002925872802699</v>
      </c>
      <c r="CO88">
        <v>1.4473157934844501E-2</v>
      </c>
      <c r="CP88" s="2">
        <v>4.0386053115071297E-6</v>
      </c>
      <c r="CQ88" s="2">
        <v>6.8913381667812196E-9</v>
      </c>
      <c r="CR88" s="2">
        <v>5.7133831887767903E-8</v>
      </c>
      <c r="CS88" s="2">
        <v>4.1385086468892504E-9</v>
      </c>
      <c r="CT88">
        <v>74.702972412109403</v>
      </c>
      <c r="CU88">
        <v>-33.355686187744098</v>
      </c>
      <c r="CV88">
        <v>1.53021356090903E-2</v>
      </c>
      <c r="CW88" s="2">
        <v>3.2461084629176201E-6</v>
      </c>
      <c r="CX88" s="2">
        <v>1.7425800802328701E-9</v>
      </c>
      <c r="CY88" s="2">
        <v>4.8072269720478302E-8</v>
      </c>
      <c r="CZ88" s="2">
        <v>2.95769320146633E-9</v>
      </c>
      <c r="DA88">
        <v>74.7882080078125</v>
      </c>
      <c r="DB88">
        <v>-70.338241577148395</v>
      </c>
      <c r="DC88" s="2">
        <v>3.4028230607370999E+38</v>
      </c>
      <c r="DD88" s="2">
        <v>3.4028230607370999E+38</v>
      </c>
      <c r="DE88">
        <v>689.98370361328102</v>
      </c>
      <c r="DF88">
        <v>1380.08911132812</v>
      </c>
      <c r="DG88">
        <v>1195.22973632812</v>
      </c>
      <c r="DH88" s="2">
        <v>3.4028230607370999E+38</v>
      </c>
      <c r="DI88" s="2">
        <v>3.4028230607370999E+38</v>
      </c>
      <c r="DJ88">
        <v>230.00207519531199</v>
      </c>
      <c r="DK88">
        <v>6.0003004074096697</v>
      </c>
      <c r="DL88">
        <v>689.98046875</v>
      </c>
      <c r="DM88">
        <v>1380.08093261719</v>
      </c>
      <c r="DN88">
        <v>1195.22045898438</v>
      </c>
      <c r="DO88">
        <v>49.9999389648438</v>
      </c>
      <c r="DP88">
        <v>-60.0028266906738</v>
      </c>
      <c r="DQ88">
        <v>1.7791656777262702E-2</v>
      </c>
      <c r="DR88" s="2">
        <v>3.9364481381198899E-6</v>
      </c>
      <c r="DS88" s="2">
        <v>1.7604122604097898E-8</v>
      </c>
      <c r="DT88" s="2">
        <v>6.9009139735953795E-8</v>
      </c>
      <c r="DU88" s="2">
        <v>8.4967712865591205E-9</v>
      </c>
      <c r="DV88">
        <v>74.638252258300795</v>
      </c>
      <c r="DW88">
        <v>-20.7007942199707</v>
      </c>
      <c r="DX88">
        <v>1.9440997391939201E-2</v>
      </c>
      <c r="DY88" s="2">
        <v>3.32119111590146E-6</v>
      </c>
      <c r="DZ88" s="2">
        <v>5.7118807461620203E-9</v>
      </c>
      <c r="EA88" s="2">
        <v>6.4485938366942706E-8</v>
      </c>
      <c r="EB88" s="2">
        <v>9.7830845646740305E-9</v>
      </c>
      <c r="EC88">
        <v>74.805595397949205</v>
      </c>
      <c r="ED88">
        <v>-58.7044677734375</v>
      </c>
      <c r="EE88" s="2">
        <v>3.4028230607370999E+38</v>
      </c>
      <c r="EF88" s="2">
        <v>3.4028230607370999E+38</v>
      </c>
      <c r="EG88">
        <v>689.98046875</v>
      </c>
      <c r="EH88">
        <v>1380.08093261719</v>
      </c>
      <c r="EI88">
        <v>1195.22045898438</v>
      </c>
      <c r="EJ88" s="2">
        <v>3.4028230607370999E+38</v>
      </c>
      <c r="EK88" s="2">
        <v>3.4028230607370999E+38</v>
      </c>
      <c r="EL88">
        <v>123</v>
      </c>
      <c r="EM88">
        <v>230.00205993652301</v>
      </c>
      <c r="EN88">
        <v>6.0003132820129403</v>
      </c>
      <c r="EO88">
        <v>689.98553466796898</v>
      </c>
      <c r="EP88">
        <v>1380.08374023438</v>
      </c>
      <c r="EQ88">
        <v>1195.22509765625</v>
      </c>
      <c r="ER88">
        <v>49.999904632568402</v>
      </c>
      <c r="ES88">
        <v>-60.002803802490199</v>
      </c>
      <c r="ET88">
        <v>0.49995934963226302</v>
      </c>
      <c r="EU88" s="2">
        <v>3.4028230607370999E+38</v>
      </c>
      <c r="EV88">
        <v>0</v>
      </c>
      <c r="EW88">
        <v>230.00741577148401</v>
      </c>
      <c r="EX88">
        <v>689.954345703125</v>
      </c>
      <c r="EY88">
        <v>1380.11511230469</v>
      </c>
      <c r="EZ88">
        <v>1195.25280761719</v>
      </c>
      <c r="FA88">
        <v>-1.7810740973800399E-3</v>
      </c>
      <c r="FB88">
        <v>1.6691895201802299E-2</v>
      </c>
      <c r="FC88" s="2">
        <v>4.0192558117269098E-6</v>
      </c>
      <c r="FD88" s="2">
        <v>1.50007082311276E-8</v>
      </c>
      <c r="FE88" s="2">
        <v>6.7042854823284896E-8</v>
      </c>
      <c r="FF88" s="2">
        <v>3.8429917026405697E-9</v>
      </c>
      <c r="FG88">
        <v>74.641418457031193</v>
      </c>
      <c r="FH88">
        <v>-15.7510385513306</v>
      </c>
      <c r="FI88">
        <v>0.20470272004604301</v>
      </c>
      <c r="FJ88" s="2">
        <v>3.4028230607370999E+38</v>
      </c>
      <c r="FK88">
        <v>-5.63055515289307</v>
      </c>
      <c r="FL88">
        <v>2.0636381581425702E-2</v>
      </c>
      <c r="FM88">
        <v>0</v>
      </c>
      <c r="FN88">
        <v>0</v>
      </c>
      <c r="FO88">
        <v>0</v>
      </c>
      <c r="FP88" s="2">
        <v>8.7827538663987097E-5</v>
      </c>
      <c r="FQ88">
        <v>1.73554234206676E-2</v>
      </c>
      <c r="FR88" s="2">
        <v>3.15394868266594E-6</v>
      </c>
      <c r="FS88" s="2">
        <v>5.5745164040388301E-9</v>
      </c>
      <c r="FT88" s="2">
        <v>5.4629751389256899E-8</v>
      </c>
      <c r="FU88" s="2">
        <v>6.8793748475570696E-9</v>
      </c>
      <c r="FV88">
        <v>74.760459899902301</v>
      </c>
      <c r="FW88">
        <v>-50.964305877685497</v>
      </c>
      <c r="FX88">
        <v>7.9950861632823902E-2</v>
      </c>
      <c r="FY88" s="2">
        <v>3.4028230607370999E+38</v>
      </c>
      <c r="FZ88">
        <v>-54.388210296630902</v>
      </c>
      <c r="GA88">
        <v>229.16096496582</v>
      </c>
      <c r="GB88" s="2">
        <v>-9.5331709193402503E-10</v>
      </c>
      <c r="GC88">
        <v>7.2153378278017001E-4</v>
      </c>
      <c r="GD88" s="2">
        <v>5.8512605871641199E-10</v>
      </c>
      <c r="GE88">
        <v>-1.00591234513558E-4</v>
      </c>
      <c r="GF88" s="2">
        <v>3.4028230607370999E+38</v>
      </c>
      <c r="GG88" s="2">
        <v>3.4028230607370999E+38</v>
      </c>
      <c r="GH88">
        <v>689.990234375</v>
      </c>
      <c r="GI88">
        <v>1380.08776855469</v>
      </c>
      <c r="GJ88">
        <v>1195.2294921875</v>
      </c>
      <c r="GK88" s="2">
        <v>3.4028230607370999E+38</v>
      </c>
      <c r="GL88" s="2">
        <v>3.4028230607370999E+38</v>
      </c>
      <c r="GM88" s="2">
        <v>3.4028230607370999E+38</v>
      </c>
      <c r="GN88" s="2">
        <v>3.4028230607370999E+38</v>
      </c>
      <c r="GO88" s="2">
        <v>3.4028230607370999E+38</v>
      </c>
      <c r="GP88" s="2">
        <v>3.4028230607370999E+38</v>
      </c>
      <c r="GQ88">
        <v>689.972412109375</v>
      </c>
      <c r="GR88">
        <v>689.972412109375</v>
      </c>
      <c r="GS88">
        <v>1195.24169921875</v>
      </c>
      <c r="GT88">
        <v>-1.5076923882588701E-3</v>
      </c>
      <c r="GX88">
        <f t="shared" si="8"/>
        <v>230.00209655761699</v>
      </c>
      <c r="GY88">
        <f t="shared" si="9"/>
        <v>6.0003115653991701</v>
      </c>
      <c r="GZ88">
        <f t="shared" si="10"/>
        <v>689.98321533203125</v>
      </c>
      <c r="HA88">
        <f t="shared" si="11"/>
        <v>1380.083447265624</v>
      </c>
      <c r="HB88">
        <f t="shared" si="12"/>
        <v>1195.223974609376</v>
      </c>
      <c r="HC88">
        <f t="shared" si="13"/>
        <v>49.999923706054723</v>
      </c>
      <c r="HD88">
        <f t="shared" si="14"/>
        <v>-60.002877044677724</v>
      </c>
      <c r="HW88" s="10">
        <f>(GX88/Data!$S88-1)*1000000</f>
        <v>23.091442791889349</v>
      </c>
      <c r="HX88" s="10">
        <f>(GY88/Data!$T88-1)*1000000</f>
        <v>19.01894065303722</v>
      </c>
      <c r="HY88" s="10">
        <f>(GZ88/Data!$BW88-1)*1000000</f>
        <v>-49.348283908123847</v>
      </c>
      <c r="HZ88" s="10">
        <f>(HA88/(Data!$S88*Data!$T88)-1)*1000000</f>
        <v>41.53635878378914</v>
      </c>
      <c r="IA88" s="7">
        <f>(HB88/IF(HD88&gt;0, -Data!$BX88,Data!$BX88)-1)*1000000</f>
        <v>74.22474417717595</v>
      </c>
      <c r="IB88" s="10"/>
      <c r="IC88" s="9">
        <f>(HD88-Data!$U88)</f>
        <v>-3.0783646777265972E-3</v>
      </c>
    </row>
    <row r="89" spans="1:237" x14ac:dyDescent="0.2">
      <c r="A89">
        <v>89</v>
      </c>
      <c r="B89">
        <v>230.00244140625</v>
      </c>
      <c r="C89">
        <v>6.0003113746643102</v>
      </c>
      <c r="D89">
        <v>689.97869873046898</v>
      </c>
      <c r="E89">
        <v>1380.08569335938</v>
      </c>
      <c r="F89">
        <v>1195.2265625</v>
      </c>
      <c r="G89">
        <v>49.999904632568402</v>
      </c>
      <c r="H89">
        <v>-60.003025054931598</v>
      </c>
      <c r="I89">
        <v>1.44177507609129E-2</v>
      </c>
      <c r="J89" s="2">
        <v>3.9814781302993702E-6</v>
      </c>
      <c r="K89" s="2">
        <v>7.6938038162666106E-9</v>
      </c>
      <c r="L89" s="2">
        <v>5.70884068906707E-8</v>
      </c>
      <c r="M89" s="2">
        <v>4.86637752317165E-9</v>
      </c>
      <c r="N89">
        <v>74.56982421875</v>
      </c>
      <c r="O89">
        <v>-32.3135986328125</v>
      </c>
      <c r="P89">
        <v>1.5244486741721601E-2</v>
      </c>
      <c r="Q89" s="2">
        <v>3.2884702250157699E-6</v>
      </c>
      <c r="R89" s="2">
        <v>1.46348388962991E-9</v>
      </c>
      <c r="S89" s="2">
        <v>5.02527548462695E-8</v>
      </c>
      <c r="T89" s="2">
        <v>2.7647513167749999E-9</v>
      </c>
      <c r="U89">
        <v>74.701797485351605</v>
      </c>
      <c r="V89">
        <v>-81.010108947753906</v>
      </c>
      <c r="W89" s="2">
        <v>3.4028230607370999E+38</v>
      </c>
      <c r="X89" s="2">
        <v>3.4028230607370999E+38</v>
      </c>
      <c r="Y89">
        <v>689.97869873046898</v>
      </c>
      <c r="Z89">
        <v>1380.08569335938</v>
      </c>
      <c r="AA89">
        <v>1195.2265625</v>
      </c>
      <c r="AB89" s="2">
        <v>3.4028230607370999E+38</v>
      </c>
      <c r="AC89" s="2">
        <v>3.4028230607370999E+38</v>
      </c>
      <c r="AD89">
        <v>230.00244140625</v>
      </c>
      <c r="AE89">
        <v>6.00032711029053</v>
      </c>
      <c r="AF89">
        <v>689.9833984375</v>
      </c>
      <c r="AG89">
        <v>1380.08666992188</v>
      </c>
      <c r="AH89">
        <v>1195.22937011719</v>
      </c>
      <c r="AI89">
        <v>49.999889373779297</v>
      </c>
      <c r="AJ89">
        <v>-60.002960205078097</v>
      </c>
      <c r="AK89">
        <v>1.4445865526795399E-2</v>
      </c>
      <c r="AL89" s="2">
        <v>3.9909473343868698E-6</v>
      </c>
      <c r="AM89" s="2">
        <v>7.3774191200470804E-9</v>
      </c>
      <c r="AN89" s="2">
        <v>5.6793968639112797E-8</v>
      </c>
      <c r="AO89" s="2">
        <v>4.4436050394836002E-9</v>
      </c>
      <c r="AP89">
        <v>74.642883300781193</v>
      </c>
      <c r="AQ89">
        <v>-32.596477508544901</v>
      </c>
      <c r="AR89">
        <v>1.5306386165320899E-2</v>
      </c>
      <c r="AS89" s="2">
        <v>3.2136888421518999E-6</v>
      </c>
      <c r="AT89" s="2">
        <v>1.3517866825907299E-9</v>
      </c>
      <c r="AU89" s="2">
        <v>4.9200679086425199E-8</v>
      </c>
      <c r="AV89" s="2">
        <v>3.1930116328737801E-9</v>
      </c>
      <c r="AW89">
        <v>74.7479248046875</v>
      </c>
      <c r="AX89">
        <v>-66.771903991699205</v>
      </c>
      <c r="AY89" s="2">
        <v>3.4028230607370999E+38</v>
      </c>
      <c r="AZ89" s="2">
        <v>3.4028230607370999E+38</v>
      </c>
      <c r="BA89">
        <v>689.9833984375</v>
      </c>
      <c r="BB89">
        <v>1380.08666992188</v>
      </c>
      <c r="BC89">
        <v>1195.22937011719</v>
      </c>
      <c r="BD89" s="2">
        <v>3.4028230607370999E+38</v>
      </c>
      <c r="BE89" s="2">
        <v>3.4028230607370999E+38</v>
      </c>
      <c r="BF89">
        <v>230.00254821777301</v>
      </c>
      <c r="BG89">
        <v>6.0003185272216797</v>
      </c>
      <c r="BH89">
        <v>689.98443603515602</v>
      </c>
      <c r="BI89">
        <v>1380.08764648438</v>
      </c>
      <c r="BJ89">
        <v>1195.23266601562</v>
      </c>
      <c r="BK89">
        <v>49.9998779296875</v>
      </c>
      <c r="BL89">
        <v>-60.003173828125</v>
      </c>
      <c r="BM89">
        <v>1.51747008785605E-2</v>
      </c>
      <c r="BN89" s="2">
        <v>4.0135637391358597E-6</v>
      </c>
      <c r="BO89" s="2">
        <v>1.3038516932795101E-8</v>
      </c>
      <c r="BP89" s="2">
        <v>6.2343843865164698E-8</v>
      </c>
      <c r="BQ89" s="2">
        <v>3.14985193483608E-9</v>
      </c>
      <c r="BR89">
        <v>74.747253417968807</v>
      </c>
      <c r="BS89">
        <v>-13.309253692626999</v>
      </c>
      <c r="BT89">
        <v>1.64510533213615E-2</v>
      </c>
      <c r="BU89" s="2">
        <v>3.20360436489864E-6</v>
      </c>
      <c r="BV89" s="2">
        <v>3.7071568037561102E-9</v>
      </c>
      <c r="BW89" s="2">
        <v>5.3709229064224902E-8</v>
      </c>
      <c r="BX89" s="2">
        <v>5.5599822523788597E-9</v>
      </c>
      <c r="BY89">
        <v>74.753654479980497</v>
      </c>
      <c r="BZ89">
        <v>-49.192058563232401</v>
      </c>
      <c r="CA89" s="2">
        <v>3.4028230607370999E+38</v>
      </c>
      <c r="CB89" s="2">
        <v>3.4028230607370999E+38</v>
      </c>
      <c r="CC89">
        <v>689.98443603515602</v>
      </c>
      <c r="CD89">
        <v>1380.08764648438</v>
      </c>
      <c r="CE89">
        <v>1195.23266601562</v>
      </c>
      <c r="CF89" s="2">
        <v>3.4028230607370999E+38</v>
      </c>
      <c r="CG89" s="2">
        <v>3.4028230607370999E+38</v>
      </c>
      <c r="CH89">
        <v>230.00212097168</v>
      </c>
      <c r="CI89">
        <v>6.00030517578125</v>
      </c>
      <c r="CJ89">
        <v>689.9833984375</v>
      </c>
      <c r="CK89">
        <v>1380.08129882812</v>
      </c>
      <c r="CL89">
        <v>1195.22131347656</v>
      </c>
      <c r="CM89">
        <v>49.999973297119098</v>
      </c>
      <c r="CN89">
        <v>-60.0028266906738</v>
      </c>
      <c r="CO89">
        <v>1.6176054254174201E-2</v>
      </c>
      <c r="CP89" s="2">
        <v>3.9726483009872001E-6</v>
      </c>
      <c r="CQ89" s="2">
        <v>1.52880943460332E-8</v>
      </c>
      <c r="CR89" s="2">
        <v>6.3690073659472506E-8</v>
      </c>
      <c r="CS89" s="2">
        <v>3.3517522091131001E-9</v>
      </c>
      <c r="CT89">
        <v>74.546012878417997</v>
      </c>
      <c r="CU89">
        <v>-12.7330465316772</v>
      </c>
      <c r="CV89">
        <v>1.7717951908707601E-2</v>
      </c>
      <c r="CW89" s="2">
        <v>3.2474849831487501E-6</v>
      </c>
      <c r="CX89" s="2">
        <v>6.4849658976129401E-9</v>
      </c>
      <c r="CY89" s="2">
        <v>5.7394004215893801E-8</v>
      </c>
      <c r="CZ89" s="2">
        <v>8.2972340109677101E-9</v>
      </c>
      <c r="DA89">
        <v>74.746040344238295</v>
      </c>
      <c r="DB89">
        <v>-55.1052055358887</v>
      </c>
      <c r="DC89" s="2">
        <v>3.4028230607370999E+38</v>
      </c>
      <c r="DD89" s="2">
        <v>3.4028230607370999E+38</v>
      </c>
      <c r="DE89">
        <v>689.9833984375</v>
      </c>
      <c r="DF89">
        <v>1380.08129882812</v>
      </c>
      <c r="DG89">
        <v>1195.22131347656</v>
      </c>
      <c r="DH89" s="2">
        <v>3.4028230607370999E+38</v>
      </c>
      <c r="DI89" s="2">
        <v>3.4028230607370999E+38</v>
      </c>
      <c r="DJ89">
        <v>230.00222778320301</v>
      </c>
      <c r="DK89">
        <v>6.0003018379211399</v>
      </c>
      <c r="DL89">
        <v>689.97906494140602</v>
      </c>
      <c r="DM89">
        <v>1380.08117675781</v>
      </c>
      <c r="DN89">
        <v>1195.22119140625</v>
      </c>
      <c r="DO89">
        <v>49.999954223632798</v>
      </c>
      <c r="DP89">
        <v>-60.002899169921903</v>
      </c>
      <c r="DQ89">
        <v>1.6770387068390801E-2</v>
      </c>
      <c r="DR89" s="2">
        <v>3.9207193367474196E-6</v>
      </c>
      <c r="DS89" s="2">
        <v>1.12595639478741E-8</v>
      </c>
      <c r="DT89" s="2">
        <v>6.5821737393889595E-8</v>
      </c>
      <c r="DU89" s="2">
        <v>1.2435998897331E-8</v>
      </c>
      <c r="DV89">
        <v>74.765495300292997</v>
      </c>
      <c r="DW89">
        <v>-45.051521301269503</v>
      </c>
      <c r="DX89">
        <v>1.8366193398833299E-2</v>
      </c>
      <c r="DY89" s="2">
        <v>3.2499535791430398E-6</v>
      </c>
      <c r="DZ89" s="2">
        <v>1.20837906347759E-9</v>
      </c>
      <c r="EA89" s="2">
        <v>6.0942866753066496E-8</v>
      </c>
      <c r="EB89" s="2">
        <v>8.6148466138524798E-9</v>
      </c>
      <c r="EC89">
        <v>74.647468566894503</v>
      </c>
      <c r="ED89">
        <v>-76.349555969238295</v>
      </c>
      <c r="EE89" s="2">
        <v>3.4028230607370999E+38</v>
      </c>
      <c r="EF89" s="2">
        <v>3.4028230607370999E+38</v>
      </c>
      <c r="EG89">
        <v>689.97906494140602</v>
      </c>
      <c r="EH89">
        <v>1380.08117675781</v>
      </c>
      <c r="EI89">
        <v>1195.22119140625</v>
      </c>
      <c r="EJ89" s="2">
        <v>3.4028230607370999E+38</v>
      </c>
      <c r="EK89" s="2">
        <v>3.4028230607370999E+38</v>
      </c>
      <c r="EL89">
        <v>123</v>
      </c>
      <c r="EM89">
        <v>230.00205993652301</v>
      </c>
      <c r="EN89">
        <v>6.0002965927123997</v>
      </c>
      <c r="EO89">
        <v>689.97998046875</v>
      </c>
      <c r="EP89">
        <v>1380.08093261719</v>
      </c>
      <c r="EQ89">
        <v>1195.22204589844</v>
      </c>
      <c r="ER89">
        <v>49.999973297119098</v>
      </c>
      <c r="ES89">
        <v>-60.0030517578125</v>
      </c>
      <c r="ET89">
        <v>0.49995598196983299</v>
      </c>
      <c r="EU89" s="2">
        <v>3.4028230607370999E+38</v>
      </c>
      <c r="EV89">
        <v>0</v>
      </c>
      <c r="EW89">
        <v>230.00103759765599</v>
      </c>
      <c r="EX89">
        <v>689.92999267578102</v>
      </c>
      <c r="EY89">
        <v>1380.07983398438</v>
      </c>
      <c r="EZ89">
        <v>1195.21606445312</v>
      </c>
      <c r="FA89">
        <v>-5.4408493451774103E-3</v>
      </c>
      <c r="FB89">
        <v>1.6861375421285602E-2</v>
      </c>
      <c r="FC89" s="2">
        <v>3.9022947930789104E-6</v>
      </c>
      <c r="FD89" s="2">
        <v>1.38876892208373E-8</v>
      </c>
      <c r="FE89" s="2">
        <v>6.5290080897284497E-8</v>
      </c>
      <c r="FF89" s="2">
        <v>1.3952245581094801E-8</v>
      </c>
      <c r="FG89">
        <v>74.762977600097699</v>
      </c>
      <c r="FH89">
        <v>-45.5692749023438</v>
      </c>
      <c r="FI89">
        <v>0.22631607949733701</v>
      </c>
      <c r="FJ89" s="2">
        <v>3.4028230607370999E+38</v>
      </c>
      <c r="FK89">
        <v>-49.594150543212898</v>
      </c>
      <c r="FL89">
        <v>2.0583063364028899E-2</v>
      </c>
      <c r="FM89">
        <v>0</v>
      </c>
      <c r="FN89">
        <v>0</v>
      </c>
      <c r="FO89">
        <v>0</v>
      </c>
      <c r="FP89" s="2">
        <v>8.9584646048024297E-5</v>
      </c>
      <c r="FQ89">
        <v>1.8663676455617E-2</v>
      </c>
      <c r="FR89" s="2">
        <v>3.2928076052485301E-6</v>
      </c>
      <c r="FS89" s="2">
        <v>1.83090420602383E-9</v>
      </c>
      <c r="FT89" s="2">
        <v>6.0339012009080801E-8</v>
      </c>
      <c r="FU89" s="2">
        <v>9.7256220854546899E-9</v>
      </c>
      <c r="FV89">
        <v>74.7479248046875</v>
      </c>
      <c r="FW89">
        <v>-71.201034545898395</v>
      </c>
      <c r="FX89">
        <v>2.4043988436460498E-2</v>
      </c>
      <c r="FY89" s="2">
        <v>3.4028230607370999E+38</v>
      </c>
      <c r="FZ89">
        <v>28.4113578796387</v>
      </c>
      <c r="GA89">
        <v>229.73616027832</v>
      </c>
      <c r="GB89" s="2">
        <v>-1.13614906371851E-9</v>
      </c>
      <c r="GC89">
        <v>7.4504211079329296E-4</v>
      </c>
      <c r="GD89" s="2">
        <v>1.8958536129876101E-10</v>
      </c>
      <c r="GE89">
        <v>-1.1677679867716499E-4</v>
      </c>
      <c r="GF89" s="2">
        <v>3.4028230607370999E+38</v>
      </c>
      <c r="GG89" s="2">
        <v>3.4028230607370999E+38</v>
      </c>
      <c r="GH89">
        <v>689.97991943359398</v>
      </c>
      <c r="GI89">
        <v>1380.08178710938</v>
      </c>
      <c r="GJ89">
        <v>1195.22229003906</v>
      </c>
      <c r="GK89" s="2">
        <v>3.4028230607370999E+38</v>
      </c>
      <c r="GL89" s="2">
        <v>3.4028230607370999E+38</v>
      </c>
      <c r="GM89" s="2">
        <v>3.4028230607370999E+38</v>
      </c>
      <c r="GN89" s="2">
        <v>3.4028230607370999E+38</v>
      </c>
      <c r="GO89" s="2">
        <v>3.4028230607370999E+38</v>
      </c>
      <c r="GP89" s="2">
        <v>3.4028230607370999E+38</v>
      </c>
      <c r="GQ89">
        <v>689.93096923828102</v>
      </c>
      <c r="GR89">
        <v>689.93548583984398</v>
      </c>
      <c r="GS89">
        <v>1195.20874023438</v>
      </c>
      <c r="GT89">
        <v>-3.8154823705554E-3</v>
      </c>
      <c r="GX89">
        <f t="shared" si="8"/>
        <v>230.0023559570312</v>
      </c>
      <c r="GY89">
        <f t="shared" si="9"/>
        <v>6.0003128051757821</v>
      </c>
      <c r="GZ89">
        <f t="shared" si="10"/>
        <v>689.9817993164063</v>
      </c>
      <c r="HA89">
        <f t="shared" si="11"/>
        <v>1380.0844970703138</v>
      </c>
      <c r="HB89">
        <f t="shared" si="12"/>
        <v>1195.226220703124</v>
      </c>
      <c r="HC89">
        <f t="shared" si="13"/>
        <v>49.999919891357422</v>
      </c>
      <c r="HD89">
        <f t="shared" si="14"/>
        <v>-60.002976989746081</v>
      </c>
      <c r="HW89" s="10">
        <f>(GX89/Data!$S89-1)*1000000</f>
        <v>24.588426764449167</v>
      </c>
      <c r="HX89" s="10">
        <f>(GY89/Data!$T89-1)*1000000</f>
        <v>25.414016913805071</v>
      </c>
      <c r="HY89" s="10">
        <f>(GZ89/Data!$BW89-1)*1000000</f>
        <v>-41.154875295434934</v>
      </c>
      <c r="HZ89" s="10">
        <f>(HA89/(Data!$S89*Data!$T89)-1)*1000000</f>
        <v>48.854822445321133</v>
      </c>
      <c r="IA89" s="7">
        <f>(HB89/IF(HD89&gt;0, -Data!$BX89,Data!$BX89)-1)*1000000</f>
        <v>81.432808868520112</v>
      </c>
      <c r="IB89" s="10"/>
      <c r="IC89" s="9">
        <f>(HD89-Data!$U89)</f>
        <v>-3.0562997460776842E-3</v>
      </c>
    </row>
    <row r="90" spans="1:237" x14ac:dyDescent="0.2">
      <c r="A90">
        <v>90</v>
      </c>
      <c r="B90">
        <v>230.00199890136699</v>
      </c>
      <c r="C90">
        <v>6.0002923011779803</v>
      </c>
      <c r="D90">
        <v>1104.10534667969</v>
      </c>
      <c r="E90">
        <v>1380.078125</v>
      </c>
      <c r="F90">
        <v>-828.012939453125</v>
      </c>
      <c r="G90">
        <v>50.000007629394503</v>
      </c>
      <c r="H90">
        <v>36.867664337158203</v>
      </c>
      <c r="I90">
        <v>1.4830166473984699E-2</v>
      </c>
      <c r="J90" s="2">
        <v>3.9222900340973899E-6</v>
      </c>
      <c r="K90" s="2">
        <v>4.2232199959357802E-9</v>
      </c>
      <c r="L90" s="2">
        <v>5.8139892900044301E-8</v>
      </c>
      <c r="M90" s="2">
        <v>-6.0110592059459098E-9</v>
      </c>
      <c r="N90">
        <v>74.657005310058594</v>
      </c>
      <c r="O90">
        <v>61.860012054443402</v>
      </c>
      <c r="P90">
        <v>1.6313074156641998E-2</v>
      </c>
      <c r="Q90" s="2">
        <v>3.36231710207358E-6</v>
      </c>
      <c r="R90" s="2">
        <v>6.8228080962739998E-9</v>
      </c>
      <c r="S90" s="2">
        <v>5.4542162786219699E-8</v>
      </c>
      <c r="T90" s="2">
        <v>3.51290574407415E-9</v>
      </c>
      <c r="U90">
        <v>74.722175598144503</v>
      </c>
      <c r="V90">
        <v>-26.161159515380898</v>
      </c>
      <c r="W90" s="2">
        <v>3.4028230607370999E+38</v>
      </c>
      <c r="X90" s="2">
        <v>3.4028230607370999E+38</v>
      </c>
      <c r="Y90">
        <v>1104.10534667969</v>
      </c>
      <c r="Z90">
        <v>1380.078125</v>
      </c>
      <c r="AA90">
        <v>-828.01300048828102</v>
      </c>
      <c r="AB90" s="2">
        <v>3.4028230607370999E+38</v>
      </c>
      <c r="AC90" s="2">
        <v>3.4028230607370999E+38</v>
      </c>
      <c r="AD90">
        <v>230.00193786621099</v>
      </c>
      <c r="AE90">
        <v>6.0003032684326199</v>
      </c>
      <c r="AF90">
        <v>1104.10705566406</v>
      </c>
      <c r="AG90">
        <v>1380.07788085938</v>
      </c>
      <c r="AH90">
        <v>-828.00640869140602</v>
      </c>
      <c r="AI90">
        <v>49.999931335449197</v>
      </c>
      <c r="AJ90">
        <v>36.867530822753899</v>
      </c>
      <c r="AK90">
        <v>1.4897118322551301E-2</v>
      </c>
      <c r="AL90" s="2">
        <v>3.9518886296718796E-6</v>
      </c>
      <c r="AM90" s="2">
        <v>-4.60402826973905E-9</v>
      </c>
      <c r="AN90" s="2">
        <v>5.8050140694376797E-8</v>
      </c>
      <c r="AO90" s="2">
        <v>-9.6784118497339494E-9</v>
      </c>
      <c r="AP90">
        <v>74.755424499511705</v>
      </c>
      <c r="AQ90">
        <v>110.998374938965</v>
      </c>
      <c r="AR90">
        <v>1.62175912410021E-2</v>
      </c>
      <c r="AS90" s="2">
        <v>3.2156845009012601E-6</v>
      </c>
      <c r="AT90" s="2">
        <v>3.7467624558473703E-9</v>
      </c>
      <c r="AU90" s="2">
        <v>5.3280025724689E-8</v>
      </c>
      <c r="AV90" s="2">
        <v>-2.62720711852182E-9</v>
      </c>
      <c r="AW90">
        <v>74.858802795410199</v>
      </c>
      <c r="AX90">
        <v>39.838649749755902</v>
      </c>
      <c r="AY90" s="2">
        <v>3.4028230607370999E+38</v>
      </c>
      <c r="AZ90" s="2">
        <v>3.4028230607370999E+38</v>
      </c>
      <c r="BA90">
        <v>1104.10693359375</v>
      </c>
      <c r="BB90">
        <v>1380.07788085938</v>
      </c>
      <c r="BC90">
        <v>-828.00646972656205</v>
      </c>
      <c r="BD90" s="2">
        <v>3.4028230607370999E+38</v>
      </c>
      <c r="BE90" s="2">
        <v>3.4028230607370999E+38</v>
      </c>
      <c r="BF90">
        <v>230.00186157226599</v>
      </c>
      <c r="BG90">
        <v>6.0002818107604998</v>
      </c>
      <c r="BH90">
        <v>1104.10229492188</v>
      </c>
      <c r="BI90">
        <v>1380.07507324219</v>
      </c>
      <c r="BJ90">
        <v>-828.00891113281205</v>
      </c>
      <c r="BK90">
        <v>49.9998779296875</v>
      </c>
      <c r="BL90">
        <v>36.8674926757812</v>
      </c>
      <c r="BM90">
        <v>1.41345635056496E-2</v>
      </c>
      <c r="BN90" s="2">
        <v>3.9275732888199897E-6</v>
      </c>
      <c r="BO90" s="2">
        <v>2.2918493769452698E-9</v>
      </c>
      <c r="BP90" s="2">
        <v>5.5429730139167097E-8</v>
      </c>
      <c r="BQ90" s="2">
        <v>-4.5789319003119999E-9</v>
      </c>
      <c r="BR90">
        <v>74.854393005371094</v>
      </c>
      <c r="BS90">
        <v>67.667068481445298</v>
      </c>
      <c r="BT90">
        <v>1.54150454327464E-2</v>
      </c>
      <c r="BU90" s="2">
        <v>3.3340745630994202E-6</v>
      </c>
      <c r="BV90" s="2">
        <v>5.73198244424589E-9</v>
      </c>
      <c r="BW90" s="2">
        <v>5.01559256349537E-8</v>
      </c>
      <c r="BX90" s="2">
        <v>1.7672161511939099E-9</v>
      </c>
      <c r="BY90">
        <v>74.757949829101605</v>
      </c>
      <c r="BZ90">
        <v>-20.544017791748001</v>
      </c>
      <c r="CA90" s="2">
        <v>3.4028230607370999E+38</v>
      </c>
      <c r="CB90" s="2">
        <v>3.4028230607370999E+38</v>
      </c>
      <c r="CC90">
        <v>1104.10229492188</v>
      </c>
      <c r="CD90">
        <v>1380.07507324219</v>
      </c>
      <c r="CE90">
        <v>-828.00897216796898</v>
      </c>
      <c r="CF90" s="2">
        <v>3.4028230607370999E+38</v>
      </c>
      <c r="CG90" s="2">
        <v>3.4028230607370999E+38</v>
      </c>
      <c r="CH90">
        <v>230.00175476074199</v>
      </c>
      <c r="CI90">
        <v>6.0003099441528303</v>
      </c>
      <c r="CJ90">
        <v>1104.11083984375</v>
      </c>
      <c r="CK90">
        <v>1380.0791015625</v>
      </c>
      <c r="CL90">
        <v>-828.00817871093795</v>
      </c>
      <c r="CM90">
        <v>49.999958038330099</v>
      </c>
      <c r="CN90">
        <v>36.867485046386697</v>
      </c>
      <c r="CO90">
        <v>1.6229441389441501E-2</v>
      </c>
      <c r="CP90" s="2">
        <v>4.0117679418472099E-6</v>
      </c>
      <c r="CQ90" s="2">
        <v>-5.9011688868793003E-9</v>
      </c>
      <c r="CR90" s="2">
        <v>6.6664625819612398E-8</v>
      </c>
      <c r="CS90" s="2">
        <v>-1.7322824064081E-8</v>
      </c>
      <c r="CT90">
        <v>74.719055175781193</v>
      </c>
      <c r="CU90">
        <v>106.78302764892599</v>
      </c>
      <c r="CV90">
        <v>1.8071377649903301E-2</v>
      </c>
      <c r="CW90" s="2">
        <v>3.2905231819313502E-6</v>
      </c>
      <c r="CX90" s="2">
        <v>5.7252034224575304E-9</v>
      </c>
      <c r="CY90" s="2">
        <v>5.94299507383766E-8</v>
      </c>
      <c r="CZ90" s="2">
        <v>-1.9054637867554898E-9</v>
      </c>
      <c r="DA90">
        <v>74.696723937988295</v>
      </c>
      <c r="DB90">
        <v>18.845096588134801</v>
      </c>
      <c r="DC90" s="2">
        <v>3.4028230607370999E+38</v>
      </c>
      <c r="DD90" s="2">
        <v>3.4028230607370999E+38</v>
      </c>
      <c r="DE90">
        <v>1104.11071777344</v>
      </c>
      <c r="DF90">
        <v>1380.0791015625</v>
      </c>
      <c r="DG90">
        <v>-828.00823974609398</v>
      </c>
      <c r="DH90" s="2">
        <v>3.4028230607370999E+38</v>
      </c>
      <c r="DI90" s="2">
        <v>3.4028230607370999E+38</v>
      </c>
      <c r="DJ90">
        <v>230.00166320800801</v>
      </c>
      <c r="DK90">
        <v>6.0002927780151403</v>
      </c>
      <c r="DL90">
        <v>1104.10473632812</v>
      </c>
      <c r="DM90">
        <v>1380.07666015625</v>
      </c>
      <c r="DN90">
        <v>-828.00744628906205</v>
      </c>
      <c r="DO90">
        <v>49.999958038330099</v>
      </c>
      <c r="DP90">
        <v>36.867404937744098</v>
      </c>
      <c r="DQ90">
        <v>1.5213726088404701E-2</v>
      </c>
      <c r="DR90" s="2">
        <v>3.96539280700381E-6</v>
      </c>
      <c r="DS90" s="2">
        <v>-2.8713984523420802E-9</v>
      </c>
      <c r="DT90" s="2">
        <v>5.9591958034843602E-8</v>
      </c>
      <c r="DU90" s="2">
        <v>-9.4982892662187607E-9</v>
      </c>
      <c r="DV90">
        <v>74.664344787597699</v>
      </c>
      <c r="DW90">
        <v>112.893745422363</v>
      </c>
      <c r="DX90">
        <v>1.63254793733358E-2</v>
      </c>
      <c r="DY90" s="2">
        <v>3.2034697596827801E-6</v>
      </c>
      <c r="DZ90" s="2">
        <v>3.03693936665184E-9</v>
      </c>
      <c r="EA90" s="2">
        <v>5.3420052381625302E-8</v>
      </c>
      <c r="EB90" s="2">
        <v>-2.9304954018982698E-9</v>
      </c>
      <c r="EC90">
        <v>74.794593811035199</v>
      </c>
      <c r="ED90">
        <v>43.978092193603501</v>
      </c>
      <c r="EE90" s="2">
        <v>3.4028230607370999E+38</v>
      </c>
      <c r="EF90" s="2">
        <v>3.4028230607370999E+38</v>
      </c>
      <c r="EG90">
        <v>1104.10461425781</v>
      </c>
      <c r="EH90">
        <v>1380.07666015625</v>
      </c>
      <c r="EI90">
        <v>-828.00750732421898</v>
      </c>
      <c r="EJ90" s="2">
        <v>3.4028230607370999E+38</v>
      </c>
      <c r="EK90" s="2">
        <v>3.4028230607370999E+38</v>
      </c>
      <c r="EL90">
        <v>123</v>
      </c>
      <c r="EM90">
        <v>230.001953125</v>
      </c>
      <c r="EN90">
        <v>6.0003085136413601</v>
      </c>
      <c r="EO90">
        <v>1104.10498046875</v>
      </c>
      <c r="EP90">
        <v>1380.07653808594</v>
      </c>
      <c r="EQ90">
        <v>-828.00817871093795</v>
      </c>
      <c r="ER90">
        <v>49.999862670898402</v>
      </c>
      <c r="ES90">
        <v>36.867549896240199</v>
      </c>
      <c r="ET90">
        <v>0.80003279447555498</v>
      </c>
      <c r="EU90" s="2">
        <v>3.4028230607370999E+38</v>
      </c>
      <c r="EV90">
        <v>0</v>
      </c>
      <c r="EW90">
        <v>230.00541687011699</v>
      </c>
      <c r="EX90">
        <v>1104.13989257812</v>
      </c>
      <c r="EY90">
        <v>1380.10119628906</v>
      </c>
      <c r="EZ90">
        <v>-827.987060546875</v>
      </c>
      <c r="FA90">
        <v>1.72357703559101E-3</v>
      </c>
      <c r="FB90">
        <v>1.45989619195461E-2</v>
      </c>
      <c r="FC90" s="2">
        <v>3.9516517063020703E-6</v>
      </c>
      <c r="FD90" s="2">
        <v>-1.9180337318403E-9</v>
      </c>
      <c r="FE90" s="2">
        <v>5.78613850166221E-8</v>
      </c>
      <c r="FF90" s="2">
        <v>-7.79463604771991E-9</v>
      </c>
      <c r="FG90">
        <v>74.731109619140597</v>
      </c>
      <c r="FH90">
        <v>106.07037353515599</v>
      </c>
      <c r="FI90">
        <v>-3.6278445273637799E-2</v>
      </c>
      <c r="FJ90" s="2">
        <v>3.4028230607370999E+38</v>
      </c>
      <c r="FK90">
        <v>36.229503631591797</v>
      </c>
      <c r="FL90">
        <v>1.9828341901302299E-2</v>
      </c>
      <c r="FM90">
        <v>0</v>
      </c>
      <c r="FN90">
        <v>0</v>
      </c>
      <c r="FO90">
        <v>0</v>
      </c>
      <c r="FP90">
        <v>-2.1187710808590101E-4</v>
      </c>
      <c r="FQ90">
        <v>1.5976199880242299E-2</v>
      </c>
      <c r="FR90" s="2">
        <v>3.3024698495864902E-6</v>
      </c>
      <c r="FS90" s="2">
        <v>4.9550639147355502E-9</v>
      </c>
      <c r="FT90" s="2">
        <v>5.2791090610071498E-8</v>
      </c>
      <c r="FU90" s="2">
        <v>-1.07366504575879E-9</v>
      </c>
      <c r="FV90">
        <v>74.807632446289105</v>
      </c>
      <c r="FW90">
        <v>21.302892684936499</v>
      </c>
      <c r="FX90">
        <v>6.7465618252754198E-2</v>
      </c>
      <c r="FY90" s="2">
        <v>3.4028230607370999E+38</v>
      </c>
      <c r="FZ90">
        <v>-30.823484420776399</v>
      </c>
      <c r="GA90">
        <v>229.57894897460901</v>
      </c>
      <c r="GB90" s="2">
        <v>-2.3490706602124998E-10</v>
      </c>
      <c r="GC90">
        <v>7.3736993363127102E-4</v>
      </c>
      <c r="GD90" s="2">
        <v>-7.8250411705837998E-10</v>
      </c>
      <c r="GE90" s="2">
        <v>2.4944294636952701E-5</v>
      </c>
      <c r="GF90" s="2">
        <v>3.4028230607370999E+38</v>
      </c>
      <c r="GG90" s="2">
        <v>3.4028230607370999E+38</v>
      </c>
      <c r="GH90">
        <v>1104.1064453125</v>
      </c>
      <c r="GI90">
        <v>1380.07739257812</v>
      </c>
      <c r="GJ90">
        <v>-828.00726318359398</v>
      </c>
      <c r="GK90" s="2">
        <v>3.4028230607370999E+38</v>
      </c>
      <c r="GL90" s="2">
        <v>3.4028230607370999E+38</v>
      </c>
      <c r="GM90" s="2">
        <v>3.4028230607370999E+38</v>
      </c>
      <c r="GN90" s="2">
        <v>3.4028230607370999E+38</v>
      </c>
      <c r="GO90" s="2">
        <v>3.4028230607370999E+38</v>
      </c>
      <c r="GP90" s="2">
        <v>3.4028230607370999E+38</v>
      </c>
      <c r="GQ90">
        <v>1104.14074707031</v>
      </c>
      <c r="GR90">
        <v>1104.14074707031</v>
      </c>
      <c r="GS90">
        <v>-827.98181152343795</v>
      </c>
      <c r="GT90">
        <v>7.3798577068373604E-4</v>
      </c>
      <c r="GX90">
        <f t="shared" si="8"/>
        <v>230.00184326171879</v>
      </c>
      <c r="GY90">
        <f t="shared" si="9"/>
        <v>6.0002960205078146</v>
      </c>
      <c r="GZ90">
        <f t="shared" si="10"/>
        <v>1104.1060546875001</v>
      </c>
      <c r="HA90">
        <f t="shared" si="11"/>
        <v>1380.077368164064</v>
      </c>
      <c r="HB90">
        <f t="shared" si="12"/>
        <v>-828.00877685546857</v>
      </c>
      <c r="HC90">
        <f t="shared" si="13"/>
        <v>49.999946594238281</v>
      </c>
      <c r="HD90">
        <f t="shared" si="14"/>
        <v>36.867515563964822</v>
      </c>
      <c r="HW90" s="10">
        <f>(GX90/Data!$S90-1)*1000000</f>
        <v>22.317544073224838</v>
      </c>
      <c r="HX90" s="10">
        <f>(GY90/Data!$T90-1)*1000000</f>
        <v>43.972515433754467</v>
      </c>
      <c r="HY90" s="10">
        <f>(GZ90/Data!$BW90-1)*1000000</f>
        <v>64.967805512017307</v>
      </c>
      <c r="HZ90" s="10">
        <f>(HA90/(Data!$S90*Data!$T90)-1)*1000000</f>
        <v>65.003588277656732</v>
      </c>
      <c r="IA90" s="7">
        <f>(HB90/IF(HD90&gt;0, -Data!$BX90,Data!$BX90)-1)*1000000</f>
        <v>90.704554396081605</v>
      </c>
      <c r="IB90" s="10"/>
      <c r="IC90" s="9">
        <f>(HD90-Data!$U90)</f>
        <v>6.7592396482041295E-4</v>
      </c>
    </row>
    <row r="91" spans="1:237" x14ac:dyDescent="0.2">
      <c r="A91">
        <v>91</v>
      </c>
      <c r="B91">
        <v>230.00196838378901</v>
      </c>
      <c r="C91">
        <v>6.0003108978271502</v>
      </c>
      <c r="D91">
        <v>1104.11083984375</v>
      </c>
      <c r="E91">
        <v>1380.08251953125</v>
      </c>
      <c r="F91">
        <v>-828.00744628906205</v>
      </c>
      <c r="G91">
        <v>49.999904632568402</v>
      </c>
      <c r="H91">
        <v>36.8674125671387</v>
      </c>
      <c r="I91">
        <v>1.6192175447940799E-2</v>
      </c>
      <c r="J91" s="2">
        <v>3.9987485251913296E-6</v>
      </c>
      <c r="K91" s="2">
        <v>-4.2484979978496498E-9</v>
      </c>
      <c r="L91" s="2">
        <v>6.4782462061430097E-8</v>
      </c>
      <c r="M91" s="2">
        <v>-1.4518538371532899E-8</v>
      </c>
      <c r="N91">
        <v>74.723060607910199</v>
      </c>
      <c r="O91">
        <v>104.423965454102</v>
      </c>
      <c r="P91">
        <v>1.7790991812944398E-2</v>
      </c>
      <c r="Q91" s="2">
        <v>3.2542716326133801E-6</v>
      </c>
      <c r="R91" s="2">
        <v>5.9317915024337303E-9</v>
      </c>
      <c r="S91" s="2">
        <v>5.7660745511611802E-8</v>
      </c>
      <c r="T91" s="2">
        <v>-2.93519075711401E-9</v>
      </c>
      <c r="U91">
        <v>74.757728576660199</v>
      </c>
      <c r="V91">
        <v>31.739107131958001</v>
      </c>
      <c r="W91" s="2">
        <v>3.4028230607370999E+38</v>
      </c>
      <c r="X91" s="2">
        <v>3.4028230607370999E+38</v>
      </c>
      <c r="Y91">
        <v>1104.11071777344</v>
      </c>
      <c r="Z91">
        <v>1380.08251953125</v>
      </c>
      <c r="AA91">
        <v>-828.00750732421898</v>
      </c>
      <c r="AB91" s="2">
        <v>3.4028230607370999E+38</v>
      </c>
      <c r="AC91" s="2">
        <v>3.4028230607370999E+38</v>
      </c>
      <c r="AD91">
        <v>230.00146484375</v>
      </c>
      <c r="AE91">
        <v>6.0002913475036603</v>
      </c>
      <c r="AF91">
        <v>1104.10485839844</v>
      </c>
      <c r="AG91">
        <v>1380.07885742188</v>
      </c>
      <c r="AH91">
        <v>-828.01019287109398</v>
      </c>
      <c r="AI91">
        <v>49.999973297119098</v>
      </c>
      <c r="AJ91">
        <v>36.867923736572301</v>
      </c>
      <c r="AK91">
        <v>1.7078084871172901E-2</v>
      </c>
      <c r="AL91" s="2">
        <v>3.9366191231238199E-6</v>
      </c>
      <c r="AM91" s="2">
        <v>6.69511290851688E-9</v>
      </c>
      <c r="AN91" s="2">
        <v>6.8199838665350399E-8</v>
      </c>
      <c r="AO91" s="2">
        <v>-1.20876428866268E-8</v>
      </c>
      <c r="AP91">
        <v>74.658874511718807</v>
      </c>
      <c r="AQ91">
        <v>75.952865600585895</v>
      </c>
      <c r="AR91">
        <v>1.88773814588785E-2</v>
      </c>
      <c r="AS91" s="2">
        <v>3.19804894388653E-6</v>
      </c>
      <c r="AT91" s="2">
        <v>1.0898115299085001E-8</v>
      </c>
      <c r="AU91" s="2">
        <v>6.2651373866629001E-8</v>
      </c>
      <c r="AV91" s="2">
        <v>4.6349919458066299E-9</v>
      </c>
      <c r="AW91">
        <v>74.759078979492202</v>
      </c>
      <c r="AX91">
        <v>-23.0872592926025</v>
      </c>
      <c r="AY91" s="2">
        <v>3.4028230607370999E+38</v>
      </c>
      <c r="AZ91" s="2">
        <v>3.4028230607370999E+38</v>
      </c>
      <c r="BA91">
        <v>1104.10485839844</v>
      </c>
      <c r="BB91">
        <v>1380.07885742188</v>
      </c>
      <c r="BC91">
        <v>-828.01025390625</v>
      </c>
      <c r="BD91" s="2">
        <v>3.4028230607370999E+38</v>
      </c>
      <c r="BE91" s="2">
        <v>3.4028230607370999E+38</v>
      </c>
      <c r="BF91">
        <v>230.00152587890599</v>
      </c>
      <c r="BG91">
        <v>6.0003018379211399</v>
      </c>
      <c r="BH91">
        <v>1104.10791015625</v>
      </c>
      <c r="BI91">
        <v>1380.07763671875</v>
      </c>
      <c r="BJ91">
        <v>-828.00738525390602</v>
      </c>
      <c r="BK91">
        <v>49.999923706054702</v>
      </c>
      <c r="BL91">
        <v>36.8674926757812</v>
      </c>
      <c r="BM91">
        <v>1.6814265400171301E-2</v>
      </c>
      <c r="BN91" s="2">
        <v>4.0079680729832001E-6</v>
      </c>
      <c r="BO91" s="2">
        <v>-4.9268704671590099E-9</v>
      </c>
      <c r="BP91" s="2">
        <v>6.7290791605500999E-8</v>
      </c>
      <c r="BQ91" s="2">
        <v>-1.55892116993073E-8</v>
      </c>
      <c r="BR91">
        <v>74.701759338378906</v>
      </c>
      <c r="BS91">
        <v>108.409423828125</v>
      </c>
      <c r="BT91">
        <v>1.8205679953098301E-2</v>
      </c>
      <c r="BU91" s="2">
        <v>3.2235277558356799E-6</v>
      </c>
      <c r="BV91" s="2">
        <v>5.2853108556405501E-9</v>
      </c>
      <c r="BW91" s="2">
        <v>5.8551481885160703E-8</v>
      </c>
      <c r="BX91" s="2">
        <v>-2.5344013554473602E-9</v>
      </c>
      <c r="BY91">
        <v>74.778396606445298</v>
      </c>
      <c r="BZ91">
        <v>20.536973953247099</v>
      </c>
      <c r="CA91" s="2">
        <v>3.4028230607370999E+38</v>
      </c>
      <c r="CB91" s="2">
        <v>3.4028230607370999E+38</v>
      </c>
      <c r="CC91">
        <v>1104.10778808594</v>
      </c>
      <c r="CD91">
        <v>1380.07763671875</v>
      </c>
      <c r="CE91">
        <v>-828.00744628906205</v>
      </c>
      <c r="CF91" s="2">
        <v>3.4028230607370999E+38</v>
      </c>
      <c r="CG91" s="2">
        <v>3.4028230607370999E+38</v>
      </c>
      <c r="CH91">
        <v>230.00178527832</v>
      </c>
      <c r="CI91">
        <v>6.00030422210693</v>
      </c>
      <c r="CJ91">
        <v>1104.10375976562</v>
      </c>
      <c r="CK91">
        <v>1380.07763671875</v>
      </c>
      <c r="CL91">
        <v>-828.01177978515602</v>
      </c>
      <c r="CM91">
        <v>49.9999389648438</v>
      </c>
      <c r="CN91">
        <v>36.867568969726598</v>
      </c>
      <c r="CO91">
        <v>1.7674092203378702E-2</v>
      </c>
      <c r="CP91" s="2">
        <v>4.0443601392325903E-6</v>
      </c>
      <c r="CQ91" s="2">
        <v>2.7949758063528002E-9</v>
      </c>
      <c r="CR91" s="2">
        <v>7.0829315745868397E-8</v>
      </c>
      <c r="CS91" s="2">
        <v>-1.66232165810243E-8</v>
      </c>
      <c r="CT91">
        <v>74.610740661621094</v>
      </c>
      <c r="CU91">
        <v>82.808883666992202</v>
      </c>
      <c r="CV91">
        <v>1.95193663239479E-2</v>
      </c>
      <c r="CW91" s="2">
        <v>3.2864224976947298E-6</v>
      </c>
      <c r="CX91" s="2">
        <v>1.30795658748184E-8</v>
      </c>
      <c r="CY91" s="2">
        <v>6.2935463063240604E-8</v>
      </c>
      <c r="CZ91" s="2">
        <v>3.47411943657505E-9</v>
      </c>
      <c r="DA91">
        <v>74.704673767089801</v>
      </c>
      <c r="DB91">
        <v>-17.7935600280762</v>
      </c>
      <c r="DC91" s="2">
        <v>3.4028230607370999E+38</v>
      </c>
      <c r="DD91" s="2">
        <v>3.4028230607370999E+38</v>
      </c>
      <c r="DE91">
        <v>1104.10375976562</v>
      </c>
      <c r="DF91">
        <v>1380.07763671875</v>
      </c>
      <c r="DG91">
        <v>-828.01184082031205</v>
      </c>
      <c r="DH91" s="2">
        <v>3.4028230607370999E+38</v>
      </c>
      <c r="DI91" s="2">
        <v>3.4028230607370999E+38</v>
      </c>
      <c r="DJ91">
        <v>230.00175476074199</v>
      </c>
      <c r="DK91">
        <v>6.0002789497375497</v>
      </c>
      <c r="DL91">
        <v>1104.10034179688</v>
      </c>
      <c r="DM91">
        <v>1380.07409667969</v>
      </c>
      <c r="DN91">
        <v>-828.0107421875</v>
      </c>
      <c r="DO91">
        <v>50.000030517578097</v>
      </c>
      <c r="DP91">
        <v>36.867748260497997</v>
      </c>
      <c r="DQ91">
        <v>1.6482317820191401E-2</v>
      </c>
      <c r="DR91" s="2">
        <v>3.9839169403421701E-6</v>
      </c>
      <c r="DS91" s="2">
        <v>6.3405063421839697E-9</v>
      </c>
      <c r="DT91" s="2">
        <v>6.5407604665779204E-8</v>
      </c>
      <c r="DU91" s="2">
        <v>-9.1739256191658602E-9</v>
      </c>
      <c r="DV91">
        <v>74.625289916992202</v>
      </c>
      <c r="DW91">
        <v>58.323337554931598</v>
      </c>
      <c r="DX91">
        <v>1.77186820656061E-2</v>
      </c>
      <c r="DY91" s="2">
        <v>3.2602347346255598E-6</v>
      </c>
      <c r="DZ91" s="2">
        <v>1.00276595915716E-8</v>
      </c>
      <c r="EA91" s="2">
        <v>6.0678196689423203E-8</v>
      </c>
      <c r="EB91" s="2">
        <v>5.8354450160891197E-9</v>
      </c>
      <c r="EC91">
        <v>74.752685546875</v>
      </c>
      <c r="ED91">
        <v>-30.354423522949201</v>
      </c>
      <c r="EE91" s="2">
        <v>3.4028230607370999E+38</v>
      </c>
      <c r="EF91" s="2">
        <v>3.4028230607370999E+38</v>
      </c>
      <c r="EG91">
        <v>1104.10034179688</v>
      </c>
      <c r="EH91">
        <v>1380.07409667969</v>
      </c>
      <c r="EI91">
        <v>-828.01080322265602</v>
      </c>
      <c r="EJ91" s="2">
        <v>3.4028230607370999E+38</v>
      </c>
      <c r="EK91" s="2">
        <v>3.4028230607370999E+38</v>
      </c>
      <c r="EL91">
        <v>123</v>
      </c>
      <c r="EM91">
        <v>230.00137329101599</v>
      </c>
      <c r="EN91">
        <v>6.0003027915954599</v>
      </c>
      <c r="EO91">
        <v>1104.10034179688</v>
      </c>
      <c r="EP91">
        <v>1380.07470703125</v>
      </c>
      <c r="EQ91">
        <v>-828.00982666015602</v>
      </c>
      <c r="ER91">
        <v>49.999958038330099</v>
      </c>
      <c r="ES91">
        <v>36.867759704589801</v>
      </c>
      <c r="ET91">
        <v>0.80002909898757901</v>
      </c>
      <c r="EU91" s="2">
        <v>3.4028230607370999E+38</v>
      </c>
      <c r="EV91">
        <v>0</v>
      </c>
      <c r="EW91">
        <v>230.00253295898401</v>
      </c>
      <c r="EX91">
        <v>1104.1474609375</v>
      </c>
      <c r="EY91">
        <v>1380.08532714844</v>
      </c>
      <c r="EZ91">
        <v>-827.95275878906205</v>
      </c>
      <c r="FA91">
        <v>2.8598548378795398E-3</v>
      </c>
      <c r="FB91">
        <v>1.73276495188475E-2</v>
      </c>
      <c r="FC91" s="2">
        <v>3.9308374653046502E-6</v>
      </c>
      <c r="FD91" s="2">
        <v>3.1418367907320999E-9</v>
      </c>
      <c r="FE91" s="2">
        <v>6.8108114703591101E-8</v>
      </c>
      <c r="FF91" s="2">
        <v>-1.5077761261750301E-8</v>
      </c>
      <c r="FG91">
        <v>74.635086059570298</v>
      </c>
      <c r="FH91">
        <v>83.048568725585895</v>
      </c>
      <c r="FI91">
        <v>2.94215064495802E-2</v>
      </c>
      <c r="FJ91" s="2">
        <v>3.4028230607370999E+38</v>
      </c>
      <c r="FK91">
        <v>-38.777587890625</v>
      </c>
      <c r="FL91">
        <v>2.1039357408881201E-2</v>
      </c>
      <c r="FM91">
        <v>0</v>
      </c>
      <c r="FN91">
        <v>0</v>
      </c>
      <c r="FO91">
        <v>0</v>
      </c>
      <c r="FP91">
        <v>-2.3105506261344999E-4</v>
      </c>
      <c r="FQ91">
        <v>1.9525831565260901E-2</v>
      </c>
      <c r="FR91" s="2">
        <v>3.2848051887413E-6</v>
      </c>
      <c r="FS91" s="2">
        <v>1.1802555377471401E-8</v>
      </c>
      <c r="FT91" s="2">
        <v>6.3761454782707006E-8</v>
      </c>
      <c r="FU91" s="2">
        <v>2.26519114576718E-9</v>
      </c>
      <c r="FV91">
        <v>74.685729980468807</v>
      </c>
      <c r="FW91">
        <v>-12.4284267425537</v>
      </c>
      <c r="FX91">
        <v>0.15897126495838201</v>
      </c>
      <c r="FY91" s="2">
        <v>3.4028230607370999E+38</v>
      </c>
      <c r="FZ91">
        <v>-34.2805366516113</v>
      </c>
      <c r="GA91">
        <v>229.03652954101599</v>
      </c>
      <c r="GB91" s="2">
        <v>3.89656987231923E-11</v>
      </c>
      <c r="GC91">
        <v>7.4219773523509502E-4</v>
      </c>
      <c r="GD91" s="2">
        <v>-1.2798317960971401E-9</v>
      </c>
      <c r="GE91" s="2">
        <v>8.3062186604365706E-6</v>
      </c>
      <c r="GF91" s="2">
        <v>3.4028230607370999E+38</v>
      </c>
      <c r="GG91" s="2">
        <v>3.4028230607370999E+38</v>
      </c>
      <c r="GH91">
        <v>1104.10949707031</v>
      </c>
      <c r="GI91">
        <v>1380.08044433594</v>
      </c>
      <c r="GJ91">
        <v>-828.00787353515602</v>
      </c>
      <c r="GK91" s="2">
        <v>3.4028230607370999E+38</v>
      </c>
      <c r="GL91" s="2">
        <v>3.4028230607370999E+38</v>
      </c>
      <c r="GM91" s="2">
        <v>3.4028230607370999E+38</v>
      </c>
      <c r="GN91" s="2">
        <v>3.4028230607370999E+38</v>
      </c>
      <c r="GO91" s="2">
        <v>3.4028230607370999E+38</v>
      </c>
      <c r="GP91" s="2">
        <v>3.4028230607370999E+38</v>
      </c>
      <c r="GQ91">
        <v>1104.1611328125</v>
      </c>
      <c r="GR91">
        <v>1104.1611328125</v>
      </c>
      <c r="GS91">
        <v>-827.95147705078102</v>
      </c>
      <c r="GT91">
        <v>4.5347195118665704E-3</v>
      </c>
      <c r="GX91">
        <f t="shared" si="8"/>
        <v>230.00169982910137</v>
      </c>
      <c r="GY91">
        <f t="shared" si="9"/>
        <v>6.0002974510192857</v>
      </c>
      <c r="GZ91">
        <f t="shared" si="10"/>
        <v>1104.1055419921881</v>
      </c>
      <c r="HA91">
        <f t="shared" si="11"/>
        <v>1380.0781494140642</v>
      </c>
      <c r="HB91">
        <f t="shared" si="12"/>
        <v>-828.00950927734357</v>
      </c>
      <c r="HC91">
        <f t="shared" si="13"/>
        <v>49.99995422363282</v>
      </c>
      <c r="HD91">
        <f t="shared" si="14"/>
        <v>36.867629241943355</v>
      </c>
      <c r="HW91" s="10">
        <f>(GX91/Data!$S91-1)*1000000</f>
        <v>22.087842456164353</v>
      </c>
      <c r="HX91" s="10">
        <f>(GY91/Data!$T91-1)*1000000</f>
        <v>43.684412557754015</v>
      </c>
      <c r="HY91" s="10">
        <f>(GZ91/Data!$BW91-1)*1000000</f>
        <v>64.576794045922981</v>
      </c>
      <c r="HZ91" s="10">
        <f>(HA91/(Data!$S91*Data!$T91)-1)*1000000</f>
        <v>65.437129560530494</v>
      </c>
      <c r="IA91" s="7">
        <f>(HB91/IF(HD91&gt;0, -Data!$BX91,Data!$BX91)-1)*1000000</f>
        <v>91.090556657791311</v>
      </c>
      <c r="IB91" s="10"/>
      <c r="IC91" s="9">
        <f>(HD91-Data!$U91)</f>
        <v>7.7388194335270555E-4</v>
      </c>
    </row>
    <row r="92" spans="1:237" x14ac:dyDescent="0.2">
      <c r="A92">
        <v>92</v>
      </c>
      <c r="B92">
        <v>230.00212097168</v>
      </c>
      <c r="C92">
        <v>6.0002970695495597</v>
      </c>
      <c r="D92">
        <v>1104.10754394531</v>
      </c>
      <c r="E92">
        <v>1380.07995605469</v>
      </c>
      <c r="F92">
        <v>-828.01019287109398</v>
      </c>
      <c r="G92">
        <v>49.999946594238303</v>
      </c>
      <c r="H92">
        <v>36.867668151855497</v>
      </c>
      <c r="I92">
        <v>1.7214721068739901E-2</v>
      </c>
      <c r="J92" s="2">
        <v>4.0539330257161097E-6</v>
      </c>
      <c r="K92" s="2">
        <v>-3.1007354461820602E-9</v>
      </c>
      <c r="L92" s="2">
        <v>6.9340060804279294E-8</v>
      </c>
      <c r="M92" s="2">
        <v>-1.7624831372131699E-8</v>
      </c>
      <c r="N92">
        <v>74.679389953613295</v>
      </c>
      <c r="O92">
        <v>101.902465820312</v>
      </c>
      <c r="P92">
        <v>1.9266065210103999E-2</v>
      </c>
      <c r="Q92" s="2">
        <v>3.1928436783346102E-6</v>
      </c>
      <c r="R92" s="2">
        <v>1.13436247062282E-8</v>
      </c>
      <c r="S92" s="2">
        <v>6.3831244290213402E-8</v>
      </c>
      <c r="T92" s="2">
        <v>5.3472382077757195E-10</v>
      </c>
      <c r="U92">
        <v>74.785415649414105</v>
      </c>
      <c r="V92">
        <v>-3.1740672588348402</v>
      </c>
      <c r="W92" s="2">
        <v>3.4028230607370999E+38</v>
      </c>
      <c r="X92" s="2">
        <v>3.4028230607370999E+38</v>
      </c>
      <c r="Y92">
        <v>1104.107421875</v>
      </c>
      <c r="Z92">
        <v>1380.07995605469</v>
      </c>
      <c r="AA92">
        <v>-828.01025390625</v>
      </c>
      <c r="AB92" s="2">
        <v>3.4028230607370999E+38</v>
      </c>
      <c r="AC92" s="2">
        <v>3.4028230607370999E+38</v>
      </c>
      <c r="AD92">
        <v>230.00158691406199</v>
      </c>
      <c r="AE92">
        <v>6.0002913475036603</v>
      </c>
      <c r="AF92">
        <v>1104.10107421875</v>
      </c>
      <c r="AG92">
        <v>1380.07727050781</v>
      </c>
      <c r="AH92">
        <v>-828.00500488281205</v>
      </c>
      <c r="AI92">
        <v>49.999927520752003</v>
      </c>
      <c r="AJ92">
        <v>36.867401123046903</v>
      </c>
      <c r="AK92">
        <v>1.5961898490786601E-2</v>
      </c>
      <c r="AL92" s="2">
        <v>3.9088836274459001E-6</v>
      </c>
      <c r="AM92" s="2">
        <v>5.5344000493562403E-9</v>
      </c>
      <c r="AN92" s="2">
        <v>6.0657683320641795E-8</v>
      </c>
      <c r="AO92" s="2">
        <v>-7.4309620679002803E-9</v>
      </c>
      <c r="AP92">
        <v>74.778083801269503</v>
      </c>
      <c r="AQ92">
        <v>57.6182670593262</v>
      </c>
      <c r="AR92">
        <v>1.7141003161668798E-2</v>
      </c>
      <c r="AS92" s="2">
        <v>3.3481608170404802E-6</v>
      </c>
      <c r="AT92" s="2">
        <v>7.7894730665661899E-9</v>
      </c>
      <c r="AU92" s="2">
        <v>5.6561876959904098E-8</v>
      </c>
      <c r="AV92" s="2">
        <v>3.6880090092950001E-9</v>
      </c>
      <c r="AW92">
        <v>74.720657348632798</v>
      </c>
      <c r="AX92">
        <v>-25.33571434021</v>
      </c>
      <c r="AY92" s="2">
        <v>3.4028230607370999E+38</v>
      </c>
      <c r="AZ92" s="2">
        <v>3.4028230607370999E+38</v>
      </c>
      <c r="BA92">
        <v>1104.10107421875</v>
      </c>
      <c r="BB92">
        <v>1380.07727050781</v>
      </c>
      <c r="BC92">
        <v>-828.00506591796898</v>
      </c>
      <c r="BD92" s="2">
        <v>3.4028230607370999E+38</v>
      </c>
      <c r="BE92" s="2">
        <v>3.4028230607370999E+38</v>
      </c>
      <c r="BF92">
        <v>230.00143432617199</v>
      </c>
      <c r="BG92">
        <v>6.0003099441528303</v>
      </c>
      <c r="BH92">
        <v>1104.11206054688</v>
      </c>
      <c r="BI92">
        <v>1380.08081054688</v>
      </c>
      <c r="BJ92">
        <v>-828.00402832031205</v>
      </c>
      <c r="BK92">
        <v>49.999908447265597</v>
      </c>
      <c r="BL92">
        <v>36.867591857910199</v>
      </c>
      <c r="BM92">
        <v>1.70792788267136E-2</v>
      </c>
      <c r="BN92" s="2">
        <v>3.9930987441039204E-6</v>
      </c>
      <c r="BO92" s="2">
        <v>-1.7040633348841499E-9</v>
      </c>
      <c r="BP92" s="2">
        <v>6.8318776413889295E-8</v>
      </c>
      <c r="BQ92" s="2">
        <v>-1.6846881223386798E-8</v>
      </c>
      <c r="BR92">
        <v>74.648689270019503</v>
      </c>
      <c r="BS92">
        <v>98.663879394531193</v>
      </c>
      <c r="BT92">
        <v>1.8620338290929801E-2</v>
      </c>
      <c r="BU92" s="2">
        <v>3.2891732644202399E-6</v>
      </c>
      <c r="BV92" s="2">
        <v>6.5698193552066203E-9</v>
      </c>
      <c r="BW92" s="2">
        <v>6.1326716149778804E-8</v>
      </c>
      <c r="BX92" s="2">
        <v>-1.9596291256362999E-9</v>
      </c>
      <c r="BY92">
        <v>74.715255737304702</v>
      </c>
      <c r="BZ92">
        <v>6.4427328109741202</v>
      </c>
      <c r="CA92" s="2">
        <v>3.4028230607370999E+38</v>
      </c>
      <c r="CB92" s="2">
        <v>3.4028230607370999E+38</v>
      </c>
      <c r="CC92">
        <v>1104.11193847656</v>
      </c>
      <c r="CD92">
        <v>1380.08081054688</v>
      </c>
      <c r="CE92">
        <v>-828.00408935546898</v>
      </c>
      <c r="CF92" s="2">
        <v>3.4028230607370999E+38</v>
      </c>
      <c r="CG92" s="2">
        <v>3.4028230607370999E+38</v>
      </c>
      <c r="CH92">
        <v>230.00201416015599</v>
      </c>
      <c r="CI92">
        <v>6.0003037452697798</v>
      </c>
      <c r="CJ92">
        <v>1104.10876464844</v>
      </c>
      <c r="CK92">
        <v>1380.07385253906</v>
      </c>
      <c r="CL92">
        <v>-828.00946044921898</v>
      </c>
      <c r="CM92">
        <v>49.999904632568402</v>
      </c>
      <c r="CN92">
        <v>36.867725372314503</v>
      </c>
      <c r="CO92">
        <v>1.4294655993580801E-2</v>
      </c>
      <c r="CP92" s="2">
        <v>3.9642131923756097E-6</v>
      </c>
      <c r="CQ92" s="2">
        <v>-1.95269711511514E-9</v>
      </c>
      <c r="CR92" s="2">
        <v>5.7705726419499102E-8</v>
      </c>
      <c r="CS92" s="2">
        <v>-7.4098407409905998E-9</v>
      </c>
      <c r="CT92">
        <v>74.5789794921875</v>
      </c>
      <c r="CU92">
        <v>105.01360321044901</v>
      </c>
      <c r="CV92">
        <v>1.4973860234022101E-2</v>
      </c>
      <c r="CW92" s="2">
        <v>3.1929262149787999E-6</v>
      </c>
      <c r="CX92" s="2">
        <v>3.3173732649771599E-9</v>
      </c>
      <c r="CY92" s="2">
        <v>5.1317265103989498E-8</v>
      </c>
      <c r="CZ92" s="2">
        <v>-9.7893804174020695E-10</v>
      </c>
      <c r="DA92">
        <v>74.692573547363295</v>
      </c>
      <c r="DB92">
        <v>18.4941101074219</v>
      </c>
      <c r="DC92" s="2">
        <v>3.4028230607370999E+38</v>
      </c>
      <c r="DD92" s="2">
        <v>3.4028230607370999E+38</v>
      </c>
      <c r="DE92">
        <v>1104.10864257812</v>
      </c>
      <c r="DF92">
        <v>1380.07385253906</v>
      </c>
      <c r="DG92">
        <v>-828.009521484375</v>
      </c>
      <c r="DH92" s="2">
        <v>3.4028230607370999E+38</v>
      </c>
      <c r="DI92" s="2">
        <v>3.4028230607370999E+38</v>
      </c>
      <c r="DJ92">
        <v>230.00193786621099</v>
      </c>
      <c r="DK92">
        <v>6.00030469894409</v>
      </c>
      <c r="DL92">
        <v>1104.10180664062</v>
      </c>
      <c r="DM92">
        <v>1380.07690429688</v>
      </c>
      <c r="DN92">
        <v>-828.01086425781205</v>
      </c>
      <c r="DO92">
        <v>49.999935150146499</v>
      </c>
      <c r="DP92">
        <v>36.867568969726598</v>
      </c>
      <c r="DQ92">
        <v>1.7761830240488101E-2</v>
      </c>
      <c r="DR92" s="2">
        <v>4.0014247133512998E-6</v>
      </c>
      <c r="DS92" s="2">
        <v>1.4721878160983701E-9</v>
      </c>
      <c r="DT92" s="2">
        <v>7.0796218665236705E-8</v>
      </c>
      <c r="DU92" s="2">
        <v>-1.6114773515596399E-8</v>
      </c>
      <c r="DV92">
        <v>74.694496154785199</v>
      </c>
      <c r="DW92">
        <v>81.064826965332003</v>
      </c>
      <c r="DX92">
        <v>1.9641702994704201E-2</v>
      </c>
      <c r="DY92" s="2">
        <v>3.2095097139972499E-6</v>
      </c>
      <c r="DZ92" s="2">
        <v>1.2165850549195099E-8</v>
      </c>
      <c r="EA92" s="2">
        <v>6.2668000566645801E-8</v>
      </c>
      <c r="EB92" s="2">
        <v>2.77630940459517E-9</v>
      </c>
      <c r="EC92">
        <v>74.632484436035199</v>
      </c>
      <c r="ED92">
        <v>-13.7322425842285</v>
      </c>
      <c r="EE92" s="2">
        <v>3.4028230607370999E+38</v>
      </c>
      <c r="EF92" s="2">
        <v>3.4028230607370999E+38</v>
      </c>
      <c r="EG92">
        <v>1104.10180664062</v>
      </c>
      <c r="EH92">
        <v>1380.07690429688</v>
      </c>
      <c r="EI92">
        <v>-828.01092529296898</v>
      </c>
      <c r="EJ92" s="2">
        <v>3.4028230607370999E+38</v>
      </c>
      <c r="EK92" s="2">
        <v>3.4028230607370999E+38</v>
      </c>
      <c r="EL92">
        <v>123</v>
      </c>
      <c r="EM92">
        <v>230.00192260742199</v>
      </c>
      <c r="EN92">
        <v>6.0003004074096697</v>
      </c>
      <c r="EO92">
        <v>1104.10852050781</v>
      </c>
      <c r="EP92">
        <v>1380.08166503906</v>
      </c>
      <c r="EQ92">
        <v>-828.00927734375</v>
      </c>
      <c r="ER92">
        <v>49.9999809265137</v>
      </c>
      <c r="ES92">
        <v>36.867500305175803</v>
      </c>
      <c r="ET92">
        <v>0.800029277801514</v>
      </c>
      <c r="EU92" s="2">
        <v>3.4028230607370999E+38</v>
      </c>
      <c r="EV92">
        <v>0</v>
      </c>
      <c r="EW92">
        <v>230.00250244140599</v>
      </c>
      <c r="EX92">
        <v>1104.14221191406</v>
      </c>
      <c r="EY92">
        <v>1380.08190917969</v>
      </c>
      <c r="EZ92">
        <v>-827.95562744140602</v>
      </c>
      <c r="FA92">
        <v>1.9555182661861199E-3</v>
      </c>
      <c r="FB92">
        <v>1.7305813729763E-2</v>
      </c>
      <c r="FC92" s="2">
        <v>4.0076429286273196E-6</v>
      </c>
      <c r="FD92" s="2">
        <v>3.4305995821881701E-9</v>
      </c>
      <c r="FE92" s="2">
        <v>6.9248144995981393E-8</v>
      </c>
      <c r="FF92" s="2">
        <v>-1.34342998947545E-8</v>
      </c>
      <c r="FG92">
        <v>74.575004577636705</v>
      </c>
      <c r="FH92">
        <v>70.415466308593807</v>
      </c>
      <c r="FI92">
        <v>7.1816995739936801E-2</v>
      </c>
      <c r="FJ92" s="2">
        <v>3.4028230607370999E+38</v>
      </c>
      <c r="FK92">
        <v>-55.9450874328613</v>
      </c>
      <c r="FL92">
        <v>1.9823502749204601E-2</v>
      </c>
      <c r="FM92">
        <v>0</v>
      </c>
      <c r="FN92">
        <v>0</v>
      </c>
      <c r="FO92">
        <v>0</v>
      </c>
      <c r="FP92">
        <v>-2.2414016711991299E-4</v>
      </c>
      <c r="FQ92">
        <v>1.8055852502584499E-2</v>
      </c>
      <c r="FR92" s="2">
        <v>3.2501104669790901E-6</v>
      </c>
      <c r="FS92" s="2">
        <v>1.08627578043752E-8</v>
      </c>
      <c r="FT92" s="2">
        <v>5.8497057864315099E-8</v>
      </c>
      <c r="FU92" s="2">
        <v>6.1102012338665199E-9</v>
      </c>
      <c r="FV92">
        <v>74.805610656738295</v>
      </c>
      <c r="FW92">
        <v>-30.898860931396499</v>
      </c>
      <c r="FX92">
        <v>0.18831327557563801</v>
      </c>
      <c r="FY92" s="2">
        <v>3.4028230607370999E+38</v>
      </c>
      <c r="FZ92">
        <v>-46.420154571533203</v>
      </c>
      <c r="GA92">
        <v>229.137771606445</v>
      </c>
      <c r="GB92" s="2">
        <v>5.04094765929608E-10</v>
      </c>
      <c r="GC92">
        <v>7.6583377085626104E-4</v>
      </c>
      <c r="GD92" s="2">
        <v>1.2781458114119501E-9</v>
      </c>
      <c r="GE92" s="2">
        <v>1.97593253687955E-5</v>
      </c>
      <c r="GF92" s="2">
        <v>3.4028230607370999E+38</v>
      </c>
      <c r="GG92" s="2">
        <v>3.4028230607370999E+38</v>
      </c>
      <c r="GH92">
        <v>1104.10046386719</v>
      </c>
      <c r="GI92">
        <v>1380.07495117188</v>
      </c>
      <c r="GJ92">
        <v>-828.01379394531205</v>
      </c>
      <c r="GK92" s="2">
        <v>3.4028230607370999E+38</v>
      </c>
      <c r="GL92" s="2">
        <v>3.4028230607370999E+38</v>
      </c>
      <c r="GM92" s="2">
        <v>3.4028230607370999E+38</v>
      </c>
      <c r="GN92" s="2">
        <v>3.4028230607370999E+38</v>
      </c>
      <c r="GO92" s="2">
        <v>3.4028230607370999E+38</v>
      </c>
      <c r="GP92" s="2">
        <v>3.4028230607370999E+38</v>
      </c>
      <c r="GQ92">
        <v>1104.11999511719</v>
      </c>
      <c r="GR92">
        <v>1104.11853027344</v>
      </c>
      <c r="GS92">
        <v>-827.98034667968795</v>
      </c>
      <c r="GT92">
        <v>-8.91442701686174E-4</v>
      </c>
      <c r="GX92">
        <f t="shared" si="8"/>
        <v>230.00181884765621</v>
      </c>
      <c r="GY92">
        <f t="shared" si="9"/>
        <v>6.0003013610839826</v>
      </c>
      <c r="GZ92">
        <f t="shared" si="10"/>
        <v>1104.10625</v>
      </c>
      <c r="HA92">
        <f t="shared" si="11"/>
        <v>1380.0777587890639</v>
      </c>
      <c r="HB92">
        <f t="shared" si="12"/>
        <v>-828.00791015624964</v>
      </c>
      <c r="HC92">
        <f t="shared" si="13"/>
        <v>49.999924468994166</v>
      </c>
      <c r="HD92">
        <f t="shared" si="14"/>
        <v>36.867591094970734</v>
      </c>
      <c r="HW92" s="10">
        <f>(GX92/Data!$S92-1)*1000000</f>
        <v>21.883991304871842</v>
      </c>
      <c r="HX92" s="10">
        <f>(GY92/Data!$T92-1)*1000000</f>
        <v>45.251288856906768</v>
      </c>
      <c r="HY92" s="10">
        <f>(GZ92/Data!$BW92-1)*1000000</f>
        <v>62.646446280734125</v>
      </c>
      <c r="HZ92" s="10">
        <f>(HA92/(Data!$S92*Data!$T92)-1)*1000000</f>
        <v>65.347925127801076</v>
      </c>
      <c r="IA92" s="7">
        <f>(HB92/IF(HD92&gt;0, -Data!$BX92,Data!$BX92)-1)*1000000</f>
        <v>94.270613918645552</v>
      </c>
      <c r="IB92" s="10"/>
      <c r="IC92" s="9">
        <f>(HD92-Data!$U92)</f>
        <v>9.4701497073401697E-4</v>
      </c>
    </row>
    <row r="93" spans="1:237" x14ac:dyDescent="0.2">
      <c r="A93">
        <v>93</v>
      </c>
      <c r="B93">
        <v>230.002197265625</v>
      </c>
      <c r="C93">
        <v>10.0004062652588</v>
      </c>
      <c r="D93">
        <v>2300.11889648438</v>
      </c>
      <c r="E93">
        <v>2300.11352539062</v>
      </c>
      <c r="F93">
        <v>0.1083849593997</v>
      </c>
      <c r="G93">
        <v>49.999958038330099</v>
      </c>
      <c r="H93">
        <v>-2.78927036561072E-3</v>
      </c>
      <c r="I93">
        <v>1.5982793644070601E-2</v>
      </c>
      <c r="J93" s="2">
        <v>4.7618414100725204E-6</v>
      </c>
      <c r="K93" s="2">
        <v>8.8933456154904905E-9</v>
      </c>
      <c r="L93" s="2">
        <v>7.6124997860915795E-8</v>
      </c>
      <c r="M93" s="2">
        <v>-1.47088492497005E-8</v>
      </c>
      <c r="N93">
        <v>74.665878295898395</v>
      </c>
      <c r="O93">
        <v>53.127140045166001</v>
      </c>
      <c r="P93">
        <v>1.6963265836238899E-2</v>
      </c>
      <c r="Q93" s="2">
        <v>3.4708029943430999E-6</v>
      </c>
      <c r="R93" s="2">
        <v>1.261189286339E-8</v>
      </c>
      <c r="S93" s="2">
        <v>5.9982781408507395E-8</v>
      </c>
      <c r="T93" s="2">
        <v>4.2690611046225496E-9</v>
      </c>
      <c r="U93">
        <v>74.697425842285199</v>
      </c>
      <c r="V93">
        <v>-16.130199432373001</v>
      </c>
      <c r="W93" s="2">
        <v>3.4028230607370999E+38</v>
      </c>
      <c r="X93" s="2">
        <v>3.4028230607370999E+38</v>
      </c>
      <c r="Y93">
        <v>2300.11889648438</v>
      </c>
      <c r="Z93">
        <v>2300.11352539062</v>
      </c>
      <c r="AA93">
        <v>0.108384944498539</v>
      </c>
      <c r="AB93" s="2">
        <v>3.4028230607370999E+38</v>
      </c>
      <c r="AC93" s="2">
        <v>3.4028230607370999E+38</v>
      </c>
      <c r="AD93">
        <v>230.00196838378901</v>
      </c>
      <c r="AE93">
        <v>10.000419616699199</v>
      </c>
      <c r="AF93">
        <v>2300.11303710938</v>
      </c>
      <c r="AG93">
        <v>2300.10815429688</v>
      </c>
      <c r="AH93">
        <v>0.106198124587536</v>
      </c>
      <c r="AI93">
        <v>49.999862670898402</v>
      </c>
      <c r="AJ93">
        <v>-2.6113295461982502E-3</v>
      </c>
      <c r="AK93">
        <v>1.61031205207109E-2</v>
      </c>
      <c r="AL93" s="2">
        <v>4.75031856694841E-6</v>
      </c>
      <c r="AM93" s="2">
        <v>4.4399954823859397E-9</v>
      </c>
      <c r="AN93" s="2">
        <v>7.5069046090447995E-8</v>
      </c>
      <c r="AO93" s="2">
        <v>-1.9102602166754001E-8</v>
      </c>
      <c r="AP93">
        <v>74.514083862304702</v>
      </c>
      <c r="AQ93">
        <v>79.376129150390597</v>
      </c>
      <c r="AR93">
        <v>1.7138822004199E-2</v>
      </c>
      <c r="AS93" s="2">
        <v>3.4804777442332099E-6</v>
      </c>
      <c r="AT93" s="2">
        <v>1.154949025306E-8</v>
      </c>
      <c r="AU93" s="2">
        <v>5.9344994696175497E-8</v>
      </c>
      <c r="AV93" s="2">
        <v>3.4297928941384701E-9</v>
      </c>
      <c r="AW93">
        <v>74.646453857421903</v>
      </c>
      <c r="AX93">
        <v>-14.2625646591187</v>
      </c>
      <c r="AY93" s="2">
        <v>3.4028230607370999E+38</v>
      </c>
      <c r="AZ93" s="2">
        <v>3.4028230607370999E+38</v>
      </c>
      <c r="BA93">
        <v>2300.11303710938</v>
      </c>
      <c r="BB93">
        <v>2300.10815429688</v>
      </c>
      <c r="BC93">
        <v>0.106198102235794</v>
      </c>
      <c r="BD93" s="2">
        <v>3.4028230607370999E+38</v>
      </c>
      <c r="BE93" s="2">
        <v>3.4028230607370999E+38</v>
      </c>
      <c r="BF93">
        <v>230.00225830078099</v>
      </c>
      <c r="BG93">
        <v>10.0004014968872</v>
      </c>
      <c r="BH93">
        <v>2300.11840820312</v>
      </c>
      <c r="BI93">
        <v>2300.11352539062</v>
      </c>
      <c r="BJ93">
        <v>0.107102379202843</v>
      </c>
      <c r="BK93">
        <v>49.999958038330099</v>
      </c>
      <c r="BL93">
        <v>-2.6679157745093099E-3</v>
      </c>
      <c r="BM93">
        <v>1.6894098371267301E-2</v>
      </c>
      <c r="BN93" s="2">
        <v>4.6327741074492198E-6</v>
      </c>
      <c r="BO93" s="2">
        <v>1.9998601885617999E-8</v>
      </c>
      <c r="BP93" s="2">
        <v>7.8269977166201001E-8</v>
      </c>
      <c r="BQ93" s="2">
        <v>-3.69002184363865E-9</v>
      </c>
      <c r="BR93">
        <v>74.623596191406193</v>
      </c>
      <c r="BS93">
        <v>9.9712562561035192</v>
      </c>
      <c r="BT93">
        <v>1.8678188323974599E-2</v>
      </c>
      <c r="BU93" s="2">
        <v>3.5716773254534898E-6</v>
      </c>
      <c r="BV93" s="2">
        <v>1.52825432309101E-8</v>
      </c>
      <c r="BW93" s="2">
        <v>6.6628814465730102E-8</v>
      </c>
      <c r="BX93" s="2">
        <v>1.51473855680706E-8</v>
      </c>
      <c r="BY93">
        <v>74.544143676757798</v>
      </c>
      <c r="BZ93">
        <v>-48.822391510009801</v>
      </c>
      <c r="CA93" s="2">
        <v>3.4028230607370999E+38</v>
      </c>
      <c r="CB93" s="2">
        <v>3.4028230607370999E+38</v>
      </c>
      <c r="CC93">
        <v>2300.11840820312</v>
      </c>
      <c r="CD93">
        <v>2300.11352539062</v>
      </c>
      <c r="CE93">
        <v>0.107102386653423</v>
      </c>
      <c r="CF93" s="2">
        <v>3.4028230607370999E+38</v>
      </c>
      <c r="CG93" s="2">
        <v>3.4028230607370999E+38</v>
      </c>
      <c r="CH93">
        <v>230.002029418945</v>
      </c>
      <c r="CI93">
        <v>10.000399589538601</v>
      </c>
      <c r="CJ93">
        <v>2300.11596679688</v>
      </c>
      <c r="CK93">
        <v>2300.11108398438</v>
      </c>
      <c r="CL93">
        <v>9.9746204912662506E-2</v>
      </c>
      <c r="CM93">
        <v>49.999931335449197</v>
      </c>
      <c r="CN93">
        <v>-2.57481774315238E-3</v>
      </c>
      <c r="CO93">
        <v>1.7193363979458798E-2</v>
      </c>
      <c r="CP93" s="2">
        <v>4.6349287003977199E-6</v>
      </c>
      <c r="CQ93" s="2">
        <v>2.0417182611254201E-8</v>
      </c>
      <c r="CR93" s="2">
        <v>7.8740470144111896E-8</v>
      </c>
      <c r="CS93" s="2">
        <v>-5.8454956430864497E-9</v>
      </c>
      <c r="CT93">
        <v>74.488212585449205</v>
      </c>
      <c r="CU93">
        <v>15.906813621521</v>
      </c>
      <c r="CV93">
        <v>1.9067700952291499E-2</v>
      </c>
      <c r="CW93" s="2">
        <v>3.49028186974465E-6</v>
      </c>
      <c r="CX93" s="2">
        <v>1.4702222550511101E-8</v>
      </c>
      <c r="CY93" s="2">
        <v>6.6345222649033504E-8</v>
      </c>
      <c r="CZ93" s="2">
        <v>1.2886947509116499E-8</v>
      </c>
      <c r="DA93">
        <v>74.788604736328097</v>
      </c>
      <c r="DB93">
        <v>-43.202552795410199</v>
      </c>
      <c r="DC93" s="2">
        <v>3.4028230607370999E+38</v>
      </c>
      <c r="DD93" s="2">
        <v>3.4028230607370999E+38</v>
      </c>
      <c r="DE93">
        <v>2300.11596679688</v>
      </c>
      <c r="DF93">
        <v>2300.11108398438</v>
      </c>
      <c r="DG93">
        <v>9.9746204912662506E-2</v>
      </c>
      <c r="DH93" s="2">
        <v>3.4028230607370999E+38</v>
      </c>
      <c r="DI93" s="2">
        <v>3.4028230607370999E+38</v>
      </c>
      <c r="DJ93">
        <v>230.00225830078099</v>
      </c>
      <c r="DK93">
        <v>10.000397682189901</v>
      </c>
      <c r="DL93">
        <v>2300.11767578125</v>
      </c>
      <c r="DM93">
        <v>2300.11328125</v>
      </c>
      <c r="DN93">
        <v>9.7304090857505798E-2</v>
      </c>
      <c r="DO93">
        <v>50.000007629394503</v>
      </c>
      <c r="DP93">
        <v>-2.4238377809524501E-3</v>
      </c>
      <c r="DQ93">
        <v>1.77351851016283E-2</v>
      </c>
      <c r="DR93" s="2">
        <v>4.71765270049218E-6</v>
      </c>
      <c r="DS93" s="2">
        <v>1.98925373950942E-8</v>
      </c>
      <c r="DT93" s="2">
        <v>8.4367336228297103E-8</v>
      </c>
      <c r="DU93" s="2">
        <v>-1.15916165555063E-8</v>
      </c>
      <c r="DV93">
        <v>74.554786682128906</v>
      </c>
      <c r="DW93">
        <v>24.626995086669901</v>
      </c>
      <c r="DX93">
        <v>1.9766313955187801E-2</v>
      </c>
      <c r="DY93" s="2">
        <v>3.4705519738054102E-6</v>
      </c>
      <c r="DZ93" s="2">
        <v>1.7153954701143402E-8</v>
      </c>
      <c r="EA93" s="2">
        <v>6.8548423826086906E-8</v>
      </c>
      <c r="EB93" s="2">
        <v>1.14793898831067E-8</v>
      </c>
      <c r="EC93">
        <v>74.727210998535199</v>
      </c>
      <c r="ED93">
        <v>-37.271987915039098</v>
      </c>
      <c r="EE93" s="2">
        <v>3.4028230607370999E+38</v>
      </c>
      <c r="EF93" s="2">
        <v>3.4028230607370999E+38</v>
      </c>
      <c r="EG93">
        <v>2300.11767578125</v>
      </c>
      <c r="EH93">
        <v>2300.11328125</v>
      </c>
      <c r="EI93">
        <v>9.7304083406925201E-2</v>
      </c>
      <c r="EJ93" s="2">
        <v>3.4028230607370999E+38</v>
      </c>
      <c r="EK93" s="2">
        <v>3.4028230607370999E+38</v>
      </c>
      <c r="EL93">
        <v>123</v>
      </c>
      <c r="EM93">
        <v>230.00166320800801</v>
      </c>
      <c r="EN93">
        <v>10.000418663024901</v>
      </c>
      <c r="EO93">
        <v>2300.11669921875</v>
      </c>
      <c r="EP93">
        <v>2300.111328125</v>
      </c>
      <c r="EQ93">
        <v>0.107084706425667</v>
      </c>
      <c r="ER93">
        <v>49.999931335449197</v>
      </c>
      <c r="ES93">
        <v>-2.6064557023346398E-3</v>
      </c>
      <c r="ET93">
        <v>1</v>
      </c>
      <c r="EU93" s="2">
        <v>3.4028230607370999E+38</v>
      </c>
      <c r="EV93">
        <v>0</v>
      </c>
      <c r="EW93">
        <v>230.00328063964801</v>
      </c>
      <c r="EX93">
        <v>2300.12646484375</v>
      </c>
      <c r="EY93">
        <v>2300.12158203125</v>
      </c>
      <c r="EZ93">
        <v>0.201546996831894</v>
      </c>
      <c r="FA93">
        <v>2.1113721595611399E-4</v>
      </c>
      <c r="FB93">
        <v>1.7600079998373999E-2</v>
      </c>
      <c r="FC93" s="2">
        <v>4.6445907173620097E-6</v>
      </c>
      <c r="FD93" s="2">
        <v>2.51789984417883E-8</v>
      </c>
      <c r="FE93" s="2">
        <v>8.2377219712270704E-8</v>
      </c>
      <c r="FF93" s="2">
        <v>-6.0281748481827402E-9</v>
      </c>
      <c r="FG93">
        <v>74.526634216308594</v>
      </c>
      <c r="FH93">
        <v>10.670660972595201</v>
      </c>
      <c r="FI93">
        <v>0.28666749596595797</v>
      </c>
      <c r="FJ93" s="2">
        <v>3.4028230607370999E+38</v>
      </c>
      <c r="FK93">
        <v>24.8025302886963</v>
      </c>
      <c r="FL93">
        <v>2.0238572731614099E-2</v>
      </c>
      <c r="FM93">
        <v>0</v>
      </c>
      <c r="FN93">
        <v>0</v>
      </c>
      <c r="FO93">
        <v>0</v>
      </c>
      <c r="FP93">
        <v>-2.3947253066580699E-4</v>
      </c>
      <c r="FQ93">
        <v>1.9494822248816501E-2</v>
      </c>
      <c r="FR93" s="2">
        <v>3.41263739755959E-6</v>
      </c>
      <c r="FS93" s="2">
        <v>1.81378183583547E-8</v>
      </c>
      <c r="FT93" s="2">
        <v>6.70696778115598E-8</v>
      </c>
      <c r="FU93" s="2">
        <v>1.5465873914877199E-8</v>
      </c>
      <c r="FV93">
        <v>74.691734313964801</v>
      </c>
      <c r="FW93">
        <v>-38.8370361328125</v>
      </c>
      <c r="FX93">
        <v>0.27866104245185902</v>
      </c>
      <c r="FY93" s="2">
        <v>3.4028230607370999E+38</v>
      </c>
      <c r="FZ93">
        <v>46.913425445556598</v>
      </c>
      <c r="GA93">
        <v>229.09358215332</v>
      </c>
      <c r="GB93" s="2">
        <v>2.7105193645127201E-9</v>
      </c>
      <c r="GC93">
        <v>7.9994130646809903E-4</v>
      </c>
      <c r="GD93" s="2">
        <v>1.59324320403442E-9</v>
      </c>
      <c r="GE93" s="2">
        <v>-8.3252241893205805E-5</v>
      </c>
      <c r="GF93" s="2">
        <v>3.4028230607370999E+38</v>
      </c>
      <c r="GG93" s="2">
        <v>3.4028230607370999E+38</v>
      </c>
      <c r="GH93">
        <v>2300.11596679688</v>
      </c>
      <c r="GI93">
        <v>2300.11059570312</v>
      </c>
      <c r="GJ93">
        <v>9.9853485822677598E-2</v>
      </c>
      <c r="GK93" s="2">
        <v>3.4028230607370999E+38</v>
      </c>
      <c r="GL93" s="2">
        <v>3.4028230607370999E+38</v>
      </c>
      <c r="GM93" s="2">
        <v>3.4028230607370999E+38</v>
      </c>
      <c r="GN93" s="2">
        <v>3.4028230607370999E+38</v>
      </c>
      <c r="GO93" s="2">
        <v>3.4028230607370999E+38</v>
      </c>
      <c r="GP93" s="2">
        <v>3.4028230607370999E+38</v>
      </c>
      <c r="GQ93">
        <v>2300.1162109375</v>
      </c>
      <c r="GR93">
        <v>2300.11596679688</v>
      </c>
      <c r="GS93">
        <v>0.19202421605587</v>
      </c>
      <c r="GT93">
        <v>-3.06454417295754E-3</v>
      </c>
      <c r="GX93">
        <f t="shared" si="8"/>
        <v>230.00214233398418</v>
      </c>
      <c r="GY93">
        <f t="shared" si="9"/>
        <v>10.00040493011474</v>
      </c>
      <c r="GZ93">
        <f t="shared" si="10"/>
        <v>2300.1167968750024</v>
      </c>
      <c r="HA93">
        <f t="shared" si="11"/>
        <v>2300.1119140625001</v>
      </c>
      <c r="HB93">
        <f t="shared" si="12"/>
        <v>0.10374715179204945</v>
      </c>
      <c r="HC93">
        <f t="shared" si="13"/>
        <v>49.999943542480459</v>
      </c>
      <c r="HD93">
        <f t="shared" si="14"/>
        <v>-2.6134342420846219E-3</v>
      </c>
      <c r="HW93" s="10">
        <f>(GX93/Data!$S93-1)*1000000</f>
        <v>22.630883894647624</v>
      </c>
      <c r="HX93" s="10">
        <f>(GY93/Data!$T93-1)*1000000</f>
        <v>-0.47796894309115601</v>
      </c>
      <c r="HY93" s="10">
        <f>(GZ93/Data!$BW93-1)*1000000</f>
        <v>23.120175704383072</v>
      </c>
      <c r="HZ93" s="10">
        <f>(HA93/(Data!$S93*Data!$T93)-1)*1000000</f>
        <v>21.003339739422699</v>
      </c>
      <c r="IA93" s="7">
        <f>(HB93/IF(HD93&gt;0, -Data!$BX93,Data!$BX93)-1)*1000000</f>
        <v>2543904.6085192836</v>
      </c>
      <c r="IB93" s="10"/>
      <c r="IC93" s="9">
        <f>(HD93-Data!$U93)</f>
        <v>-1.8841832420846219E-3</v>
      </c>
    </row>
    <row r="94" spans="1:237" x14ac:dyDescent="0.2">
      <c r="A94">
        <v>94</v>
      </c>
      <c r="B94">
        <v>230.00230407714801</v>
      </c>
      <c r="C94">
        <v>10.0004005432129</v>
      </c>
      <c r="D94">
        <v>2300.12231445312</v>
      </c>
      <c r="E94">
        <v>2300.1171875</v>
      </c>
      <c r="F94">
        <v>0.10510203987360001</v>
      </c>
      <c r="G94">
        <v>49.999973297119098</v>
      </c>
      <c r="H94">
        <v>-2.7782153338193902E-3</v>
      </c>
      <c r="I94">
        <v>1.4555487781763099E-2</v>
      </c>
      <c r="J94" s="2">
        <v>4.6546028897864702E-6</v>
      </c>
      <c r="K94" s="2">
        <v>5.5749826977091702E-9</v>
      </c>
      <c r="L94" s="2">
        <v>6.8136550623876193E-8</v>
      </c>
      <c r="M94" s="2">
        <v>-8.1858129163947507E-9</v>
      </c>
      <c r="N94">
        <v>74.571640014648395</v>
      </c>
      <c r="O94">
        <v>46.824306488037102</v>
      </c>
      <c r="P94">
        <v>1.55821787193418E-2</v>
      </c>
      <c r="Q94" s="2">
        <v>3.5363341339689201E-6</v>
      </c>
      <c r="R94" s="2">
        <v>8.0050392980979301E-9</v>
      </c>
      <c r="S94" s="2">
        <v>5.6017064764546402E-8</v>
      </c>
      <c r="T94" s="2">
        <v>2.5803306158422902E-9</v>
      </c>
      <c r="U94">
        <v>74.656822204589801</v>
      </c>
      <c r="V94">
        <v>-20.041164398193398</v>
      </c>
      <c r="W94" s="2">
        <v>3.4028230607370999E+38</v>
      </c>
      <c r="X94" s="2">
        <v>3.4028230607370999E+38</v>
      </c>
      <c r="Y94">
        <v>2300.12231445312</v>
      </c>
      <c r="Z94">
        <v>2300.1171875</v>
      </c>
      <c r="AA94">
        <v>0.10510203242301901</v>
      </c>
      <c r="AB94" s="2">
        <v>3.4028230607370999E+38</v>
      </c>
      <c r="AC94" s="2">
        <v>3.4028230607370999E+38</v>
      </c>
      <c r="AD94">
        <v>230.00227355957</v>
      </c>
      <c r="AE94">
        <v>10.0004062652588</v>
      </c>
      <c r="AF94">
        <v>2300.12036132812</v>
      </c>
      <c r="AG94">
        <v>2300.11499023438</v>
      </c>
      <c r="AH94">
        <v>0.112486369907856</v>
      </c>
      <c r="AI94">
        <v>49.999927520752003</v>
      </c>
      <c r="AJ94">
        <v>-2.8020222671330001E-3</v>
      </c>
      <c r="AK94">
        <v>1.43538471311331E-2</v>
      </c>
      <c r="AL94" s="2">
        <v>4.70859458800987E-6</v>
      </c>
      <c r="AM94" s="2">
        <v>7.35247196459454E-9</v>
      </c>
      <c r="AN94" s="2">
        <v>6.7683764370940507E-8</v>
      </c>
      <c r="AO94" s="2">
        <v>-5.9554943199202601E-9</v>
      </c>
      <c r="AP94">
        <v>74.605285644531193</v>
      </c>
      <c r="AQ94">
        <v>39.970497131347699</v>
      </c>
      <c r="AR94">
        <v>1.5139080584049201E-2</v>
      </c>
      <c r="AS94" s="2">
        <v>3.4277927625225899E-6</v>
      </c>
      <c r="AT94" s="2">
        <v>7.5453820969073604E-9</v>
      </c>
      <c r="AU94" s="2">
        <v>5.2576218934063899E-8</v>
      </c>
      <c r="AV94" s="2">
        <v>1.53959944793058E-9</v>
      </c>
      <c r="AW94">
        <v>74.626983642578097</v>
      </c>
      <c r="AX94">
        <v>-12.621678352356</v>
      </c>
      <c r="AY94" s="2">
        <v>3.4028230607370999E+38</v>
      </c>
      <c r="AZ94" s="2">
        <v>3.4028230607370999E+38</v>
      </c>
      <c r="BA94">
        <v>2300.12036132812</v>
      </c>
      <c r="BB94">
        <v>2300.11499023438</v>
      </c>
      <c r="BC94">
        <v>0.112486362457275</v>
      </c>
      <c r="BD94" s="2">
        <v>3.4028230607370999E+38</v>
      </c>
      <c r="BE94" s="2">
        <v>3.4028230607370999E+38</v>
      </c>
      <c r="BF94">
        <v>230.00172424316401</v>
      </c>
      <c r="BG94">
        <v>10.000390052795399</v>
      </c>
      <c r="BH94">
        <v>2300.11083984375</v>
      </c>
      <c r="BI94">
        <v>2300.10620117188</v>
      </c>
      <c r="BJ94">
        <v>0.10578869283199301</v>
      </c>
      <c r="BK94">
        <v>50.000007629394503</v>
      </c>
      <c r="BL94">
        <v>-2.4707545526325698E-3</v>
      </c>
      <c r="BM94">
        <v>1.52240414172411E-2</v>
      </c>
      <c r="BN94" s="2">
        <v>4.5286219574336403E-6</v>
      </c>
      <c r="BO94" s="2">
        <v>1.4664822245435999E-8</v>
      </c>
      <c r="BP94" s="2">
        <v>6.8675049647026806E-8</v>
      </c>
      <c r="BQ94" s="2">
        <v>1.35265645906379E-10</v>
      </c>
      <c r="BR94">
        <v>74.579475402832003</v>
      </c>
      <c r="BS94">
        <v>-2.6622438430786102</v>
      </c>
      <c r="BT94">
        <v>1.6405038535594899E-2</v>
      </c>
      <c r="BU94" s="2">
        <v>3.4544229947641699E-6</v>
      </c>
      <c r="BV94" s="2">
        <v>7.8380884005468893E-9</v>
      </c>
      <c r="BW94" s="2">
        <v>5.6618468136093698E-8</v>
      </c>
      <c r="BX94" s="2">
        <v>9.3380911891927099E-9</v>
      </c>
      <c r="BY94">
        <v>74.718955993652301</v>
      </c>
      <c r="BZ94">
        <v>-50.263736724853501</v>
      </c>
      <c r="CA94" s="2">
        <v>3.4028230607370999E+38</v>
      </c>
      <c r="CB94" s="2">
        <v>3.4028230607370999E+38</v>
      </c>
      <c r="CC94">
        <v>2300.11083984375</v>
      </c>
      <c r="CD94">
        <v>2300.10620117188</v>
      </c>
      <c r="CE94">
        <v>0.10578870028257401</v>
      </c>
      <c r="CF94" s="2">
        <v>3.4028230607370999E+38</v>
      </c>
      <c r="CG94" s="2">
        <v>3.4028230607370999E+38</v>
      </c>
      <c r="CH94">
        <v>230.00192260742199</v>
      </c>
      <c r="CI94">
        <v>10.0003824234009</v>
      </c>
      <c r="CJ94">
        <v>2300.12231445312</v>
      </c>
      <c r="CK94">
        <v>2300.1171875</v>
      </c>
      <c r="CL94">
        <v>0.103201374411583</v>
      </c>
      <c r="CM94">
        <v>49.999988555908203</v>
      </c>
      <c r="CN94">
        <v>-2.7494281530380201E-3</v>
      </c>
      <c r="CO94">
        <v>1.43994856625795E-2</v>
      </c>
      <c r="CP94" s="2">
        <v>4.6820528041280298E-6</v>
      </c>
      <c r="CQ94" s="2">
        <v>8.9724956353620705E-9</v>
      </c>
      <c r="CR94" s="2">
        <v>6.6729739955917506E-8</v>
      </c>
      <c r="CS94" s="2">
        <v>-1.67132807593617E-9</v>
      </c>
      <c r="CT94">
        <v>74.719207763671903</v>
      </c>
      <c r="CU94">
        <v>9.0734119415283203</v>
      </c>
      <c r="CV94">
        <v>1.538176368922E-2</v>
      </c>
      <c r="CW94" s="2">
        <v>3.5420555377640999E-6</v>
      </c>
      <c r="CX94" s="2">
        <v>7.5048669501143195E-9</v>
      </c>
      <c r="CY94" s="2">
        <v>5.3760683016435002E-8</v>
      </c>
      <c r="CZ94" s="2">
        <v>5.0261226292036603E-9</v>
      </c>
      <c r="DA94">
        <v>74.713668823242202</v>
      </c>
      <c r="DB94">
        <v>-40.540245056152301</v>
      </c>
      <c r="DC94" s="2">
        <v>3.4028230607370999E+38</v>
      </c>
      <c r="DD94" s="2">
        <v>3.4028230607370999E+38</v>
      </c>
      <c r="DE94">
        <v>2300.12231445312</v>
      </c>
      <c r="DF94">
        <v>2300.1171875</v>
      </c>
      <c r="DG94">
        <v>0.103201374411583</v>
      </c>
      <c r="DH94" s="2">
        <v>3.4028230607370999E+38</v>
      </c>
      <c r="DI94" s="2">
        <v>3.4028230607370999E+38</v>
      </c>
      <c r="DJ94">
        <v>230.00227355957</v>
      </c>
      <c r="DK94">
        <v>10.000394821166999</v>
      </c>
      <c r="DL94">
        <v>2300.11694335938</v>
      </c>
      <c r="DM94">
        <v>2300.11206054688</v>
      </c>
      <c r="DN94">
        <v>0.10508719086647</v>
      </c>
      <c r="DO94">
        <v>49.999958038330099</v>
      </c>
      <c r="DP94">
        <v>-2.6177177205681801E-3</v>
      </c>
      <c r="DQ94">
        <v>1.6097795218229301E-2</v>
      </c>
      <c r="DR94" s="2">
        <v>4.59134253105731E-6</v>
      </c>
      <c r="DS94" s="2">
        <v>2.1615067069547E-8</v>
      </c>
      <c r="DT94" s="2">
        <v>7.4893975465783998E-8</v>
      </c>
      <c r="DU94" s="2">
        <v>2.23002438737296E-9</v>
      </c>
      <c r="DV94">
        <v>74.766860961914105</v>
      </c>
      <c r="DW94">
        <v>-2.9118700027465798</v>
      </c>
      <c r="DX94">
        <v>1.7496319487690901E-2</v>
      </c>
      <c r="DY94" s="2">
        <v>3.5472405670589099E-6</v>
      </c>
      <c r="DZ94" s="2">
        <v>1.3450052627206299E-8</v>
      </c>
      <c r="EA94" s="2">
        <v>6.1697697617546496E-8</v>
      </c>
      <c r="EB94" s="2">
        <v>1.4944305348763E-8</v>
      </c>
      <c r="EC94">
        <v>74.646308898925795</v>
      </c>
      <c r="ED94">
        <v>-44.915107727050803</v>
      </c>
      <c r="EE94" s="2">
        <v>3.4028230607370999E+38</v>
      </c>
      <c r="EF94" s="2">
        <v>3.4028230607370999E+38</v>
      </c>
      <c r="EG94">
        <v>2300.11694335938</v>
      </c>
      <c r="EH94">
        <v>2300.11206054688</v>
      </c>
      <c r="EI94">
        <v>0.105087205767632</v>
      </c>
      <c r="EJ94" s="2">
        <v>3.4028230607370999E+38</v>
      </c>
      <c r="EK94" s="2">
        <v>3.4028230607370999E+38</v>
      </c>
      <c r="EL94">
        <v>123</v>
      </c>
      <c r="EM94">
        <v>230.00201416015599</v>
      </c>
      <c r="EN94">
        <v>10.000389099121101</v>
      </c>
      <c r="EO94">
        <v>2300.10961914062</v>
      </c>
      <c r="EP94">
        <v>2300.10473632812</v>
      </c>
      <c r="EQ94">
        <v>9.8246261477470398E-2</v>
      </c>
      <c r="ER94">
        <v>49.999988555908203</v>
      </c>
      <c r="ES94">
        <v>-2.6647427584976001E-3</v>
      </c>
      <c r="ET94">
        <v>1</v>
      </c>
      <c r="EU94" s="2">
        <v>3.4028230607370999E+38</v>
      </c>
      <c r="EV94">
        <v>0</v>
      </c>
      <c r="EW94">
        <v>230.00256347656199</v>
      </c>
      <c r="EX94">
        <v>2300.11596679688</v>
      </c>
      <c r="EY94">
        <v>2300.11108398438</v>
      </c>
      <c r="EZ94">
        <v>0.19468742609024001</v>
      </c>
      <c r="FA94" s="2">
        <v>-7.5941439718008001E-5</v>
      </c>
      <c r="FB94">
        <v>1.7590194940566999E-2</v>
      </c>
      <c r="FC94" s="2">
        <v>4.6792674766038502E-6</v>
      </c>
      <c r="FD94" s="2">
        <v>1.7202504309921099E-8</v>
      </c>
      <c r="FE94" s="2">
        <v>8.1740452628764602E-8</v>
      </c>
      <c r="FF94" s="2">
        <v>-1.2000979765503E-8</v>
      </c>
      <c r="FG94">
        <v>74.515960693359403</v>
      </c>
      <c r="FH94">
        <v>33.213935852050803</v>
      </c>
      <c r="FI94">
        <v>0.22686369717121099</v>
      </c>
      <c r="FJ94" s="2">
        <v>3.4028230607370999E+38</v>
      </c>
      <c r="FK94">
        <v>21.3750305175781</v>
      </c>
      <c r="FL94">
        <v>2.1067975088954E-2</v>
      </c>
      <c r="FM94">
        <v>0</v>
      </c>
      <c r="FN94">
        <v>0</v>
      </c>
      <c r="FO94">
        <v>0</v>
      </c>
      <c r="FP94">
        <v>-2.4520853185094898E-4</v>
      </c>
      <c r="FQ94">
        <v>1.9452441483736E-2</v>
      </c>
      <c r="FR94" s="2">
        <v>3.4629476886038901E-6</v>
      </c>
      <c r="FS94" s="2">
        <v>1.62681743631765E-8</v>
      </c>
      <c r="FT94" s="2">
        <v>6.7328812747291496E-8</v>
      </c>
      <c r="FU94" s="2">
        <v>9.33393451418851E-9</v>
      </c>
      <c r="FV94">
        <v>74.701431274414105</v>
      </c>
      <c r="FW94">
        <v>-30.322803497314499</v>
      </c>
      <c r="FX94">
        <v>0.23726072907447801</v>
      </c>
      <c r="FY94" s="2">
        <v>3.4028230607370999E+38</v>
      </c>
      <c r="FZ94">
        <v>41.541103363037102</v>
      </c>
      <c r="GA94">
        <v>229.73876953125</v>
      </c>
      <c r="GB94" s="2">
        <v>-9.2963847730942503E-10</v>
      </c>
      <c r="GC94">
        <v>7.8476214548572898E-4</v>
      </c>
      <c r="GD94" s="2">
        <v>6.5557392847637195E-10</v>
      </c>
      <c r="GE94" s="2">
        <v>-7.9780096712056507E-5</v>
      </c>
      <c r="GF94" s="2">
        <v>3.4028230607370999E+38</v>
      </c>
      <c r="GG94" s="2">
        <v>3.4028230607370999E+38</v>
      </c>
      <c r="GH94">
        <v>2300.123046875</v>
      </c>
      <c r="GI94">
        <v>2300.1181640625</v>
      </c>
      <c r="GJ94">
        <v>0.10291538387537</v>
      </c>
      <c r="GK94" s="2">
        <v>3.4028230607370999E+38</v>
      </c>
      <c r="GL94" s="2">
        <v>3.4028230607370999E+38</v>
      </c>
      <c r="GM94" s="2">
        <v>3.4028230607370999E+38</v>
      </c>
      <c r="GN94" s="2">
        <v>3.4028230607370999E+38</v>
      </c>
      <c r="GO94" s="2">
        <v>3.4028230607370999E+38</v>
      </c>
      <c r="GP94" s="2">
        <v>3.4028230607370999E+38</v>
      </c>
      <c r="GQ94">
        <v>2300.169921875</v>
      </c>
      <c r="GR94">
        <v>2300.169921875</v>
      </c>
      <c r="GS94">
        <v>0.18558834493160201</v>
      </c>
      <c r="GT94">
        <v>2.5553521700203401E-3</v>
      </c>
      <c r="GX94">
        <f t="shared" si="8"/>
        <v>230.00209960937482</v>
      </c>
      <c r="GY94">
        <f t="shared" si="9"/>
        <v>10.000394821166999</v>
      </c>
      <c r="GZ94">
        <f t="shared" si="10"/>
        <v>2300.1185546874981</v>
      </c>
      <c r="HA94">
        <f t="shared" si="11"/>
        <v>2300.1135253906282</v>
      </c>
      <c r="HB94">
        <f t="shared" si="12"/>
        <v>0.10633313357830039</v>
      </c>
      <c r="HC94">
        <f t="shared" si="13"/>
        <v>49.999971008300783</v>
      </c>
      <c r="HD94">
        <f t="shared" si="14"/>
        <v>-2.6836276054382322E-3</v>
      </c>
      <c r="HW94" s="10">
        <f>(GX94/Data!$S94-1)*1000000</f>
        <v>22.706870809185986</v>
      </c>
      <c r="HX94" s="10">
        <f>(GY94/Data!$T94-1)*1000000</f>
        <v>0.90508178463011291</v>
      </c>
      <c r="HY94" s="10">
        <f>(GZ94/Data!$BW94-1)*1000000</f>
        <v>26.540504849403845</v>
      </c>
      <c r="HZ94" s="10">
        <f>(HA94/(Data!$S94*Data!$T94)-1)*1000000</f>
        <v>24.359606412005519</v>
      </c>
      <c r="IA94" s="7">
        <f>(HB94/IF(HD94&gt;0, -Data!$BX94,Data!$BX94)-1)*1000000</f>
        <v>1761303.2753991873</v>
      </c>
      <c r="IB94" s="10"/>
      <c r="IC94" s="9">
        <f>(HD94-Data!$U94)</f>
        <v>-1.7243626054382322E-3</v>
      </c>
    </row>
    <row r="95" spans="1:237" x14ac:dyDescent="0.2">
      <c r="A95">
        <v>95</v>
      </c>
      <c r="B95">
        <v>230.00186157226599</v>
      </c>
      <c r="C95">
        <v>10.000394821166999</v>
      </c>
      <c r="D95">
        <v>2300.1142578125</v>
      </c>
      <c r="E95">
        <v>2300.109375</v>
      </c>
      <c r="F95">
        <v>0.10554524511098901</v>
      </c>
      <c r="G95">
        <v>50.000011444091797</v>
      </c>
      <c r="H95">
        <v>-2.5766717735678001E-3</v>
      </c>
      <c r="I95">
        <v>1.4917455613613099E-2</v>
      </c>
      <c r="J95" s="2">
        <v>4.6051741264818702E-6</v>
      </c>
      <c r="K95" s="2">
        <v>1.25921300053733E-8</v>
      </c>
      <c r="L95" s="2">
        <v>6.8560360944047703E-8</v>
      </c>
      <c r="M95" s="2">
        <v>-3.35518335337071E-10</v>
      </c>
      <c r="N95">
        <v>74.717819213867202</v>
      </c>
      <c r="O95">
        <v>1.6230777502059901</v>
      </c>
      <c r="P95">
        <v>1.5951693058013899E-2</v>
      </c>
      <c r="Q95" s="2">
        <v>3.4277354643563702E-6</v>
      </c>
      <c r="R95" s="2">
        <v>7.2838353126769603E-9</v>
      </c>
      <c r="S95" s="2">
        <v>5.6518771884839199E-8</v>
      </c>
      <c r="T95" s="2">
        <v>7.4410220207710203E-9</v>
      </c>
      <c r="U95">
        <v>74.663787841796903</v>
      </c>
      <c r="V95">
        <v>-44.678745269775398</v>
      </c>
      <c r="W95" s="2">
        <v>3.4028230607370999E+38</v>
      </c>
      <c r="X95" s="2">
        <v>3.4028230607370999E+38</v>
      </c>
      <c r="Y95">
        <v>2300.1142578125</v>
      </c>
      <c r="Z95">
        <v>2300.109375</v>
      </c>
      <c r="AA95">
        <v>0.10554524511098901</v>
      </c>
      <c r="AB95" s="2">
        <v>3.4028230607370999E+38</v>
      </c>
      <c r="AC95" s="2">
        <v>3.4028230607370999E+38</v>
      </c>
      <c r="AD95">
        <v>230.00225830078099</v>
      </c>
      <c r="AE95">
        <v>10.0004062652588</v>
      </c>
      <c r="AF95">
        <v>2300.12231445312</v>
      </c>
      <c r="AG95">
        <v>2300.1171875</v>
      </c>
      <c r="AH95">
        <v>0.105019599199295</v>
      </c>
      <c r="AI95">
        <v>49.9999389648438</v>
      </c>
      <c r="AJ95">
        <v>-2.457813359797E-3</v>
      </c>
      <c r="AK95">
        <v>1.7551735043525699E-2</v>
      </c>
      <c r="AL95" s="2">
        <v>4.6652644414280101E-6</v>
      </c>
      <c r="AM95" s="2">
        <v>2.4257964525986598E-8</v>
      </c>
      <c r="AN95" s="2">
        <v>8.2650124966221496E-8</v>
      </c>
      <c r="AO95" s="2">
        <v>-7.2760744096456198E-9</v>
      </c>
      <c r="AP95">
        <v>74.451255798339801</v>
      </c>
      <c r="AQ95">
        <v>14.908028602600099</v>
      </c>
      <c r="AR95">
        <v>1.9712982699274999E-2</v>
      </c>
      <c r="AS95" s="2">
        <v>3.4681231682043298E-6</v>
      </c>
      <c r="AT95" s="2">
        <v>1.9427611519517999E-8</v>
      </c>
      <c r="AU95" s="2">
        <v>6.7743556542154706E-8</v>
      </c>
      <c r="AV95" s="2">
        <v>1.2117959968804801E-8</v>
      </c>
      <c r="AW95">
        <v>74.692207336425795</v>
      </c>
      <c r="AX95">
        <v>-34.326038360595703</v>
      </c>
      <c r="AY95" s="2">
        <v>3.4028230607370999E+38</v>
      </c>
      <c r="AZ95" s="2">
        <v>3.4028230607370999E+38</v>
      </c>
      <c r="BA95">
        <v>2300.12231445312</v>
      </c>
      <c r="BB95">
        <v>2300.1171875</v>
      </c>
      <c r="BC95">
        <v>0.105019599199295</v>
      </c>
      <c r="BD95" s="2">
        <v>3.4028230607370999E+38</v>
      </c>
      <c r="BE95" s="2">
        <v>3.4028230607370999E+38</v>
      </c>
      <c r="BF95">
        <v>230.00213623046901</v>
      </c>
      <c r="BG95">
        <v>10.0003986358643</v>
      </c>
      <c r="BH95">
        <v>2300.11596679688</v>
      </c>
      <c r="BI95">
        <v>2300.111328125</v>
      </c>
      <c r="BJ95">
        <v>0.100076608359814</v>
      </c>
      <c r="BK95">
        <v>49.9999389648438</v>
      </c>
      <c r="BL95">
        <v>-2.4928944185376202E-3</v>
      </c>
      <c r="BM95">
        <v>1.4601730741560501E-2</v>
      </c>
      <c r="BN95" s="2">
        <v>4.6982627281977304E-6</v>
      </c>
      <c r="BO95" s="2">
        <v>5.2752362478258899E-9</v>
      </c>
      <c r="BP95" s="2">
        <v>6.94059920647305E-8</v>
      </c>
      <c r="BQ95" s="2">
        <v>-9.1373344446310495E-9</v>
      </c>
      <c r="BR95">
        <v>74.611961364746094</v>
      </c>
      <c r="BS95">
        <v>60.0009765625</v>
      </c>
      <c r="BT95">
        <v>1.58613324165344E-2</v>
      </c>
      <c r="BU95" s="2">
        <v>3.4668853459152198E-6</v>
      </c>
      <c r="BV95" s="2">
        <v>8.1640223470458295E-9</v>
      </c>
      <c r="BW95" s="2">
        <v>5.3945875322369803E-8</v>
      </c>
      <c r="BX95" s="2">
        <v>1.39081057781709E-9</v>
      </c>
      <c r="BY95">
        <v>74.455345153808594</v>
      </c>
      <c r="BZ95">
        <v>-6.9586992263793901</v>
      </c>
      <c r="CA95" s="2">
        <v>3.4028230607370999E+38</v>
      </c>
      <c r="CB95" s="2">
        <v>3.4028230607370999E+38</v>
      </c>
      <c r="CC95">
        <v>2300.11596679688</v>
      </c>
      <c r="CD95">
        <v>2300.111328125</v>
      </c>
      <c r="CE95">
        <v>0.100076593458652</v>
      </c>
      <c r="CF95" s="2">
        <v>3.4028230607370999E+38</v>
      </c>
      <c r="CG95" s="2">
        <v>3.4028230607370999E+38</v>
      </c>
      <c r="CH95">
        <v>230.00216674804699</v>
      </c>
      <c r="CI95">
        <v>10.0004072189331</v>
      </c>
      <c r="CJ95">
        <v>2300.12182617188</v>
      </c>
      <c r="CK95">
        <v>2300.11694335938</v>
      </c>
      <c r="CL95">
        <v>0.10139792412519499</v>
      </c>
      <c r="CM95">
        <v>49.999988555908203</v>
      </c>
      <c r="CN95">
        <v>-2.52399570308626E-3</v>
      </c>
      <c r="CO95">
        <v>1.4644922688603399E-2</v>
      </c>
      <c r="CP95" s="2">
        <v>4.6828399717924202E-6</v>
      </c>
      <c r="CQ95" s="2">
        <v>5.7975437783852596E-9</v>
      </c>
      <c r="CR95" s="2">
        <v>6.8112306905732099E-8</v>
      </c>
      <c r="CS95" s="2">
        <v>-1.02284376524153E-8</v>
      </c>
      <c r="CT95">
        <v>74.360786437988295</v>
      </c>
      <c r="CU95">
        <v>59.126960754394503</v>
      </c>
      <c r="CV95">
        <v>1.5909956768155101E-2</v>
      </c>
      <c r="CW95" s="2">
        <v>3.4926119951705901E-6</v>
      </c>
      <c r="CX95" s="2">
        <v>7.0614065705853996E-9</v>
      </c>
      <c r="CY95" s="2">
        <v>5.4272199179195E-8</v>
      </c>
      <c r="CZ95" s="2">
        <v>8.6174228863811198E-10</v>
      </c>
      <c r="DA95">
        <v>74.783508300781193</v>
      </c>
      <c r="DB95">
        <v>-6.4619345664978001</v>
      </c>
      <c r="DC95" s="2">
        <v>3.4028230607370999E+38</v>
      </c>
      <c r="DD95" s="2">
        <v>3.4028230607370999E+38</v>
      </c>
      <c r="DE95">
        <v>2300.12182617188</v>
      </c>
      <c r="DF95">
        <v>2300.11694335938</v>
      </c>
      <c r="DG95">
        <v>0.10139790922403299</v>
      </c>
      <c r="DH95" s="2">
        <v>3.4028230607370999E+38</v>
      </c>
      <c r="DI95" s="2">
        <v>3.4028230607370999E+38</v>
      </c>
      <c r="DJ95">
        <v>230.00213623046901</v>
      </c>
      <c r="DK95">
        <v>10.000405311584499</v>
      </c>
      <c r="DL95">
        <v>2300.11840820312</v>
      </c>
      <c r="DM95">
        <v>2300.11328125</v>
      </c>
      <c r="DN95">
        <v>0.101302407681942</v>
      </c>
      <c r="DO95">
        <v>49.999904632568402</v>
      </c>
      <c r="DP95">
        <v>-2.5234462227672299E-3</v>
      </c>
      <c r="DQ95">
        <v>1.5550452284514901E-2</v>
      </c>
      <c r="DR95" s="2">
        <v>4.5663055061595497E-6</v>
      </c>
      <c r="DS95" s="2">
        <v>1.69918070724862E-8</v>
      </c>
      <c r="DT95" s="2">
        <v>7.1155334069317204E-8</v>
      </c>
      <c r="DU95" s="2">
        <v>3.0142977003322399E-10</v>
      </c>
      <c r="DV95">
        <v>74.648994445800795</v>
      </c>
      <c r="DW95">
        <v>-0.97550749778747603</v>
      </c>
      <c r="DX95">
        <v>1.67194362729788E-2</v>
      </c>
      <c r="DY95" s="2">
        <v>3.4595720990182599E-6</v>
      </c>
      <c r="DZ95" s="2">
        <v>8.0181985495642005E-9</v>
      </c>
      <c r="EA95" s="2">
        <v>5.9938727758890296E-8</v>
      </c>
      <c r="EB95" s="2">
        <v>9.5747436645865508E-9</v>
      </c>
      <c r="EC95">
        <v>74.729042053222699</v>
      </c>
      <c r="ED95">
        <v>-48.259498596191399</v>
      </c>
      <c r="EE95" s="2">
        <v>3.4028230607370999E+38</v>
      </c>
      <c r="EF95" s="2">
        <v>3.4028230607370999E+38</v>
      </c>
      <c r="EG95">
        <v>2300.11840820312</v>
      </c>
      <c r="EH95">
        <v>2300.11328125</v>
      </c>
      <c r="EI95">
        <v>0.101302415132523</v>
      </c>
      <c r="EJ95" s="2">
        <v>3.4028230607370999E+38</v>
      </c>
      <c r="EK95" s="2">
        <v>3.4028230607370999E+38</v>
      </c>
      <c r="EL95">
        <v>123</v>
      </c>
      <c r="EM95">
        <v>230.00212097168</v>
      </c>
      <c r="EN95">
        <v>10.000390052795399</v>
      </c>
      <c r="EO95">
        <v>2300.1123046875</v>
      </c>
      <c r="EP95">
        <v>2300.107421875</v>
      </c>
      <c r="EQ95">
        <v>0.10832648724317601</v>
      </c>
      <c r="ER95">
        <v>49.9999389648438</v>
      </c>
      <c r="ES95">
        <v>-2.6434836909174902E-3</v>
      </c>
      <c r="ET95">
        <v>1</v>
      </c>
      <c r="EU95" s="2">
        <v>3.4028230607370999E+38</v>
      </c>
      <c r="EV95">
        <v>0</v>
      </c>
      <c r="EW95">
        <v>230.00054931640599</v>
      </c>
      <c r="EX95">
        <v>2300.09765625</v>
      </c>
      <c r="EY95">
        <v>2300.0927734375</v>
      </c>
      <c r="EZ95">
        <v>0.163099855184555</v>
      </c>
      <c r="FA95">
        <v>-3.9563435129821301E-3</v>
      </c>
      <c r="FB95">
        <v>1.6071919351816202E-2</v>
      </c>
      <c r="FC95" s="2">
        <v>4.5930078158562503E-6</v>
      </c>
      <c r="FD95" s="2">
        <v>1.96421332532282E-8</v>
      </c>
      <c r="FE95" s="2">
        <v>7.4391124371686601E-8</v>
      </c>
      <c r="FF95" s="2">
        <v>-1.92296442658169E-10</v>
      </c>
      <c r="FG95">
        <v>74.598167419433594</v>
      </c>
      <c r="FH95">
        <v>0.580161452293396</v>
      </c>
      <c r="FI95">
        <v>0.26216512918472301</v>
      </c>
      <c r="FJ95" s="2">
        <v>3.4028230607370999E+38</v>
      </c>
      <c r="FK95">
        <v>1.83323407173157</v>
      </c>
      <c r="FL95">
        <v>2.06290073692799E-2</v>
      </c>
      <c r="FM95">
        <v>0</v>
      </c>
      <c r="FN95">
        <v>0</v>
      </c>
      <c r="FO95">
        <v>0</v>
      </c>
      <c r="FP95">
        <v>-2.2502624779008299E-4</v>
      </c>
      <c r="FQ95">
        <v>1.80710051208735E-2</v>
      </c>
      <c r="FR95" s="2">
        <v>3.5626021599455301E-6</v>
      </c>
      <c r="FS95" s="2">
        <v>1.23477166269481E-8</v>
      </c>
      <c r="FT95" s="2">
        <v>6.4150114553740396E-8</v>
      </c>
      <c r="FU95" s="2">
        <v>1.56456056998877E-8</v>
      </c>
      <c r="FV95">
        <v>74.764152526855497</v>
      </c>
      <c r="FW95">
        <v>-48.878787994384801</v>
      </c>
      <c r="FX95">
        <v>0.212918445467949</v>
      </c>
      <c r="FY95" s="2">
        <v>3.4028230607370999E+38</v>
      </c>
      <c r="FZ95">
        <v>-66.359291076660199</v>
      </c>
      <c r="GA95">
        <v>229.58094787597699</v>
      </c>
      <c r="GB95" s="2">
        <v>1.42466305419475E-9</v>
      </c>
      <c r="GC95">
        <v>7.9754722537472801E-4</v>
      </c>
      <c r="GD95" s="2">
        <v>3.3290226131299501E-9</v>
      </c>
      <c r="GE95" s="2">
        <v>-8.2303864473942694E-5</v>
      </c>
      <c r="GF95" s="2">
        <v>3.4028230607370999E+38</v>
      </c>
      <c r="GG95" s="2">
        <v>3.4028230607370999E+38</v>
      </c>
      <c r="GH95">
        <v>2300.10473632812</v>
      </c>
      <c r="GI95">
        <v>2300.099609375</v>
      </c>
      <c r="GJ95">
        <v>0.106710970401764</v>
      </c>
      <c r="GK95" s="2">
        <v>3.4028230607370999E+38</v>
      </c>
      <c r="GL95" s="2">
        <v>3.4028230607370999E+38</v>
      </c>
      <c r="GM95" s="2">
        <v>3.4028230607370999E+38</v>
      </c>
      <c r="GN95" s="2">
        <v>3.4028230607370999E+38</v>
      </c>
      <c r="GO95" s="2">
        <v>3.4028230607370999E+38</v>
      </c>
      <c r="GP95" s="2">
        <v>3.4028230607370999E+38</v>
      </c>
      <c r="GQ95">
        <v>2300.09619140625</v>
      </c>
      <c r="GR95">
        <v>2300.09619140625</v>
      </c>
      <c r="GS95">
        <v>0.178946122527122</v>
      </c>
      <c r="GT95">
        <v>-5.05338003858924E-3</v>
      </c>
      <c r="GX95">
        <f t="shared" si="8"/>
        <v>230.0021118164064</v>
      </c>
      <c r="GY95">
        <f t="shared" si="9"/>
        <v>10.000402450561541</v>
      </c>
      <c r="GZ95">
        <f t="shared" si="10"/>
        <v>2300.1185546874999</v>
      </c>
      <c r="HA95">
        <f t="shared" si="11"/>
        <v>2300.113623046876</v>
      </c>
      <c r="HB95">
        <f t="shared" si="12"/>
        <v>0.102668356895447</v>
      </c>
      <c r="HC95">
        <f t="shared" si="13"/>
        <v>49.999956512451206</v>
      </c>
      <c r="HD95">
        <f t="shared" si="14"/>
        <v>-2.5149642955511822E-3</v>
      </c>
      <c r="HW95" s="10">
        <f>(GX95/Data!$S95-1)*1000000</f>
        <v>22.899515888630262</v>
      </c>
      <c r="HX95" s="10">
        <f>(GY95/Data!$T95-1)*1000000</f>
        <v>-0.25093368394291105</v>
      </c>
      <c r="HY95" s="10">
        <f>(GZ95/Data!$BW95-1)*1000000</f>
        <v>24.761374847637185</v>
      </c>
      <c r="HZ95" s="10">
        <f>(HA95/(Data!$S95*Data!$T95)-1)*1000000</f>
        <v>22.622665741600656</v>
      </c>
      <c r="IA95" s="7">
        <f>(HB95/IF(HD95&gt;0, -Data!$BX95,Data!$BX95)-1)*1000000</f>
        <v>1789586.870854733</v>
      </c>
      <c r="IB95" s="10"/>
      <c r="IC95" s="9">
        <f>(HD95-Data!$U95)</f>
        <v>-1.5981532955511822E-3</v>
      </c>
    </row>
    <row r="96" spans="1:237" x14ac:dyDescent="0.2">
      <c r="A96">
        <v>96</v>
      </c>
      <c r="B96">
        <v>230.00222778320301</v>
      </c>
      <c r="C96">
        <v>10.0004205703735</v>
      </c>
      <c r="D96">
        <v>1149.97644042969</v>
      </c>
      <c r="E96">
        <v>2300.12255859375</v>
      </c>
      <c r="F96">
        <v>1992.01306152344</v>
      </c>
      <c r="G96">
        <v>49.999969482421903</v>
      </c>
      <c r="H96">
        <v>-60.0025024414062</v>
      </c>
      <c r="I96">
        <v>1.72827746719122E-2</v>
      </c>
      <c r="J96" s="2">
        <v>4.6981836021586804E-6</v>
      </c>
      <c r="K96" s="2">
        <v>3.0721437838110399E-8</v>
      </c>
      <c r="L96" s="2">
        <v>8.1396493101237905E-8</v>
      </c>
      <c r="M96" s="2">
        <v>1.2654308712001201E-8</v>
      </c>
      <c r="N96">
        <v>74.704856872558594</v>
      </c>
      <c r="O96">
        <v>-21.498737335205099</v>
      </c>
      <c r="P96">
        <v>1.8945759162306799E-2</v>
      </c>
      <c r="Q96" s="2">
        <v>3.3929713936231599E-6</v>
      </c>
      <c r="R96" s="2">
        <v>1.0453731213999599E-8</v>
      </c>
      <c r="S96" s="2">
        <v>6.4899936091933302E-8</v>
      </c>
      <c r="T96" s="2">
        <v>1.6801207536332199E-8</v>
      </c>
      <c r="U96">
        <v>74.843475341796903</v>
      </c>
      <c r="V96">
        <v>-56.313877105712898</v>
      </c>
      <c r="W96" s="2">
        <v>3.4028230607370999E+38</v>
      </c>
      <c r="X96" s="2">
        <v>3.4028230607370999E+38</v>
      </c>
      <c r="Y96">
        <v>1149.97644042969</v>
      </c>
      <c r="Z96">
        <v>2300.12255859375</v>
      </c>
      <c r="AA96">
        <v>1992.01306152344</v>
      </c>
      <c r="AB96" s="2">
        <v>3.4028230607370999E+38</v>
      </c>
      <c r="AC96" s="2">
        <v>3.4028230607370999E+38</v>
      </c>
      <c r="AD96">
        <v>230.002197265625</v>
      </c>
      <c r="AE96">
        <v>10.000415802001999</v>
      </c>
      <c r="AF96">
        <v>1149.9638671875</v>
      </c>
      <c r="AG96">
        <v>2300.1162109375</v>
      </c>
      <c r="AH96">
        <v>1992.017578125</v>
      </c>
      <c r="AI96">
        <v>49.999973297119098</v>
      </c>
      <c r="AJ96">
        <v>-60.0025024414062</v>
      </c>
      <c r="AK96">
        <v>1.4783689752221101E-2</v>
      </c>
      <c r="AL96" s="2">
        <v>4.6056707105890399E-6</v>
      </c>
      <c r="AM96" s="2">
        <v>1.34912889748762E-8</v>
      </c>
      <c r="AN96" s="2">
        <v>6.9183762718694197E-8</v>
      </c>
      <c r="AO96" s="2">
        <v>1.6283076220702199E-8</v>
      </c>
      <c r="AP96">
        <v>74.593040466308594</v>
      </c>
      <c r="AQ96">
        <v>-50.466472625732401</v>
      </c>
      <c r="AR96">
        <v>1.6167486086487801E-2</v>
      </c>
      <c r="AS96" s="2">
        <v>3.38003110300633E-6</v>
      </c>
      <c r="AT96" s="2">
        <v>3.9204189894448399E-10</v>
      </c>
      <c r="AU96" s="2">
        <v>5.4700549867448003E-8</v>
      </c>
      <c r="AV96" s="2">
        <v>6.7201364473135097E-9</v>
      </c>
      <c r="AW96">
        <v>74.558784484863295</v>
      </c>
      <c r="AX96">
        <v>-102.843299865723</v>
      </c>
      <c r="AY96" s="2">
        <v>3.4028230607370999E+38</v>
      </c>
      <c r="AZ96" s="2">
        <v>3.4028230607370999E+38</v>
      </c>
      <c r="BA96">
        <v>1149.9638671875</v>
      </c>
      <c r="BB96">
        <v>2300.1162109375</v>
      </c>
      <c r="BC96">
        <v>1992.017578125</v>
      </c>
      <c r="BD96" s="2">
        <v>3.4028230607370999E+38</v>
      </c>
      <c r="BE96" s="2">
        <v>3.4028230607370999E+38</v>
      </c>
      <c r="BF96">
        <v>230.00201416015599</v>
      </c>
      <c r="BG96">
        <v>10.000410079956101</v>
      </c>
      <c r="BH96">
        <v>1149.97253417969</v>
      </c>
      <c r="BI96">
        <v>2300.1162109375</v>
      </c>
      <c r="BJ96">
        <v>1992.01147460938</v>
      </c>
      <c r="BK96">
        <v>49.999912261962898</v>
      </c>
      <c r="BL96">
        <v>-60.002559661865199</v>
      </c>
      <c r="BM96">
        <v>1.7606152221560499E-2</v>
      </c>
      <c r="BN96" s="2">
        <v>4.5793508434144297E-6</v>
      </c>
      <c r="BO96" s="2">
        <v>2.6944167785814002E-8</v>
      </c>
      <c r="BP96" s="2">
        <v>8.0377027700251294E-8</v>
      </c>
      <c r="BQ96" s="2">
        <v>2.0225304098175901E-8</v>
      </c>
      <c r="BR96">
        <v>74.426963806152301</v>
      </c>
      <c r="BS96">
        <v>-36.502445220947301</v>
      </c>
      <c r="BT96">
        <v>1.9226513803005201E-2</v>
      </c>
      <c r="BU96" s="2">
        <v>3.4059501103911299E-6</v>
      </c>
      <c r="BV96" s="2">
        <v>3.4092189071799302E-9</v>
      </c>
      <c r="BW96" s="2">
        <v>6.5792264081210305E-8</v>
      </c>
      <c r="BX96" s="2">
        <v>1.61060711434402E-8</v>
      </c>
      <c r="BY96">
        <v>74.780166625976605</v>
      </c>
      <c r="BZ96">
        <v>-75.763847351074205</v>
      </c>
      <c r="CA96" s="2">
        <v>3.4028230607370999E+38</v>
      </c>
      <c r="CB96" s="2">
        <v>3.4028230607370999E+38</v>
      </c>
      <c r="CC96">
        <v>1149.97253417969</v>
      </c>
      <c r="CD96">
        <v>2300.1162109375</v>
      </c>
      <c r="CE96">
        <v>1992.01147460938</v>
      </c>
      <c r="CF96" s="2">
        <v>3.4028230607370999E+38</v>
      </c>
      <c r="CG96" s="2">
        <v>3.4028230607370999E+38</v>
      </c>
      <c r="CH96">
        <v>230.00244140625</v>
      </c>
      <c r="CI96">
        <v>10.0004224777222</v>
      </c>
      <c r="CJ96">
        <v>1149.97192382812</v>
      </c>
      <c r="CK96">
        <v>2300.11669921875</v>
      </c>
      <c r="CL96">
        <v>1992.01452636719</v>
      </c>
      <c r="CM96">
        <v>49.999904632568402</v>
      </c>
      <c r="CN96">
        <v>-60.002620697021499</v>
      </c>
      <c r="CO96">
        <v>1.49241536855698E-2</v>
      </c>
      <c r="CP96" s="2">
        <v>4.74177477371995E-6</v>
      </c>
      <c r="CQ96" s="2">
        <v>1.7980664068773E-8</v>
      </c>
      <c r="CR96" s="2">
        <v>7.1838080373254303E-8</v>
      </c>
      <c r="CS96" s="2">
        <v>4.4980836833019599E-9</v>
      </c>
      <c r="CT96">
        <v>74.608131408691406</v>
      </c>
      <c r="CU96">
        <v>-13.880576133728001</v>
      </c>
      <c r="CV96">
        <v>1.59252062439919E-2</v>
      </c>
      <c r="CW96" s="2">
        <v>3.3725191315170399E-6</v>
      </c>
      <c r="CX96" s="2">
        <v>6.3054779175786296E-9</v>
      </c>
      <c r="CY96" s="2">
        <v>5.5954970434868301E-8</v>
      </c>
      <c r="CZ96" s="2">
        <v>7.3081198870284003E-9</v>
      </c>
      <c r="DA96">
        <v>74.6904296875</v>
      </c>
      <c r="DB96">
        <v>-45.563003540039098</v>
      </c>
      <c r="DC96" s="2">
        <v>3.4028230607370999E+38</v>
      </c>
      <c r="DD96" s="2">
        <v>3.4028230607370999E+38</v>
      </c>
      <c r="DE96">
        <v>1149.97192382812</v>
      </c>
      <c r="DF96">
        <v>2300.11669921875</v>
      </c>
      <c r="DG96">
        <v>1992.01452636719</v>
      </c>
      <c r="DH96" s="2">
        <v>3.4028230607370999E+38</v>
      </c>
      <c r="DI96" s="2">
        <v>3.4028230607370999E+38</v>
      </c>
      <c r="DJ96">
        <v>230.002197265625</v>
      </c>
      <c r="DK96">
        <v>10.000412940979</v>
      </c>
      <c r="DL96">
        <v>1149.96838378906</v>
      </c>
      <c r="DM96">
        <v>2300.11596679688</v>
      </c>
      <c r="DN96">
        <v>1992.01684570312</v>
      </c>
      <c r="DO96">
        <v>49.999923706054702</v>
      </c>
      <c r="DP96">
        <v>-60.002620697021499</v>
      </c>
      <c r="DQ96">
        <v>1.7883390188217201E-2</v>
      </c>
      <c r="DR96" s="2">
        <v>4.6160621423041397E-6</v>
      </c>
      <c r="DS96" s="2">
        <v>2.8773426308248401E-8</v>
      </c>
      <c r="DT96" s="2">
        <v>8.26700770062416E-8</v>
      </c>
      <c r="DU96" s="2">
        <v>1.57275028556114E-8</v>
      </c>
      <c r="DV96">
        <v>74.470191955566406</v>
      </c>
      <c r="DW96">
        <v>-31.000871658325199</v>
      </c>
      <c r="DX96">
        <v>1.9617738202214199E-2</v>
      </c>
      <c r="DY96" s="2">
        <v>3.4384127047815102E-6</v>
      </c>
      <c r="DZ96" s="2">
        <v>1.0219737056615899E-8</v>
      </c>
      <c r="EA96" s="2">
        <v>6.73959945629576E-8</v>
      </c>
      <c r="EB96" s="2">
        <v>1.7356622805664301E-8</v>
      </c>
      <c r="EC96">
        <v>74.588027954101605</v>
      </c>
      <c r="ED96">
        <v>-62.985965728759801</v>
      </c>
      <c r="EE96" s="2">
        <v>3.4028230607370999E+38</v>
      </c>
      <c r="EF96" s="2">
        <v>3.4028230607370999E+38</v>
      </c>
      <c r="EG96">
        <v>1149.96838378906</v>
      </c>
      <c r="EH96">
        <v>2300.11596679688</v>
      </c>
      <c r="EI96">
        <v>1992.01684570312</v>
      </c>
      <c r="EJ96" s="2">
        <v>3.4028230607370999E+38</v>
      </c>
      <c r="EK96" s="2">
        <v>3.4028230607370999E+38</v>
      </c>
      <c r="EL96">
        <v>123</v>
      </c>
      <c r="EM96">
        <v>230.00207519531199</v>
      </c>
      <c r="EN96">
        <v>10.000413894653301</v>
      </c>
      <c r="EO96">
        <v>1149.97265625</v>
      </c>
      <c r="EP96">
        <v>2300.115234375</v>
      </c>
      <c r="EQ96">
        <v>1992.01184082031</v>
      </c>
      <c r="ER96">
        <v>49.9999389648438</v>
      </c>
      <c r="ES96">
        <v>-60.002525329589801</v>
      </c>
      <c r="ET96">
        <v>0.499962508678436</v>
      </c>
      <c r="EU96" s="2">
        <v>3.4028230607370999E+38</v>
      </c>
      <c r="EV96">
        <v>0</v>
      </c>
      <c r="EW96">
        <v>230.00503540039099</v>
      </c>
      <c r="EX96">
        <v>1149.88977050781</v>
      </c>
      <c r="EY96">
        <v>2300.140625</v>
      </c>
      <c r="EZ96">
        <v>1992.0380859375</v>
      </c>
      <c r="FA96">
        <v>-6.5451422706246402E-3</v>
      </c>
      <c r="FB96">
        <v>1.7691474407911301E-2</v>
      </c>
      <c r="FC96" s="2">
        <v>4.6480549826810602E-6</v>
      </c>
      <c r="FD96" s="2">
        <v>3.1138014833231897E-8</v>
      </c>
      <c r="FE96" s="2">
        <v>8.2637001241891994E-8</v>
      </c>
      <c r="FF96" s="2">
        <v>2.1428570917692E-8</v>
      </c>
      <c r="FG96">
        <v>74.517326354980497</v>
      </c>
      <c r="FH96">
        <v>-32.286170959472699</v>
      </c>
      <c r="FI96">
        <v>0.39647758007049599</v>
      </c>
      <c r="FJ96" s="2">
        <v>3.4028230607370999E+38</v>
      </c>
      <c r="FK96">
        <v>-17.937313079833999</v>
      </c>
      <c r="FL96">
        <v>2.1147858351468998E-2</v>
      </c>
      <c r="FM96">
        <v>0</v>
      </c>
      <c r="FN96">
        <v>0</v>
      </c>
      <c r="FO96">
        <v>0</v>
      </c>
      <c r="FP96">
        <v>1.39332274557091E-4</v>
      </c>
      <c r="FQ96">
        <v>1.94787699729204E-2</v>
      </c>
      <c r="FR96" s="2">
        <v>3.5169480270269602E-6</v>
      </c>
      <c r="FS96" s="2">
        <v>6.5610659127912599E-9</v>
      </c>
      <c r="FT96" s="2">
        <v>6.9851218142957805E-8</v>
      </c>
      <c r="FU96" s="2">
        <v>1.89661548688491E-8</v>
      </c>
      <c r="FV96">
        <v>74.594139099121094</v>
      </c>
      <c r="FW96">
        <v>-68.641975402832003</v>
      </c>
      <c r="FX96">
        <v>0.111836917698383</v>
      </c>
      <c r="FY96" s="2">
        <v>3.4028230607370999E+38</v>
      </c>
      <c r="FZ96">
        <v>-28.5879917144775</v>
      </c>
      <c r="GA96">
        <v>229.30062866210901</v>
      </c>
      <c r="GB96" s="2">
        <v>4.2471164363178096E-9</v>
      </c>
      <c r="GC96">
        <v>8.0080155748873895E-4</v>
      </c>
      <c r="GD96" s="2">
        <v>5.8068039265890498E-9</v>
      </c>
      <c r="GE96">
        <v>-1.86023826245219E-4</v>
      </c>
      <c r="GF96" s="2">
        <v>3.4028230607370999E+38</v>
      </c>
      <c r="GG96" s="2">
        <v>3.4028230607370999E+38</v>
      </c>
      <c r="GH96">
        <v>1149.96643066406</v>
      </c>
      <c r="GI96">
        <v>2300.11059570312</v>
      </c>
      <c r="GJ96">
        <v>1992.00769042969</v>
      </c>
      <c r="GK96" s="2">
        <v>3.4028230607370999E+38</v>
      </c>
      <c r="GL96" s="2">
        <v>3.4028230607370999E+38</v>
      </c>
      <c r="GM96" s="2">
        <v>3.4028230607370999E+38</v>
      </c>
      <c r="GN96" s="2">
        <v>3.4028230607370999E+38</v>
      </c>
      <c r="GO96" s="2">
        <v>3.4028230607370999E+38</v>
      </c>
      <c r="GP96" s="2">
        <v>3.4028230607370999E+38</v>
      </c>
      <c r="GQ96">
        <v>1149.89184570312</v>
      </c>
      <c r="GR96">
        <v>1149.89184570312</v>
      </c>
      <c r="GS96">
        <v>1992.04150390625</v>
      </c>
      <c r="GT96">
        <v>-7.4232523329555997E-3</v>
      </c>
      <c r="GX96">
        <f t="shared" si="8"/>
        <v>230.00221557617178</v>
      </c>
      <c r="GY96">
        <f t="shared" si="9"/>
        <v>10.00041637420656</v>
      </c>
      <c r="GZ96">
        <f t="shared" si="10"/>
        <v>1149.9706298828119</v>
      </c>
      <c r="HA96">
        <f t="shared" si="11"/>
        <v>2300.117529296876</v>
      </c>
      <c r="HB96">
        <f t="shared" si="12"/>
        <v>1992.0146972656262</v>
      </c>
      <c r="HC96">
        <f t="shared" si="13"/>
        <v>49.999936676025399</v>
      </c>
      <c r="HD96">
        <f t="shared" si="14"/>
        <v>-60.002561187744121</v>
      </c>
      <c r="HW96" s="10">
        <f>(GX96/Data!$S96-1)*1000000</f>
        <v>23.485004315926261</v>
      </c>
      <c r="HX96" s="10">
        <f>(GY96/Data!$T96-1)*1000000</f>
        <v>36.362228845288058</v>
      </c>
      <c r="HY96" s="10">
        <f>(GZ96/Data!$BW96-1)*1000000</f>
        <v>-59.46504090492688</v>
      </c>
      <c r="HZ96" s="10">
        <f>(HA96/(Data!$S96*Data!$T96)-1)*1000000</f>
        <v>59.677018330761555</v>
      </c>
      <c r="IA96" s="7">
        <f>(HB96/IF(HD96&gt;0, -Data!$BX96,Data!$BX96)-1)*1000000</f>
        <v>101.19386290852184</v>
      </c>
      <c r="IB96" s="10"/>
      <c r="IC96" s="9">
        <f>(HD96-Data!$U96)</f>
        <v>-3.9670677441208113E-3</v>
      </c>
    </row>
    <row r="97" spans="1:237" x14ac:dyDescent="0.2">
      <c r="A97">
        <v>97</v>
      </c>
      <c r="B97">
        <v>230.00221252441401</v>
      </c>
      <c r="C97">
        <v>10.0004014968872</v>
      </c>
      <c r="D97">
        <v>1149.97412109375</v>
      </c>
      <c r="E97">
        <v>2300.11401367188</v>
      </c>
      <c r="F97">
        <v>1992.00537109375</v>
      </c>
      <c r="G97">
        <v>49.999954223632798</v>
      </c>
      <c r="H97">
        <v>-60.002620697021499</v>
      </c>
      <c r="I97">
        <v>1.6150942072272301E-2</v>
      </c>
      <c r="J97" s="2">
        <v>4.62729076389223E-6</v>
      </c>
      <c r="K97" s="2">
        <v>1.4405195258859701E-8</v>
      </c>
      <c r="L97" s="2">
        <v>7.2471166845389195E-8</v>
      </c>
      <c r="M97" s="2">
        <v>1.9416527052840102E-8</v>
      </c>
      <c r="N97">
        <v>74.587745666503906</v>
      </c>
      <c r="O97">
        <v>-51.223644256591797</v>
      </c>
      <c r="P97">
        <v>1.7130404710769698E-2</v>
      </c>
      <c r="Q97" s="2">
        <v>3.42003340847441E-6</v>
      </c>
      <c r="R97" s="2">
        <v>9.466838424287969E-10</v>
      </c>
      <c r="S97" s="2">
        <v>5.8813498071685899E-8</v>
      </c>
      <c r="T97" s="2">
        <v>9.8795114311656107E-9</v>
      </c>
      <c r="U97">
        <v>74.593620300292997</v>
      </c>
      <c r="V97">
        <v>-91.548065185546903</v>
      </c>
      <c r="W97" s="2">
        <v>3.4028230607370999E+38</v>
      </c>
      <c r="X97" s="2">
        <v>3.4028230607370999E+38</v>
      </c>
      <c r="Y97">
        <v>1149.97412109375</v>
      </c>
      <c r="Z97">
        <v>2300.11401367188</v>
      </c>
      <c r="AA97">
        <v>1992.00537109375</v>
      </c>
      <c r="AB97" s="2">
        <v>3.4028230607370999E+38</v>
      </c>
      <c r="AC97" s="2">
        <v>3.4028230607370999E+38</v>
      </c>
      <c r="AD97">
        <v>230.00262451171901</v>
      </c>
      <c r="AE97">
        <v>10.000435829162599</v>
      </c>
      <c r="AF97">
        <v>1149.97570800781</v>
      </c>
      <c r="AG97">
        <v>2300.12524414062</v>
      </c>
      <c r="AH97">
        <v>1992.01525878906</v>
      </c>
      <c r="AI97">
        <v>49.999912261962898</v>
      </c>
      <c r="AJ97">
        <v>-60.002628326416001</v>
      </c>
      <c r="AK97">
        <v>1.47818997502327E-2</v>
      </c>
      <c r="AL97" s="2">
        <v>4.6492755245708403E-6</v>
      </c>
      <c r="AM97" s="2">
        <v>1.39796521025914E-8</v>
      </c>
      <c r="AN97" s="2">
        <v>6.8836769173685805E-8</v>
      </c>
      <c r="AO97" s="2">
        <v>1.3837950341155601E-8</v>
      </c>
      <c r="AP97">
        <v>74.750190734863295</v>
      </c>
      <c r="AQ97">
        <v>-50.058364868164098</v>
      </c>
      <c r="AR97">
        <v>1.58105250447989E-2</v>
      </c>
      <c r="AS97" s="2">
        <v>3.40451401825703E-6</v>
      </c>
      <c r="AT97" s="2">
        <v>-5.17749065842565E-10</v>
      </c>
      <c r="AU97" s="2">
        <v>5.4090808276896503E-8</v>
      </c>
      <c r="AV97" s="2">
        <v>6.9160877025353801E-9</v>
      </c>
      <c r="AW97">
        <v>74.734039306640597</v>
      </c>
      <c r="AX97">
        <v>-82.687698364257798</v>
      </c>
      <c r="AY97" s="2">
        <v>3.4028230607370999E+38</v>
      </c>
      <c r="AZ97" s="2">
        <v>3.4028230607370999E+38</v>
      </c>
      <c r="BA97">
        <v>1149.9755859375</v>
      </c>
      <c r="BB97">
        <v>2300.12524414062</v>
      </c>
      <c r="BC97">
        <v>1992.01525878906</v>
      </c>
      <c r="BD97" s="2">
        <v>3.4028230607370999E+38</v>
      </c>
      <c r="BE97" s="2">
        <v>3.4028230607370999E+38</v>
      </c>
      <c r="BF97">
        <v>230.00212097168</v>
      </c>
      <c r="BG97">
        <v>10.0004177093506</v>
      </c>
      <c r="BH97">
        <v>1149.96728515625</v>
      </c>
      <c r="BI97">
        <v>2300.11596679688</v>
      </c>
      <c r="BJ97">
        <v>1992.01879882812</v>
      </c>
      <c r="BK97">
        <v>49.9999389648438</v>
      </c>
      <c r="BL97">
        <v>-60.002613067627003</v>
      </c>
      <c r="BM97">
        <v>1.5839627012610401E-2</v>
      </c>
      <c r="BN97" s="2">
        <v>4.6433333409368103E-6</v>
      </c>
      <c r="BO97" s="2">
        <v>1.5595793101397199E-8</v>
      </c>
      <c r="BP97" s="2">
        <v>7.3417780299678297E-8</v>
      </c>
      <c r="BQ97" s="2">
        <v>1.7379312211574E-8</v>
      </c>
      <c r="BR97">
        <v>74.665283203125</v>
      </c>
      <c r="BS97">
        <v>-50.0559692382812</v>
      </c>
      <c r="BT97">
        <v>1.7099706456065199E-2</v>
      </c>
      <c r="BU97" s="2">
        <v>3.4215013329230702E-6</v>
      </c>
      <c r="BV97" s="2">
        <v>1.1783936049170099E-9</v>
      </c>
      <c r="BW97" s="2">
        <v>5.8153478477152001E-8</v>
      </c>
      <c r="BX97" s="2">
        <v>9.5704058011847304E-9</v>
      </c>
      <c r="BY97">
        <v>74.843780517578097</v>
      </c>
      <c r="BZ97">
        <v>-88.384056091308594</v>
      </c>
      <c r="CA97" s="2">
        <v>3.4028230607370999E+38</v>
      </c>
      <c r="CB97" s="2">
        <v>3.4028230607370999E+38</v>
      </c>
      <c r="CC97">
        <v>1149.96728515625</v>
      </c>
      <c r="CD97">
        <v>2300.11596679688</v>
      </c>
      <c r="CE97">
        <v>1992.01879882812</v>
      </c>
      <c r="CF97" s="2">
        <v>3.4028230607370999E+38</v>
      </c>
      <c r="CG97" s="2">
        <v>3.4028230607370999E+38</v>
      </c>
      <c r="CH97">
        <v>230.00257873535199</v>
      </c>
      <c r="CI97">
        <v>10.000410079956101</v>
      </c>
      <c r="CJ97">
        <v>1149.96752929688</v>
      </c>
      <c r="CK97">
        <v>2300.11254882812</v>
      </c>
      <c r="CL97">
        <v>1992.01000976562</v>
      </c>
      <c r="CM97">
        <v>49.9999389648438</v>
      </c>
      <c r="CN97">
        <v>-60.002735137939503</v>
      </c>
      <c r="CO97">
        <v>1.6960177570581401E-2</v>
      </c>
      <c r="CP97" s="2">
        <v>4.5719884838035796E-6</v>
      </c>
      <c r="CQ97" s="2">
        <v>2.2120362430655401E-8</v>
      </c>
      <c r="CR97" s="2">
        <v>7.9290131793641194E-8</v>
      </c>
      <c r="CS97" s="2">
        <v>2.2953438261197301E-8</v>
      </c>
      <c r="CT97">
        <v>74.636726379394503</v>
      </c>
      <c r="CU97">
        <v>-46.309104919433601</v>
      </c>
      <c r="CV97">
        <v>1.8795073032379199E-2</v>
      </c>
      <c r="CW97" s="2">
        <v>3.5366549582249701E-6</v>
      </c>
      <c r="CX97" s="2">
        <v>2.51472176415746E-9</v>
      </c>
      <c r="CY97" s="2">
        <v>6.6460295045089905E-8</v>
      </c>
      <c r="CZ97" s="2">
        <v>1.31926380930736E-8</v>
      </c>
      <c r="DA97">
        <v>74.720344543457003</v>
      </c>
      <c r="DB97">
        <v>-83.576805114746094</v>
      </c>
      <c r="DC97" s="2">
        <v>3.4028230607370999E+38</v>
      </c>
      <c r="DD97" s="2">
        <v>3.4028230607370999E+38</v>
      </c>
      <c r="DE97">
        <v>1149.96752929688</v>
      </c>
      <c r="DF97">
        <v>2300.11254882812</v>
      </c>
      <c r="DG97">
        <v>1992.01000976562</v>
      </c>
      <c r="DH97" s="2">
        <v>3.4028230607370999E+38</v>
      </c>
      <c r="DI97" s="2">
        <v>3.4028230607370999E+38</v>
      </c>
      <c r="DJ97">
        <v>230.002197265625</v>
      </c>
      <c r="DK97">
        <v>10.000399589538601</v>
      </c>
      <c r="DL97">
        <v>1149.96411132812</v>
      </c>
      <c r="DM97">
        <v>2300.11254882812</v>
      </c>
      <c r="DN97">
        <v>1992.01501464844</v>
      </c>
      <c r="DO97">
        <v>49.999904632568402</v>
      </c>
      <c r="DP97">
        <v>-60.002655029296903</v>
      </c>
      <c r="DQ97">
        <v>1.6260800883173901E-2</v>
      </c>
      <c r="DR97" s="2">
        <v>4.5917577153886702E-6</v>
      </c>
      <c r="DS97" s="2">
        <v>2.05994563629019E-8</v>
      </c>
      <c r="DT97" s="2">
        <v>7.4496661284228996E-8</v>
      </c>
      <c r="DU97" s="2">
        <v>2.02186942743765E-8</v>
      </c>
      <c r="DV97">
        <v>74.608360290527301</v>
      </c>
      <c r="DW97">
        <v>-46.020359039306598</v>
      </c>
      <c r="DX97">
        <v>1.76786221563816E-2</v>
      </c>
      <c r="DY97" s="2">
        <v>3.4761751521728002E-6</v>
      </c>
      <c r="DZ97" s="2">
        <v>-6.2650301613231797E-10</v>
      </c>
      <c r="EA97" s="2">
        <v>6.2620308938221596E-8</v>
      </c>
      <c r="EB97" s="2">
        <v>1.12033777810439E-8</v>
      </c>
      <c r="EC97">
        <v>74.670364379882798</v>
      </c>
      <c r="ED97">
        <v>-88.912345886230497</v>
      </c>
      <c r="EE97" s="2">
        <v>3.4028230607370999E+38</v>
      </c>
      <c r="EF97" s="2">
        <v>3.4028230607370999E+38</v>
      </c>
      <c r="EG97">
        <v>1149.96398925781</v>
      </c>
      <c r="EH97">
        <v>2300.11254882812</v>
      </c>
      <c r="EI97">
        <v>1992.01501464844</v>
      </c>
      <c r="EJ97" s="2">
        <v>3.4028230607370999E+38</v>
      </c>
      <c r="EK97" s="2">
        <v>3.4028230607370999E+38</v>
      </c>
      <c r="EL97">
        <v>123</v>
      </c>
      <c r="EM97">
        <v>230.00241088867199</v>
      </c>
      <c r="EN97">
        <v>10.000424385070801</v>
      </c>
      <c r="EO97">
        <v>1149.96691894531</v>
      </c>
      <c r="EP97">
        <v>2300.11767578125</v>
      </c>
      <c r="EQ97">
        <v>1992.01550292969</v>
      </c>
      <c r="ER97">
        <v>49.999954223632798</v>
      </c>
      <c r="ES97">
        <v>-60.002559661865199</v>
      </c>
      <c r="ET97">
        <v>0.49996188282966603</v>
      </c>
      <c r="EU97" s="2">
        <v>3.4028230607370999E+38</v>
      </c>
      <c r="EV97">
        <v>0</v>
      </c>
      <c r="EW97">
        <v>230.0009765625</v>
      </c>
      <c r="EX97">
        <v>1149.88647460938</v>
      </c>
      <c r="EY97">
        <v>2300.10229492188</v>
      </c>
      <c r="EZ97">
        <v>1992.00134277344</v>
      </c>
      <c r="FA97">
        <v>-7.0477249100804303E-3</v>
      </c>
      <c r="FB97">
        <v>1.6711693257093398E-2</v>
      </c>
      <c r="FC97" s="2">
        <v>4.57305395684671E-6</v>
      </c>
      <c r="FD97" s="2">
        <v>2.2369027519175701E-8</v>
      </c>
      <c r="FE97" s="2">
        <v>7.69233352571064E-8</v>
      </c>
      <c r="FF97" s="2">
        <v>2.3865263543143599E-8</v>
      </c>
      <c r="FG97">
        <v>74.722023010253906</v>
      </c>
      <c r="FH97">
        <v>-45.365154266357401</v>
      </c>
      <c r="FI97">
        <v>0.30631801486015298</v>
      </c>
      <c r="FJ97" s="2">
        <v>3.4028230607370999E+38</v>
      </c>
      <c r="FK97">
        <v>-55.791667938232401</v>
      </c>
      <c r="FL97">
        <v>2.0897125825285901E-2</v>
      </c>
      <c r="FM97">
        <v>0</v>
      </c>
      <c r="FN97">
        <v>0</v>
      </c>
      <c r="FO97">
        <v>0</v>
      </c>
      <c r="FP97">
        <v>1.5359809913206799E-4</v>
      </c>
      <c r="FQ97">
        <v>1.8447954207658799E-2</v>
      </c>
      <c r="FR97" s="2">
        <v>3.4932236303575299E-6</v>
      </c>
      <c r="FS97" s="2">
        <v>3.4768010692687302E-10</v>
      </c>
      <c r="FT97" s="2">
        <v>6.2047334381531995E-8</v>
      </c>
      <c r="FU97" s="2">
        <v>1.27407551175907E-8</v>
      </c>
      <c r="FV97">
        <v>74.639198303222699</v>
      </c>
      <c r="FW97">
        <v>-88.436859130859403</v>
      </c>
      <c r="FX97">
        <v>-1.8098009750247002E-2</v>
      </c>
      <c r="FY97" s="2">
        <v>3.4028230607370999E+38</v>
      </c>
      <c r="FZ97">
        <v>-28.218757629394499</v>
      </c>
      <c r="GA97">
        <v>229.19255065918</v>
      </c>
      <c r="GB97" s="2">
        <v>-2.6292352739432098E-9</v>
      </c>
      <c r="GC97">
        <v>7.9167098738253095E-4</v>
      </c>
      <c r="GD97" s="2">
        <v>6.2012550650081297E-10</v>
      </c>
      <c r="GE97">
        <v>-1.8728284339886199E-4</v>
      </c>
      <c r="GF97" s="2">
        <v>3.4028230607370999E+38</v>
      </c>
      <c r="GG97" s="2">
        <v>3.4028230607370999E+38</v>
      </c>
      <c r="GH97">
        <v>1149.97131347656</v>
      </c>
      <c r="GI97">
        <v>2300.119140625</v>
      </c>
      <c r="GJ97">
        <v>1992.01525878906</v>
      </c>
      <c r="GK97" s="2">
        <v>3.4028230607370999E+38</v>
      </c>
      <c r="GL97" s="2">
        <v>3.4028230607370999E+38</v>
      </c>
      <c r="GM97" s="2">
        <v>3.4028230607370999E+38</v>
      </c>
      <c r="GN97" s="2">
        <v>3.4028230607370999E+38</v>
      </c>
      <c r="GO97" s="2">
        <v>3.4028230607370999E+38</v>
      </c>
      <c r="GP97" s="2">
        <v>3.4028230607370999E+38</v>
      </c>
      <c r="GQ97">
        <v>1149.88208007812</v>
      </c>
      <c r="GR97">
        <v>1149.88208007812</v>
      </c>
      <c r="GS97">
        <v>1992.00268554688</v>
      </c>
      <c r="GT97">
        <v>-6.5932366997003599E-3</v>
      </c>
      <c r="GX97">
        <f t="shared" si="8"/>
        <v>230.00234680175799</v>
      </c>
      <c r="GY97">
        <f t="shared" si="9"/>
        <v>10.000412940979022</v>
      </c>
      <c r="GZ97">
        <f t="shared" si="10"/>
        <v>1149.9697509765617</v>
      </c>
      <c r="HA97">
        <f t="shared" si="11"/>
        <v>2300.1160644531237</v>
      </c>
      <c r="HB97">
        <f t="shared" si="12"/>
        <v>1992.0128906249979</v>
      </c>
      <c r="HC97">
        <f t="shared" si="13"/>
        <v>49.999929809570347</v>
      </c>
      <c r="HD97">
        <f t="shared" si="14"/>
        <v>-60.00265045166018</v>
      </c>
      <c r="HW97" s="10">
        <f>(GX97/Data!$S97-1)*1000000</f>
        <v>23.690327143555123</v>
      </c>
      <c r="HX97" s="10">
        <f>(GY97/Data!$T97-1)*1000000</f>
        <v>41.236095510432946</v>
      </c>
      <c r="HY97" s="10">
        <f>(GZ97/Data!$BW97-1)*1000000</f>
        <v>-61.382214865624007</v>
      </c>
      <c r="HZ97" s="10">
        <f>(HA97/(Data!$S97*Data!$T97)-1)*1000000</f>
        <v>63.892186205061208</v>
      </c>
      <c r="IA97" s="7">
        <f>(HB97/IF(HD97&gt;0, -Data!$BX97,Data!$BX97)-1)*1000000</f>
        <v>107.14061645433759</v>
      </c>
      <c r="IB97" s="10"/>
      <c r="IC97" s="9">
        <f>(HD97-Data!$U97)</f>
        <v>-4.2549616601803564E-3</v>
      </c>
    </row>
    <row r="98" spans="1:237" x14ac:dyDescent="0.2">
      <c r="A98">
        <v>98</v>
      </c>
      <c r="B98">
        <v>230.00192260742199</v>
      </c>
      <c r="C98">
        <v>10.0004062652588</v>
      </c>
      <c r="D98">
        <v>1149.96411132812</v>
      </c>
      <c r="E98">
        <v>2300.11547851562</v>
      </c>
      <c r="F98">
        <v>1992.01037597656</v>
      </c>
      <c r="G98">
        <v>49.999946594238303</v>
      </c>
      <c r="H98">
        <v>-60.002613067627003</v>
      </c>
      <c r="I98">
        <v>1.7629573121666901E-2</v>
      </c>
      <c r="J98" s="2">
        <v>4.6398540689551703E-6</v>
      </c>
      <c r="K98" s="2">
        <v>2.69927085128074E-8</v>
      </c>
      <c r="L98" s="2">
        <v>8.1799711892926994E-8</v>
      </c>
      <c r="M98" s="2">
        <v>1.11526761159553E-8</v>
      </c>
      <c r="N98">
        <v>74.593475341796903</v>
      </c>
      <c r="O98">
        <v>-22.3337593078613</v>
      </c>
      <c r="P98">
        <v>1.9386513158679002E-2</v>
      </c>
      <c r="Q98" s="2">
        <v>3.3934622933884401E-6</v>
      </c>
      <c r="R98" s="2">
        <v>9.1216003639260601E-9</v>
      </c>
      <c r="S98" s="2">
        <v>6.59773746747305E-8</v>
      </c>
      <c r="T98" s="2">
        <v>1.75131891211322E-8</v>
      </c>
      <c r="U98">
        <v>74.735702514648395</v>
      </c>
      <c r="V98">
        <v>-61.329177856445298</v>
      </c>
      <c r="W98" s="2">
        <v>3.4028230607370999E+38</v>
      </c>
      <c r="X98" s="2">
        <v>3.4028230607370999E+38</v>
      </c>
      <c r="Y98">
        <v>1149.96411132812</v>
      </c>
      <c r="Z98">
        <v>2300.11547851562</v>
      </c>
      <c r="AA98">
        <v>1992.01037597656</v>
      </c>
      <c r="AB98" s="2">
        <v>3.4028230607370999E+38</v>
      </c>
      <c r="AC98" s="2">
        <v>3.4028230607370999E+38</v>
      </c>
      <c r="AD98">
        <v>230.00273132324199</v>
      </c>
      <c r="AE98">
        <v>10.000446319580099</v>
      </c>
      <c r="AF98">
        <v>1149.970703125</v>
      </c>
      <c r="AG98">
        <v>2300.12866210938</v>
      </c>
      <c r="AH98">
        <v>1992.02014160156</v>
      </c>
      <c r="AI98">
        <v>49.9999389648438</v>
      </c>
      <c r="AJ98">
        <v>-60.002605438232401</v>
      </c>
      <c r="AK98">
        <v>1.5702864155173302E-2</v>
      </c>
      <c r="AL98" s="2">
        <v>4.7426974560949003E-6</v>
      </c>
      <c r="AM98" s="2">
        <v>1.9230206760312302E-8</v>
      </c>
      <c r="AN98" s="2">
        <v>7.2874883016993395E-8</v>
      </c>
      <c r="AO98" s="2">
        <v>5.0875730295274496E-9</v>
      </c>
      <c r="AP98">
        <v>74.532646179199205</v>
      </c>
      <c r="AQ98">
        <v>-15.962182044982899</v>
      </c>
      <c r="AR98">
        <v>1.6561385244131099E-2</v>
      </c>
      <c r="AS98" s="2">
        <v>3.4458917070878699E-6</v>
      </c>
      <c r="AT98" s="2">
        <v>6.2455609572964501E-9</v>
      </c>
      <c r="AU98" s="2">
        <v>5.4919883751836103E-8</v>
      </c>
      <c r="AV98" s="2">
        <v>8.1532602891343198E-9</v>
      </c>
      <c r="AW98">
        <v>74.719062805175795</v>
      </c>
      <c r="AX98">
        <v>-49.506587982177699</v>
      </c>
      <c r="AY98" s="2">
        <v>3.4028230607370999E+38</v>
      </c>
      <c r="AZ98" s="2">
        <v>3.4028230607370999E+38</v>
      </c>
      <c r="BA98">
        <v>1149.970703125</v>
      </c>
      <c r="BB98">
        <v>2300.12866210938</v>
      </c>
      <c r="BC98">
        <v>1992.02014160156</v>
      </c>
      <c r="BD98" s="2">
        <v>3.4028230607370999E+38</v>
      </c>
      <c r="BE98" s="2">
        <v>3.4028230607370999E+38</v>
      </c>
      <c r="BF98">
        <v>230.00228881835901</v>
      </c>
      <c r="BG98">
        <v>10.000399589538601</v>
      </c>
      <c r="BH98">
        <v>1149.97094726562</v>
      </c>
      <c r="BI98">
        <v>2300.11938476562</v>
      </c>
      <c r="BJ98">
        <v>1992.01440429688</v>
      </c>
      <c r="BK98">
        <v>49.999973297119098</v>
      </c>
      <c r="BL98">
        <v>-60.002639770507798</v>
      </c>
      <c r="BM98">
        <v>1.7330953851342201E-2</v>
      </c>
      <c r="BN98" s="2">
        <v>4.6171721805876604E-6</v>
      </c>
      <c r="BO98" s="2">
        <v>2.28980532313017E-8</v>
      </c>
      <c r="BP98" s="2">
        <v>7.9714496337146596E-8</v>
      </c>
      <c r="BQ98" s="2">
        <v>2.0571611969444301E-8</v>
      </c>
      <c r="BR98">
        <v>74.460060119628906</v>
      </c>
      <c r="BS98">
        <v>-38.152004241943402</v>
      </c>
      <c r="BT98">
        <v>1.9015796482563001E-2</v>
      </c>
      <c r="BU98" s="2">
        <v>3.5173950436728799E-6</v>
      </c>
      <c r="BV98" s="2">
        <v>2.1965675944812801E-9</v>
      </c>
      <c r="BW98" s="2">
        <v>6.7518065804961198E-8</v>
      </c>
      <c r="BX98" s="2">
        <v>1.5469325376216101E-8</v>
      </c>
      <c r="BY98">
        <v>74.672660827636705</v>
      </c>
      <c r="BZ98">
        <v>-75.758049011230497</v>
      </c>
      <c r="CA98" s="2">
        <v>3.4028230607370999E+38</v>
      </c>
      <c r="CB98" s="2">
        <v>3.4028230607370999E+38</v>
      </c>
      <c r="CC98">
        <v>1149.97094726562</v>
      </c>
      <c r="CD98">
        <v>2300.11938476562</v>
      </c>
      <c r="CE98">
        <v>1992.01440429688</v>
      </c>
      <c r="CF98" s="2">
        <v>3.4028230607370999E+38</v>
      </c>
      <c r="CG98" s="2">
        <v>3.4028230607370999E+38</v>
      </c>
      <c r="CH98">
        <v>230.00189208984401</v>
      </c>
      <c r="CI98">
        <v>10.000408172607401</v>
      </c>
      <c r="CJ98">
        <v>1149.96557617188</v>
      </c>
      <c r="CK98">
        <v>2300.111328125</v>
      </c>
      <c r="CL98">
        <v>1992.00500488281</v>
      </c>
      <c r="CM98">
        <v>50.000007629394503</v>
      </c>
      <c r="CN98">
        <v>-60.002536773681598</v>
      </c>
      <c r="CO98">
        <v>1.6557717695832301E-2</v>
      </c>
      <c r="CP98" s="2">
        <v>4.5906740524515002E-6</v>
      </c>
      <c r="CQ98" s="2">
        <v>2.48408476011264E-8</v>
      </c>
      <c r="CR98" s="2">
        <v>7.7089623573556296E-8</v>
      </c>
      <c r="CS98" s="2">
        <v>2.4390853781142101E-8</v>
      </c>
      <c r="CT98">
        <v>74.531509399414105</v>
      </c>
      <c r="CU98">
        <v>-45.684413909912102</v>
      </c>
      <c r="CV98">
        <v>1.8125986680388499E-2</v>
      </c>
      <c r="CW98" s="2">
        <v>3.4318852613068901E-6</v>
      </c>
      <c r="CX98" s="2">
        <v>2.12241380026512E-9</v>
      </c>
      <c r="CY98" s="2">
        <v>6.3302088904038101E-8</v>
      </c>
      <c r="CZ98" s="2">
        <v>1.3719864355721299E-8</v>
      </c>
      <c r="DA98">
        <v>74.782371520996094</v>
      </c>
      <c r="DB98">
        <v>-85.232116699218807</v>
      </c>
      <c r="DC98" s="2">
        <v>3.4028230607370999E+38</v>
      </c>
      <c r="DD98" s="2">
        <v>3.4028230607370999E+38</v>
      </c>
      <c r="DE98">
        <v>1149.96557617188</v>
      </c>
      <c r="DF98">
        <v>2300.111328125</v>
      </c>
      <c r="DG98">
        <v>1992.00500488281</v>
      </c>
      <c r="DH98" s="2">
        <v>3.4028230607370999E+38</v>
      </c>
      <c r="DI98" s="2">
        <v>3.4028230607370999E+38</v>
      </c>
      <c r="DJ98">
        <v>230.00262451171901</v>
      </c>
      <c r="DK98">
        <v>10.000424385070801</v>
      </c>
      <c r="DL98">
        <v>1149.97021484375</v>
      </c>
      <c r="DM98">
        <v>2300.11474609375</v>
      </c>
      <c r="DN98">
        <v>1992.00805664062</v>
      </c>
      <c r="DO98">
        <v>49.999946594238303</v>
      </c>
      <c r="DP98">
        <v>-60.002601623535199</v>
      </c>
      <c r="DQ98">
        <v>1.7735024914145501E-2</v>
      </c>
      <c r="DR98" s="2">
        <v>4.5957672227814303E-6</v>
      </c>
      <c r="DS98" s="2">
        <v>3.2135464067550903E-8</v>
      </c>
      <c r="DT98" s="2">
        <v>8.1754244263265705E-8</v>
      </c>
      <c r="DU98" s="2">
        <v>1.9166224163313901E-8</v>
      </c>
      <c r="DV98">
        <v>74.590431213378906</v>
      </c>
      <c r="DW98">
        <v>-32.5181274414062</v>
      </c>
      <c r="DX98">
        <v>1.9556356593966501E-2</v>
      </c>
      <c r="DY98" s="2">
        <v>3.4026538742182298E-6</v>
      </c>
      <c r="DZ98" s="2">
        <v>7.841753912885E-9</v>
      </c>
      <c r="EA98" s="2">
        <v>6.6549119992487196E-8</v>
      </c>
      <c r="EB98" s="2">
        <v>1.9132210482553101E-8</v>
      </c>
      <c r="EC98">
        <v>74.619613647460895</v>
      </c>
      <c r="ED98">
        <v>-63.445610046386697</v>
      </c>
      <c r="EE98" s="2">
        <v>3.4028230607370999E+38</v>
      </c>
      <c r="EF98" s="2">
        <v>3.4028230607370999E+38</v>
      </c>
      <c r="EG98">
        <v>1149.97021484375</v>
      </c>
      <c r="EH98">
        <v>2300.11474609375</v>
      </c>
      <c r="EI98">
        <v>1992.00805664062</v>
      </c>
      <c r="EJ98" s="2">
        <v>3.4028230607370999E+38</v>
      </c>
      <c r="EK98" s="2">
        <v>3.4028230607370999E+38</v>
      </c>
      <c r="EL98">
        <v>123</v>
      </c>
      <c r="EM98">
        <v>230.00198364257801</v>
      </c>
      <c r="EN98">
        <v>10.000403404235801</v>
      </c>
      <c r="EO98">
        <v>1149.97326660156</v>
      </c>
      <c r="EP98">
        <v>2300.11206054688</v>
      </c>
      <c r="EQ98">
        <v>1992.00915527344</v>
      </c>
      <c r="ER98">
        <v>49.999946594238303</v>
      </c>
      <c r="ES98">
        <v>-60.002559661865199</v>
      </c>
      <c r="ET98">
        <v>0.49996221065521201</v>
      </c>
      <c r="EU98" s="2">
        <v>3.4028230607370999E+38</v>
      </c>
      <c r="EV98">
        <v>0</v>
      </c>
      <c r="EW98">
        <v>230.00587463378901</v>
      </c>
      <c r="EX98">
        <v>1149.90112304688</v>
      </c>
      <c r="EY98">
        <v>2300.14819335938</v>
      </c>
      <c r="EZ98">
        <v>1992.04724121094</v>
      </c>
      <c r="FA98">
        <v>-5.2999518811702702E-3</v>
      </c>
      <c r="FB98">
        <v>1.7716607078909902E-2</v>
      </c>
      <c r="FC98" s="2">
        <v>4.6347245188371702E-6</v>
      </c>
      <c r="FD98" s="2">
        <v>3.4655499803193399E-8</v>
      </c>
      <c r="FE98" s="2">
        <v>8.2365147591190206E-8</v>
      </c>
      <c r="FF98" s="2">
        <v>1.78397598915581E-8</v>
      </c>
      <c r="FG98">
        <v>74.605232238769503</v>
      </c>
      <c r="FH98">
        <v>-27.899364471435501</v>
      </c>
      <c r="FI98">
        <v>0.41119718551635698</v>
      </c>
      <c r="FJ98" s="2">
        <v>3.4028230607370999E+38</v>
      </c>
      <c r="FK98">
        <v>24.655693054199201</v>
      </c>
      <c r="FL98">
        <v>2.10560653358698E-2</v>
      </c>
      <c r="FM98">
        <v>0</v>
      </c>
      <c r="FN98">
        <v>0</v>
      </c>
      <c r="FO98">
        <v>0</v>
      </c>
      <c r="FP98">
        <v>1.3849444803781799E-4</v>
      </c>
      <c r="FQ98">
        <v>1.9423075020313301E-2</v>
      </c>
      <c r="FR98" s="2">
        <v>3.4280985801160598E-6</v>
      </c>
      <c r="FS98" s="2">
        <v>8.7063547482557607E-9</v>
      </c>
      <c r="FT98" s="2">
        <v>6.8512044038016002E-8</v>
      </c>
      <c r="FU98" s="2">
        <v>1.5813593989832999E-8</v>
      </c>
      <c r="FV98">
        <v>74.777725219726605</v>
      </c>
      <c r="FW98">
        <v>-62.474781036377003</v>
      </c>
      <c r="FX98">
        <v>0.12028381228446999</v>
      </c>
      <c r="FY98" s="2">
        <v>3.4028230607370999E+38</v>
      </c>
      <c r="FZ98">
        <v>13.712528228759799</v>
      </c>
      <c r="GA98">
        <v>229.13587951660199</v>
      </c>
      <c r="GB98" s="2">
        <v>-1.0489112911571401E-9</v>
      </c>
      <c r="GC98">
        <v>8.1295723794028195E-4</v>
      </c>
      <c r="GD98" s="2">
        <v>1.3969257972590301E-9</v>
      </c>
      <c r="GE98">
        <v>-1.86320190550759E-4</v>
      </c>
      <c r="GF98" s="2">
        <v>3.4028230607370999E+38</v>
      </c>
      <c r="GG98" s="2">
        <v>3.4028230607370999E+38</v>
      </c>
      <c r="GH98">
        <v>1149.97119140625</v>
      </c>
      <c r="GI98">
        <v>2300.11279296875</v>
      </c>
      <c r="GJ98">
        <v>1992.00659179688</v>
      </c>
      <c r="GK98" s="2">
        <v>3.4028230607370999E+38</v>
      </c>
      <c r="GL98" s="2">
        <v>3.4028230607370999E+38</v>
      </c>
      <c r="GM98" s="2">
        <v>3.4028230607370999E+38</v>
      </c>
      <c r="GN98" s="2">
        <v>3.4028230607370999E+38</v>
      </c>
      <c r="GO98" s="2">
        <v>3.4028230607370999E+38</v>
      </c>
      <c r="GP98" s="2">
        <v>3.4028230607370999E+38</v>
      </c>
      <c r="GQ98">
        <v>1149.90002441406</v>
      </c>
      <c r="GR98">
        <v>1149.90002441406</v>
      </c>
      <c r="GS98">
        <v>1992.04663085938</v>
      </c>
      <c r="GT98">
        <v>-7.3075280524790296E-3</v>
      </c>
      <c r="GX98">
        <f t="shared" si="8"/>
        <v>230.00229187011718</v>
      </c>
      <c r="GY98">
        <f t="shared" si="9"/>
        <v>10.000416946411139</v>
      </c>
      <c r="GZ98">
        <f t="shared" si="10"/>
        <v>1149.9683105468739</v>
      </c>
      <c r="HA98">
        <f t="shared" si="11"/>
        <v>2300.1179199218741</v>
      </c>
      <c r="HB98">
        <f t="shared" si="12"/>
        <v>1992.0115966796861</v>
      </c>
      <c r="HC98">
        <f t="shared" si="13"/>
        <v>49.999962615966801</v>
      </c>
      <c r="HD98">
        <f t="shared" si="14"/>
        <v>-60.002599334716798</v>
      </c>
      <c r="HW98" s="10">
        <f>(GX98/Data!$S98-1)*1000000</f>
        <v>23.279310458423907</v>
      </c>
      <c r="HX98" s="10">
        <f>(GY98/Data!$T98-1)*1000000</f>
        <v>32.393339823411083</v>
      </c>
      <c r="HY98" s="10">
        <f>(GZ98/Data!$BW98-1)*1000000</f>
        <v>-61.680028255017838</v>
      </c>
      <c r="HZ98" s="10">
        <f>(HA98/(Data!$S98*Data!$T98)-1)*1000000</f>
        <v>55.283224790203533</v>
      </c>
      <c r="IA98" s="7">
        <f>(HB98/IF(HD98&gt;0, -Data!$BX98,Data!$BX98)-1)*1000000</f>
        <v>93.61799750995381</v>
      </c>
      <c r="IB98" s="10"/>
      <c r="IC98" s="9">
        <f>(HD98-Data!$U98)</f>
        <v>-3.8608047168011694E-3</v>
      </c>
    </row>
    <row r="99" spans="1:237" x14ac:dyDescent="0.2">
      <c r="A99">
        <v>99</v>
      </c>
      <c r="B99">
        <v>230.00141906738301</v>
      </c>
      <c r="C99">
        <v>10.0003957748413</v>
      </c>
      <c r="D99">
        <v>1840.150390625</v>
      </c>
      <c r="E99">
        <v>2300.10986328125</v>
      </c>
      <c r="F99">
        <v>-1380.0048828125</v>
      </c>
      <c r="G99">
        <v>49.999935150146499</v>
      </c>
      <c r="H99">
        <v>36.867660522460902</v>
      </c>
      <c r="I99">
        <v>1.7640076577663401E-2</v>
      </c>
      <c r="J99" s="2">
        <v>4.7043654376466301E-6</v>
      </c>
      <c r="K99" s="2">
        <v>-4.6717358870296299E-9</v>
      </c>
      <c r="L99" s="2">
        <v>8.3075619272676704E-8</v>
      </c>
      <c r="M99" s="2">
        <v>-3.16904866792811E-8</v>
      </c>
      <c r="N99">
        <v>74.49755859375</v>
      </c>
      <c r="O99">
        <v>98.386009216308594</v>
      </c>
      <c r="P99">
        <v>1.9526761025190398E-2</v>
      </c>
      <c r="Q99" s="2">
        <v>3.4441977732058098E-6</v>
      </c>
      <c r="R99" s="2">
        <v>1.5710680756342299E-8</v>
      </c>
      <c r="S99" s="2">
        <v>6.6305666734933806E-8</v>
      </c>
      <c r="T99" s="2">
        <v>1.4456291719255899E-9</v>
      </c>
      <c r="U99">
        <v>74.555915832519503</v>
      </c>
      <c r="V99">
        <v>-4.9478483200073198</v>
      </c>
      <c r="W99" s="2">
        <v>3.4028230607370999E+38</v>
      </c>
      <c r="X99" s="2">
        <v>3.4028230607370999E+38</v>
      </c>
      <c r="Y99">
        <v>1840.15026855469</v>
      </c>
      <c r="Z99">
        <v>2300.10986328125</v>
      </c>
      <c r="AA99">
        <v>-1380.00500488281</v>
      </c>
      <c r="AB99" s="2">
        <v>3.4028230607370999E+38</v>
      </c>
      <c r="AC99" s="2">
        <v>3.4028230607370999E+38</v>
      </c>
      <c r="AD99">
        <v>230.00212097168</v>
      </c>
      <c r="AE99">
        <v>10.0003805160522</v>
      </c>
      <c r="AF99">
        <v>1840.14733886719</v>
      </c>
      <c r="AG99">
        <v>2300.10791015625</v>
      </c>
      <c r="AH99">
        <v>-1380.01354980469</v>
      </c>
      <c r="AI99">
        <v>49.999931335449197</v>
      </c>
      <c r="AJ99">
        <v>36.867916107177699</v>
      </c>
      <c r="AK99">
        <v>1.6176734119653698E-2</v>
      </c>
      <c r="AL99" s="2">
        <v>4.6086570364423096E-6</v>
      </c>
      <c r="AM99" s="2">
        <v>1.0365252656185901E-8</v>
      </c>
      <c r="AN99" s="2">
        <v>7.3739649053550198E-8</v>
      </c>
      <c r="AO99" s="2">
        <v>-1.2349367750630299E-8</v>
      </c>
      <c r="AP99">
        <v>74.584182739257798</v>
      </c>
      <c r="AQ99">
        <v>56.296421051025398</v>
      </c>
      <c r="AR99">
        <v>1.77406799048185E-2</v>
      </c>
      <c r="AS99" s="2">
        <v>3.4750155464280401E-6</v>
      </c>
      <c r="AT99" s="2">
        <v>1.5409927556220299E-8</v>
      </c>
      <c r="AU99" s="2">
        <v>6.1774777293521805E-8</v>
      </c>
      <c r="AV99" s="2">
        <v>9.0385823270366894E-9</v>
      </c>
      <c r="AW99">
        <v>74.752609252929702</v>
      </c>
      <c r="AX99">
        <v>-29.2234706878662</v>
      </c>
      <c r="AY99" s="2">
        <v>3.4028230607370999E+38</v>
      </c>
      <c r="AZ99" s="2">
        <v>3.4028230607370999E+38</v>
      </c>
      <c r="BA99">
        <v>1840.14733886719</v>
      </c>
      <c r="BB99">
        <v>2300.10791015625</v>
      </c>
      <c r="BC99">
        <v>-1380.013671875</v>
      </c>
      <c r="BD99" s="2">
        <v>3.4028230607370999E+38</v>
      </c>
      <c r="BE99" s="2">
        <v>3.4028230607370999E+38</v>
      </c>
      <c r="BF99">
        <v>230.002197265625</v>
      </c>
      <c r="BG99">
        <v>10.000384330749499</v>
      </c>
      <c r="BH99">
        <v>1840.15405273438</v>
      </c>
      <c r="BI99">
        <v>2300.10864257812</v>
      </c>
      <c r="BJ99">
        <v>-1380.00366210938</v>
      </c>
      <c r="BK99">
        <v>49.999893188476598</v>
      </c>
      <c r="BL99">
        <v>36.8676567077637</v>
      </c>
      <c r="BM99">
        <v>1.4159576036036001E-2</v>
      </c>
      <c r="BN99" s="2">
        <v>4.6481977733492403E-6</v>
      </c>
      <c r="BO99" s="2">
        <v>-3.46503409298649E-10</v>
      </c>
      <c r="BP99" s="2">
        <v>6.58003358466885E-8</v>
      </c>
      <c r="BQ99" s="2">
        <v>-1.0407321227035E-8</v>
      </c>
      <c r="BR99">
        <v>74.584724426269503</v>
      </c>
      <c r="BS99">
        <v>93.413810729980497</v>
      </c>
      <c r="BT99">
        <v>1.52983386069536E-2</v>
      </c>
      <c r="BU99" s="2">
        <v>3.4528754895291101E-6</v>
      </c>
      <c r="BV99" s="2">
        <v>5.3174664671473701E-9</v>
      </c>
      <c r="BW99" s="2">
        <v>5.2791939708640698E-8</v>
      </c>
      <c r="BX99" s="2">
        <v>-9.3123303512854198E-10</v>
      </c>
      <c r="BY99">
        <v>74.661193847656193</v>
      </c>
      <c r="BZ99">
        <v>13.658067703247101</v>
      </c>
      <c r="CA99" s="2">
        <v>3.4028230607370999E+38</v>
      </c>
      <c r="CB99" s="2">
        <v>3.4028230607370999E+38</v>
      </c>
      <c r="CC99">
        <v>1840.15393066406</v>
      </c>
      <c r="CD99">
        <v>2300.10864257812</v>
      </c>
      <c r="CE99">
        <v>-1380.00378417969</v>
      </c>
      <c r="CF99" s="2">
        <v>3.4028230607370999E+38</v>
      </c>
      <c r="CG99" s="2">
        <v>3.4028230607370999E+38</v>
      </c>
      <c r="CH99">
        <v>230.00151062011699</v>
      </c>
      <c r="CI99">
        <v>10.0004024505615</v>
      </c>
      <c r="CJ99">
        <v>1840.14855957031</v>
      </c>
      <c r="CK99">
        <v>2300.1064453125</v>
      </c>
      <c r="CL99">
        <v>-1380.01477050781</v>
      </c>
      <c r="CM99">
        <v>49.999988555908203</v>
      </c>
      <c r="CN99">
        <v>36.867668151855497</v>
      </c>
      <c r="CO99">
        <v>1.7323542386293401E-2</v>
      </c>
      <c r="CP99" s="2">
        <v>4.7644643927924301E-6</v>
      </c>
      <c r="CQ99" s="2">
        <v>-7.5841724012093404E-9</v>
      </c>
      <c r="CR99" s="2">
        <v>8.2614384666612803E-8</v>
      </c>
      <c r="CS99" s="2">
        <v>-3.1113284393313701E-8</v>
      </c>
      <c r="CT99">
        <v>74.326469421386705</v>
      </c>
      <c r="CU99">
        <v>102.440483093262</v>
      </c>
      <c r="CV99">
        <v>1.90392173826694E-2</v>
      </c>
      <c r="CW99" s="2">
        <v>3.4906183827843098E-6</v>
      </c>
      <c r="CX99" s="2">
        <v>1.42349856346868E-8</v>
      </c>
      <c r="CY99" s="2">
        <v>6.4124328957859702E-8</v>
      </c>
      <c r="CZ99" s="2">
        <v>-1.22117227441265E-9</v>
      </c>
      <c r="DA99">
        <v>74.782585144042997</v>
      </c>
      <c r="DB99">
        <v>4.39992380142212</v>
      </c>
      <c r="DC99" s="2">
        <v>3.4028230607370999E+38</v>
      </c>
      <c r="DD99" s="2">
        <v>3.4028230607370999E+38</v>
      </c>
      <c r="DE99">
        <v>1840.1484375</v>
      </c>
      <c r="DF99">
        <v>2300.1064453125</v>
      </c>
      <c r="DG99">
        <v>-1380.01489257812</v>
      </c>
      <c r="DH99" s="2">
        <v>3.4028230607370999E+38</v>
      </c>
      <c r="DI99" s="2">
        <v>3.4028230607370999E+38</v>
      </c>
      <c r="DJ99">
        <v>230.002197265625</v>
      </c>
      <c r="DK99">
        <v>10.000390052795399</v>
      </c>
      <c r="DL99">
        <v>1840.14587402344</v>
      </c>
      <c r="DM99">
        <v>2300.10498046875</v>
      </c>
      <c r="DN99">
        <v>-1380.01416015625</v>
      </c>
      <c r="DO99">
        <v>49.9999389648438</v>
      </c>
      <c r="DP99">
        <v>36.867794036865199</v>
      </c>
      <c r="DQ99">
        <v>1.6864962875843E-2</v>
      </c>
      <c r="DR99" s="2">
        <v>4.6455238589260304E-6</v>
      </c>
      <c r="DS99" s="2">
        <v>6.2463967331893896E-9</v>
      </c>
      <c r="DT99" s="2">
        <v>8.0006785196928805E-8</v>
      </c>
      <c r="DU99" s="2">
        <v>-2.2139090560813202E-8</v>
      </c>
      <c r="DV99">
        <v>74.423896789550795</v>
      </c>
      <c r="DW99">
        <v>72.245574951171903</v>
      </c>
      <c r="DX99">
        <v>1.8612502142787E-2</v>
      </c>
      <c r="DY99" s="2">
        <v>3.5617063076642799E-6</v>
      </c>
      <c r="DZ99" s="2">
        <v>1.6175164319065499E-8</v>
      </c>
      <c r="EA99" s="2">
        <v>6.5669553350744496E-8</v>
      </c>
      <c r="EB99" s="2">
        <v>6.1390288408347301E-9</v>
      </c>
      <c r="EC99">
        <v>74.763298034667997</v>
      </c>
      <c r="ED99">
        <v>-21.076910018920898</v>
      </c>
      <c r="EE99" s="2">
        <v>3.4028230607370999E+38</v>
      </c>
      <c r="EF99" s="2">
        <v>3.4028230607370999E+38</v>
      </c>
      <c r="EG99">
        <v>1840.14587402344</v>
      </c>
      <c r="EH99">
        <v>2300.10498046875</v>
      </c>
      <c r="EI99">
        <v>-1380.01428222656</v>
      </c>
      <c r="EJ99" s="2">
        <v>3.4028230607370999E+38</v>
      </c>
      <c r="EK99" s="2">
        <v>3.4028230607370999E+38</v>
      </c>
      <c r="EL99">
        <v>123</v>
      </c>
      <c r="EM99">
        <v>230.002029418945</v>
      </c>
      <c r="EN99">
        <v>10.000391960144</v>
      </c>
      <c r="EO99">
        <v>1840.14562988281</v>
      </c>
      <c r="EP99">
        <v>2300.10205078125</v>
      </c>
      <c r="EQ99">
        <v>-1380.00561523438</v>
      </c>
      <c r="ER99">
        <v>49.999885559082003</v>
      </c>
      <c r="ES99">
        <v>36.867855072021499</v>
      </c>
      <c r="ET99">
        <v>0.80002820491790805</v>
      </c>
      <c r="EU99" s="2">
        <v>3.4028230607370999E+38</v>
      </c>
      <c r="EV99">
        <v>0</v>
      </c>
      <c r="EW99">
        <v>230.00286865234401</v>
      </c>
      <c r="EX99">
        <v>1840.21887207031</v>
      </c>
      <c r="EY99">
        <v>2300.11596679688</v>
      </c>
      <c r="EZ99">
        <v>-1379.90698242188</v>
      </c>
      <c r="FA99">
        <v>6.0854991897940601E-3</v>
      </c>
      <c r="FB99">
        <v>1.77061334252357E-2</v>
      </c>
      <c r="FC99" s="2">
        <v>4.6909844968468002E-6</v>
      </c>
      <c r="FD99" s="2">
        <v>7.7788708807702295E-9</v>
      </c>
      <c r="FE99" s="2">
        <v>8.3275786266767695E-8</v>
      </c>
      <c r="FF99" s="2">
        <v>-2.2844904634666798E-8</v>
      </c>
      <c r="FG99">
        <v>74.679756164550795</v>
      </c>
      <c r="FH99">
        <v>74.956604003906193</v>
      </c>
      <c r="FI99">
        <v>7.5049072504043607E-2</v>
      </c>
      <c r="FJ99" s="2">
        <v>3.4028230607370999E+38</v>
      </c>
      <c r="FK99">
        <v>-38.4627685546875</v>
      </c>
      <c r="FL99">
        <v>2.0157597959041599E-2</v>
      </c>
      <c r="FM99">
        <v>0</v>
      </c>
      <c r="FN99">
        <v>0</v>
      </c>
      <c r="FO99">
        <v>0</v>
      </c>
      <c r="FP99">
        <v>-3.83892038371414E-4</v>
      </c>
      <c r="FQ99">
        <v>1.9420240074396099E-2</v>
      </c>
      <c r="FR99" s="2">
        <v>3.4266224702150798E-6</v>
      </c>
      <c r="FS99" s="2">
        <v>1.81012609345998E-8</v>
      </c>
      <c r="FT99" s="2">
        <v>6.6666466125298003E-8</v>
      </c>
      <c r="FU99" s="2">
        <v>4.2138128542035197E-9</v>
      </c>
      <c r="FV99">
        <v>74.671760559082003</v>
      </c>
      <c r="FW99">
        <v>-12.635169029235801</v>
      </c>
      <c r="FX99">
        <v>0.27269107103347801</v>
      </c>
      <c r="FY99" s="2">
        <v>3.4028230607370999E+38</v>
      </c>
      <c r="FZ99">
        <v>-27.39133644104</v>
      </c>
      <c r="GA99">
        <v>229.43728637695301</v>
      </c>
      <c r="GB99" s="2">
        <v>2.4531232600821799E-9</v>
      </c>
      <c r="GC99">
        <v>7.8085158020257896E-4</v>
      </c>
      <c r="GD99" s="2">
        <v>1.5267119513051599E-10</v>
      </c>
      <c r="GE99" s="2">
        <v>2.6162973881582699E-5</v>
      </c>
      <c r="GF99" s="2">
        <v>3.4028230607370999E+38</v>
      </c>
      <c r="GG99" s="2">
        <v>3.4028230607370999E+38</v>
      </c>
      <c r="GH99">
        <v>1840.14990234375</v>
      </c>
      <c r="GI99">
        <v>2300.10766601562</v>
      </c>
      <c r="GJ99">
        <v>-1380.01452636719</v>
      </c>
      <c r="GK99" s="2">
        <v>3.4028230607370999E+38</v>
      </c>
      <c r="GL99" s="2">
        <v>3.4028230607370999E+38</v>
      </c>
      <c r="GM99" s="2">
        <v>3.4028230607370999E+38</v>
      </c>
      <c r="GN99" s="2">
        <v>3.4028230607370999E+38</v>
      </c>
      <c r="GO99" s="2">
        <v>3.4028230607370999E+38</v>
      </c>
      <c r="GP99" s="2">
        <v>3.4028230607370999E+38</v>
      </c>
      <c r="GQ99">
        <v>1840.24060058594</v>
      </c>
      <c r="GR99">
        <v>1840.24072265625</v>
      </c>
      <c r="GS99">
        <v>-1379.91857910156</v>
      </c>
      <c r="GT99">
        <v>6.1816116794943801E-3</v>
      </c>
      <c r="GX99">
        <f t="shared" si="8"/>
        <v>230.00188903808598</v>
      </c>
      <c r="GY99">
        <f t="shared" si="9"/>
        <v>10.00039062499998</v>
      </c>
      <c r="GZ99">
        <f t="shared" si="10"/>
        <v>1840.149243164064</v>
      </c>
      <c r="HA99">
        <f t="shared" si="11"/>
        <v>2300.107568359374</v>
      </c>
      <c r="HB99">
        <f t="shared" si="12"/>
        <v>-1380.0102050781259</v>
      </c>
      <c r="HC99">
        <f t="shared" si="13"/>
        <v>49.999937438964864</v>
      </c>
      <c r="HD99">
        <f t="shared" si="14"/>
        <v>36.867739105224601</v>
      </c>
      <c r="HW99" s="10">
        <f>(GX99/Data!$S99-1)*1000000</f>
        <v>22.016556443071877</v>
      </c>
      <c r="HX99" s="10">
        <f>(GY99/Data!$T99-1)*1000000</f>
        <v>30.46123800087841</v>
      </c>
      <c r="HY99" s="10">
        <f>(GZ99/Data!$BW99-1)*1000000</f>
        <v>58.528658867018635</v>
      </c>
      <c r="HZ99" s="10">
        <f>(HA99/(Data!$S99*Data!$T99)-1)*1000000</f>
        <v>51.971284463103729</v>
      </c>
      <c r="IA99" s="7">
        <f>(HB99/IF(HD99&gt;0, -Data!$BX99,Data!$BX99)-1)*1000000</f>
        <v>61.977352317388323</v>
      </c>
      <c r="IB99" s="10"/>
      <c r="IC99" s="9">
        <f>(HD99-Data!$U99)</f>
        <v>-3.6494775400797153E-5</v>
      </c>
    </row>
    <row r="100" spans="1:237" x14ac:dyDescent="0.2">
      <c r="A100">
        <v>100</v>
      </c>
      <c r="B100">
        <v>230.00212097168</v>
      </c>
      <c r="C100">
        <v>10.0003967285156</v>
      </c>
      <c r="D100">
        <v>1840.14831542969</v>
      </c>
      <c r="E100">
        <v>2300.10473632812</v>
      </c>
      <c r="F100">
        <v>-1380.00598144531</v>
      </c>
      <c r="G100">
        <v>49.9998970031738</v>
      </c>
      <c r="H100">
        <v>36.867729187011697</v>
      </c>
      <c r="I100">
        <v>1.53825962916017E-2</v>
      </c>
      <c r="J100" s="2">
        <v>4.6864570322213703E-6</v>
      </c>
      <c r="K100" s="2">
        <v>-9.0012335363098795E-9</v>
      </c>
      <c r="L100" s="2">
        <v>7.1729935768871695E-8</v>
      </c>
      <c r="M100" s="2">
        <v>-2.0533143185730299E-8</v>
      </c>
      <c r="N100">
        <v>74.678726196289105</v>
      </c>
      <c r="O100">
        <v>112.073532104492</v>
      </c>
      <c r="P100">
        <v>1.6619140282273299E-2</v>
      </c>
      <c r="Q100" s="2">
        <v>3.44732575285889E-6</v>
      </c>
      <c r="R100" s="2">
        <v>5.4179536412846102E-9</v>
      </c>
      <c r="S100" s="2">
        <v>5.7752050253157001E-8</v>
      </c>
      <c r="T100" s="2">
        <v>-5.6986455554408597E-9</v>
      </c>
      <c r="U100">
        <v>74.704284667968807</v>
      </c>
      <c r="V100">
        <v>39.970630645752003</v>
      </c>
      <c r="W100" s="2">
        <v>3.4028230607370999E+38</v>
      </c>
      <c r="X100" s="2">
        <v>3.4028230607370999E+38</v>
      </c>
      <c r="Y100">
        <v>1840.14819335938</v>
      </c>
      <c r="Z100">
        <v>2300.10473632812</v>
      </c>
      <c r="AA100">
        <v>-1380.00610351562</v>
      </c>
      <c r="AB100" s="2">
        <v>3.4028230607370999E+38</v>
      </c>
      <c r="AC100" s="2">
        <v>3.4028230607370999E+38</v>
      </c>
      <c r="AD100">
        <v>230.00201416015599</v>
      </c>
      <c r="AE100">
        <v>10.0003929138184</v>
      </c>
      <c r="AF100">
        <v>1840.15405273438</v>
      </c>
      <c r="AG100">
        <v>2300.10961914062</v>
      </c>
      <c r="AH100">
        <v>-1380.00610351562</v>
      </c>
      <c r="AI100">
        <v>49.9999809265137</v>
      </c>
      <c r="AJ100">
        <v>36.867702484130902</v>
      </c>
      <c r="AK100">
        <v>1.6554614529013599E-2</v>
      </c>
      <c r="AL100" s="2">
        <v>4.7077387534955102E-6</v>
      </c>
      <c r="AM100" s="2">
        <v>-7.4274013606157E-9</v>
      </c>
      <c r="AN100" s="2">
        <v>7.8184307028550406E-8</v>
      </c>
      <c r="AO100" s="2">
        <v>-2.8329191437137501E-8</v>
      </c>
      <c r="AP100">
        <v>74.5423583984375</v>
      </c>
      <c r="AQ100">
        <v>105.280563354492</v>
      </c>
      <c r="AR100">
        <v>1.8101051449775699E-2</v>
      </c>
      <c r="AS100" s="2">
        <v>3.42279690812575E-6</v>
      </c>
      <c r="AT100" s="2">
        <v>9.7355101758012097E-9</v>
      </c>
      <c r="AU100" s="2">
        <v>6.2119895005707804E-8</v>
      </c>
      <c r="AV100" s="2">
        <v>-3.4954334982018099E-9</v>
      </c>
      <c r="AW100">
        <v>74.822273254394503</v>
      </c>
      <c r="AX100">
        <v>11.923993110656699</v>
      </c>
      <c r="AY100" s="2">
        <v>3.4028230607370999E+38</v>
      </c>
      <c r="AZ100" s="2">
        <v>3.4028230607370999E+38</v>
      </c>
      <c r="BA100">
        <v>1840.15393066406</v>
      </c>
      <c r="BB100">
        <v>2300.10961914062</v>
      </c>
      <c r="BC100">
        <v>-1380.00622558594</v>
      </c>
      <c r="BD100" s="2">
        <v>3.4028230607370999E+38</v>
      </c>
      <c r="BE100" s="2">
        <v>3.4028230607370999E+38</v>
      </c>
      <c r="BF100">
        <v>230.00166320800801</v>
      </c>
      <c r="BG100">
        <v>10.0003776550293</v>
      </c>
      <c r="BH100">
        <v>1840.14477539062</v>
      </c>
      <c r="BI100">
        <v>2300.10424804688</v>
      </c>
      <c r="BJ100">
        <v>-1380.01440429688</v>
      </c>
      <c r="BK100">
        <v>50.000030517578097</v>
      </c>
      <c r="BL100">
        <v>36.867851257324197</v>
      </c>
      <c r="BM100">
        <v>1.48241864517331E-2</v>
      </c>
      <c r="BN100" s="2">
        <v>4.64742606709478E-6</v>
      </c>
      <c r="BO100" s="2">
        <v>7.8323765251297994E-9</v>
      </c>
      <c r="BP100" s="2">
        <v>6.7655811619715704E-8</v>
      </c>
      <c r="BQ100" s="2">
        <v>-7.05767089215215E-9</v>
      </c>
      <c r="BR100">
        <v>74.645698547363295</v>
      </c>
      <c r="BS100">
        <v>45.872428894042997</v>
      </c>
      <c r="BT100">
        <v>1.5927292406559001E-2</v>
      </c>
      <c r="BU100" s="2">
        <v>3.5352561553736501E-6</v>
      </c>
      <c r="BV100" s="2">
        <v>7.8954780491358195E-9</v>
      </c>
      <c r="BW100" s="2">
        <v>5.4753492406689501E-8</v>
      </c>
      <c r="BX100" s="2">
        <v>4.1457424160284997E-9</v>
      </c>
      <c r="BY100">
        <v>74.627372741699205</v>
      </c>
      <c r="BZ100">
        <v>-25.865898132324201</v>
      </c>
      <c r="CA100" s="2">
        <v>3.4028230607370999E+38</v>
      </c>
      <c r="CB100" s="2">
        <v>3.4028230607370999E+38</v>
      </c>
      <c r="CC100">
        <v>1840.14477539062</v>
      </c>
      <c r="CD100">
        <v>2300.10424804688</v>
      </c>
      <c r="CE100">
        <v>-1380.01452636719</v>
      </c>
      <c r="CF100" s="2">
        <v>3.4028230607370999E+38</v>
      </c>
      <c r="CG100" s="2">
        <v>3.4028230607370999E+38</v>
      </c>
      <c r="CH100">
        <v>230.00212097168</v>
      </c>
      <c r="CI100">
        <v>10.000389099121101</v>
      </c>
      <c r="CJ100">
        <v>1840.15551757812</v>
      </c>
      <c r="CK100">
        <v>2300.109375</v>
      </c>
      <c r="CL100">
        <v>-1380.00549316406</v>
      </c>
      <c r="CM100">
        <v>49.999935150146499</v>
      </c>
      <c r="CN100">
        <v>36.867740631103501</v>
      </c>
      <c r="CO100">
        <v>1.4660079963505299E-2</v>
      </c>
      <c r="CP100" s="2">
        <v>4.6569766709581001E-6</v>
      </c>
      <c r="CQ100" s="2">
        <v>-2.33795094395362E-9</v>
      </c>
      <c r="CR100" s="2">
        <v>6.8247544504629305E-8</v>
      </c>
      <c r="CS100" s="2">
        <v>-1.1544528888407499E-8</v>
      </c>
      <c r="CT100">
        <v>74.329154968261705</v>
      </c>
      <c r="CU100">
        <v>105.653778076172</v>
      </c>
      <c r="CV100">
        <v>1.52361281216145E-2</v>
      </c>
      <c r="CW100" s="2">
        <v>3.4583033539092901E-6</v>
      </c>
      <c r="CX100" s="2">
        <v>5.0306767640506703E-9</v>
      </c>
      <c r="CY100" s="2">
        <v>5.4315805186888597E-8</v>
      </c>
      <c r="CZ100" s="2">
        <v>-2.0363506436638099E-9</v>
      </c>
      <c r="DA100">
        <v>74.625213623046903</v>
      </c>
      <c r="DB100">
        <v>23.836685180664102</v>
      </c>
      <c r="DC100" s="2">
        <v>3.4028230607370999E+38</v>
      </c>
      <c r="DD100" s="2">
        <v>3.4028230607370999E+38</v>
      </c>
      <c r="DE100">
        <v>1840.15539550781</v>
      </c>
      <c r="DF100">
        <v>2300.109375</v>
      </c>
      <c r="DG100">
        <v>-1380.00561523438</v>
      </c>
      <c r="DH100" s="2">
        <v>3.4028230607370999E+38</v>
      </c>
      <c r="DI100" s="2">
        <v>3.4028230607370999E+38</v>
      </c>
      <c r="DJ100">
        <v>230.00215148925801</v>
      </c>
      <c r="DK100">
        <v>10.0004014968872</v>
      </c>
      <c r="DL100">
        <v>1840.14575195312</v>
      </c>
      <c r="DM100">
        <v>2300.10693359375</v>
      </c>
      <c r="DN100">
        <v>-1380.01245117188</v>
      </c>
      <c r="DO100">
        <v>49.999935150146499</v>
      </c>
      <c r="DP100">
        <v>36.867897033691399</v>
      </c>
      <c r="DQ100">
        <v>1.7702018842101101E-2</v>
      </c>
      <c r="DR100" s="2">
        <v>4.7744174480612898E-6</v>
      </c>
      <c r="DS100" s="2">
        <v>-1.93935645320664E-9</v>
      </c>
      <c r="DT100" s="2">
        <v>8.3929997174436695E-8</v>
      </c>
      <c r="DU100" s="2">
        <v>-2.7537117475162602E-8</v>
      </c>
      <c r="DV100">
        <v>74.436477661132798</v>
      </c>
      <c r="DW100">
        <v>99.368812561035199</v>
      </c>
      <c r="DX100">
        <v>1.9368140026927001E-2</v>
      </c>
      <c r="DY100" s="2">
        <v>3.3838421131804399E-6</v>
      </c>
      <c r="DZ100" s="2">
        <v>1.6124698021258201E-8</v>
      </c>
      <c r="EA100" s="2">
        <v>6.5422156581007598E-8</v>
      </c>
      <c r="EB100" s="2">
        <v>1.47652157167499E-9</v>
      </c>
      <c r="EC100">
        <v>74.666778564453097</v>
      </c>
      <c r="ED100">
        <v>-5.3397736549377397</v>
      </c>
      <c r="EE100" s="2">
        <v>3.4028230607370999E+38</v>
      </c>
      <c r="EF100" s="2">
        <v>3.4028230607370999E+38</v>
      </c>
      <c r="EG100">
        <v>1840.14562988281</v>
      </c>
      <c r="EH100">
        <v>2300.10693359375</v>
      </c>
      <c r="EI100">
        <v>-1380.01257324219</v>
      </c>
      <c r="EJ100" s="2">
        <v>3.4028230607370999E+38</v>
      </c>
      <c r="EK100" s="2">
        <v>3.4028230607370999E+38</v>
      </c>
      <c r="EL100">
        <v>123</v>
      </c>
      <c r="EM100">
        <v>230.001953125</v>
      </c>
      <c r="EN100">
        <v>10.000408172607401</v>
      </c>
      <c r="EO100">
        <v>1840.15246582031</v>
      </c>
      <c r="EP100">
        <v>2300.107421875</v>
      </c>
      <c r="EQ100">
        <v>-1380.00378417969</v>
      </c>
      <c r="ER100">
        <v>49.999954223632798</v>
      </c>
      <c r="ES100">
        <v>36.8676948547363</v>
      </c>
      <c r="ET100">
        <v>0.80002641677856401</v>
      </c>
      <c r="EU100" s="2">
        <v>3.4028230607370999E+38</v>
      </c>
      <c r="EV100">
        <v>0</v>
      </c>
      <c r="EW100">
        <v>230.00663757324199</v>
      </c>
      <c r="EX100">
        <v>1840.24475097656</v>
      </c>
      <c r="EY100">
        <v>2300.1591796875</v>
      </c>
      <c r="EZ100">
        <v>-1379.93273925781</v>
      </c>
      <c r="FA100">
        <v>7.2337528690695797E-3</v>
      </c>
      <c r="FB100">
        <v>1.7074421048164399E-2</v>
      </c>
      <c r="FC100" s="2">
        <v>4.7202306632243596E-6</v>
      </c>
      <c r="FD100" s="2">
        <v>-8.7909182155954097E-9</v>
      </c>
      <c r="FE100" s="2">
        <v>8.0830147908272894E-8</v>
      </c>
      <c r="FF100" s="2">
        <v>-2.88902555212189E-8</v>
      </c>
      <c r="FG100">
        <v>74.408782958984403</v>
      </c>
      <c r="FH100">
        <v>103.51821136474599</v>
      </c>
      <c r="FI100">
        <v>-8.3414234220981598E-2</v>
      </c>
      <c r="FJ100" s="2">
        <v>3.4028230607370999E+38</v>
      </c>
      <c r="FK100">
        <v>-32.610866546630902</v>
      </c>
      <c r="FL100">
        <v>1.9874397665262201E-2</v>
      </c>
      <c r="FM100">
        <v>0</v>
      </c>
      <c r="FN100">
        <v>0</v>
      </c>
      <c r="FO100">
        <v>0</v>
      </c>
      <c r="FP100">
        <v>-3.7359140696935399E-4</v>
      </c>
      <c r="FQ100">
        <v>1.7391821369528802E-2</v>
      </c>
      <c r="FR100" s="2">
        <v>3.4829224659915802E-6</v>
      </c>
      <c r="FS100" s="2">
        <v>8.2534983292248398E-9</v>
      </c>
      <c r="FT100" s="2">
        <v>6.0499594667362504E-8</v>
      </c>
      <c r="FU100" s="2">
        <v>-4.3294674512139897E-9</v>
      </c>
      <c r="FV100">
        <v>74.7723388671875</v>
      </c>
      <c r="FW100">
        <v>35.564914703369098</v>
      </c>
      <c r="FX100">
        <v>0.115714266896248</v>
      </c>
      <c r="FY100" s="2">
        <v>3.4028230607370999E+38</v>
      </c>
      <c r="FZ100">
        <v>-36.9190864562988</v>
      </c>
      <c r="GA100">
        <v>229.76571655273401</v>
      </c>
      <c r="GB100" s="2">
        <v>1.6119813261994401E-9</v>
      </c>
      <c r="GC100">
        <v>8.0775487003848E-4</v>
      </c>
      <c r="GD100" s="2">
        <v>-1.25106258686003E-9</v>
      </c>
      <c r="GE100" s="2">
        <v>4.3073072447441498E-5</v>
      </c>
      <c r="GF100" s="2">
        <v>3.4028230607370999E+38</v>
      </c>
      <c r="GG100" s="2">
        <v>3.4028230607370999E+38</v>
      </c>
      <c r="GH100">
        <v>1840.15637207031</v>
      </c>
      <c r="GI100">
        <v>2300.11108398438</v>
      </c>
      <c r="GJ100">
        <v>-1380.00830078125</v>
      </c>
      <c r="GK100" s="2">
        <v>3.4028230607370999E+38</v>
      </c>
      <c r="GL100" s="2">
        <v>3.4028230607370999E+38</v>
      </c>
      <c r="GM100" s="2">
        <v>3.4028230607370999E+38</v>
      </c>
      <c r="GN100" s="2">
        <v>3.4028230607370999E+38</v>
      </c>
      <c r="GO100" s="2">
        <v>3.4028230607370999E+38</v>
      </c>
      <c r="GP100" s="2">
        <v>3.4028230607370999E+38</v>
      </c>
      <c r="GQ100">
        <v>1840.19677734375</v>
      </c>
      <c r="GR100">
        <v>1840.19677734375</v>
      </c>
      <c r="GS100">
        <v>-1379.96862792969</v>
      </c>
      <c r="GT100">
        <v>-4.1715530096553299E-4</v>
      </c>
      <c r="GX100">
        <f t="shared" si="8"/>
        <v>230.00201416015639</v>
      </c>
      <c r="GY100">
        <f t="shared" si="9"/>
        <v>10.000391578674321</v>
      </c>
      <c r="GZ100">
        <f t="shared" si="10"/>
        <v>1840.1496826171856</v>
      </c>
      <c r="HA100">
        <f t="shared" si="11"/>
        <v>2300.1069824218739</v>
      </c>
      <c r="HB100">
        <f t="shared" si="12"/>
        <v>-1380.0088867187501</v>
      </c>
      <c r="HC100">
        <f t="shared" si="13"/>
        <v>49.99995574951172</v>
      </c>
      <c r="HD100">
        <f t="shared" si="14"/>
        <v>36.867784118652345</v>
      </c>
      <c r="HW100" s="10">
        <f>(GX100/Data!$S100-1)*1000000</f>
        <v>22.93971731948119</v>
      </c>
      <c r="HX100" s="10">
        <f>(GY100/Data!$T100-1)*1000000</f>
        <v>35.704744143494338</v>
      </c>
      <c r="HY100" s="10">
        <f>(GZ100/Data!$BW100-1)*1000000</f>
        <v>59.620235667523502</v>
      </c>
      <c r="HZ100" s="10">
        <f>(HA100/(Data!$S100*Data!$T100)-1)*1000000</f>
        <v>57.24393353401247</v>
      </c>
      <c r="IA100" s="7">
        <f>(HB100/IF(HD100&gt;0, -Data!$BX100,Data!$BX100)-1)*1000000</f>
        <v>74.861439705031785</v>
      </c>
      <c r="IB100" s="10"/>
      <c r="IC100" s="9">
        <f>(HD100-Data!$U100)</f>
        <v>3.6564865234822719E-4</v>
      </c>
    </row>
    <row r="101" spans="1:237" x14ac:dyDescent="0.2">
      <c r="A101">
        <v>101</v>
      </c>
      <c r="B101">
        <v>230.00199890136699</v>
      </c>
      <c r="C101">
        <v>10.000393867492701</v>
      </c>
      <c r="D101">
        <v>1840.15576171875</v>
      </c>
      <c r="E101">
        <v>2300.11450195312</v>
      </c>
      <c r="F101">
        <v>-1380.01037597656</v>
      </c>
      <c r="G101">
        <v>49.999958038330099</v>
      </c>
      <c r="H101">
        <v>36.8676567077637</v>
      </c>
      <c r="I101">
        <v>1.44632300361991E-2</v>
      </c>
      <c r="J101" s="2">
        <v>4.69452106699464E-6</v>
      </c>
      <c r="K101" s="2">
        <v>-3.07209635508343E-9</v>
      </c>
      <c r="L101" s="2">
        <v>6.7790779212373296E-8</v>
      </c>
      <c r="M101" s="2">
        <v>-1.1510048025797899E-8</v>
      </c>
      <c r="N101">
        <v>74.513275146484403</v>
      </c>
      <c r="O101">
        <v>101.30385589599599</v>
      </c>
      <c r="P101">
        <v>1.5631871297955499E-2</v>
      </c>
      <c r="Q101" s="2">
        <v>3.42072553394246E-6</v>
      </c>
      <c r="R101" s="2">
        <v>5.5676432353379799E-9</v>
      </c>
      <c r="S101" s="2">
        <v>5.3113797804371603E-8</v>
      </c>
      <c r="T101" s="2">
        <v>-1.8853343330960099E-9</v>
      </c>
      <c r="U101">
        <v>74.743278503417997</v>
      </c>
      <c r="V101">
        <v>17.152744293212901</v>
      </c>
      <c r="W101" s="2">
        <v>3.4028230607370999E+38</v>
      </c>
      <c r="X101" s="2">
        <v>3.4028230607370999E+38</v>
      </c>
      <c r="Y101">
        <v>1840.15563964844</v>
      </c>
      <c r="Z101">
        <v>2300.11450195312</v>
      </c>
      <c r="AA101">
        <v>-1380.01049804688</v>
      </c>
      <c r="AB101" s="2">
        <v>3.4028230607370999E+38</v>
      </c>
      <c r="AC101" s="2">
        <v>3.4028230607370999E+38</v>
      </c>
      <c r="AD101">
        <v>230.00209045410199</v>
      </c>
      <c r="AE101">
        <v>10.000405311584499</v>
      </c>
      <c r="AF101">
        <v>1840.1533203125</v>
      </c>
      <c r="AG101">
        <v>2300.10717773438</v>
      </c>
      <c r="AH101">
        <v>-1380.00390625</v>
      </c>
      <c r="AI101">
        <v>49.999973297119098</v>
      </c>
      <c r="AJ101">
        <v>36.867763519287102</v>
      </c>
      <c r="AK101">
        <v>1.5533754602074601E-2</v>
      </c>
      <c r="AL101" s="2">
        <v>4.6818909140711202E-6</v>
      </c>
      <c r="AM101" s="2">
        <v>-6.4417524647808502E-9</v>
      </c>
      <c r="AN101" s="2">
        <v>7.2738217227197297E-8</v>
      </c>
      <c r="AO101" s="2">
        <v>-1.7913492911247899E-8</v>
      </c>
      <c r="AP101">
        <v>74.617134094238295</v>
      </c>
      <c r="AQ101">
        <v>109.77874755859401</v>
      </c>
      <c r="AR101">
        <v>1.6446335241198502E-2</v>
      </c>
      <c r="AS101" s="2">
        <v>3.4031452287308601E-6</v>
      </c>
      <c r="AT101" s="2">
        <v>6.5383707337218799E-9</v>
      </c>
      <c r="AU101" s="2">
        <v>5.5865879033945001E-8</v>
      </c>
      <c r="AV101" s="2">
        <v>-5.7629874206099901E-9</v>
      </c>
      <c r="AW101">
        <v>74.703178405761705</v>
      </c>
      <c r="AX101">
        <v>41.733238220214801</v>
      </c>
      <c r="AY101" s="2">
        <v>3.4028230607370999E+38</v>
      </c>
      <c r="AZ101" s="2">
        <v>3.4028230607370999E+38</v>
      </c>
      <c r="BA101">
        <v>1840.15319824219</v>
      </c>
      <c r="BB101">
        <v>2300.10717773438</v>
      </c>
      <c r="BC101">
        <v>-1380.00402832031</v>
      </c>
      <c r="BD101" s="2">
        <v>3.4028230607370999E+38</v>
      </c>
      <c r="BE101" s="2">
        <v>3.4028230607370999E+38</v>
      </c>
      <c r="BF101">
        <v>230.001953125</v>
      </c>
      <c r="BG101">
        <v>10.0003967285156</v>
      </c>
      <c r="BH101">
        <v>1840.15258789062</v>
      </c>
      <c r="BI101">
        <v>2300.10668945312</v>
      </c>
      <c r="BJ101">
        <v>-1380.0048828125</v>
      </c>
      <c r="BK101">
        <v>49.999954223632798</v>
      </c>
      <c r="BL101">
        <v>36.867706298828097</v>
      </c>
      <c r="BM101">
        <v>1.6312742605805401E-2</v>
      </c>
      <c r="BN101" s="2">
        <v>4.7299608922912697E-6</v>
      </c>
      <c r="BO101" s="2">
        <v>-9.5289554025157502E-9</v>
      </c>
      <c r="BP101" s="2">
        <v>7.70449091191949E-8</v>
      </c>
      <c r="BQ101" s="2">
        <v>-2.4835056677829899E-8</v>
      </c>
      <c r="BR101">
        <v>74.631774902343807</v>
      </c>
      <c r="BS101">
        <v>111.284065246582</v>
      </c>
      <c r="BT101">
        <v>1.7422426491975802E-2</v>
      </c>
      <c r="BU101" s="2">
        <v>3.4740810406219701E-6</v>
      </c>
      <c r="BV101" s="2">
        <v>1.02597788043113E-8</v>
      </c>
      <c r="BW101" s="2">
        <v>5.9793585194256606E-8</v>
      </c>
      <c r="BX101" s="2">
        <v>-4.5312673613295804E-9</v>
      </c>
      <c r="BY101">
        <v>74.730545043945298</v>
      </c>
      <c r="BZ101">
        <v>22.0257663726807</v>
      </c>
      <c r="CA101" s="2">
        <v>3.4028230607370999E+38</v>
      </c>
      <c r="CB101" s="2">
        <v>3.4028230607370999E+38</v>
      </c>
      <c r="CC101">
        <v>1840.15246582031</v>
      </c>
      <c r="CD101">
        <v>2300.10668945312</v>
      </c>
      <c r="CE101">
        <v>-1380.00500488281</v>
      </c>
      <c r="CF101" s="2">
        <v>3.4028230607370999E+38</v>
      </c>
      <c r="CG101" s="2">
        <v>3.4028230607370999E+38</v>
      </c>
      <c r="CH101">
        <v>230.00193786621099</v>
      </c>
      <c r="CI101">
        <v>10.000384330749499</v>
      </c>
      <c r="CJ101">
        <v>1840.14453125</v>
      </c>
      <c r="CK101">
        <v>2300.10375976562</v>
      </c>
      <c r="CL101">
        <v>-1380.00927734375</v>
      </c>
      <c r="CM101">
        <v>49.999935150146499</v>
      </c>
      <c r="CN101">
        <v>36.867904663085902</v>
      </c>
      <c r="CO101">
        <v>1.4727213419973901E-2</v>
      </c>
      <c r="CP101" s="2">
        <v>4.5978958951309298E-6</v>
      </c>
      <c r="CQ101" s="2">
        <v>4.1313255039199199E-9</v>
      </c>
      <c r="CR101" s="2">
        <v>6.6475877247285098E-8</v>
      </c>
      <c r="CS101" s="2">
        <v>-9.3652250399145503E-9</v>
      </c>
      <c r="CT101">
        <v>74.656196594238295</v>
      </c>
      <c r="CU101">
        <v>62.742961883544901</v>
      </c>
      <c r="CV101">
        <v>1.5875348821282401E-2</v>
      </c>
      <c r="CW101" s="2">
        <v>3.6009521409141598E-6</v>
      </c>
      <c r="CX101" s="2">
        <v>7.9219084625492492E-9</v>
      </c>
      <c r="CY101" s="2">
        <v>5.6227129618946499E-8</v>
      </c>
      <c r="CZ101" s="2">
        <v>4.1147640850169897E-9</v>
      </c>
      <c r="DA101">
        <v>74.758522033691406</v>
      </c>
      <c r="DB101">
        <v>-24.420042037963899</v>
      </c>
      <c r="DC101" s="2">
        <v>3.4028230607370999E+38</v>
      </c>
      <c r="DD101" s="2">
        <v>3.4028230607370999E+38</v>
      </c>
      <c r="DE101">
        <v>1840.14453125</v>
      </c>
      <c r="DF101">
        <v>2300.10375976562</v>
      </c>
      <c r="DG101">
        <v>-1380.00939941406</v>
      </c>
      <c r="DH101" s="2">
        <v>3.4028230607370999E+38</v>
      </c>
      <c r="DI101" s="2">
        <v>3.4028230607370999E+38</v>
      </c>
      <c r="DJ101">
        <v>230.00222778320301</v>
      </c>
      <c r="DK101">
        <v>10.0004072189331</v>
      </c>
      <c r="DL101">
        <v>1840.15368652344</v>
      </c>
      <c r="DM101">
        <v>2300.10961914062</v>
      </c>
      <c r="DN101">
        <v>-1380.00939941406</v>
      </c>
      <c r="DO101">
        <v>49.999969482421903</v>
      </c>
      <c r="DP101">
        <v>36.867576599121101</v>
      </c>
      <c r="DQ101">
        <v>1.5949741005897501E-2</v>
      </c>
      <c r="DR101" s="2">
        <v>4.7147582336037902E-6</v>
      </c>
      <c r="DS101" s="2">
        <v>-8.1344060376409305E-9</v>
      </c>
      <c r="DT101" s="2">
        <v>7.4104100633576295E-8</v>
      </c>
      <c r="DU101" s="2">
        <v>-2.1285618601041302E-8</v>
      </c>
      <c r="DV101">
        <v>74.722969055175795</v>
      </c>
      <c r="DW101">
        <v>111.865600585938</v>
      </c>
      <c r="DX101">
        <v>1.701077260077E-2</v>
      </c>
      <c r="DY101" s="2">
        <v>3.4214440347568602E-6</v>
      </c>
      <c r="DZ101" s="2">
        <v>5.9524909445940499E-9</v>
      </c>
      <c r="EA101" s="2">
        <v>6.0128520829039203E-8</v>
      </c>
      <c r="EB101" s="2">
        <v>-5.9230211846283997E-9</v>
      </c>
      <c r="EC101">
        <v>74.676124572753906</v>
      </c>
      <c r="ED101">
        <v>44.857810974121101</v>
      </c>
      <c r="EE101" s="2">
        <v>3.4028230607370999E+38</v>
      </c>
      <c r="EF101" s="2">
        <v>3.4028230607370999E+38</v>
      </c>
      <c r="EG101">
        <v>1840.15356445312</v>
      </c>
      <c r="EH101">
        <v>2300.10961914062</v>
      </c>
      <c r="EI101">
        <v>-1380.00952148438</v>
      </c>
      <c r="EJ101" s="2">
        <v>3.4028230607370999E+38</v>
      </c>
      <c r="EK101" s="2">
        <v>3.4028230607370999E+38</v>
      </c>
      <c r="EL101">
        <v>123</v>
      </c>
      <c r="EM101">
        <v>230.00190734863301</v>
      </c>
      <c r="EN101">
        <v>10.000399589538601</v>
      </c>
      <c r="EO101">
        <v>1840.15551757812</v>
      </c>
      <c r="EP101">
        <v>2300.10717773438</v>
      </c>
      <c r="EQ101">
        <v>-1380.00866699219</v>
      </c>
      <c r="ER101">
        <v>49.999931335449197</v>
      </c>
      <c r="ES101">
        <v>36.867820739746101</v>
      </c>
      <c r="ET101">
        <v>0.80002796649932895</v>
      </c>
      <c r="EU101" s="2">
        <v>3.4028230607370999E+38</v>
      </c>
      <c r="EV101">
        <v>0</v>
      </c>
      <c r="EW101">
        <v>230.00712585449199</v>
      </c>
      <c r="EX101">
        <v>1840.23217773438</v>
      </c>
      <c r="EY101">
        <v>2300.16235351562</v>
      </c>
      <c r="EZ101">
        <v>-1379.94946289062</v>
      </c>
      <c r="FA101">
        <v>4.9918568693101397E-3</v>
      </c>
      <c r="FB101">
        <v>1.5970187261700599E-2</v>
      </c>
      <c r="FC101" s="2">
        <v>4.7123294280026997E-6</v>
      </c>
      <c r="FD101" s="2">
        <v>-9.0615515091485593E-9</v>
      </c>
      <c r="FE101" s="2">
        <v>7.5754243766823506E-8</v>
      </c>
      <c r="FF101" s="2">
        <v>-2.6692568155794999E-8</v>
      </c>
      <c r="FG101">
        <v>74.581687927246094</v>
      </c>
      <c r="FH101">
        <v>111.19906616210901</v>
      </c>
      <c r="FI101">
        <v>-0.12348329275846499</v>
      </c>
      <c r="FJ101" s="2">
        <v>3.4028230607370999E+38</v>
      </c>
      <c r="FK101">
        <v>46.667644500732401</v>
      </c>
      <c r="FL101">
        <v>2.0309284329414399E-2</v>
      </c>
      <c r="FM101">
        <v>0</v>
      </c>
      <c r="FN101">
        <v>0</v>
      </c>
      <c r="FO101">
        <v>0</v>
      </c>
      <c r="FP101">
        <v>-3.76511452486739E-4</v>
      </c>
      <c r="FQ101">
        <v>1.7558792605996101E-2</v>
      </c>
      <c r="FR101" s="2">
        <v>3.4908277939393901E-6</v>
      </c>
      <c r="FS101" s="2">
        <v>7.9247746143096298E-9</v>
      </c>
      <c r="FT101" s="2">
        <v>6.0293999126770399E-8</v>
      </c>
      <c r="FU101" s="2">
        <v>-5.48412648626595E-9</v>
      </c>
      <c r="FV101">
        <v>74.722244262695298</v>
      </c>
      <c r="FW101">
        <v>27.5443210601807</v>
      </c>
      <c r="FX101">
        <v>0.14027632772922499</v>
      </c>
      <c r="FY101" s="2">
        <v>3.4028230607370999E+38</v>
      </c>
      <c r="FZ101">
        <v>-13.479734420776399</v>
      </c>
      <c r="GA101">
        <v>229.15943908691401</v>
      </c>
      <c r="GB101" s="2">
        <v>-8.7735853304682404E-11</v>
      </c>
      <c r="GC101">
        <v>7.8334507998079105E-4</v>
      </c>
      <c r="GD101" s="2">
        <v>-1.5987460244559799E-9</v>
      </c>
      <c r="GE101" s="2">
        <v>3.7313224311219501E-5</v>
      </c>
      <c r="GF101" s="2">
        <v>3.4028230607370999E+38</v>
      </c>
      <c r="GG101" s="2">
        <v>3.4028230607370999E+38</v>
      </c>
      <c r="GH101">
        <v>1840.16064453125</v>
      </c>
      <c r="GI101">
        <v>2300.11303710938</v>
      </c>
      <c r="GJ101">
        <v>-1380.0029296875</v>
      </c>
      <c r="GK101" s="2">
        <v>3.4028230607370999E+38</v>
      </c>
      <c r="GL101" s="2">
        <v>3.4028230607370999E+38</v>
      </c>
      <c r="GM101" s="2">
        <v>3.4028230607370999E+38</v>
      </c>
      <c r="GN101" s="2">
        <v>3.4028230607370999E+38</v>
      </c>
      <c r="GO101" s="2">
        <v>3.4028230607370999E+38</v>
      </c>
      <c r="GP101" s="2">
        <v>3.4028230607370999E+38</v>
      </c>
      <c r="GQ101">
        <v>1840.23669433594</v>
      </c>
      <c r="GR101">
        <v>1840.23669433594</v>
      </c>
      <c r="GS101">
        <v>-1379.94519042969</v>
      </c>
      <c r="GT101">
        <v>6.0796863399446002E-3</v>
      </c>
      <c r="GX101">
        <f t="shared" si="8"/>
        <v>230.00204162597657</v>
      </c>
      <c r="GY101">
        <f t="shared" si="9"/>
        <v>10.000397491455079</v>
      </c>
      <c r="GZ101">
        <f t="shared" si="10"/>
        <v>1840.1519775390618</v>
      </c>
      <c r="HA101">
        <f t="shared" si="11"/>
        <v>2300.1083496093715</v>
      </c>
      <c r="HB101">
        <f t="shared" si="12"/>
        <v>-1380.0075683593739</v>
      </c>
      <c r="HC101">
        <f t="shared" si="13"/>
        <v>49.999958038330071</v>
      </c>
      <c r="HD101">
        <f t="shared" si="14"/>
        <v>36.86772155761718</v>
      </c>
      <c r="HW101" s="10">
        <f>(GX101/Data!$S101-1)*1000000</f>
        <v>23.265230296498629</v>
      </c>
      <c r="HX101" s="10">
        <f>(GY101/Data!$T101-1)*1000000</f>
        <v>35.512995074871156</v>
      </c>
      <c r="HY101" s="10">
        <f>(GZ101/Data!$BW101-1)*1000000</f>
        <v>60.534827115654721</v>
      </c>
      <c r="HZ101" s="10">
        <f>(HA101/(Data!$S101*Data!$T101)-1)*1000000</f>
        <v>57.261428968446992</v>
      </c>
      <c r="IA101" s="7">
        <f>(HB101/IF(HD101&gt;0, -Data!$BX101,Data!$BX101)-1)*1000000</f>
        <v>72.894304296466927</v>
      </c>
      <c r="IB101" s="10"/>
      <c r="IC101" s="9">
        <f>(HD101-Data!$U101)</f>
        <v>2.8440761717973828E-4</v>
      </c>
    </row>
    <row r="102" spans="1:237" x14ac:dyDescent="0.2">
      <c r="A102">
        <v>102</v>
      </c>
      <c r="B102">
        <v>230.00181579589801</v>
      </c>
      <c r="C102">
        <v>6.0002994537353498</v>
      </c>
      <c r="D102">
        <v>-7.2236292064189897E-2</v>
      </c>
      <c r="E102">
        <v>1380.08154296875</v>
      </c>
      <c r="F102">
        <v>1380.08178710938</v>
      </c>
      <c r="G102">
        <v>49.999954223632798</v>
      </c>
      <c r="H102">
        <v>-90.002967834472699</v>
      </c>
      <c r="I102">
        <v>1.6957003623247102E-2</v>
      </c>
      <c r="J102" s="2">
        <v>3.9743235902278701E-6</v>
      </c>
      <c r="K102" s="2">
        <v>1.46624916652627E-8</v>
      </c>
      <c r="L102" s="2">
        <v>6.86237129343681E-8</v>
      </c>
      <c r="M102" s="2">
        <v>1.19535004117211E-8</v>
      </c>
      <c r="N102">
        <v>74.665237426757798</v>
      </c>
      <c r="O102">
        <v>-37.532722473144503</v>
      </c>
      <c r="P102">
        <v>1.86885055154562E-2</v>
      </c>
      <c r="Q102" s="2">
        <v>3.3007145248120701E-6</v>
      </c>
      <c r="R102" s="2">
        <v>6.5997735054779096E-10</v>
      </c>
      <c r="S102" s="2">
        <v>6.0550959801730602E-8</v>
      </c>
      <c r="T102" s="2">
        <v>7.8875492803831499E-9</v>
      </c>
      <c r="U102">
        <v>74.763916015625</v>
      </c>
      <c r="V102">
        <v>-85.217018127441406</v>
      </c>
      <c r="W102" s="2">
        <v>3.4028230607370999E+38</v>
      </c>
      <c r="X102" s="2">
        <v>3.4028230607370999E+38</v>
      </c>
      <c r="Y102">
        <v>-7.2236277163028703E-2</v>
      </c>
      <c r="Z102">
        <v>1380.08154296875</v>
      </c>
      <c r="AA102">
        <v>1380.08178710938</v>
      </c>
      <c r="AB102" s="2">
        <v>3.4028230607370999E+38</v>
      </c>
      <c r="AC102" s="2">
        <v>3.4028230607370999E+38</v>
      </c>
      <c r="AD102">
        <v>230.00215148925801</v>
      </c>
      <c r="AE102">
        <v>6.0002818107604998</v>
      </c>
      <c r="AF102">
        <v>-7.3101438581943498E-2</v>
      </c>
      <c r="AG102">
        <v>1380.07604980469</v>
      </c>
      <c r="AH102">
        <v>1380.0771484375</v>
      </c>
      <c r="AI102">
        <v>49.999946594238303</v>
      </c>
      <c r="AJ102">
        <v>-90.002906799316406</v>
      </c>
      <c r="AK102">
        <v>1.7703199759125699E-2</v>
      </c>
      <c r="AL102" s="2">
        <v>3.9154315345513203E-6</v>
      </c>
      <c r="AM102" s="2">
        <v>1.3933500575547E-8</v>
      </c>
      <c r="AN102" s="2">
        <v>6.9986711537239898E-8</v>
      </c>
      <c r="AO102" s="2">
        <v>1.82141963733784E-8</v>
      </c>
      <c r="AP102">
        <v>74.753501892089801</v>
      </c>
      <c r="AQ102">
        <v>-49.591838836669901</v>
      </c>
      <c r="AR102">
        <v>1.9708111882209799E-2</v>
      </c>
      <c r="AS102" s="2">
        <v>3.2710470350139101E-6</v>
      </c>
      <c r="AT102" s="2">
        <v>-4.2430015056993398E-10</v>
      </c>
      <c r="AU102" s="2">
        <v>6.4247515751958404E-8</v>
      </c>
      <c r="AV102" s="2">
        <v>8.9877394415793804E-9</v>
      </c>
      <c r="AW102">
        <v>74.760154724121094</v>
      </c>
      <c r="AX102">
        <v>-83.710853576660199</v>
      </c>
      <c r="AY102" s="2">
        <v>3.4028230607370999E+38</v>
      </c>
      <c r="AZ102" s="2">
        <v>3.4028230607370999E+38</v>
      </c>
      <c r="BA102">
        <v>-7.3101431131362901E-2</v>
      </c>
      <c r="BB102">
        <v>1380.07604980469</v>
      </c>
      <c r="BC102">
        <v>1380.0771484375</v>
      </c>
      <c r="BD102" s="2">
        <v>3.4028230607370999E+38</v>
      </c>
      <c r="BE102" s="2">
        <v>3.4028230607370999E+38</v>
      </c>
      <c r="BF102">
        <v>230.00228881835901</v>
      </c>
      <c r="BG102">
        <v>6.0003075599670401</v>
      </c>
      <c r="BH102">
        <v>-6.9748401641845703E-2</v>
      </c>
      <c r="BI102">
        <v>1380.08374023438</v>
      </c>
      <c r="BJ102">
        <v>1380.08508300781</v>
      </c>
      <c r="BK102">
        <v>49.999954223632798</v>
      </c>
      <c r="BL102">
        <v>-90.002983093261705</v>
      </c>
      <c r="BM102">
        <v>1.44620547071099E-2</v>
      </c>
      <c r="BN102" s="2">
        <v>4.0176346374210004E-6</v>
      </c>
      <c r="BO102" s="2">
        <v>3.82640186202821E-9</v>
      </c>
      <c r="BP102" s="2">
        <v>5.8196302887836302E-8</v>
      </c>
      <c r="BQ102" s="2">
        <v>7.6973227791654608E-9</v>
      </c>
      <c r="BR102">
        <v>74.615188598632798</v>
      </c>
      <c r="BS102">
        <v>-61.295787811279297</v>
      </c>
      <c r="BT102">
        <v>1.5653295442461999E-2</v>
      </c>
      <c r="BU102" s="2">
        <v>3.1511624456470599E-6</v>
      </c>
      <c r="BV102" s="2">
        <v>-5.8557719784246801E-10</v>
      </c>
      <c r="BW102" s="2">
        <v>5.0979394927708199E-8</v>
      </c>
      <c r="BX102" s="2">
        <v>2.1418538054263102E-9</v>
      </c>
      <c r="BY102">
        <v>74.764579772949205</v>
      </c>
      <c r="BZ102">
        <v>-134.80586242675801</v>
      </c>
      <c r="CA102" s="2">
        <v>3.4028230607370999E+38</v>
      </c>
      <c r="CB102" s="2">
        <v>3.4028230607370999E+38</v>
      </c>
      <c r="CC102">
        <v>-6.9748401641845703E-2</v>
      </c>
      <c r="CD102">
        <v>1380.08374023438</v>
      </c>
      <c r="CE102">
        <v>1380.08508300781</v>
      </c>
      <c r="CF102" s="2">
        <v>3.4028230607370999E+38</v>
      </c>
      <c r="CG102" s="2">
        <v>3.4028230607370999E+38</v>
      </c>
      <c r="CH102">
        <v>230.001953125</v>
      </c>
      <c r="CI102">
        <v>6.0003104209899902</v>
      </c>
      <c r="CJ102">
        <v>-6.9636367261409801E-2</v>
      </c>
      <c r="CK102">
        <v>1380.08752441406</v>
      </c>
      <c r="CL102">
        <v>1380.08813476562</v>
      </c>
      <c r="CM102">
        <v>49.999996185302699</v>
      </c>
      <c r="CN102">
        <v>-90.003036499023395</v>
      </c>
      <c r="CO102">
        <v>1.5333676710724799E-2</v>
      </c>
      <c r="CP102" s="2">
        <v>4.0503023228666296E-6</v>
      </c>
      <c r="CQ102" s="2">
        <v>1.119931081206E-8</v>
      </c>
      <c r="CR102" s="2">
        <v>6.2245433696261898E-8</v>
      </c>
      <c r="CS102" s="2">
        <v>8.1767366211238401E-9</v>
      </c>
      <c r="CT102">
        <v>74.687759399414105</v>
      </c>
      <c r="CU102">
        <v>-34.399337768554702</v>
      </c>
      <c r="CV102">
        <v>1.6451520845293999E-2</v>
      </c>
      <c r="CW102" s="2">
        <v>3.1851636776991701E-6</v>
      </c>
      <c r="CX102" s="2">
        <v>2.6592477109233001E-9</v>
      </c>
      <c r="CY102" s="2">
        <v>5.4063640675394702E-8</v>
      </c>
      <c r="CZ102" s="2">
        <v>5.6146505222898197E-9</v>
      </c>
      <c r="DA102">
        <v>74.791931152343807</v>
      </c>
      <c r="DB102">
        <v>-63.8623657226562</v>
      </c>
      <c r="DC102" s="2">
        <v>3.4028230607370999E+38</v>
      </c>
      <c r="DD102" s="2">
        <v>3.4028230607370999E+38</v>
      </c>
      <c r="DE102">
        <v>-6.9636359810829204E-2</v>
      </c>
      <c r="DF102">
        <v>1380.08752441406</v>
      </c>
      <c r="DG102">
        <v>1380.08813476562</v>
      </c>
      <c r="DH102" s="2">
        <v>3.4028230607370999E+38</v>
      </c>
      <c r="DI102" s="2">
        <v>3.4028230607370999E+38</v>
      </c>
      <c r="DJ102">
        <v>230.00253295898401</v>
      </c>
      <c r="DK102">
        <v>6.0003128051757804</v>
      </c>
      <c r="DL102">
        <v>-6.7055709660053295E-2</v>
      </c>
      <c r="DM102">
        <v>1380.08532714844</v>
      </c>
      <c r="DN102">
        <v>1380.08776855469</v>
      </c>
      <c r="DO102">
        <v>49.999969482421903</v>
      </c>
      <c r="DP102">
        <v>-90.002784729003906</v>
      </c>
      <c r="DQ102">
        <v>1.58935450017452E-2</v>
      </c>
      <c r="DR102" s="2">
        <v>4.0201975934905897E-6</v>
      </c>
      <c r="DS102" s="2">
        <v>1.33136968116787E-8</v>
      </c>
      <c r="DT102" s="2">
        <v>6.52706617643162E-8</v>
      </c>
      <c r="DU102" s="2">
        <v>9.7846681867963492E-9</v>
      </c>
      <c r="DV102">
        <v>74.607261657714801</v>
      </c>
      <c r="DW102">
        <v>-35.951961517333999</v>
      </c>
      <c r="DX102">
        <v>1.72612406313419E-2</v>
      </c>
      <c r="DY102" s="2">
        <v>3.2601774364593401E-6</v>
      </c>
      <c r="DZ102" s="2">
        <v>4.08036671117884E-9</v>
      </c>
      <c r="EA102" s="2">
        <v>5.4904717217141297E-8</v>
      </c>
      <c r="EB102" s="2">
        <v>7.6459496511915892E-9</v>
      </c>
      <c r="EC102">
        <v>74.707290649414105</v>
      </c>
      <c r="ED102">
        <v>-67.471824645996094</v>
      </c>
      <c r="EE102" s="2">
        <v>3.4028230607370999E+38</v>
      </c>
      <c r="EF102" s="2">
        <v>3.4028230607370999E+38</v>
      </c>
      <c r="EG102">
        <v>-6.7055694758892101E-2</v>
      </c>
      <c r="EH102">
        <v>1380.08532714844</v>
      </c>
      <c r="EI102">
        <v>1380.08776855469</v>
      </c>
      <c r="EJ102" s="2">
        <v>3.4028230607370999E+38</v>
      </c>
      <c r="EK102" s="2">
        <v>3.4028230607370999E+38</v>
      </c>
      <c r="EL102">
        <v>123</v>
      </c>
      <c r="EM102">
        <v>230.00259399414099</v>
      </c>
      <c r="EN102">
        <v>6.0003027915954599</v>
      </c>
      <c r="EO102">
        <v>-7.0687860250472995E-2</v>
      </c>
      <c r="EP102">
        <v>1380.08251953125</v>
      </c>
      <c r="EQ102">
        <v>1380.08374023438</v>
      </c>
      <c r="ER102">
        <v>49.999954223632798</v>
      </c>
      <c r="ES102">
        <v>-90.002944946289105</v>
      </c>
      <c r="ET102" s="2">
        <v>-4.9079480959335301E-5</v>
      </c>
      <c r="EU102" s="2">
        <v>3.4028230607370999E+38</v>
      </c>
      <c r="EV102">
        <v>0</v>
      </c>
      <c r="EW102">
        <v>230.00714111328099</v>
      </c>
      <c r="EX102">
        <v>-0.107795424759388</v>
      </c>
      <c r="EY102">
        <v>1380.11096191406</v>
      </c>
      <c r="EZ102">
        <v>1380.08312988281</v>
      </c>
      <c r="FA102">
        <v>-3.9607076905667799E-3</v>
      </c>
      <c r="FB102">
        <v>1.6840742900967601E-2</v>
      </c>
      <c r="FC102" s="2">
        <v>3.9783135434845496E-6</v>
      </c>
      <c r="FD102" s="2">
        <v>1.7087018022721201E-8</v>
      </c>
      <c r="FE102" s="2">
        <v>6.7624604582761094E-8</v>
      </c>
      <c r="FF102" s="2">
        <v>1.40321922970088E-8</v>
      </c>
      <c r="FG102">
        <v>74.733360290527301</v>
      </c>
      <c r="FH102">
        <v>-39.5682373046875</v>
      </c>
      <c r="FI102">
        <v>0.253807783126831</v>
      </c>
      <c r="FJ102" s="2">
        <v>3.4028230607370999E+38</v>
      </c>
      <c r="FK102">
        <v>27.8891296386719</v>
      </c>
      <c r="FL102">
        <v>2.10259258747101E-2</v>
      </c>
      <c r="FM102">
        <v>0</v>
      </c>
      <c r="FN102">
        <v>0</v>
      </c>
      <c r="FO102">
        <v>0</v>
      </c>
      <c r="FP102">
        <v>1.7198128625750501E-4</v>
      </c>
      <c r="FQ102">
        <v>1.90262775868177E-2</v>
      </c>
      <c r="FR102" s="2">
        <v>3.1948986816132699E-6</v>
      </c>
      <c r="FS102" s="2">
        <v>1.12194831203283E-9</v>
      </c>
      <c r="FT102" s="2">
        <v>6.0813469815457197E-8</v>
      </c>
      <c r="FU102" s="2">
        <v>8.2609936669086892E-9</v>
      </c>
      <c r="FV102">
        <v>74.800666809082003</v>
      </c>
      <c r="FW102">
        <v>-84.061653137207003</v>
      </c>
      <c r="FX102">
        <v>1.3545475900173199E-2</v>
      </c>
      <c r="FY102" s="2">
        <v>3.4028230607370999E+38</v>
      </c>
      <c r="FZ102">
        <v>-10.609734535217299</v>
      </c>
      <c r="GA102">
        <v>229.18281555175801</v>
      </c>
      <c r="GB102" s="2">
        <v>-2.4090995864867198E-9</v>
      </c>
      <c r="GC102">
        <v>7.4150529690086798E-4</v>
      </c>
      <c r="GD102" s="2">
        <v>6.5551430949994896E-10</v>
      </c>
      <c r="GE102">
        <v>-1.07641077192966E-4</v>
      </c>
      <c r="GF102" s="2">
        <v>3.4028230607370999E+38</v>
      </c>
      <c r="GG102" s="2">
        <v>3.4028230607370999E+38</v>
      </c>
      <c r="GH102">
        <v>-6.7843161523342105E-2</v>
      </c>
      <c r="GI102">
        <v>1380.07629394531</v>
      </c>
      <c r="GJ102">
        <v>1380.0771484375</v>
      </c>
      <c r="GK102" s="2">
        <v>3.4028230607370999E+38</v>
      </c>
      <c r="GL102" s="2">
        <v>3.4028230607370999E+38</v>
      </c>
      <c r="GM102" s="2">
        <v>3.4028230607370999E+38</v>
      </c>
      <c r="GN102" s="2">
        <v>3.4028230607370999E+38</v>
      </c>
      <c r="GO102" s="2">
        <v>3.4028230607370999E+38</v>
      </c>
      <c r="GP102" s="2">
        <v>3.4028230607370999E+38</v>
      </c>
      <c r="GQ102">
        <v>-0.132542729377747</v>
      </c>
      <c r="GR102">
        <v>-0.132542729377747</v>
      </c>
      <c r="GS102">
        <v>1380.06042480469</v>
      </c>
      <c r="GT102">
        <v>-5.07197482511401E-3</v>
      </c>
      <c r="GX102">
        <f t="shared" si="8"/>
        <v>230.00214843749981</v>
      </c>
      <c r="GY102">
        <f t="shared" si="9"/>
        <v>6.0003024101257321</v>
      </c>
      <c r="GZ102">
        <f t="shared" si="10"/>
        <v>-7.0355641841888444E-2</v>
      </c>
      <c r="HA102">
        <f t="shared" si="11"/>
        <v>1380.082836914064</v>
      </c>
      <c r="HB102">
        <f t="shared" si="12"/>
        <v>1380.0839843750002</v>
      </c>
      <c r="HC102">
        <f t="shared" si="13"/>
        <v>49.999964141845702</v>
      </c>
      <c r="HD102">
        <f t="shared" si="14"/>
        <v>-90.002935791015631</v>
      </c>
      <c r="HW102" s="10">
        <f>(GX102/Data!$S102-1)*1000000</f>
        <v>23.649197063546623</v>
      </c>
      <c r="HX102" s="10">
        <f>(GY102/Data!$T102-1)*1000000</f>
        <v>67.389832373088154</v>
      </c>
      <c r="HY102" s="10">
        <f>(GZ102/Data!$BW102-1)*1000000</f>
        <v>17324420.637109574</v>
      </c>
      <c r="HZ102" s="10">
        <f>(HA102/(Data!$S102*Data!$T102)-1)*1000000</f>
        <v>91.324190314212572</v>
      </c>
      <c r="IA102" s="7">
        <f>(HB102/IF(HD102&gt;0, -Data!$BX102,Data!$BX102)-1)*1000000</f>
        <v>92.150256489897941</v>
      </c>
      <c r="IB102" s="10"/>
      <c r="IC102" s="9">
        <f>(HD102-Data!$U102)</f>
        <v>-2.7763810156358204E-3</v>
      </c>
    </row>
    <row r="103" spans="1:237" x14ac:dyDescent="0.2">
      <c r="A103">
        <v>103</v>
      </c>
      <c r="B103">
        <v>230.00218200683599</v>
      </c>
      <c r="C103">
        <v>6.0002813339233398</v>
      </c>
      <c r="D103">
        <v>-6.91184401512146E-2</v>
      </c>
      <c r="E103">
        <v>1380.07971191406</v>
      </c>
      <c r="F103">
        <v>1380.08337402344</v>
      </c>
      <c r="G103">
        <v>49.999870300292997</v>
      </c>
      <c r="H103">
        <v>-90.002838134765597</v>
      </c>
      <c r="I103">
        <v>1.70501805841923E-2</v>
      </c>
      <c r="J103" s="2">
        <v>4.0152081055566702E-6</v>
      </c>
      <c r="K103" s="2">
        <v>8.1327167222866592E-9</v>
      </c>
      <c r="L103" s="2">
        <v>6.7444638318647803E-8</v>
      </c>
      <c r="M103" s="2">
        <v>1.7095103999054101E-8</v>
      </c>
      <c r="N103">
        <v>74.815612792968807</v>
      </c>
      <c r="O103">
        <v>-63.074695587158203</v>
      </c>
      <c r="P103">
        <v>1.8568430095911002E-2</v>
      </c>
      <c r="Q103" s="2">
        <v>3.18026741297217E-6</v>
      </c>
      <c r="R103" s="2">
        <v>-1.3256661324234601E-9</v>
      </c>
      <c r="S103" s="2">
        <v>6.0913876609447497E-8</v>
      </c>
      <c r="T103" s="2">
        <v>6.141818609251E-9</v>
      </c>
      <c r="U103">
        <v>74.672233581542997</v>
      </c>
      <c r="V103">
        <v>-102.27385711669901</v>
      </c>
      <c r="W103" s="2">
        <v>3.4028230607370999E+38</v>
      </c>
      <c r="X103" s="2">
        <v>3.4028230607370999E+38</v>
      </c>
      <c r="Y103">
        <v>-6.91184401512146E-2</v>
      </c>
      <c r="Z103">
        <v>1380.07971191406</v>
      </c>
      <c r="AA103">
        <v>1380.08337402344</v>
      </c>
      <c r="AB103" s="2">
        <v>3.4028230607370999E+38</v>
      </c>
      <c r="AC103" s="2">
        <v>3.4028230607370999E+38</v>
      </c>
      <c r="AD103">
        <v>230.00184631347699</v>
      </c>
      <c r="AE103">
        <v>6.0002918243408203</v>
      </c>
      <c r="AF103">
        <v>-6.5921343863010406E-2</v>
      </c>
      <c r="AG103">
        <v>1380.0771484375</v>
      </c>
      <c r="AH103">
        <v>1380.08032226562</v>
      </c>
      <c r="AI103">
        <v>49.999923706054702</v>
      </c>
      <c r="AJ103">
        <v>-90.003028869628906</v>
      </c>
      <c r="AK103">
        <v>1.773851364851E-2</v>
      </c>
      <c r="AL103" s="2">
        <v>3.9231199480127501E-6</v>
      </c>
      <c r="AM103" s="2">
        <v>1.46589114180529E-8</v>
      </c>
      <c r="AN103" s="2">
        <v>7.0292010434513901E-8</v>
      </c>
      <c r="AO103" s="2">
        <v>1.8001559354274799E-8</v>
      </c>
      <c r="AP103">
        <v>74.724723815917997</v>
      </c>
      <c r="AQ103">
        <v>-50.426956176757798</v>
      </c>
      <c r="AR103">
        <v>1.9477233290672299E-2</v>
      </c>
      <c r="AS103" s="2">
        <v>3.2132777505466901E-6</v>
      </c>
      <c r="AT103" s="2">
        <v>5.9090793369520601E-10</v>
      </c>
      <c r="AU103" s="2">
        <v>6.2266906297736595E-8</v>
      </c>
      <c r="AV103" s="2">
        <v>9.79745085061268E-9</v>
      </c>
      <c r="AW103">
        <v>74.5977783203125</v>
      </c>
      <c r="AX103">
        <v>-83.8411865234375</v>
      </c>
      <c r="AY103" s="2">
        <v>3.4028230607370999E+38</v>
      </c>
      <c r="AZ103" s="2">
        <v>3.4028230607370999E+38</v>
      </c>
      <c r="BA103">
        <v>-6.5921328961849199E-2</v>
      </c>
      <c r="BB103">
        <v>1380.0771484375</v>
      </c>
      <c r="BC103">
        <v>1380.08032226562</v>
      </c>
      <c r="BD103" s="2">
        <v>3.4028230607370999E+38</v>
      </c>
      <c r="BE103" s="2">
        <v>3.4028230607370999E+38</v>
      </c>
      <c r="BF103">
        <v>230.00277709960901</v>
      </c>
      <c r="BG103">
        <v>6.0002884864807102</v>
      </c>
      <c r="BH103">
        <v>-6.7130528390407604E-2</v>
      </c>
      <c r="BI103">
        <v>1380.0810546875</v>
      </c>
      <c r="BJ103">
        <v>1380.08349609375</v>
      </c>
      <c r="BK103">
        <v>49.999923706054702</v>
      </c>
      <c r="BL103">
        <v>-90.002922058105497</v>
      </c>
      <c r="BM103">
        <v>1.7081474885344498E-2</v>
      </c>
      <c r="BN103" s="2">
        <v>4.0164813981391498E-6</v>
      </c>
      <c r="BO103" s="2">
        <v>7.6417725480837395E-9</v>
      </c>
      <c r="BP103" s="2">
        <v>6.6468857085055801E-8</v>
      </c>
      <c r="BQ103" s="2">
        <v>1.4196784192677099E-8</v>
      </c>
      <c r="BR103">
        <v>74.651481628417997</v>
      </c>
      <c r="BS103">
        <v>-63.290931701660199</v>
      </c>
      <c r="BT103">
        <v>1.8818549811840099E-2</v>
      </c>
      <c r="BU103" s="2">
        <v>3.2439613733004101E-6</v>
      </c>
      <c r="BV103" s="2">
        <v>-1.9949590868151298E-9</v>
      </c>
      <c r="BW103" s="2">
        <v>5.9603223689919098E-8</v>
      </c>
      <c r="BX103" s="2">
        <v>5.7126201546964198E-9</v>
      </c>
      <c r="BY103">
        <v>74.717819213867202</v>
      </c>
      <c r="BZ103">
        <v>-115.82438659668</v>
      </c>
      <c r="CA103" s="2">
        <v>3.4028230607370999E+38</v>
      </c>
      <c r="CB103" s="2">
        <v>3.4028230607370999E+38</v>
      </c>
      <c r="CC103">
        <v>-6.7130528390407604E-2</v>
      </c>
      <c r="CD103">
        <v>1380.0810546875</v>
      </c>
      <c r="CE103">
        <v>1380.08349609375</v>
      </c>
      <c r="CF103" s="2">
        <v>3.4028230607370999E+38</v>
      </c>
      <c r="CG103" s="2">
        <v>3.4028230607370999E+38</v>
      </c>
      <c r="CH103">
        <v>230.00177001953099</v>
      </c>
      <c r="CI103">
        <v>6.0002846717834499</v>
      </c>
      <c r="CJ103">
        <v>-6.5883129835128798E-2</v>
      </c>
      <c r="CK103">
        <v>1380.07543945312</v>
      </c>
      <c r="CL103">
        <v>1380.08666992188</v>
      </c>
      <c r="CM103">
        <v>49.999923706054702</v>
      </c>
      <c r="CN103">
        <v>-90.002861022949205</v>
      </c>
      <c r="CO103">
        <v>1.65101569145918E-2</v>
      </c>
      <c r="CP103" s="2">
        <v>3.9650594771956102E-6</v>
      </c>
      <c r="CQ103" s="2">
        <v>6.9659784607267697E-9</v>
      </c>
      <c r="CR103" s="2">
        <v>6.5465044940538104E-8</v>
      </c>
      <c r="CS103" s="2">
        <v>1.3000279963648601E-8</v>
      </c>
      <c r="CT103">
        <v>74.645484924316406</v>
      </c>
      <c r="CU103">
        <v>-64.568305969238295</v>
      </c>
      <c r="CV103">
        <v>1.8481845036149001E-2</v>
      </c>
      <c r="CW103" s="2">
        <v>3.26413510265411E-6</v>
      </c>
      <c r="CX103" s="2">
        <v>-2.7877427033473598E-9</v>
      </c>
      <c r="CY103" s="2">
        <v>5.8720260653899498E-8</v>
      </c>
      <c r="CZ103" s="2">
        <v>4.2993466564667001E-9</v>
      </c>
      <c r="DA103">
        <v>74.793319702148395</v>
      </c>
      <c r="DB103">
        <v>-121.33521270752</v>
      </c>
      <c r="DC103" s="2">
        <v>3.4028230607370999E+38</v>
      </c>
      <c r="DD103" s="2">
        <v>3.4028230607370999E+38</v>
      </c>
      <c r="DE103">
        <v>-6.5883129835128798E-2</v>
      </c>
      <c r="DF103">
        <v>1380.07543945312</v>
      </c>
      <c r="DG103">
        <v>1380.08666992188</v>
      </c>
      <c r="DH103" s="2">
        <v>3.4028230607370999E+38</v>
      </c>
      <c r="DI103" s="2">
        <v>3.4028230607370999E+38</v>
      </c>
      <c r="DJ103">
        <v>230.001953125</v>
      </c>
      <c r="DK103">
        <v>6.0002975463867196</v>
      </c>
      <c r="DL103">
        <v>-7.1716256439685794E-2</v>
      </c>
      <c r="DM103">
        <v>1380.07922363281</v>
      </c>
      <c r="DN103">
        <v>1380.07934570312</v>
      </c>
      <c r="DO103">
        <v>49.999996185302699</v>
      </c>
      <c r="DP103">
        <v>-90.002906799316406</v>
      </c>
      <c r="DQ103">
        <v>1.6801968216896099E-2</v>
      </c>
      <c r="DR103" s="2">
        <v>3.9474739423894798E-6</v>
      </c>
      <c r="DS103" s="2">
        <v>8.0100965860196993E-9</v>
      </c>
      <c r="DT103" s="2">
        <v>6.6891438166294406E-8</v>
      </c>
      <c r="DU103" s="2">
        <v>1.7024499143758499E-8</v>
      </c>
      <c r="DV103">
        <v>74.752357482910199</v>
      </c>
      <c r="DW103">
        <v>-64.223167419433594</v>
      </c>
      <c r="DX103">
        <v>1.8743311986327199E-2</v>
      </c>
      <c r="DY103" s="2">
        <v>3.1847421269048899E-6</v>
      </c>
      <c r="DZ103" s="2">
        <v>-3.08916781044388E-9</v>
      </c>
      <c r="EA103" s="2">
        <v>6.0898486253790893E-8</v>
      </c>
      <c r="EB103" s="2">
        <v>6.7130976333373796E-9</v>
      </c>
      <c r="EC103">
        <v>74.770927429199205</v>
      </c>
      <c r="ED103">
        <v>-97.907928466796903</v>
      </c>
      <c r="EE103" s="2">
        <v>3.4028230607370999E+38</v>
      </c>
      <c r="EF103" s="2">
        <v>3.4028230607370999E+38</v>
      </c>
      <c r="EG103">
        <v>-7.1716256439685794E-2</v>
      </c>
      <c r="EH103">
        <v>1380.07922363281</v>
      </c>
      <c r="EI103">
        <v>1380.07934570312</v>
      </c>
      <c r="EJ103" s="2">
        <v>3.4028230607370999E+38</v>
      </c>
      <c r="EK103" s="2">
        <v>3.4028230607370999E+38</v>
      </c>
      <c r="EL103">
        <v>123</v>
      </c>
      <c r="EM103">
        <v>230.00172424316401</v>
      </c>
      <c r="EN103">
        <v>6.0002875328064</v>
      </c>
      <c r="EO103">
        <v>-7.02835023403168E-2</v>
      </c>
      <c r="EP103">
        <v>1380.07568359375</v>
      </c>
      <c r="EQ103">
        <v>1380.08129882812</v>
      </c>
      <c r="ER103">
        <v>49.999889373779297</v>
      </c>
      <c r="ES103">
        <v>-90.002876281738295</v>
      </c>
      <c r="ET103" s="2">
        <v>-5.1069047913188101E-5</v>
      </c>
      <c r="EU103" s="2">
        <v>3.4028230607370999E+38</v>
      </c>
      <c r="EV103">
        <v>0</v>
      </c>
      <c r="EW103">
        <v>230.00071716308599</v>
      </c>
      <c r="EX103">
        <v>-0.12589292228221899</v>
      </c>
      <c r="EY103">
        <v>1380.0732421875</v>
      </c>
      <c r="EZ103">
        <v>1380.04699707031</v>
      </c>
      <c r="FA103">
        <v>-4.2878547683358201E-3</v>
      </c>
      <c r="FB103">
        <v>1.6607860103249501E-2</v>
      </c>
      <c r="FC103" s="2">
        <v>3.9434139580407603E-6</v>
      </c>
      <c r="FD103" s="2">
        <v>7.9684427944925995E-9</v>
      </c>
      <c r="FE103" s="2">
        <v>6.5490354472785799E-8</v>
      </c>
      <c r="FF103" s="2">
        <v>1.5852000601057599E-8</v>
      </c>
      <c r="FG103">
        <v>74.7010498046875</v>
      </c>
      <c r="FH103">
        <v>-62.7918510437012</v>
      </c>
      <c r="FI103">
        <v>0.122095257043839</v>
      </c>
      <c r="FJ103" s="2">
        <v>3.4028230607370999E+38</v>
      </c>
      <c r="FK103">
        <v>-18.045946121215799</v>
      </c>
      <c r="FL103">
        <v>1.9711937755346302E-2</v>
      </c>
      <c r="FM103">
        <v>0</v>
      </c>
      <c r="FN103">
        <v>0</v>
      </c>
      <c r="FO103">
        <v>0</v>
      </c>
      <c r="FP103">
        <v>1.89929123735055E-4</v>
      </c>
      <c r="FQ103">
        <v>1.7249271273613E-2</v>
      </c>
      <c r="FR103" s="2">
        <v>3.2327507142326799E-6</v>
      </c>
      <c r="FS103" s="2">
        <v>-9.7759322859047891E-10</v>
      </c>
      <c r="FT103" s="2">
        <v>5.5694933109862197E-8</v>
      </c>
      <c r="FU103" s="2">
        <v>4.7664867608432401E-9</v>
      </c>
      <c r="FV103">
        <v>74.758636474609403</v>
      </c>
      <c r="FW103">
        <v>-103.14328765869099</v>
      </c>
      <c r="FX103">
        <v>-2.03288700431585E-2</v>
      </c>
      <c r="FY103" s="2">
        <v>3.4028230607370999E+38</v>
      </c>
      <c r="FZ103">
        <v>-16.037273406982401</v>
      </c>
      <c r="GA103">
        <v>229.47515869140599</v>
      </c>
      <c r="GB103" s="2">
        <v>4.3920747594405901E-10</v>
      </c>
      <c r="GC103">
        <v>7.2765466757118702E-4</v>
      </c>
      <c r="GD103" s="2">
        <v>-7.0565797649635401E-10</v>
      </c>
      <c r="GE103" s="2">
        <v>-9.8477474239189205E-5</v>
      </c>
      <c r="GF103" s="2">
        <v>3.4028230607370999E+38</v>
      </c>
      <c r="GG103" s="2">
        <v>3.4028230607370999E+38</v>
      </c>
      <c r="GH103">
        <v>-6.6239140927791595E-2</v>
      </c>
      <c r="GI103">
        <v>1380.076171875</v>
      </c>
      <c r="GJ103">
        <v>1380.08715820312</v>
      </c>
      <c r="GK103" s="2">
        <v>3.4028230607370999E+38</v>
      </c>
      <c r="GL103" s="2">
        <v>3.4028230607370999E+38</v>
      </c>
      <c r="GM103" s="2">
        <v>3.4028230607370999E+38</v>
      </c>
      <c r="GN103" s="2">
        <v>3.4028230607370999E+38</v>
      </c>
      <c r="GO103" s="2">
        <v>3.4028230607370999E+38</v>
      </c>
      <c r="GP103" s="2">
        <v>3.4028230607370999E+38</v>
      </c>
      <c r="GQ103">
        <v>-0.111763305962086</v>
      </c>
      <c r="GR103">
        <v>-0.106583938002586</v>
      </c>
      <c r="GS103">
        <v>1380.05822753906</v>
      </c>
      <c r="GT103">
        <v>-1.3735586544498799E-3</v>
      </c>
      <c r="GX103">
        <f t="shared" si="8"/>
        <v>230.00210571289063</v>
      </c>
      <c r="GY103">
        <f t="shared" si="9"/>
        <v>6.0002887725830076</v>
      </c>
      <c r="GZ103">
        <f t="shared" si="10"/>
        <v>-6.7953939735889438E-2</v>
      </c>
      <c r="HA103">
        <f t="shared" si="11"/>
        <v>1380.0785156249981</v>
      </c>
      <c r="HB103">
        <f t="shared" si="12"/>
        <v>1380.0826416015618</v>
      </c>
      <c r="HC103">
        <f t="shared" si="13"/>
        <v>49.99992752075196</v>
      </c>
      <c r="HD103">
        <f t="shared" si="14"/>
        <v>-90.002911376953122</v>
      </c>
      <c r="HW103" s="10">
        <f>(GX103/Data!$S103-1)*1000000</f>
        <v>23.242122577427082</v>
      </c>
      <c r="HX103" s="10">
        <f>(GY103/Data!$T103-1)*1000000</f>
        <v>66.175791365141734</v>
      </c>
      <c r="HY103" s="10">
        <f>(GZ103/Data!$BW103-1)*1000000</f>
        <v>7048989.4734192565</v>
      </c>
      <c r="HZ103" s="10">
        <f>(HA103/(Data!$S103*Data!$T103)-1)*1000000</f>
        <v>89.030342034668308</v>
      </c>
      <c r="IA103" s="7">
        <f>(HB103/IF(HD103&gt;0, -Data!$BX103,Data!$BX103)-1)*1000000</f>
        <v>92.01426153770953</v>
      </c>
      <c r="IB103" s="10"/>
      <c r="IC103" s="9">
        <f>(HD103-Data!$U103)</f>
        <v>-2.5608469531164246E-3</v>
      </c>
    </row>
    <row r="104" spans="1:237" x14ac:dyDescent="0.2">
      <c r="A104">
        <v>104</v>
      </c>
      <c r="B104">
        <v>230.00209045410199</v>
      </c>
      <c r="C104">
        <v>6.0002737045288104</v>
      </c>
      <c r="D104">
        <v>-6.8154424428939805E-2</v>
      </c>
      <c r="E104">
        <v>1380.0732421875</v>
      </c>
      <c r="F104">
        <v>1380.07495117188</v>
      </c>
      <c r="G104">
        <v>49.999931335449197</v>
      </c>
      <c r="H104">
        <v>-90.002838134765597</v>
      </c>
      <c r="I104">
        <v>1.69672891497612E-2</v>
      </c>
      <c r="J104" s="2">
        <v>3.9817823562771099E-6</v>
      </c>
      <c r="K104" s="2">
        <v>1.6905495670016498E-8</v>
      </c>
      <c r="L104" s="2">
        <v>6.63413857182604E-8</v>
      </c>
      <c r="M104" s="2">
        <v>1.27398767091336E-8</v>
      </c>
      <c r="N104">
        <v>74.739936828613295</v>
      </c>
      <c r="O104">
        <v>-38.1043510437012</v>
      </c>
      <c r="P104">
        <v>1.83823611587286E-2</v>
      </c>
      <c r="Q104" s="2">
        <v>3.2777488740975998E-6</v>
      </c>
      <c r="R104" s="2">
        <v>2.48570430905204E-9</v>
      </c>
      <c r="S104" s="2">
        <v>6.0169050186686906E-8</v>
      </c>
      <c r="T104" s="2">
        <v>7.4757213752718599E-9</v>
      </c>
      <c r="U104">
        <v>74.684654235839801</v>
      </c>
      <c r="V104">
        <v>-73.275627136230497</v>
      </c>
      <c r="W104" s="2">
        <v>3.4028230607370999E+38</v>
      </c>
      <c r="X104" s="2">
        <v>3.4028230607370999E+38</v>
      </c>
      <c r="Y104">
        <v>-6.8154409527778598E-2</v>
      </c>
      <c r="Z104">
        <v>1380.0732421875</v>
      </c>
      <c r="AA104">
        <v>1380.07495117188</v>
      </c>
      <c r="AB104" s="2">
        <v>3.4028230607370999E+38</v>
      </c>
      <c r="AC104" s="2">
        <v>3.4028230607370999E+38</v>
      </c>
      <c r="AD104">
        <v>230.00199890136699</v>
      </c>
      <c r="AE104">
        <v>6.0002942085266104</v>
      </c>
      <c r="AF104">
        <v>-7.4781820178031894E-2</v>
      </c>
      <c r="AG104">
        <v>1380.07995605469</v>
      </c>
      <c r="AH104">
        <v>1380.08093261719</v>
      </c>
      <c r="AI104">
        <v>49.999923706054702</v>
      </c>
      <c r="AJ104">
        <v>-90.002937316894503</v>
      </c>
      <c r="AK104">
        <v>1.6448331996798501E-2</v>
      </c>
      <c r="AL104" s="2">
        <v>3.9550518522446501E-6</v>
      </c>
      <c r="AM104" s="2">
        <v>5.40860956022016E-9</v>
      </c>
      <c r="AN104" s="2">
        <v>6.6432434664420699E-8</v>
      </c>
      <c r="AO104" s="2">
        <v>1.3862872627612399E-8</v>
      </c>
      <c r="AP104">
        <v>74.685951232910199</v>
      </c>
      <c r="AQ104">
        <v>-67.617790222167997</v>
      </c>
      <c r="AR104">
        <v>1.8193935975432399E-2</v>
      </c>
      <c r="AS104" s="2">
        <v>3.2000270948628899E-6</v>
      </c>
      <c r="AT104" s="2">
        <v>-1.8801065149176599E-9</v>
      </c>
      <c r="AU104" s="2">
        <v>5.9589666534520802E-8</v>
      </c>
      <c r="AV104" s="2">
        <v>4.9566581949989102E-9</v>
      </c>
      <c r="AW104">
        <v>74.803726196289105</v>
      </c>
      <c r="AX104">
        <v>-117.13500213623</v>
      </c>
      <c r="AY104" s="2">
        <v>3.4028230607370999E+38</v>
      </c>
      <c r="AZ104" s="2">
        <v>3.4028230607370999E+38</v>
      </c>
      <c r="BA104">
        <v>-7.4781820178031894E-2</v>
      </c>
      <c r="BB104">
        <v>1380.07995605469</v>
      </c>
      <c r="BC104">
        <v>1380.08093261719</v>
      </c>
      <c r="BD104" s="2">
        <v>3.4028230607370999E+38</v>
      </c>
      <c r="BE104" s="2">
        <v>3.4028230607370999E+38</v>
      </c>
      <c r="BF104">
        <v>230.00216674804699</v>
      </c>
      <c r="BG104">
        <v>6.0002985000610396</v>
      </c>
      <c r="BH104">
        <v>-6.71361088752747E-2</v>
      </c>
      <c r="BI104">
        <v>1380.0810546875</v>
      </c>
      <c r="BJ104">
        <v>1380.083984375</v>
      </c>
      <c r="BK104">
        <v>49.9998970031738</v>
      </c>
      <c r="BL104">
        <v>-90.002685546875</v>
      </c>
      <c r="BM104">
        <v>1.5409509651362899E-2</v>
      </c>
      <c r="BN104" s="2">
        <v>3.9939855014381498E-6</v>
      </c>
      <c r="BO104" s="2">
        <v>1.3860228520457E-8</v>
      </c>
      <c r="BP104" s="2">
        <v>6.1567170916987406E-8</v>
      </c>
      <c r="BQ104" s="2">
        <v>8.4711349046528994E-9</v>
      </c>
      <c r="BR104">
        <v>74.735618591308594</v>
      </c>
      <c r="BS104">
        <v>-33.245635986328097</v>
      </c>
      <c r="BT104">
        <v>1.6019074246287301E-2</v>
      </c>
      <c r="BU104" s="2">
        <v>3.1518168270849898E-6</v>
      </c>
      <c r="BV104" s="2">
        <v>3.2447520226242002E-9</v>
      </c>
      <c r="BW104" s="2">
        <v>5.2543835948881698E-8</v>
      </c>
      <c r="BX104" s="2">
        <v>6.3519989268456803E-9</v>
      </c>
      <c r="BY104">
        <v>74.736648559570298</v>
      </c>
      <c r="BZ104">
        <v>-58.271244049072301</v>
      </c>
      <c r="CA104" s="2">
        <v>3.4028230607370999E+38</v>
      </c>
      <c r="CB104" s="2">
        <v>3.4028230607370999E+38</v>
      </c>
      <c r="CC104">
        <v>-6.7136093974113506E-2</v>
      </c>
      <c r="CD104">
        <v>1380.0810546875</v>
      </c>
      <c r="CE104">
        <v>1380.083984375</v>
      </c>
      <c r="CF104" s="2">
        <v>3.4028230607370999E+38</v>
      </c>
      <c r="CG104" s="2">
        <v>3.4028230607370999E+38</v>
      </c>
      <c r="CH104">
        <v>230.00244140625</v>
      </c>
      <c r="CI104">
        <v>6.00030565261841</v>
      </c>
      <c r="CJ104">
        <v>-6.4864046871662098E-2</v>
      </c>
      <c r="CK104">
        <v>1380.08349609375</v>
      </c>
      <c r="CL104">
        <v>1380.08520507812</v>
      </c>
      <c r="CM104">
        <v>49.999954223632798</v>
      </c>
      <c r="CN104">
        <v>-90.002944946289105</v>
      </c>
      <c r="CO104">
        <v>1.5970105305314099E-2</v>
      </c>
      <c r="CP104" s="2">
        <v>3.9739120438753204E-6</v>
      </c>
      <c r="CQ104" s="2">
        <v>1.5466163461041999E-8</v>
      </c>
      <c r="CR104" s="2">
        <v>6.3487647139481904E-8</v>
      </c>
      <c r="CS104" s="2">
        <v>9.5650429798865794E-9</v>
      </c>
      <c r="CT104">
        <v>74.725517272949205</v>
      </c>
      <c r="CU104">
        <v>-32.7322807312012</v>
      </c>
      <c r="CV104">
        <v>1.75146218389273E-2</v>
      </c>
      <c r="CW104" s="2">
        <v>3.266774911026E-6</v>
      </c>
      <c r="CX104" s="2">
        <v>2.4296575862337001E-9</v>
      </c>
      <c r="CY104" s="2">
        <v>5.4620077349909499E-8</v>
      </c>
      <c r="CZ104" s="2">
        <v>6.3441913944473097E-9</v>
      </c>
      <c r="DA104">
        <v>74.776916503906193</v>
      </c>
      <c r="DB104">
        <v>-64.800315856933594</v>
      </c>
      <c r="DC104" s="2">
        <v>3.4028230607370999E+38</v>
      </c>
      <c r="DD104" s="2">
        <v>3.4028230607370999E+38</v>
      </c>
      <c r="DE104">
        <v>-6.4864031970500904E-2</v>
      </c>
      <c r="DF104">
        <v>1380.08349609375</v>
      </c>
      <c r="DG104">
        <v>1380.08520507812</v>
      </c>
      <c r="DH104" s="2">
        <v>3.4028230607370999E+38</v>
      </c>
      <c r="DI104" s="2">
        <v>3.4028230607370999E+38</v>
      </c>
      <c r="DJ104">
        <v>230.00210571289099</v>
      </c>
      <c r="DK104">
        <v>6.0002856254577601</v>
      </c>
      <c r="DL104">
        <v>-6.8028137087822002E-2</v>
      </c>
      <c r="DM104">
        <v>1380.08020019531</v>
      </c>
      <c r="DN104">
        <v>1380.08227539062</v>
      </c>
      <c r="DO104">
        <v>49.999927520752003</v>
      </c>
      <c r="DP104">
        <v>-90.002853393554702</v>
      </c>
      <c r="DQ104">
        <v>1.74078103154898E-2</v>
      </c>
      <c r="DR104" s="2">
        <v>3.9700039451417996E-6</v>
      </c>
      <c r="DS104" s="2">
        <v>1.5620019055972999E-8</v>
      </c>
      <c r="DT104" s="2">
        <v>6.9050052786678901E-8</v>
      </c>
      <c r="DU104" s="2">
        <v>1.2230262136370099E-8</v>
      </c>
      <c r="DV104">
        <v>74.760673522949205</v>
      </c>
      <c r="DW104">
        <v>-39.647132873535199</v>
      </c>
      <c r="DX104">
        <v>1.91956702619791E-2</v>
      </c>
      <c r="DY104" s="2">
        <v>3.2133066270034798E-6</v>
      </c>
      <c r="DZ104" s="2">
        <v>2.7558191284526902E-9</v>
      </c>
      <c r="EA104" s="2">
        <v>6.1019207464596495E-8</v>
      </c>
      <c r="EB104" s="2">
        <v>9.7392760523007399E-9</v>
      </c>
      <c r="EC104">
        <v>74.736717224121094</v>
      </c>
      <c r="ED104">
        <v>-73.045783996582003</v>
      </c>
      <c r="EE104" s="2">
        <v>3.4028230607370999E+38</v>
      </c>
      <c r="EF104" s="2">
        <v>3.4028230607370999E+38</v>
      </c>
      <c r="EG104">
        <v>-6.8028122186660794E-2</v>
      </c>
      <c r="EH104">
        <v>1380.08020019531</v>
      </c>
      <c r="EI104">
        <v>1380.08227539062</v>
      </c>
      <c r="EJ104" s="2">
        <v>3.4028230607370999E+38</v>
      </c>
      <c r="EK104" s="2">
        <v>3.4028230607370999E+38</v>
      </c>
      <c r="EL104">
        <v>123</v>
      </c>
      <c r="EM104">
        <v>230.001953125</v>
      </c>
      <c r="EN104">
        <v>6.0002942085266104</v>
      </c>
      <c r="EO104">
        <v>-7.0259831845760304E-2</v>
      </c>
      <c r="EP104">
        <v>1380.07824707031</v>
      </c>
      <c r="EQ104">
        <v>1380.07727050781</v>
      </c>
      <c r="ER104">
        <v>49.999954223632798</v>
      </c>
      <c r="ES104">
        <v>-90.002777099609403</v>
      </c>
      <c r="ET104" s="2">
        <v>-4.8232435801764998E-5</v>
      </c>
      <c r="EU104" s="2">
        <v>3.4028230607370999E+38</v>
      </c>
      <c r="EV104">
        <v>0</v>
      </c>
      <c r="EW104">
        <v>230.006912231445</v>
      </c>
      <c r="EX104">
        <v>-0.126317843794823</v>
      </c>
      <c r="EY104">
        <v>1380.10668945312</v>
      </c>
      <c r="EZ104">
        <v>1380.07824707031</v>
      </c>
      <c r="FA104">
        <v>-3.89576773159206E-3</v>
      </c>
      <c r="FB104">
        <v>1.7307147383689901E-2</v>
      </c>
      <c r="FC104" s="2">
        <v>3.9990495679376198E-6</v>
      </c>
      <c r="FD104" s="2">
        <v>1.63982480927416E-8</v>
      </c>
      <c r="FE104" s="2">
        <v>6.9158922144651998E-8</v>
      </c>
      <c r="FF104" s="2">
        <v>1.5732254610156798E-8</v>
      </c>
      <c r="FG104">
        <v>74.6624755859375</v>
      </c>
      <c r="FH104">
        <v>-40.614585876464801</v>
      </c>
      <c r="FI104">
        <v>0.25845441222190901</v>
      </c>
      <c r="FJ104" s="2">
        <v>3.4028230607370999E+38</v>
      </c>
      <c r="FK104">
        <v>14.803348541259799</v>
      </c>
      <c r="FL104">
        <v>2.0907049998641E-2</v>
      </c>
      <c r="FM104">
        <v>0</v>
      </c>
      <c r="FN104">
        <v>0</v>
      </c>
      <c r="FO104">
        <v>0</v>
      </c>
      <c r="FP104">
        <v>1.75494264112785E-4</v>
      </c>
      <c r="FQ104">
        <v>1.8989050760865201E-2</v>
      </c>
      <c r="FR104" s="2">
        <v>3.28126702697773E-6</v>
      </c>
      <c r="FS104" s="2">
        <v>1.6632407673355901E-9</v>
      </c>
      <c r="FT104" s="2">
        <v>6.2377175424899205E-8</v>
      </c>
      <c r="FU104" s="2">
        <v>8.1857454148348601E-9</v>
      </c>
      <c r="FV104">
        <v>74.801330566406193</v>
      </c>
      <c r="FW104">
        <v>-89.360862731933594</v>
      </c>
      <c r="FX104">
        <v>1.4989689225330899E-3</v>
      </c>
      <c r="FY104" s="2">
        <v>3.4028230607370999E+38</v>
      </c>
      <c r="FZ104">
        <v>-52.420322418212898</v>
      </c>
      <c r="GA104">
        <v>229.14089965820301</v>
      </c>
      <c r="GB104" s="2">
        <v>-8.3514756221703103E-10</v>
      </c>
      <c r="GC104">
        <v>7.4001704342663299E-4</v>
      </c>
      <c r="GD104" s="2">
        <v>1.5305426925849001E-9</v>
      </c>
      <c r="GE104">
        <v>-1.05831262771972E-4</v>
      </c>
      <c r="GF104" s="2">
        <v>3.4028230607370999E+38</v>
      </c>
      <c r="GG104" s="2">
        <v>3.4028230607370999E+38</v>
      </c>
      <c r="GH104">
        <v>-6.7125111818313599E-2</v>
      </c>
      <c r="GI104">
        <v>1380.08032226562</v>
      </c>
      <c r="GJ104">
        <v>1380.08056640625</v>
      </c>
      <c r="GK104" s="2">
        <v>3.4028230607370999E+38</v>
      </c>
      <c r="GL104" s="2">
        <v>3.4028230607370999E+38</v>
      </c>
      <c r="GM104" s="2">
        <v>3.4028230607370999E+38</v>
      </c>
      <c r="GN104" s="2">
        <v>3.4028230607370999E+38</v>
      </c>
      <c r="GO104" s="2">
        <v>3.4028230607370999E+38</v>
      </c>
      <c r="GP104" s="2">
        <v>3.4028230607370999E+38</v>
      </c>
      <c r="GQ104">
        <v>-0.131184577941895</v>
      </c>
      <c r="GR104">
        <v>-0.131184577941895</v>
      </c>
      <c r="GS104">
        <v>1380.06823730469</v>
      </c>
      <c r="GT104">
        <v>-4.8513957299292096E-3</v>
      </c>
      <c r="GX104">
        <f t="shared" si="8"/>
        <v>230.00216064453139</v>
      </c>
      <c r="GY104">
        <f t="shared" si="9"/>
        <v>6.0002915382385265</v>
      </c>
      <c r="GZ104">
        <f t="shared" si="10"/>
        <v>-6.8592907488346094E-2</v>
      </c>
      <c r="HA104">
        <f t="shared" si="11"/>
        <v>1380.07958984375</v>
      </c>
      <c r="HB104">
        <f t="shared" si="12"/>
        <v>1380.0814697265619</v>
      </c>
      <c r="HC104">
        <f t="shared" si="13"/>
        <v>49.999926757812503</v>
      </c>
      <c r="HD104">
        <f t="shared" si="14"/>
        <v>-90.002851867675787</v>
      </c>
      <c r="HW104" s="10">
        <f>(GX104/Data!$S104-1)*1000000</f>
        <v>23.596180895424368</v>
      </c>
      <c r="HX104" s="10">
        <f>(GY104/Data!$T104-1)*1000000</f>
        <v>73.430030312904293</v>
      </c>
      <c r="HY104" s="10">
        <f>(GZ104/Data!$BW104-1)*1000000</f>
        <v>-139500741.01185879</v>
      </c>
      <c r="HZ104" s="10">
        <f>(HA104/(Data!$S104*Data!$T104)-1)*1000000</f>
        <v>96.71746203809839</v>
      </c>
      <c r="IA104" s="7">
        <f>(HB104/IF(HD104&gt;0, -Data!$BX104,Data!$BX104)-1)*1000000</f>
        <v>98.073919934549281</v>
      </c>
      <c r="IB104" s="10"/>
      <c r="IC104" s="9">
        <f>(HD104-Data!$U104)</f>
        <v>-2.8724276757827738E-3</v>
      </c>
    </row>
    <row r="105" spans="1:237" x14ac:dyDescent="0.2">
      <c r="A105">
        <v>105</v>
      </c>
      <c r="B105">
        <v>230.00212097168</v>
      </c>
      <c r="C105">
        <v>6.0003085136413601</v>
      </c>
      <c r="D105">
        <v>1195.15515136719</v>
      </c>
      <c r="E105">
        <v>1380.08056640625</v>
      </c>
      <c r="F105">
        <v>690.09802246093795</v>
      </c>
      <c r="G105">
        <v>49.999954223632798</v>
      </c>
      <c r="H105">
        <v>-30.0031414031982</v>
      </c>
      <c r="I105">
        <v>1.7511304467916499E-2</v>
      </c>
      <c r="J105" s="2">
        <v>4.0042423279373898E-6</v>
      </c>
      <c r="K105" s="2">
        <v>1.5883594883803201E-8</v>
      </c>
      <c r="L105" s="2">
        <v>6.9999082086269495E-8</v>
      </c>
      <c r="M105" s="2">
        <v>-1.8101525833813501E-9</v>
      </c>
      <c r="N105">
        <v>74.672599792480497</v>
      </c>
      <c r="O105">
        <v>6.0182790756225604</v>
      </c>
      <c r="P105">
        <v>1.9451307132840202E-2</v>
      </c>
      <c r="Q105" s="2">
        <v>3.2938173717411701E-6</v>
      </c>
      <c r="R105" s="2">
        <v>1.12087983339393E-8</v>
      </c>
      <c r="S105" s="2">
        <v>6.26615062060409E-8</v>
      </c>
      <c r="T105" s="2">
        <v>1.06533715182877E-8</v>
      </c>
      <c r="U105">
        <v>74.799545288085895</v>
      </c>
      <c r="V105">
        <v>-45.912433624267599</v>
      </c>
      <c r="W105" s="2">
        <v>3.4028230607370999E+38</v>
      </c>
      <c r="X105" s="2">
        <v>3.4028230607370999E+38</v>
      </c>
      <c r="Y105">
        <v>1195.15515136719</v>
      </c>
      <c r="Z105">
        <v>1380.08056640625</v>
      </c>
      <c r="AA105">
        <v>690.09796142578102</v>
      </c>
      <c r="AB105" s="2">
        <v>3.4028230607370999E+38</v>
      </c>
      <c r="AC105" s="2">
        <v>3.4028230607370999E+38</v>
      </c>
      <c r="AD105">
        <v>230.00218200683599</v>
      </c>
      <c r="AE105">
        <v>6.0003156661987296</v>
      </c>
      <c r="AF105">
        <v>1195.15612792969</v>
      </c>
      <c r="AG105">
        <v>1380.08483886719</v>
      </c>
      <c r="AH105">
        <v>690.10980224609398</v>
      </c>
      <c r="AI105">
        <v>49.999931335449197</v>
      </c>
      <c r="AJ105">
        <v>-30.003108978271499</v>
      </c>
      <c r="AK105">
        <v>1.5934543684124901E-2</v>
      </c>
      <c r="AL105" s="2">
        <v>4.0667755456524901E-6</v>
      </c>
      <c r="AM105" s="2">
        <v>1.09565387873545E-8</v>
      </c>
      <c r="AN105" s="2">
        <v>6.3360289459524197E-8</v>
      </c>
      <c r="AO105" s="2">
        <v>-3.4100804402470401E-9</v>
      </c>
      <c r="AP105">
        <v>74.624687194824205</v>
      </c>
      <c r="AQ105">
        <v>18.918800354003899</v>
      </c>
      <c r="AR105">
        <v>1.7092637717723801E-2</v>
      </c>
      <c r="AS105" s="2">
        <v>3.2818031741044302E-6</v>
      </c>
      <c r="AT105" s="2">
        <v>7.2736567879871902E-9</v>
      </c>
      <c r="AU105" s="2">
        <v>5.5968445877851998E-8</v>
      </c>
      <c r="AV105" s="2">
        <v>4.9597455031857904E-9</v>
      </c>
      <c r="AW105">
        <v>74.765022277832003</v>
      </c>
      <c r="AX105">
        <v>-34.019359588622997</v>
      </c>
      <c r="AY105" s="2">
        <v>3.4028230607370999E+38</v>
      </c>
      <c r="AZ105" s="2">
        <v>3.4028230607370999E+38</v>
      </c>
      <c r="BA105">
        <v>1195.15612792969</v>
      </c>
      <c r="BB105">
        <v>1380.08483886719</v>
      </c>
      <c r="BC105">
        <v>690.10974121093795</v>
      </c>
      <c r="BD105" s="2">
        <v>3.4028230607370999E+38</v>
      </c>
      <c r="BE105" s="2">
        <v>3.4028230607370999E+38</v>
      </c>
      <c r="BF105">
        <v>230.00204467773401</v>
      </c>
      <c r="BG105">
        <v>6.0003209114074698</v>
      </c>
      <c r="BH105">
        <v>1195.15625</v>
      </c>
      <c r="BI105">
        <v>1380.08544921875</v>
      </c>
      <c r="BJ105">
        <v>690.10260009765602</v>
      </c>
      <c r="BK105">
        <v>49.999969482421903</v>
      </c>
      <c r="BL105">
        <v>-30.002864837646499</v>
      </c>
      <c r="BM105">
        <v>1.6428025439381599E-2</v>
      </c>
      <c r="BN105" s="2">
        <v>4.0591398828837597E-6</v>
      </c>
      <c r="BO105" s="2">
        <v>9.9176675760759297E-9</v>
      </c>
      <c r="BP105" s="2">
        <v>6.5819151018331494E-8</v>
      </c>
      <c r="BQ105" s="2">
        <v>-5.3432906987893602E-9</v>
      </c>
      <c r="BR105">
        <v>74.725402832031193</v>
      </c>
      <c r="BS105">
        <v>30.071044921875</v>
      </c>
      <c r="BT105">
        <v>1.8073018640279801E-2</v>
      </c>
      <c r="BU105" s="2">
        <v>3.2669247502781201E-6</v>
      </c>
      <c r="BV105" s="2">
        <v>8.3015114782369892E-9</v>
      </c>
      <c r="BW105" s="2">
        <v>5.5622386696541097E-8</v>
      </c>
      <c r="BX105" s="2">
        <v>5.0856838740287499E-9</v>
      </c>
      <c r="BY105">
        <v>74.617149353027301</v>
      </c>
      <c r="BZ105">
        <v>-37.1745414733887</v>
      </c>
      <c r="CA105" s="2">
        <v>3.4028230607370999E+38</v>
      </c>
      <c r="CB105" s="2">
        <v>3.4028230607370999E+38</v>
      </c>
      <c r="CC105">
        <v>1195.15625</v>
      </c>
      <c r="CD105">
        <v>1380.08544921875</v>
      </c>
      <c r="CE105">
        <v>690.1025390625</v>
      </c>
      <c r="CF105" s="2">
        <v>3.4028230607370999E+38</v>
      </c>
      <c r="CG105" s="2">
        <v>3.4028230607370999E+38</v>
      </c>
      <c r="CH105">
        <v>230.00160217285199</v>
      </c>
      <c r="CI105">
        <v>6.0002965927123997</v>
      </c>
      <c r="CJ105">
        <v>1195.15026855469</v>
      </c>
      <c r="CK105">
        <v>1380.07421875</v>
      </c>
      <c r="CL105">
        <v>690.09777832031205</v>
      </c>
      <c r="CM105">
        <v>49.999973297119098</v>
      </c>
      <c r="CN105">
        <v>-30.002864837646499</v>
      </c>
      <c r="CO105">
        <v>1.66868343949318E-2</v>
      </c>
      <c r="CP105" s="2">
        <v>3.9577566894877202E-6</v>
      </c>
      <c r="CQ105" s="2">
        <v>1.39158480294554E-8</v>
      </c>
      <c r="CR105" s="2">
        <v>6.5731271092772698E-8</v>
      </c>
      <c r="CS105" s="2">
        <v>6.6617973359939201E-9</v>
      </c>
      <c r="CT105">
        <v>74.734306335449205</v>
      </c>
      <c r="CU105">
        <v>-25.351579666137699</v>
      </c>
      <c r="CV105">
        <v>1.8039986491203301E-2</v>
      </c>
      <c r="CW105" s="2">
        <v>3.22039454658807E-6</v>
      </c>
      <c r="CX105" s="2">
        <v>7.5452950554222298E-9</v>
      </c>
      <c r="CY105" s="2">
        <v>6.1865129907801006E-8</v>
      </c>
      <c r="CZ105" s="2">
        <v>1.1216100936906101E-8</v>
      </c>
      <c r="DA105">
        <v>74.799537658691406</v>
      </c>
      <c r="DB105">
        <v>-57.606857299804702</v>
      </c>
      <c r="DC105" s="2">
        <v>3.4028230607370999E+38</v>
      </c>
      <c r="DD105" s="2">
        <v>3.4028230607370999E+38</v>
      </c>
      <c r="DE105">
        <v>1195.15026855469</v>
      </c>
      <c r="DF105">
        <v>1380.07421875</v>
      </c>
      <c r="DG105">
        <v>690.09777832031205</v>
      </c>
      <c r="DH105" s="2">
        <v>3.4028230607370999E+38</v>
      </c>
      <c r="DI105" s="2">
        <v>3.4028230607370999E+38</v>
      </c>
      <c r="DJ105">
        <v>230.00189208984401</v>
      </c>
      <c r="DK105">
        <v>6.0002751350402797</v>
      </c>
      <c r="DL105">
        <v>1195.14709472656</v>
      </c>
      <c r="DM105">
        <v>1380.07397460938</v>
      </c>
      <c r="DN105">
        <v>690.0966796875</v>
      </c>
      <c r="DO105">
        <v>49.999931335449197</v>
      </c>
      <c r="DP105">
        <v>-30.002750396728501</v>
      </c>
      <c r="DQ105">
        <v>1.6236305236816399E-2</v>
      </c>
      <c r="DR105" s="2">
        <v>3.9532988012069802E-6</v>
      </c>
      <c r="DS105" s="2">
        <v>1.5485394300185399E-8</v>
      </c>
      <c r="DT105" s="2">
        <v>6.4163714341702897E-8</v>
      </c>
      <c r="DU105" s="2">
        <v>7.8409811976598592E-9</v>
      </c>
      <c r="DV105">
        <v>74.626632690429702</v>
      </c>
      <c r="DW105">
        <v>-28.395463943481399</v>
      </c>
      <c r="DX105">
        <v>1.7595311626791999E-2</v>
      </c>
      <c r="DY105" s="2">
        <v>3.3118910778284801E-6</v>
      </c>
      <c r="DZ105" s="2">
        <v>5.3150941425883502E-9</v>
      </c>
      <c r="EA105" s="2">
        <v>5.9162136523127602E-8</v>
      </c>
      <c r="EB105" s="2">
        <v>1.0567169361763699E-8</v>
      </c>
      <c r="EC105">
        <v>74.701148986816406</v>
      </c>
      <c r="ED105">
        <v>-59.602569580078097</v>
      </c>
      <c r="EE105" s="2">
        <v>3.4028230607370999E+38</v>
      </c>
      <c r="EF105" s="2">
        <v>3.4028230607370999E+38</v>
      </c>
      <c r="EG105">
        <v>1195.14709472656</v>
      </c>
      <c r="EH105">
        <v>1380.07397460938</v>
      </c>
      <c r="EI105">
        <v>690.0966796875</v>
      </c>
      <c r="EJ105" s="2">
        <v>3.4028230607370999E+38</v>
      </c>
      <c r="EK105" s="2">
        <v>3.4028230607370999E+38</v>
      </c>
      <c r="EL105">
        <v>123</v>
      </c>
      <c r="EM105">
        <v>230.00225830078099</v>
      </c>
      <c r="EN105">
        <v>6.0002918243408203</v>
      </c>
      <c r="EO105">
        <v>1195.15173339844</v>
      </c>
      <c r="EP105">
        <v>1380.07788085938</v>
      </c>
      <c r="EQ105">
        <v>690.09924316406205</v>
      </c>
      <c r="ER105">
        <v>49.999889373779297</v>
      </c>
      <c r="ES105">
        <v>-30.0030212402344</v>
      </c>
      <c r="ET105">
        <v>0.86599975824356101</v>
      </c>
      <c r="EU105" s="2">
        <v>3.4028230607370999E+38</v>
      </c>
      <c r="EV105">
        <v>0</v>
      </c>
      <c r="EW105">
        <v>230.00112915039099</v>
      </c>
      <c r="EX105">
        <v>1195.11633300781</v>
      </c>
      <c r="EY105">
        <v>1380.07263183594</v>
      </c>
      <c r="EZ105">
        <v>690.12591552734398</v>
      </c>
      <c r="FA105">
        <v>-3.81808914244175E-3</v>
      </c>
      <c r="FB105">
        <v>1.6660012304782899E-2</v>
      </c>
      <c r="FC105" s="2">
        <v>3.9632523112231899E-6</v>
      </c>
      <c r="FD105" s="2">
        <v>1.32593278578952E-8</v>
      </c>
      <c r="FE105" s="2">
        <v>6.6034424150984705E-8</v>
      </c>
      <c r="FF105" s="2">
        <v>6.0824105752033103E-9</v>
      </c>
      <c r="FG105">
        <v>74.786453247070298</v>
      </c>
      <c r="FH105">
        <v>-22.8542575836182</v>
      </c>
      <c r="FI105">
        <v>0.218929529190063</v>
      </c>
      <c r="FJ105" s="2">
        <v>3.4028230607370999E+38</v>
      </c>
      <c r="FK105">
        <v>-37.900184631347699</v>
      </c>
      <c r="FL105">
        <v>1.96652766317129E-2</v>
      </c>
      <c r="FM105">
        <v>0</v>
      </c>
      <c r="FN105">
        <v>0</v>
      </c>
      <c r="FO105">
        <v>0</v>
      </c>
      <c r="FP105" s="2">
        <v>-3.0462848371826099E-5</v>
      </c>
      <c r="FQ105">
        <v>1.84222534298897E-2</v>
      </c>
      <c r="FR105" s="2">
        <v>3.3295727916993201E-6</v>
      </c>
      <c r="FS105" s="2">
        <v>5.7941260678262601E-9</v>
      </c>
      <c r="FT105" s="2">
        <v>5.9650460570992397E-8</v>
      </c>
      <c r="FU105" s="2">
        <v>1.0006928619077401E-8</v>
      </c>
      <c r="FV105">
        <v>74.689445495605497</v>
      </c>
      <c r="FW105">
        <v>-59.928684234619098</v>
      </c>
      <c r="FX105">
        <v>9.7134634852409404E-2</v>
      </c>
      <c r="FY105" s="2">
        <v>3.4028230607370999E+38</v>
      </c>
      <c r="FZ105">
        <v>-82.935577392578097</v>
      </c>
      <c r="GA105">
        <v>229.05474853515599</v>
      </c>
      <c r="GB105" s="2">
        <v>7.1585543048868803E-10</v>
      </c>
      <c r="GC105">
        <v>7.4123829836025802E-4</v>
      </c>
      <c r="GD105" s="2">
        <v>1.6018667503559E-9</v>
      </c>
      <c r="GE105" s="2">
        <v>-9.3400769401341704E-5</v>
      </c>
      <c r="GF105" s="2">
        <v>3.4028230607370999E+38</v>
      </c>
      <c r="GG105" s="2">
        <v>3.4028230607370999E+38</v>
      </c>
      <c r="GH105">
        <v>1195.15100097656</v>
      </c>
      <c r="GI105">
        <v>1380.07946777344</v>
      </c>
      <c r="GJ105">
        <v>690.10021972656205</v>
      </c>
      <c r="GK105" s="2">
        <v>3.4028230607370999E+38</v>
      </c>
      <c r="GL105" s="2">
        <v>3.4028230607370999E+38</v>
      </c>
      <c r="GM105" s="2">
        <v>3.4028230607370999E+38</v>
      </c>
      <c r="GN105" s="2">
        <v>3.4028230607370999E+38</v>
      </c>
      <c r="GO105" s="2">
        <v>3.4028230607370999E+38</v>
      </c>
      <c r="GP105" s="2">
        <v>3.4028230607370999E+38</v>
      </c>
      <c r="GQ105">
        <v>1195.11193847656</v>
      </c>
      <c r="GR105">
        <v>1195.11193847656</v>
      </c>
      <c r="GS105">
        <v>690.12890625</v>
      </c>
      <c r="GT105">
        <v>-4.3437406420707703E-3</v>
      </c>
      <c r="GX105">
        <f t="shared" si="8"/>
        <v>230.0019683837892</v>
      </c>
      <c r="GY105">
        <f t="shared" si="9"/>
        <v>6.0003033638000476</v>
      </c>
      <c r="GZ105">
        <f t="shared" si="10"/>
        <v>1195.1529785156258</v>
      </c>
      <c r="HA105">
        <f t="shared" si="11"/>
        <v>1380.079809570314</v>
      </c>
      <c r="HB105">
        <f t="shared" si="12"/>
        <v>690.10097656250002</v>
      </c>
      <c r="HC105">
        <f t="shared" si="13"/>
        <v>49.999951934814433</v>
      </c>
      <c r="HD105">
        <f t="shared" si="14"/>
        <v>-30.002946090698241</v>
      </c>
      <c r="HW105" s="10">
        <f>(GX105/Data!$S105-1)*1000000</f>
        <v>22.399804778139298</v>
      </c>
      <c r="HX105" s="10">
        <f>(GY105/Data!$T105-1)*1000000</f>
        <v>7.5481420125367293</v>
      </c>
      <c r="HY105" s="10">
        <f>(GZ105/Data!$BW105-1)*1000000</f>
        <v>4.9646741384634652</v>
      </c>
      <c r="HZ105" s="10">
        <f>(HA105/(Data!$S105*Data!$T105)-1)*1000000</f>
        <v>28.661918916261797</v>
      </c>
      <c r="IA105" s="7">
        <f>(HB105/IF(HD105&gt;0, -Data!$BX105,Data!$BX105)-1)*1000000</f>
        <v>109.93087082855624</v>
      </c>
      <c r="IB105" s="10"/>
      <c r="IC105" s="9">
        <f>(HD105-Data!$U105)</f>
        <v>-2.7068706982404933E-3</v>
      </c>
    </row>
    <row r="106" spans="1:237" x14ac:dyDescent="0.2">
      <c r="A106">
        <v>106</v>
      </c>
      <c r="B106">
        <v>230.00189208984401</v>
      </c>
      <c r="C106">
        <v>6.0003004074096697</v>
      </c>
      <c r="D106">
        <v>1195.15209960938</v>
      </c>
      <c r="E106">
        <v>1380.07995605469</v>
      </c>
      <c r="F106">
        <v>690.10137939453102</v>
      </c>
      <c r="G106">
        <v>49.999923706054702</v>
      </c>
      <c r="H106">
        <v>-30.002822875976602</v>
      </c>
      <c r="I106">
        <v>1.7654132097959501E-2</v>
      </c>
      <c r="J106" s="2">
        <v>3.9577030293003199E-6</v>
      </c>
      <c r="K106" s="2">
        <v>1.56132138329212E-8</v>
      </c>
      <c r="L106" s="2">
        <v>6.93165418397257E-8</v>
      </c>
      <c r="M106" s="2">
        <v>3.9425698261652501E-9</v>
      </c>
      <c r="N106">
        <v>74.6668701171875</v>
      </c>
      <c r="O106">
        <v>-13.410249710083001</v>
      </c>
      <c r="P106">
        <v>1.9312707707285898E-2</v>
      </c>
      <c r="Q106" s="2">
        <v>3.26680992657202E-6</v>
      </c>
      <c r="R106" s="2">
        <v>8.4833686742058506E-9</v>
      </c>
      <c r="S106" s="2">
        <v>6.3156214480386605E-8</v>
      </c>
      <c r="T106" s="2">
        <v>1.14684715057933E-8</v>
      </c>
      <c r="U106">
        <v>74.747985839843807</v>
      </c>
      <c r="V106">
        <v>-54.610237121582003</v>
      </c>
      <c r="W106" s="2">
        <v>3.4028230607370999E+38</v>
      </c>
      <c r="X106" s="2">
        <v>3.4028230607370999E+38</v>
      </c>
      <c r="Y106">
        <v>1195.15209960938</v>
      </c>
      <c r="Z106">
        <v>1380.07995605469</v>
      </c>
      <c r="AA106">
        <v>690.10137939453102</v>
      </c>
      <c r="AB106" s="2">
        <v>3.4028230607370999E+38</v>
      </c>
      <c r="AC106" s="2">
        <v>3.4028230607370999E+38</v>
      </c>
      <c r="AD106">
        <v>230.00186157226599</v>
      </c>
      <c r="AE106">
        <v>6.0003037452697798</v>
      </c>
      <c r="AF106">
        <v>1195.1494140625</v>
      </c>
      <c r="AG106">
        <v>1380.07824707031</v>
      </c>
      <c r="AH106">
        <v>690.10144042968795</v>
      </c>
      <c r="AI106">
        <v>49.999958038330099</v>
      </c>
      <c r="AJ106">
        <v>-30.002843856811499</v>
      </c>
      <c r="AK106">
        <v>1.75528340041637E-2</v>
      </c>
      <c r="AL106" s="2">
        <v>4.0140880628314301E-6</v>
      </c>
      <c r="AM106" s="2">
        <v>1.5547355403100499E-8</v>
      </c>
      <c r="AN106" s="2">
        <v>7.1305493065665399E-8</v>
      </c>
      <c r="AO106" s="2">
        <v>-9.5430115198968896E-11</v>
      </c>
      <c r="AP106">
        <v>74.786636352539105</v>
      </c>
      <c r="AQ106">
        <v>-9.8855514526367205</v>
      </c>
      <c r="AR106">
        <v>1.9369883462786699E-2</v>
      </c>
      <c r="AS106" s="2">
        <v>3.3476917451480399E-6</v>
      </c>
      <c r="AT106" s="2">
        <v>1.13195426365564E-8</v>
      </c>
      <c r="AU106" s="2">
        <v>6.4527299059591301E-8</v>
      </c>
      <c r="AV106" s="2">
        <v>1.2317659781047E-8</v>
      </c>
      <c r="AW106">
        <v>74.776863098144503</v>
      </c>
      <c r="AX106">
        <v>-47.7632446289062</v>
      </c>
      <c r="AY106" s="2">
        <v>3.4028230607370999E+38</v>
      </c>
      <c r="AZ106" s="2">
        <v>3.4028230607370999E+38</v>
      </c>
      <c r="BA106">
        <v>1195.1494140625</v>
      </c>
      <c r="BB106">
        <v>1380.07824707031</v>
      </c>
      <c r="BC106">
        <v>690.10137939453102</v>
      </c>
      <c r="BD106" s="2">
        <v>3.4028230607370999E+38</v>
      </c>
      <c r="BE106" s="2">
        <v>3.4028230607370999E+38</v>
      </c>
      <c r="BF106">
        <v>230.00256347656199</v>
      </c>
      <c r="BG106">
        <v>6.0002932548522896</v>
      </c>
      <c r="BH106">
        <v>1195.15161132812</v>
      </c>
      <c r="BI106">
        <v>1380.08190917969</v>
      </c>
      <c r="BJ106">
        <v>690.108642578125</v>
      </c>
      <c r="BK106">
        <v>49.9998970031738</v>
      </c>
      <c r="BL106">
        <v>-30.003160476684599</v>
      </c>
      <c r="BM106">
        <v>1.53076210990548E-2</v>
      </c>
      <c r="BN106" s="2">
        <v>3.9947167351783702E-6</v>
      </c>
      <c r="BO106" s="2">
        <v>8.8928144847955098E-9</v>
      </c>
      <c r="BP106" s="2">
        <v>5.9789918793740098E-8</v>
      </c>
      <c r="BQ106" s="2">
        <v>7.6785102720577908E-9</v>
      </c>
      <c r="BR106">
        <v>74.689208984375</v>
      </c>
      <c r="BS106">
        <v>-37.1810111999512</v>
      </c>
      <c r="BT106">
        <v>1.6304735094308902E-2</v>
      </c>
      <c r="BU106" s="2">
        <v>3.28876330968342E-6</v>
      </c>
      <c r="BV106" s="2">
        <v>2.84707746267543E-9</v>
      </c>
      <c r="BW106" s="2">
        <v>5.2721201626582102E-8</v>
      </c>
      <c r="BX106" s="2">
        <v>5.6987996543966801E-9</v>
      </c>
      <c r="BY106">
        <v>74.689025878906193</v>
      </c>
      <c r="BZ106">
        <v>-63.769386291503899</v>
      </c>
      <c r="CA106" s="2">
        <v>3.4028230607370999E+38</v>
      </c>
      <c r="CB106" s="2">
        <v>3.4028230607370999E+38</v>
      </c>
      <c r="CC106">
        <v>1195.15161132812</v>
      </c>
      <c r="CD106">
        <v>1380.08190917969</v>
      </c>
      <c r="CE106">
        <v>690.108642578125</v>
      </c>
      <c r="CF106" s="2">
        <v>3.4028230607370999E+38</v>
      </c>
      <c r="CG106" s="2">
        <v>3.4028230607370999E+38</v>
      </c>
      <c r="CH106">
        <v>230.00196838378901</v>
      </c>
      <c r="CI106">
        <v>6.0002813339233398</v>
      </c>
      <c r="CJ106">
        <v>1195.15161132812</v>
      </c>
      <c r="CK106">
        <v>1380.08044433594</v>
      </c>
      <c r="CL106">
        <v>690.100341796875</v>
      </c>
      <c r="CM106">
        <v>49.9999809265137</v>
      </c>
      <c r="CN106">
        <v>-30.002761840820298</v>
      </c>
      <c r="CO106">
        <v>1.7023984342813499E-2</v>
      </c>
      <c r="CP106" s="2">
        <v>3.9754750105203104E-6</v>
      </c>
      <c r="CQ106" s="2">
        <v>1.74377294825945E-8</v>
      </c>
      <c r="CR106" s="2">
        <v>6.7529192904203201E-8</v>
      </c>
      <c r="CS106" s="2">
        <v>8.14470979548787E-9</v>
      </c>
      <c r="CT106">
        <v>74.668083190917997</v>
      </c>
      <c r="CU106">
        <v>-21.974201202392599</v>
      </c>
      <c r="CV106">
        <v>1.88313089311123E-2</v>
      </c>
      <c r="CW106" s="2">
        <v>3.3495282423246E-6</v>
      </c>
      <c r="CX106" s="2">
        <v>5.7423323873706497E-9</v>
      </c>
      <c r="CY106" s="2">
        <v>6.3514001169551206E-8</v>
      </c>
      <c r="CZ106" s="2">
        <v>1.00642827405295E-8</v>
      </c>
      <c r="DA106">
        <v>74.670089721679702</v>
      </c>
      <c r="DB106">
        <v>-60.3469848632812</v>
      </c>
      <c r="DC106" s="2">
        <v>3.4028230607370999E+38</v>
      </c>
      <c r="DD106" s="2">
        <v>3.4028230607370999E+38</v>
      </c>
      <c r="DE106">
        <v>1195.15161132812</v>
      </c>
      <c r="DF106">
        <v>1380.08044433594</v>
      </c>
      <c r="DG106">
        <v>690.100341796875</v>
      </c>
      <c r="DH106" s="2">
        <v>3.4028230607370999E+38</v>
      </c>
      <c r="DI106" s="2">
        <v>3.4028230607370999E+38</v>
      </c>
      <c r="DJ106">
        <v>230.00183105468801</v>
      </c>
      <c r="DK106">
        <v>6.0003004074096697</v>
      </c>
      <c r="DL106">
        <v>1195.1513671875</v>
      </c>
      <c r="DM106">
        <v>1380.07775878906</v>
      </c>
      <c r="DN106">
        <v>690.099609375</v>
      </c>
      <c r="DO106">
        <v>49.999912261962898</v>
      </c>
      <c r="DP106">
        <v>-30.002740859985401</v>
      </c>
      <c r="DQ106">
        <v>1.7424799501895901E-2</v>
      </c>
      <c r="DR106" s="2">
        <v>3.9050059967848904E-6</v>
      </c>
      <c r="DS106" s="2">
        <v>1.9491453784326001E-8</v>
      </c>
      <c r="DT106" s="2">
        <v>6.8182593793153501E-8</v>
      </c>
      <c r="DU106" s="2">
        <v>7.66644792093985E-9</v>
      </c>
      <c r="DV106">
        <v>74.724159240722699</v>
      </c>
      <c r="DW106">
        <v>-21.726890563964801</v>
      </c>
      <c r="DX106">
        <v>1.91276017576456E-2</v>
      </c>
      <c r="DY106" s="2">
        <v>3.2439568258269E-6</v>
      </c>
      <c r="DZ106" s="2">
        <v>7.4544725947589508E-9</v>
      </c>
      <c r="EA106" s="2">
        <v>6.2079656970581696E-8</v>
      </c>
      <c r="EB106" s="2">
        <v>1.21824745846766E-8</v>
      </c>
      <c r="EC106">
        <v>74.740303039550795</v>
      </c>
      <c r="ED106">
        <v>-56.726463317871101</v>
      </c>
      <c r="EE106" s="2">
        <v>3.4028230607370999E+38</v>
      </c>
      <c r="EF106" s="2">
        <v>3.4028230607370999E+38</v>
      </c>
      <c r="EG106">
        <v>1195.1513671875</v>
      </c>
      <c r="EH106">
        <v>1380.07775878906</v>
      </c>
      <c r="EI106">
        <v>690.099609375</v>
      </c>
      <c r="EJ106" s="2">
        <v>3.4028230607370999E+38</v>
      </c>
      <c r="EK106" s="2">
        <v>3.4028230607370999E+38</v>
      </c>
      <c r="EL106">
        <v>123</v>
      </c>
      <c r="EM106">
        <v>230.001953125</v>
      </c>
      <c r="EN106">
        <v>6.0003004074096697</v>
      </c>
      <c r="EO106">
        <v>1195.14868164062</v>
      </c>
      <c r="EP106">
        <v>1380.07983398438</v>
      </c>
      <c r="EQ106">
        <v>690.108154296875</v>
      </c>
      <c r="ER106">
        <v>50.000011444091797</v>
      </c>
      <c r="ES106">
        <v>-30.002813339233398</v>
      </c>
      <c r="ET106">
        <v>0.86600184440612804</v>
      </c>
      <c r="EU106" s="2">
        <v>3.4028230607370999E+38</v>
      </c>
      <c r="EV106">
        <v>0</v>
      </c>
      <c r="EW106">
        <v>230.001388549805</v>
      </c>
      <c r="EX106">
        <v>1195.11889648438</v>
      </c>
      <c r="EY106">
        <v>1380.07397460938</v>
      </c>
      <c r="EZ106">
        <v>690.12713623046898</v>
      </c>
      <c r="FA106">
        <v>-3.6382183898240302E-3</v>
      </c>
      <c r="FB106">
        <v>1.7155375331640198E-2</v>
      </c>
      <c r="FC106" s="2">
        <v>3.9735878090141299E-6</v>
      </c>
      <c r="FD106" s="2">
        <v>1.66605573781453E-8</v>
      </c>
      <c r="FE106" s="2">
        <v>6.8093342520114701E-8</v>
      </c>
      <c r="FF106" s="2">
        <v>4.9356905229558404E-9</v>
      </c>
      <c r="FG106">
        <v>74.752197265625</v>
      </c>
      <c r="FH106">
        <v>-16.4200744628906</v>
      </c>
      <c r="FI106">
        <v>0.24695466458797499</v>
      </c>
      <c r="FJ106" s="2">
        <v>3.4028230607370999E+38</v>
      </c>
      <c r="FK106">
        <v>-48.974754333496101</v>
      </c>
      <c r="FL106">
        <v>2.1184083074331301E-2</v>
      </c>
      <c r="FM106">
        <v>0</v>
      </c>
      <c r="FN106">
        <v>0</v>
      </c>
      <c r="FO106">
        <v>0</v>
      </c>
      <c r="FP106" s="2">
        <v>-3.4368324122624499E-5</v>
      </c>
      <c r="FQ106">
        <v>1.9169077277183501E-2</v>
      </c>
      <c r="FR106" s="2">
        <v>3.3435951536375801E-6</v>
      </c>
      <c r="FS106" s="2">
        <v>6.4977250247011398E-9</v>
      </c>
      <c r="FT106" s="2">
        <v>6.2697139924239296E-8</v>
      </c>
      <c r="FU106" s="2">
        <v>9.7602592674661504E-9</v>
      </c>
      <c r="FV106">
        <v>74.672554016113295</v>
      </c>
      <c r="FW106">
        <v>-54.037960052490199</v>
      </c>
      <c r="FX106">
        <v>9.4005882740020794E-2</v>
      </c>
      <c r="FY106" s="2">
        <v>3.4028230607370999E+38</v>
      </c>
      <c r="FZ106">
        <v>-64.384658813476605</v>
      </c>
      <c r="GA106">
        <v>229.19461059570301</v>
      </c>
      <c r="GB106" s="2">
        <v>-1.53122658996807E-9</v>
      </c>
      <c r="GC106">
        <v>7.43062584660947E-4</v>
      </c>
      <c r="GD106" s="2">
        <v>2.62636523640225E-10</v>
      </c>
      <c r="GE106" s="2">
        <v>-9.60999677772634E-5</v>
      </c>
      <c r="GF106" s="2">
        <v>3.4028230607370999E+38</v>
      </c>
      <c r="GG106" s="2">
        <v>3.4028230607370999E+38</v>
      </c>
      <c r="GH106">
        <v>1195.14733886719</v>
      </c>
      <c r="GI106">
        <v>1380.07446289062</v>
      </c>
      <c r="GJ106">
        <v>690.09844970703102</v>
      </c>
      <c r="GK106" s="2">
        <v>3.4028230607370999E+38</v>
      </c>
      <c r="GL106" s="2">
        <v>3.4028230607370999E+38</v>
      </c>
      <c r="GM106" s="2">
        <v>3.4028230607370999E+38</v>
      </c>
      <c r="GN106" s="2">
        <v>3.4028230607370999E+38</v>
      </c>
      <c r="GO106" s="2">
        <v>3.4028230607370999E+38</v>
      </c>
      <c r="GP106" s="2">
        <v>3.4028230607370999E+38</v>
      </c>
      <c r="GQ106">
        <v>1195.12878417969</v>
      </c>
      <c r="GR106">
        <v>1195.12878417969</v>
      </c>
      <c r="GS106">
        <v>690.143798828125</v>
      </c>
      <c r="GT106">
        <v>-2.9217293485999099E-3</v>
      </c>
      <c r="GX106">
        <f t="shared" si="8"/>
        <v>230.00202331542977</v>
      </c>
      <c r="GY106">
        <f t="shared" si="9"/>
        <v>6.0002958297729494</v>
      </c>
      <c r="GZ106">
        <f t="shared" si="10"/>
        <v>1195.151220703124</v>
      </c>
      <c r="HA106">
        <f t="shared" si="11"/>
        <v>1380.0796630859381</v>
      </c>
      <c r="HB106">
        <f t="shared" si="12"/>
        <v>690.1022827148438</v>
      </c>
      <c r="HC106">
        <f t="shared" si="13"/>
        <v>49.999934387207034</v>
      </c>
      <c r="HD106">
        <f t="shared" si="14"/>
        <v>-30.002865982055681</v>
      </c>
      <c r="HW106" s="10">
        <f>(GX106/Data!$S106-1)*1000000</f>
        <v>21.766001536471791</v>
      </c>
      <c r="HX106" s="10">
        <f>(GY106/Data!$T106-1)*1000000</f>
        <v>5.3633931502705678</v>
      </c>
      <c r="HY106" s="10">
        <f>(GZ106/Data!$BW106-1)*1000000</f>
        <v>2.4212083624686187</v>
      </c>
      <c r="HZ106" s="10">
        <f>(HA106/(Data!$S106*Data!$T106)-1)*1000000</f>
        <v>26.753977422799835</v>
      </c>
      <c r="IA106" s="7">
        <f>(HB106/IF(HD106&gt;0, -Data!$BX106,Data!$BX106)-1)*1000000</f>
        <v>107.83494071842092</v>
      </c>
      <c r="IB106" s="10"/>
      <c r="IC106" s="9">
        <f>(HD106-Data!$U106)</f>
        <v>-2.554422055681016E-3</v>
      </c>
    </row>
    <row r="107" spans="1:237" x14ac:dyDescent="0.2">
      <c r="A107">
        <v>107</v>
      </c>
      <c r="B107">
        <v>230.00225830078099</v>
      </c>
      <c r="C107">
        <v>6.0003108978271502</v>
      </c>
      <c r="D107">
        <v>1195.15747070312</v>
      </c>
      <c r="E107">
        <v>1380.08142089844</v>
      </c>
      <c r="F107">
        <v>690.10302734375</v>
      </c>
      <c r="G107">
        <v>49.999885559082003</v>
      </c>
      <c r="H107">
        <v>-30.002904891967798</v>
      </c>
      <c r="I107">
        <v>1.7624441534280801E-2</v>
      </c>
      <c r="J107" s="2">
        <v>3.9688325159659101E-6</v>
      </c>
      <c r="K107" s="2">
        <v>1.8940575330361799E-8</v>
      </c>
      <c r="L107" s="2">
        <v>7.0541219088227094E-8</v>
      </c>
      <c r="M107" s="2">
        <v>3.6253440249822701E-9</v>
      </c>
      <c r="N107">
        <v>74.579010009765597</v>
      </c>
      <c r="O107">
        <v>-9.9370288848877006</v>
      </c>
      <c r="P107">
        <v>1.9632067531347299E-2</v>
      </c>
      <c r="Q107" s="2">
        <v>3.2614286737953101E-6</v>
      </c>
      <c r="R107" s="2">
        <v>1.0072052525345E-8</v>
      </c>
      <c r="S107" s="2">
        <v>6.4274502165062599E-8</v>
      </c>
      <c r="T107" s="2">
        <v>1.12575646582513E-8</v>
      </c>
      <c r="U107">
        <v>74.801567077636705</v>
      </c>
      <c r="V107">
        <v>-48.495819091796903</v>
      </c>
      <c r="W107" s="2">
        <v>3.4028230607370999E+38</v>
      </c>
      <c r="X107" s="2">
        <v>3.4028230607370999E+38</v>
      </c>
      <c r="Y107">
        <v>1195.15747070312</v>
      </c>
      <c r="Z107">
        <v>1380.08142089844</v>
      </c>
      <c r="AA107">
        <v>690.10302734375</v>
      </c>
      <c r="AB107" s="2">
        <v>3.4028230607370999E+38</v>
      </c>
      <c r="AC107" s="2">
        <v>3.4028230607370999E+38</v>
      </c>
      <c r="AD107">
        <v>230.00199890136699</v>
      </c>
      <c r="AE107">
        <v>6.0003032684326199</v>
      </c>
      <c r="AF107">
        <v>1195.15515136719</v>
      </c>
      <c r="AG107">
        <v>1380.08081054688</v>
      </c>
      <c r="AH107">
        <v>690.09796142578102</v>
      </c>
      <c r="AI107">
        <v>49.999904632568402</v>
      </c>
      <c r="AJ107">
        <v>-30.002702713012699</v>
      </c>
      <c r="AK107">
        <v>1.66770424693823E-2</v>
      </c>
      <c r="AL107" s="2">
        <v>4.0061595427687297E-6</v>
      </c>
      <c r="AM107" s="2">
        <v>1.22411849545756E-8</v>
      </c>
      <c r="AN107" s="2">
        <v>6.6928848241332201E-8</v>
      </c>
      <c r="AO107" s="2">
        <v>-2.8324118606093399E-9</v>
      </c>
      <c r="AP107">
        <v>74.698654174804702</v>
      </c>
      <c r="AQ107">
        <v>19.6358833312988</v>
      </c>
      <c r="AR107">
        <v>1.8232889473438301E-2</v>
      </c>
      <c r="AS107" s="2">
        <v>3.2655250379320899E-6</v>
      </c>
      <c r="AT107" s="2">
        <v>8.6273210797571698E-9</v>
      </c>
      <c r="AU107" s="2">
        <v>5.8273649017337401E-8</v>
      </c>
      <c r="AV107" s="2">
        <v>7.1435946047415696E-9</v>
      </c>
      <c r="AW107">
        <v>74.805725097656193</v>
      </c>
      <c r="AX107">
        <v>-35.896377563476598</v>
      </c>
      <c r="AY107" s="2">
        <v>3.4028230607370999E+38</v>
      </c>
      <c r="AZ107" s="2">
        <v>3.4028230607370999E+38</v>
      </c>
      <c r="BA107">
        <v>1195.15515136719</v>
      </c>
      <c r="BB107">
        <v>1380.08081054688</v>
      </c>
      <c r="BC107">
        <v>690.097900390625</v>
      </c>
      <c r="BD107" s="2">
        <v>3.4028230607370999E+38</v>
      </c>
      <c r="BE107" s="2">
        <v>3.4028230607370999E+38</v>
      </c>
      <c r="BF107">
        <v>230.00221252441401</v>
      </c>
      <c r="BG107">
        <v>6.00028324127197</v>
      </c>
      <c r="BH107">
        <v>1195.14465332031</v>
      </c>
      <c r="BI107">
        <v>1380.07434082031</v>
      </c>
      <c r="BJ107">
        <v>690.10443115234398</v>
      </c>
      <c r="BK107">
        <v>49.999946594238303</v>
      </c>
      <c r="BL107">
        <v>-30.002750396728501</v>
      </c>
      <c r="BM107">
        <v>1.7861630767583798E-2</v>
      </c>
      <c r="BN107" s="2">
        <v>3.9792384995962502E-6</v>
      </c>
      <c r="BO107" s="2">
        <v>1.9059829270418E-8</v>
      </c>
      <c r="BP107" s="2">
        <v>7.1144270918921406E-8</v>
      </c>
      <c r="BQ107" s="2">
        <v>3.9360048553760399E-9</v>
      </c>
      <c r="BR107">
        <v>74.730003356933594</v>
      </c>
      <c r="BS107">
        <v>-11.946928024291999</v>
      </c>
      <c r="BT107">
        <v>1.92934572696686E-2</v>
      </c>
      <c r="BU107" s="2">
        <v>3.3138921935460501E-6</v>
      </c>
      <c r="BV107" s="2">
        <v>9.5145491485482092E-9</v>
      </c>
      <c r="BW107" s="2">
        <v>6.4003877753293597E-8</v>
      </c>
      <c r="BX107" s="2">
        <v>1.1155306012256001E-8</v>
      </c>
      <c r="BY107">
        <v>74.724227905273395</v>
      </c>
      <c r="BZ107">
        <v>-49.7577934265137</v>
      </c>
      <c r="CA107" s="2">
        <v>3.4028230607370999E+38</v>
      </c>
      <c r="CB107" s="2">
        <v>3.4028230607370999E+38</v>
      </c>
      <c r="CC107">
        <v>1195.14465332031</v>
      </c>
      <c r="CD107">
        <v>1380.07434082031</v>
      </c>
      <c r="CE107">
        <v>690.10443115234398</v>
      </c>
      <c r="CF107" s="2">
        <v>3.4028230607370999E+38</v>
      </c>
      <c r="CG107" s="2">
        <v>3.4028230607370999E+38</v>
      </c>
      <c r="CH107">
        <v>230.00238037109401</v>
      </c>
      <c r="CI107">
        <v>6.0003004074096697</v>
      </c>
      <c r="CJ107">
        <v>1195.15539550781</v>
      </c>
      <c r="CK107">
        <v>1380.08081054688</v>
      </c>
      <c r="CL107">
        <v>690.09979248046898</v>
      </c>
      <c r="CM107">
        <v>49.999923706054702</v>
      </c>
      <c r="CN107">
        <v>-30.002792358398398</v>
      </c>
      <c r="CO107">
        <v>1.6905982047319398E-2</v>
      </c>
      <c r="CP107" s="2">
        <v>4.05181845053448E-6</v>
      </c>
      <c r="CQ107" s="2">
        <v>1.0502419378610699E-8</v>
      </c>
      <c r="CR107" s="2">
        <v>6.7469279940723897E-8</v>
      </c>
      <c r="CS107" s="2">
        <v>-4.2808570022145903E-9</v>
      </c>
      <c r="CT107">
        <v>74.724517822265597</v>
      </c>
      <c r="CU107">
        <v>24.170690536498999</v>
      </c>
      <c r="CV107">
        <v>1.8744422122836099E-2</v>
      </c>
      <c r="CW107" s="2">
        <v>3.1790211778570699E-6</v>
      </c>
      <c r="CX107" s="2">
        <v>9.4538794570553397E-9</v>
      </c>
      <c r="CY107" s="2">
        <v>6.0724310912973994E-8</v>
      </c>
      <c r="CZ107" s="2">
        <v>8.5172766617347406E-9</v>
      </c>
      <c r="DA107">
        <v>74.656845092773395</v>
      </c>
      <c r="DB107">
        <v>-36.873447418212898</v>
      </c>
      <c r="DC107" s="2">
        <v>3.4028230607370999E+38</v>
      </c>
      <c r="DD107" s="2">
        <v>3.4028230607370999E+38</v>
      </c>
      <c r="DE107">
        <v>1195.15539550781</v>
      </c>
      <c r="DF107">
        <v>1380.08081054688</v>
      </c>
      <c r="DG107">
        <v>690.09973144531205</v>
      </c>
      <c r="DH107" s="2">
        <v>3.4028230607370999E+38</v>
      </c>
      <c r="DI107" s="2">
        <v>3.4028230607370999E+38</v>
      </c>
      <c r="DJ107">
        <v>230.00207519531199</v>
      </c>
      <c r="DK107">
        <v>6.0003075599670401</v>
      </c>
      <c r="DL107">
        <v>1195.15319824219</v>
      </c>
      <c r="DM107">
        <v>1380.0830078125</v>
      </c>
      <c r="DN107">
        <v>690.10485839843795</v>
      </c>
      <c r="DO107">
        <v>50.000015258789098</v>
      </c>
      <c r="DP107">
        <v>-30.002887725830099</v>
      </c>
      <c r="DQ107">
        <v>1.4620621688663999E-2</v>
      </c>
      <c r="DR107" s="2">
        <v>3.9708329495624597E-6</v>
      </c>
      <c r="DS107" s="2">
        <v>9.1613543418134197E-9</v>
      </c>
      <c r="DT107" s="2">
        <v>5.8085525722617597E-8</v>
      </c>
      <c r="DU107" s="2">
        <v>4.8046633338572098E-9</v>
      </c>
      <c r="DV107">
        <v>74.694259643554702</v>
      </c>
      <c r="DW107">
        <v>-27.918687820434599</v>
      </c>
      <c r="DX107">
        <v>1.56849734485149E-2</v>
      </c>
      <c r="DY107" s="2">
        <v>3.1968093026080198E-6</v>
      </c>
      <c r="DZ107" s="2">
        <v>3.1468301298076498E-9</v>
      </c>
      <c r="EA107" s="2">
        <v>5.0143697194471302E-8</v>
      </c>
      <c r="EB107" s="2">
        <v>4.7453703189148696E-9</v>
      </c>
      <c r="EC107">
        <v>74.692123413085895</v>
      </c>
      <c r="ED107">
        <v>-54.918380737304702</v>
      </c>
      <c r="EE107" s="2">
        <v>3.4028230607370999E+38</v>
      </c>
      <c r="EF107" s="2">
        <v>3.4028230607370999E+38</v>
      </c>
      <c r="EG107">
        <v>1195.15319824219</v>
      </c>
      <c r="EH107">
        <v>1380.0830078125</v>
      </c>
      <c r="EI107">
        <v>690.10485839843795</v>
      </c>
      <c r="EJ107" s="2">
        <v>3.4028230607370999E+38</v>
      </c>
      <c r="EK107" s="2">
        <v>3.4028230607370999E+38</v>
      </c>
      <c r="EL107">
        <v>123</v>
      </c>
      <c r="EM107">
        <v>230.00196838378901</v>
      </c>
      <c r="EN107">
        <v>6.0003018379211399</v>
      </c>
      <c r="EO107">
        <v>1195.15417480469</v>
      </c>
      <c r="EP107">
        <v>1380.08349609375</v>
      </c>
      <c r="EQ107">
        <v>690.10357666015602</v>
      </c>
      <c r="ER107">
        <v>49.999927520752003</v>
      </c>
      <c r="ES107">
        <v>-30.002912521362301</v>
      </c>
      <c r="ET107">
        <v>0.866000115871429</v>
      </c>
      <c r="EU107" s="2">
        <v>3.4028230607370999E+38</v>
      </c>
      <c r="EV107">
        <v>0</v>
      </c>
      <c r="EW107">
        <v>230.00167846679699</v>
      </c>
      <c r="EX107">
        <v>1195.13330078125</v>
      </c>
      <c r="EY107">
        <v>1380.07666015625</v>
      </c>
      <c r="EZ107">
        <v>690.11541748046898</v>
      </c>
      <c r="FA107">
        <v>-2.2571862209588298E-3</v>
      </c>
      <c r="FB107">
        <v>1.47179327905178E-2</v>
      </c>
      <c r="FC107" s="2">
        <v>3.9586047932971303E-6</v>
      </c>
      <c r="FD107" s="2">
        <v>1.0383048199003001E-8</v>
      </c>
      <c r="FE107" s="2">
        <v>5.77069734220004E-8</v>
      </c>
      <c r="FF107" s="2">
        <v>4.7072732378694598E-9</v>
      </c>
      <c r="FG107">
        <v>74.661384582519503</v>
      </c>
      <c r="FH107">
        <v>-27.6458835601807</v>
      </c>
      <c r="FI107">
        <v>0.14349551498889901</v>
      </c>
      <c r="FJ107" s="2">
        <v>3.4028230607370999E+38</v>
      </c>
      <c r="FK107">
        <v>-44.575283050537102</v>
      </c>
      <c r="FL107">
        <v>1.97459962219E-2</v>
      </c>
      <c r="FM107">
        <v>0</v>
      </c>
      <c r="FN107">
        <v>0</v>
      </c>
      <c r="FO107">
        <v>0</v>
      </c>
      <c r="FP107" s="2">
        <v>-1.22631681733765E-5</v>
      </c>
      <c r="FQ107">
        <v>1.5688288956880601E-2</v>
      </c>
      <c r="FR107" s="2">
        <v>3.1866397876001399E-6</v>
      </c>
      <c r="FS107" s="2">
        <v>1.2946371752420301E-9</v>
      </c>
      <c r="FT107" s="2">
        <v>5.0044420163430901E-8</v>
      </c>
      <c r="FU107" s="2">
        <v>3.8754781606087396E-9</v>
      </c>
      <c r="FV107">
        <v>74.619445800781193</v>
      </c>
      <c r="FW107">
        <v>-59.774021148681598</v>
      </c>
      <c r="FX107">
        <v>4.0650311857461902E-2</v>
      </c>
      <c r="FY107" s="2">
        <v>3.4028230607370999E+38</v>
      </c>
      <c r="FZ107">
        <v>55.575691223144503</v>
      </c>
      <c r="GA107">
        <v>229.16790771484401</v>
      </c>
      <c r="GB107" s="2">
        <v>-6.9786698642104697E-10</v>
      </c>
      <c r="GC107">
        <v>7.6051207724958702E-4</v>
      </c>
      <c r="GD107" s="2">
        <v>-9.9777053286231897E-10</v>
      </c>
      <c r="GE107" s="2">
        <v>-8.3264741988386999E-5</v>
      </c>
      <c r="GF107" s="2">
        <v>3.4028230607370999E+38</v>
      </c>
      <c r="GG107" s="2">
        <v>3.4028230607370999E+38</v>
      </c>
      <c r="GH107">
        <v>1195.14916992188</v>
      </c>
      <c r="GI107">
        <v>1380.07934570312</v>
      </c>
      <c r="GJ107">
        <v>690.1044921875</v>
      </c>
      <c r="GK107" s="2">
        <v>3.4028230607370999E+38</v>
      </c>
      <c r="GL107" s="2">
        <v>3.4028230607370999E+38</v>
      </c>
      <c r="GM107" s="2">
        <v>3.4028230607370999E+38</v>
      </c>
      <c r="GN107" s="2">
        <v>3.4028230607370999E+38</v>
      </c>
      <c r="GO107" s="2">
        <v>3.4028230607370999E+38</v>
      </c>
      <c r="GP107" s="2">
        <v>3.4028230607370999E+38</v>
      </c>
      <c r="GQ107">
        <v>1195.13891601562</v>
      </c>
      <c r="GR107">
        <v>1195.13916015625</v>
      </c>
      <c r="GS107">
        <v>690.12274169921898</v>
      </c>
      <c r="GT107">
        <v>-1.7444078112021099E-3</v>
      </c>
      <c r="GX107">
        <f t="shared" si="8"/>
        <v>230.00218505859362</v>
      </c>
      <c r="GY107">
        <f t="shared" si="9"/>
        <v>6.0003010749816896</v>
      </c>
      <c r="GZ107">
        <f t="shared" si="10"/>
        <v>1195.153173828124</v>
      </c>
      <c r="HA107">
        <f t="shared" si="11"/>
        <v>1380.0800781250018</v>
      </c>
      <c r="HB107">
        <f t="shared" si="12"/>
        <v>690.10201416015639</v>
      </c>
      <c r="HC107">
        <f t="shared" si="13"/>
        <v>49.999935150146499</v>
      </c>
      <c r="HD107">
        <f t="shared" si="14"/>
        <v>-30.0028076171875</v>
      </c>
      <c r="HW107" s="10">
        <f>(GX107/Data!$S107-1)*1000000</f>
        <v>23.475365426683936</v>
      </c>
      <c r="HX107" s="10">
        <f>(GY107/Data!$T107-1)*1000000</f>
        <v>8.6764701878738748</v>
      </c>
      <c r="HY107" s="10">
        <f>(GZ107/Data!$BW107-1)*1000000</f>
        <v>4.5532681678395193</v>
      </c>
      <c r="HZ107" s="10">
        <f>(HA107/(Data!$S107*Data!$T107)-1)*1000000</f>
        <v>30.499816506823763</v>
      </c>
      <c r="IA107" s="7">
        <f>(HB107/IF(HD107&gt;0, -Data!$BX107,Data!$BX107)-1)*1000000</f>
        <v>119.73164887191245</v>
      </c>
      <c r="IB107" s="10"/>
      <c r="IC107" s="9">
        <f>(HD107-Data!$U107)</f>
        <v>-2.7884771875008596E-3</v>
      </c>
    </row>
    <row r="108" spans="1:237" x14ac:dyDescent="0.2">
      <c r="A108">
        <v>108</v>
      </c>
      <c r="B108">
        <v>230.00209045410199</v>
      </c>
      <c r="C108">
        <v>6.0002870559692401</v>
      </c>
      <c r="D108">
        <v>-828.11669921875</v>
      </c>
      <c r="E108">
        <v>1380.07873535156</v>
      </c>
      <c r="F108">
        <v>1104.02282714844</v>
      </c>
      <c r="G108">
        <v>49.999874114990199</v>
      </c>
      <c r="H108">
        <v>-126.873184204102</v>
      </c>
      <c r="I108">
        <v>1.6222510486841198E-2</v>
      </c>
      <c r="J108" s="2">
        <v>3.9287215258809704E-6</v>
      </c>
      <c r="K108" s="2">
        <v>9.4247853965612194E-9</v>
      </c>
      <c r="L108" s="2">
        <v>6.4584803283196406E-8</v>
      </c>
      <c r="M108" s="2">
        <v>1.44976874949521E-8</v>
      </c>
      <c r="N108">
        <v>74.619201660156193</v>
      </c>
      <c r="O108">
        <v>-57.5331840515137</v>
      </c>
      <c r="P108">
        <v>1.74146760255098E-2</v>
      </c>
      <c r="Q108" s="2">
        <v>3.1428205602423999E-6</v>
      </c>
      <c r="R108" s="2">
        <v>-2.4250894625765799E-9</v>
      </c>
      <c r="S108" s="2">
        <v>5.7699939048916303E-8</v>
      </c>
      <c r="T108" s="2">
        <v>4.2769423558297603E-9</v>
      </c>
      <c r="U108">
        <v>74.772315979003906</v>
      </c>
      <c r="V108">
        <v>-111.04827880859401</v>
      </c>
      <c r="W108" s="2">
        <v>3.4028230607370999E+38</v>
      </c>
      <c r="X108" s="2">
        <v>3.4028230607370999E+38</v>
      </c>
      <c r="Y108">
        <v>-828.11676025390602</v>
      </c>
      <c r="Z108">
        <v>1380.07873535156</v>
      </c>
      <c r="AA108">
        <v>1104.02282714844</v>
      </c>
      <c r="AB108" s="2">
        <v>3.4028230607370999E+38</v>
      </c>
      <c r="AC108" s="2">
        <v>3.4028230607370999E+38</v>
      </c>
      <c r="AD108">
        <v>230.00216674804699</v>
      </c>
      <c r="AE108">
        <v>6.0002818107604998</v>
      </c>
      <c r="AF108">
        <v>-828.12225341796898</v>
      </c>
      <c r="AG108">
        <v>1380.07800292969</v>
      </c>
      <c r="AH108">
        <v>1104.01928710938</v>
      </c>
      <c r="AI108">
        <v>49.999954223632798</v>
      </c>
      <c r="AJ108">
        <v>-126.87335205078099</v>
      </c>
      <c r="AK108">
        <v>1.7718523740768401E-2</v>
      </c>
      <c r="AL108" s="2">
        <v>3.9560054574394599E-6</v>
      </c>
      <c r="AM108" s="2">
        <v>2.7739093244605299E-9</v>
      </c>
      <c r="AN108" s="2">
        <v>7.0243167726857805E-8</v>
      </c>
      <c r="AO108" s="2">
        <v>1.5383065488094901E-8</v>
      </c>
      <c r="AP108">
        <v>74.655982971191406</v>
      </c>
      <c r="AQ108">
        <v>-76.548004150390597</v>
      </c>
      <c r="AR108">
        <v>1.9488386809825901E-2</v>
      </c>
      <c r="AS108" s="2">
        <v>3.1795984796190198E-6</v>
      </c>
      <c r="AT108" s="2">
        <v>-5.24104182275664E-9</v>
      </c>
      <c r="AU108" s="2">
        <v>6.1964065878328296E-8</v>
      </c>
      <c r="AV108" s="2">
        <v>3.5773755069357098E-9</v>
      </c>
      <c r="AW108">
        <v>74.755798339843807</v>
      </c>
      <c r="AX108">
        <v>-144.30679321289099</v>
      </c>
      <c r="AY108" s="2">
        <v>3.4028230607370999E+38</v>
      </c>
      <c r="AZ108" s="2">
        <v>3.4028230607370999E+38</v>
      </c>
      <c r="BA108">
        <v>-828.122314453125</v>
      </c>
      <c r="BB108">
        <v>1380.07800292969</v>
      </c>
      <c r="BC108">
        <v>1104.01928710938</v>
      </c>
      <c r="BD108" s="2">
        <v>3.4028230607370999E+38</v>
      </c>
      <c r="BE108" s="2">
        <v>3.4028230607370999E+38</v>
      </c>
      <c r="BF108">
        <v>230.00198364257801</v>
      </c>
      <c r="BG108">
        <v>6.0002918243408203</v>
      </c>
      <c r="BH108">
        <v>-828.12225341796898</v>
      </c>
      <c r="BI108">
        <v>1380.07824707031</v>
      </c>
      <c r="BJ108">
        <v>1104.02062988281</v>
      </c>
      <c r="BK108">
        <v>49.9999389648438</v>
      </c>
      <c r="BL108">
        <v>-126.87330627441401</v>
      </c>
      <c r="BM108">
        <v>1.7524728551507E-2</v>
      </c>
      <c r="BN108" s="2">
        <v>3.9780115912435602E-6</v>
      </c>
      <c r="BO108" s="2">
        <v>5.6838298512218402E-9</v>
      </c>
      <c r="BP108" s="2">
        <v>6.9497900767601095E-8</v>
      </c>
      <c r="BQ108" s="2">
        <v>1.8700921700087701E-8</v>
      </c>
      <c r="BR108">
        <v>74.740318298339801</v>
      </c>
      <c r="BS108">
        <v>-74.822456359863295</v>
      </c>
      <c r="BT108">
        <v>1.93559993058443E-2</v>
      </c>
      <c r="BU108" s="2">
        <v>3.2582768199063101E-6</v>
      </c>
      <c r="BV108" s="2">
        <v>-5.0813691032658401E-9</v>
      </c>
      <c r="BW108" s="2">
        <v>6.11766992619778E-8</v>
      </c>
      <c r="BX108" s="2">
        <v>5.1024344749350803E-9</v>
      </c>
      <c r="BY108">
        <v>74.778228759765597</v>
      </c>
      <c r="BZ108">
        <v>-118.45825958252</v>
      </c>
      <c r="CA108" s="2">
        <v>3.4028230607370999E+38</v>
      </c>
      <c r="CB108" s="2">
        <v>3.4028230607370999E+38</v>
      </c>
      <c r="CC108">
        <v>-828.122314453125</v>
      </c>
      <c r="CD108">
        <v>1380.07824707031</v>
      </c>
      <c r="CE108">
        <v>1104.02062988281</v>
      </c>
      <c r="CF108" s="2">
        <v>3.4028230607370999E+38</v>
      </c>
      <c r="CG108" s="2">
        <v>3.4028230607370999E+38</v>
      </c>
      <c r="CH108">
        <v>230.00212097168</v>
      </c>
      <c r="CI108">
        <v>6.0003104209899902</v>
      </c>
      <c r="CJ108">
        <v>-828.126220703125</v>
      </c>
      <c r="CK108">
        <v>1380.08374023438</v>
      </c>
      <c r="CL108">
        <v>1104.02221679688</v>
      </c>
      <c r="CM108">
        <v>49.999923706054702</v>
      </c>
      <c r="CN108">
        <v>-126.87326812744099</v>
      </c>
      <c r="CO108">
        <v>1.4721898362040501E-2</v>
      </c>
      <c r="CP108" s="2">
        <v>4.0559511944593396E-6</v>
      </c>
      <c r="CQ108" s="2">
        <v>-2.48521070389529E-9</v>
      </c>
      <c r="CR108" s="2">
        <v>5.97456235595928E-8</v>
      </c>
      <c r="CS108" s="2">
        <v>7.4000650052141703E-9</v>
      </c>
      <c r="CT108">
        <v>74.6842041015625</v>
      </c>
      <c r="CU108">
        <v>-118.234252929688</v>
      </c>
      <c r="CV108">
        <v>1.5891382470727002E-2</v>
      </c>
      <c r="CW108" s="2">
        <v>3.1893664527160598E-6</v>
      </c>
      <c r="CX108" s="2">
        <v>-3.51328810488383E-9</v>
      </c>
      <c r="CY108" s="2">
        <v>5.06962223312257E-8</v>
      </c>
      <c r="CZ108" s="2">
        <v>-7.2701827891208402E-10</v>
      </c>
      <c r="DA108">
        <v>74.790290832519503</v>
      </c>
      <c r="DB108">
        <v>169.46917724609401</v>
      </c>
      <c r="DC108" s="2">
        <v>3.4028230607370999E+38</v>
      </c>
      <c r="DD108" s="2">
        <v>3.4028230607370999E+38</v>
      </c>
      <c r="DE108">
        <v>-828.12628173828102</v>
      </c>
      <c r="DF108">
        <v>1380.08374023438</v>
      </c>
      <c r="DG108">
        <v>1104.02209472656</v>
      </c>
      <c r="DH108" s="2">
        <v>3.4028230607370999E+38</v>
      </c>
      <c r="DI108" s="2">
        <v>3.4028230607370999E+38</v>
      </c>
      <c r="DJ108">
        <v>230.00216674804699</v>
      </c>
      <c r="DK108">
        <v>6.0002942085266104</v>
      </c>
      <c r="DL108">
        <v>-828.11657714843795</v>
      </c>
      <c r="DM108">
        <v>1380.08312988281</v>
      </c>
      <c r="DN108">
        <v>1104.025390625</v>
      </c>
      <c r="DO108">
        <v>49.999885559082003</v>
      </c>
      <c r="DP108">
        <v>-126.87330627441401</v>
      </c>
      <c r="DQ108">
        <v>1.43503602594137E-2</v>
      </c>
      <c r="DR108" s="2">
        <v>3.9823371480451897E-6</v>
      </c>
      <c r="DS108" s="2">
        <v>2.2955151113279701E-9</v>
      </c>
      <c r="DT108" s="2">
        <v>5.8227790589171497E-8</v>
      </c>
      <c r="DU108" s="2">
        <v>7.7856414648636002E-9</v>
      </c>
      <c r="DV108">
        <v>74.645179748535199</v>
      </c>
      <c r="DW108">
        <v>-73.572418212890597</v>
      </c>
      <c r="DX108">
        <v>1.51413651183248E-2</v>
      </c>
      <c r="DY108" s="2">
        <v>3.1349622986454102E-6</v>
      </c>
      <c r="DZ108" s="2">
        <v>-2.36972397260615E-9</v>
      </c>
      <c r="EA108" s="2">
        <v>4.8382858608420098E-8</v>
      </c>
      <c r="EB108" s="2">
        <v>1.0327142474508799E-9</v>
      </c>
      <c r="EC108">
        <v>74.775718688964801</v>
      </c>
      <c r="ED108">
        <v>-152.52961730957</v>
      </c>
      <c r="EE108" s="2">
        <v>3.4028230607370999E+38</v>
      </c>
      <c r="EF108" s="2">
        <v>3.4028230607370999E+38</v>
      </c>
      <c r="EG108">
        <v>-828.11663818359398</v>
      </c>
      <c r="EH108">
        <v>1380.08312988281</v>
      </c>
      <c r="EI108">
        <v>1104.025390625</v>
      </c>
      <c r="EJ108" s="2">
        <v>3.4028230607370999E+38</v>
      </c>
      <c r="EK108" s="2">
        <v>3.4028230607370999E+38</v>
      </c>
      <c r="EL108">
        <v>123</v>
      </c>
      <c r="EM108">
        <v>230.00225830078099</v>
      </c>
      <c r="EN108">
        <v>6.0003018379211399</v>
      </c>
      <c r="EO108">
        <v>-828.11883544921898</v>
      </c>
      <c r="EP108">
        <v>1380.08227539062</v>
      </c>
      <c r="EQ108">
        <v>1104.03039550781</v>
      </c>
      <c r="ER108">
        <v>49.999973297119098</v>
      </c>
      <c r="ES108">
        <v>-126.87336730957</v>
      </c>
      <c r="ET108">
        <v>-0.60005307197570801</v>
      </c>
      <c r="EU108" s="2">
        <v>3.4028230607370999E+38</v>
      </c>
      <c r="EV108">
        <v>0</v>
      </c>
      <c r="EW108">
        <v>230.00364685058599</v>
      </c>
      <c r="EX108">
        <v>-828.14807128906205</v>
      </c>
      <c r="EY108">
        <v>1380.09143066406</v>
      </c>
      <c r="EZ108">
        <v>1104.00524902344</v>
      </c>
      <c r="FA108">
        <v>9.8797795362770601E-4</v>
      </c>
      <c r="FB108">
        <v>1.44198443740606E-2</v>
      </c>
      <c r="FC108" s="2">
        <v>4.0125487430486803E-6</v>
      </c>
      <c r="FD108" s="2">
        <v>1.26293042690406E-9</v>
      </c>
      <c r="FE108" s="2">
        <v>5.7826486710155203E-8</v>
      </c>
      <c r="FF108" s="2">
        <v>6.2913132481412504E-9</v>
      </c>
      <c r="FG108">
        <v>74.706336975097699</v>
      </c>
      <c r="FH108">
        <v>-78.684463500976605</v>
      </c>
      <c r="FI108">
        <v>2.29610074311495E-2</v>
      </c>
      <c r="FJ108" s="2">
        <v>3.4028230607370999E+38</v>
      </c>
      <c r="FK108">
        <v>-52.753017425537102</v>
      </c>
      <c r="FL108">
        <v>2.00694967061281E-2</v>
      </c>
      <c r="FM108">
        <v>0</v>
      </c>
      <c r="FN108">
        <v>0</v>
      </c>
      <c r="FO108">
        <v>0</v>
      </c>
      <c r="FP108">
        <v>2.4696029140614E-4</v>
      </c>
      <c r="FQ108">
        <v>1.5277707949280701E-2</v>
      </c>
      <c r="FR108" s="2">
        <v>3.1780364224687202E-6</v>
      </c>
      <c r="FS108" s="2">
        <v>-2.3291271133985E-9</v>
      </c>
      <c r="FT108" s="2">
        <v>4.8053141910031601E-8</v>
      </c>
      <c r="FU108" s="2">
        <v>6.7603295184071003E-10</v>
      </c>
      <c r="FV108">
        <v>74.659240722656193</v>
      </c>
      <c r="FW108">
        <v>-156.771484375</v>
      </c>
      <c r="FX108">
        <v>-2.83604133874178E-2</v>
      </c>
      <c r="FY108" s="2">
        <v>3.4028230607370999E+38</v>
      </c>
      <c r="FZ108">
        <v>2.2508511543273899</v>
      </c>
      <c r="GA108">
        <v>229.87406921386699</v>
      </c>
      <c r="GB108" s="2">
        <v>4.2846795555995202E-10</v>
      </c>
      <c r="GC108">
        <v>7.2481436654925303E-4</v>
      </c>
      <c r="GD108" s="2">
        <v>7.3501171815593104E-10</v>
      </c>
      <c r="GE108" s="2">
        <v>-4.5775555918225998E-5</v>
      </c>
      <c r="GF108" s="2">
        <v>3.4028230607370999E+38</v>
      </c>
      <c r="GG108" s="2">
        <v>3.4028230607370999E+38</v>
      </c>
      <c r="GH108">
        <v>-828.12017822265602</v>
      </c>
      <c r="GI108">
        <v>1380.0830078125</v>
      </c>
      <c r="GJ108">
        <v>1104.02661132812</v>
      </c>
      <c r="GK108" s="2">
        <v>3.4028230607370999E+38</v>
      </c>
      <c r="GL108" s="2">
        <v>3.4028230607370999E+38</v>
      </c>
      <c r="GM108" s="2">
        <v>3.4028230607370999E+38</v>
      </c>
      <c r="GN108" s="2">
        <v>3.4028230607370999E+38</v>
      </c>
      <c r="GO108" s="2">
        <v>3.4028230607370999E+38</v>
      </c>
      <c r="GP108" s="2">
        <v>3.4028230607370999E+38</v>
      </c>
      <c r="GQ108">
        <v>-828.14123535156205</v>
      </c>
      <c r="GR108">
        <v>-828.14123535156205</v>
      </c>
      <c r="GS108">
        <v>1104.00610351562</v>
      </c>
      <c r="GT108">
        <v>5.6915468303486705E-4</v>
      </c>
      <c r="GX108">
        <f t="shared" si="8"/>
        <v>230.0021057128908</v>
      </c>
      <c r="GY108">
        <f t="shared" si="9"/>
        <v>6.0002930641174324</v>
      </c>
      <c r="GZ108">
        <f t="shared" si="10"/>
        <v>-828.12080078125018</v>
      </c>
      <c r="HA108">
        <f t="shared" si="11"/>
        <v>1380.0803710937498</v>
      </c>
      <c r="HB108">
        <f t="shared" si="12"/>
        <v>1104.0220703125019</v>
      </c>
      <c r="HC108">
        <f t="shared" si="13"/>
        <v>49.999915313720699</v>
      </c>
      <c r="HD108">
        <f t="shared" si="14"/>
        <v>-126.8732833862304</v>
      </c>
      <c r="HW108" s="10">
        <f>(GX108/Data!$S108-1)*1000000</f>
        <v>23.428651314549853</v>
      </c>
      <c r="HX108" s="10">
        <f>(GY108/Data!$T108-1)*1000000</f>
        <v>55.878579297896636</v>
      </c>
      <c r="HY108" s="10">
        <f>(GZ108/Data!$BW108-1)*1000000</f>
        <v>115.94215717369849</v>
      </c>
      <c r="HZ108" s="10">
        <f>(HA108/(Data!$S108*Data!$T108)-1)*1000000</f>
        <v>79.548727706546529</v>
      </c>
      <c r="IA108" s="7">
        <f>(HB108/IF(HD108&gt;0, -Data!$BX108,Data!$BX108)-1)*1000000</f>
        <v>70.125175280599805</v>
      </c>
      <c r="IB108" s="10"/>
      <c r="IC108" s="9">
        <f>(HD108-Data!$U108)</f>
        <v>-1.1833862303944898E-3</v>
      </c>
    </row>
    <row r="109" spans="1:237" x14ac:dyDescent="0.2">
      <c r="A109">
        <v>109</v>
      </c>
      <c r="B109">
        <v>230.00271606445301</v>
      </c>
      <c r="C109">
        <v>6.0003075599670401</v>
      </c>
      <c r="D109">
        <v>-828.12603759765602</v>
      </c>
      <c r="E109">
        <v>1380.07312011719</v>
      </c>
      <c r="F109">
        <v>1104.01416015625</v>
      </c>
      <c r="G109">
        <v>49.999958038330099</v>
      </c>
      <c r="H109">
        <v>-126.87344360351599</v>
      </c>
      <c r="I109">
        <v>1.72672457993031E-2</v>
      </c>
      <c r="J109" s="2">
        <v>4.0033924051385796E-6</v>
      </c>
      <c r="K109" s="2">
        <v>-1.6914546152602099E-10</v>
      </c>
      <c r="L109" s="2">
        <v>6.8282318466117404E-8</v>
      </c>
      <c r="M109" s="2">
        <v>1.4819138804966801E-8</v>
      </c>
      <c r="N109">
        <v>74.612174987792997</v>
      </c>
      <c r="O109">
        <v>-95.095008850097699</v>
      </c>
      <c r="P109">
        <v>1.8826564773917202E-2</v>
      </c>
      <c r="Q109" s="2">
        <v>3.1666879749536701E-6</v>
      </c>
      <c r="R109" s="2">
        <v>-5.99429705872012E-9</v>
      </c>
      <c r="S109" s="2">
        <v>6.1719660493508894E-8</v>
      </c>
      <c r="T109" s="2">
        <v>1.9511772197944298E-9</v>
      </c>
      <c r="U109">
        <v>74.728759765625</v>
      </c>
      <c r="V109">
        <v>-152.72605895996099</v>
      </c>
      <c r="W109" s="2">
        <v>3.4028230607370999E+38</v>
      </c>
      <c r="X109" s="2">
        <v>3.4028230607370999E+38</v>
      </c>
      <c r="Y109">
        <v>-828.12609863281205</v>
      </c>
      <c r="Z109">
        <v>1380.07312011719</v>
      </c>
      <c r="AA109">
        <v>1104.01416015625</v>
      </c>
      <c r="AB109" s="2">
        <v>3.4028230607370999E+38</v>
      </c>
      <c r="AC109" s="2">
        <v>3.4028230607370999E+38</v>
      </c>
      <c r="AD109">
        <v>230.00212097168</v>
      </c>
      <c r="AE109">
        <v>6.0003037452697798</v>
      </c>
      <c r="AF109">
        <v>-828.1162109375</v>
      </c>
      <c r="AG109">
        <v>1380.07885742188</v>
      </c>
      <c r="AH109">
        <v>1104.02465820312</v>
      </c>
      <c r="AI109">
        <v>49.999912261962898</v>
      </c>
      <c r="AJ109">
        <v>-126.873245239258</v>
      </c>
      <c r="AK109">
        <v>1.54087441042066E-2</v>
      </c>
      <c r="AL109" s="2">
        <v>4.02387240683311E-6</v>
      </c>
      <c r="AM109" s="2">
        <v>8.6488434192233399E-9</v>
      </c>
      <c r="AN109" s="2">
        <v>6.1089679093129195E-8</v>
      </c>
      <c r="AO109" s="2">
        <v>1.18360556911057E-8</v>
      </c>
      <c r="AP109">
        <v>74.743690490722699</v>
      </c>
      <c r="AQ109">
        <v>-51.041976928710902</v>
      </c>
      <c r="AR109">
        <v>1.6533689573407201E-2</v>
      </c>
      <c r="AS109" s="2">
        <v>3.1581480470776998E-6</v>
      </c>
      <c r="AT109" s="2">
        <v>-1.4117652602507701E-9</v>
      </c>
      <c r="AU109" s="2">
        <v>5.2236586611798001E-8</v>
      </c>
      <c r="AV109" s="2">
        <v>2.95027025032368E-9</v>
      </c>
      <c r="AW109">
        <v>74.724533081054702</v>
      </c>
      <c r="AX109">
        <v>-86.206161499023395</v>
      </c>
      <c r="AY109" s="2">
        <v>3.4028230607370999E+38</v>
      </c>
      <c r="AZ109" s="2">
        <v>3.4028230607370999E+38</v>
      </c>
      <c r="BA109">
        <v>-828.11627197265602</v>
      </c>
      <c r="BB109">
        <v>1380.07885742188</v>
      </c>
      <c r="BC109">
        <v>1104.02465820312</v>
      </c>
      <c r="BD109" s="2">
        <v>3.4028230607370999E+38</v>
      </c>
      <c r="BE109" s="2">
        <v>3.4028230607370999E+38</v>
      </c>
      <c r="BF109">
        <v>230.00227355957</v>
      </c>
      <c r="BG109">
        <v>6.0003032684326199</v>
      </c>
      <c r="BH109">
        <v>-828.11822509765602</v>
      </c>
      <c r="BI109">
        <v>1380.07861328125</v>
      </c>
      <c r="BJ109">
        <v>1104.02136230469</v>
      </c>
      <c r="BK109">
        <v>49.9999389648438</v>
      </c>
      <c r="BL109">
        <v>-126.87314605712901</v>
      </c>
      <c r="BM109">
        <v>1.45446509122849E-2</v>
      </c>
      <c r="BN109" s="2">
        <v>4.0058562262856901E-6</v>
      </c>
      <c r="BO109" s="2">
        <v>4.9261097423425301E-9</v>
      </c>
      <c r="BP109" s="2">
        <v>5.87446038480266E-8</v>
      </c>
      <c r="BQ109" s="2">
        <v>8.3442177611914303E-9</v>
      </c>
      <c r="BR109">
        <v>74.765495300292997</v>
      </c>
      <c r="BS109">
        <v>-56.579898834228501</v>
      </c>
      <c r="BT109">
        <v>1.5379435382783401E-2</v>
      </c>
      <c r="BU109" s="2">
        <v>3.1875588319962802E-6</v>
      </c>
      <c r="BV109" s="2">
        <v>-2.01393057785992E-9</v>
      </c>
      <c r="BW109" s="2">
        <v>4.93892038377908E-8</v>
      </c>
      <c r="BX109" s="2">
        <v>1.9350094859760202E-9</v>
      </c>
      <c r="BY109">
        <v>74.772354125976605</v>
      </c>
      <c r="BZ109">
        <v>-94.0477294921875</v>
      </c>
      <c r="CA109" s="2">
        <v>3.4028230607370999E+38</v>
      </c>
      <c r="CB109" s="2">
        <v>3.4028230607370999E+38</v>
      </c>
      <c r="CC109">
        <v>-828.11828613281205</v>
      </c>
      <c r="CD109">
        <v>1380.07861328125</v>
      </c>
      <c r="CE109">
        <v>1104.02136230469</v>
      </c>
      <c r="CF109" s="2">
        <v>3.4028230607370999E+38</v>
      </c>
      <c r="CG109" s="2">
        <v>3.4028230607370999E+38</v>
      </c>
      <c r="CH109">
        <v>230.00210571289099</v>
      </c>
      <c r="CI109">
        <v>6.0002894401550302</v>
      </c>
      <c r="CJ109">
        <v>-828.11962890625</v>
      </c>
      <c r="CK109">
        <v>1380.080078125</v>
      </c>
      <c r="CL109">
        <v>1104.02087402344</v>
      </c>
      <c r="CM109">
        <v>49.999969482421903</v>
      </c>
      <c r="CN109">
        <v>-126.87339019775401</v>
      </c>
      <c r="CO109">
        <v>1.7306827008724199E-2</v>
      </c>
      <c r="CP109" s="2">
        <v>3.9747596929373702E-6</v>
      </c>
      <c r="CQ109" s="2">
        <v>8.4181870363408995E-9</v>
      </c>
      <c r="CR109" s="2">
        <v>6.8768450489642405E-8</v>
      </c>
      <c r="CS109" s="2">
        <v>1.5553775156718101E-8</v>
      </c>
      <c r="CT109">
        <v>74.805160522460895</v>
      </c>
      <c r="CU109">
        <v>-66.207244873046903</v>
      </c>
      <c r="CV109">
        <v>1.8911013379693E-2</v>
      </c>
      <c r="CW109" s="2">
        <v>3.27113571074733E-6</v>
      </c>
      <c r="CX109" s="2">
        <v>-3.6542140424700202E-9</v>
      </c>
      <c r="CY109" s="2">
        <v>6.0329348627874398E-8</v>
      </c>
      <c r="CZ109" s="2">
        <v>4.7828421223527998E-9</v>
      </c>
      <c r="DA109">
        <v>74.741539001464801</v>
      </c>
      <c r="DB109">
        <v>-128.91763305664099</v>
      </c>
      <c r="DC109" s="2">
        <v>3.4028230607370999E+38</v>
      </c>
      <c r="DD109" s="2">
        <v>3.4028230607370999E+38</v>
      </c>
      <c r="DE109">
        <v>-828.11968994140602</v>
      </c>
      <c r="DF109">
        <v>1380.080078125</v>
      </c>
      <c r="DG109">
        <v>1104.02087402344</v>
      </c>
      <c r="DH109" s="2">
        <v>3.4028230607370999E+38</v>
      </c>
      <c r="DI109" s="2">
        <v>3.4028230607370999E+38</v>
      </c>
      <c r="DJ109">
        <v>230.00205993652301</v>
      </c>
      <c r="DK109">
        <v>6.0002989768981898</v>
      </c>
      <c r="DL109">
        <v>-828.12365722656205</v>
      </c>
      <c r="DM109">
        <v>1380.07885742188</v>
      </c>
      <c r="DN109">
        <v>1104.01831054688</v>
      </c>
      <c r="DO109">
        <v>49.9999809265137</v>
      </c>
      <c r="DP109">
        <v>-126.873580932617</v>
      </c>
      <c r="DQ109">
        <v>1.5722863376140601E-2</v>
      </c>
      <c r="DR109" s="2">
        <v>3.95077131543076E-6</v>
      </c>
      <c r="DS109" s="2">
        <v>-4.6949431009579704E-9</v>
      </c>
      <c r="DT109" s="2">
        <v>6.3642964676091704E-8</v>
      </c>
      <c r="DU109" s="2">
        <v>8.9933509528350392E-9</v>
      </c>
      <c r="DV109">
        <v>74.704238891601605</v>
      </c>
      <c r="DW109">
        <v>-115.55181884765599</v>
      </c>
      <c r="DX109">
        <v>1.7091369256377199E-2</v>
      </c>
      <c r="DY109" s="2">
        <v>3.2115981412061998E-6</v>
      </c>
      <c r="DZ109" s="2">
        <v>-5.1939932355082899E-9</v>
      </c>
      <c r="EA109" s="2">
        <v>5.5508330376596899E-8</v>
      </c>
      <c r="EB109" s="2">
        <v>-4.9732351570241897E-10</v>
      </c>
      <c r="EC109">
        <v>74.694358825683594</v>
      </c>
      <c r="ED109">
        <v>-178.58322143554699</v>
      </c>
      <c r="EE109" s="2">
        <v>3.4028230607370999E+38</v>
      </c>
      <c r="EF109" s="2">
        <v>3.4028230607370999E+38</v>
      </c>
      <c r="EG109">
        <v>-828.12371826171898</v>
      </c>
      <c r="EH109">
        <v>1380.07885742188</v>
      </c>
      <c r="EI109">
        <v>1104.01818847656</v>
      </c>
      <c r="EJ109" s="2">
        <v>3.4028230607370999E+38</v>
      </c>
      <c r="EK109" s="2">
        <v>3.4028230607370999E+38</v>
      </c>
      <c r="EL109">
        <v>123</v>
      </c>
      <c r="EM109">
        <v>230.00216674804699</v>
      </c>
      <c r="EN109">
        <v>6.0003066062927202</v>
      </c>
      <c r="EO109">
        <v>-828.12561035156205</v>
      </c>
      <c r="EP109">
        <v>1380.08410644531</v>
      </c>
      <c r="EQ109">
        <v>1104.02526855469</v>
      </c>
      <c r="ER109">
        <v>49.999927520752003</v>
      </c>
      <c r="ES109">
        <v>-126.873336791992</v>
      </c>
      <c r="ET109">
        <v>-0.60005277395248402</v>
      </c>
      <c r="EU109" s="2">
        <v>3.4028230607370999E+38</v>
      </c>
      <c r="EV109">
        <v>0</v>
      </c>
      <c r="EW109">
        <v>230.00033569335901</v>
      </c>
      <c r="EX109">
        <v>-828.15325927734398</v>
      </c>
      <c r="EY109">
        <v>1380.06726074219</v>
      </c>
      <c r="EZ109">
        <v>1103.9716796875</v>
      </c>
      <c r="FA109">
        <v>-7.5203302549198302E-4</v>
      </c>
      <c r="FB109">
        <v>1.5703478828072499E-2</v>
      </c>
      <c r="FC109" s="2">
        <v>4.0042227738013E-6</v>
      </c>
      <c r="FD109" s="2">
        <v>-4.7650878798322099E-9</v>
      </c>
      <c r="FE109" s="2">
        <v>6.2309190695941705E-8</v>
      </c>
      <c r="FF109" s="2">
        <v>8.6884730521319398E-9</v>
      </c>
      <c r="FG109">
        <v>74.618789672851605</v>
      </c>
      <c r="FH109">
        <v>-118.742027282715</v>
      </c>
      <c r="FI109">
        <v>-7.5010165572166401E-2</v>
      </c>
      <c r="FJ109" s="2">
        <v>3.4028230607370999E+38</v>
      </c>
      <c r="FK109">
        <v>20.627372741699201</v>
      </c>
      <c r="FL109">
        <v>2.05316245555878E-2</v>
      </c>
      <c r="FM109">
        <v>0</v>
      </c>
      <c r="FN109">
        <v>0</v>
      </c>
      <c r="FO109">
        <v>0</v>
      </c>
      <c r="FP109">
        <v>2.4035885871853701E-4</v>
      </c>
      <c r="FQ109">
        <v>1.70872081071138E-2</v>
      </c>
      <c r="FR109" s="2">
        <v>3.1462866445508599E-6</v>
      </c>
      <c r="FS109" s="2">
        <v>-5.0190895883872599E-9</v>
      </c>
      <c r="FT109" s="2">
        <v>5.4222176970597502E-8</v>
      </c>
      <c r="FU109" s="2">
        <v>-3.4005426252647898E-10</v>
      </c>
      <c r="FV109">
        <v>74.783660888671903</v>
      </c>
      <c r="FW109">
        <v>170.66639709472699</v>
      </c>
      <c r="FX109">
        <v>-0.101731292903423</v>
      </c>
      <c r="FY109" s="2">
        <v>3.4028230607370999E+38</v>
      </c>
      <c r="FZ109">
        <v>-6.65985202789307</v>
      </c>
      <c r="GA109">
        <v>229.29298400878901</v>
      </c>
      <c r="GB109" s="2">
        <v>-2.1993358245708801E-9</v>
      </c>
      <c r="GC109">
        <v>7.33132590539753E-4</v>
      </c>
      <c r="GD109" s="2">
        <v>-1.24174592830428E-9</v>
      </c>
      <c r="GE109" s="2">
        <v>-5.3385349019663402E-5</v>
      </c>
      <c r="GF109" s="2">
        <v>3.4028230607370999E+38</v>
      </c>
      <c r="GG109" s="2">
        <v>3.4028230607370999E+38</v>
      </c>
      <c r="GH109">
        <v>-828.1220703125</v>
      </c>
      <c r="GI109">
        <v>1380.08666992188</v>
      </c>
      <c r="GJ109">
        <v>1104.02648925781</v>
      </c>
      <c r="GK109" s="2">
        <v>3.4028230607370999E+38</v>
      </c>
      <c r="GL109" s="2">
        <v>3.4028230607370999E+38</v>
      </c>
      <c r="GM109" s="2">
        <v>3.4028230607370999E+38</v>
      </c>
      <c r="GN109" s="2">
        <v>3.4028230607370999E+38</v>
      </c>
      <c r="GO109" s="2">
        <v>3.4028230607370999E+38</v>
      </c>
      <c r="GP109" s="2">
        <v>3.4028230607370999E+38</v>
      </c>
      <c r="GQ109">
        <v>-828.14660644531205</v>
      </c>
      <c r="GR109">
        <v>-828.14660644531205</v>
      </c>
      <c r="GS109">
        <v>1103.98364257812</v>
      </c>
      <c r="GT109" s="2">
        <v>8.2942860899493098E-6</v>
      </c>
      <c r="GX109">
        <f t="shared" si="8"/>
        <v>230.00225524902339</v>
      </c>
      <c r="GY109">
        <f t="shared" si="9"/>
        <v>6.0003005981445323</v>
      </c>
      <c r="GZ109">
        <f t="shared" si="10"/>
        <v>-828.1207519531248</v>
      </c>
      <c r="HA109">
        <f t="shared" si="11"/>
        <v>1380.0779052734401</v>
      </c>
      <c r="HB109">
        <f t="shared" si="12"/>
        <v>1104.019873046876</v>
      </c>
      <c r="HC109">
        <f t="shared" si="13"/>
        <v>49.999951934814483</v>
      </c>
      <c r="HD109">
        <f t="shared" si="14"/>
        <v>-126.8733612060548</v>
      </c>
      <c r="HW109" s="10">
        <f>(GX109/Data!$S109-1)*1000000</f>
        <v>24.059686524635637</v>
      </c>
      <c r="HX109" s="10">
        <f>(GY109/Data!$T109-1)*1000000</f>
        <v>67.576038324634879</v>
      </c>
      <c r="HY109" s="10">
        <f>(GZ109/Data!$BW109-1)*1000000</f>
        <v>115.76928911116724</v>
      </c>
      <c r="HZ109" s="10">
        <f>(HA109/(Data!$S109*Data!$T109)-1)*1000000</f>
        <v>88.184725314466306</v>
      </c>
      <c r="IA109" s="7">
        <f>(HB109/IF(HD109&gt;0, -Data!$BX109,Data!$BX109)-1)*1000000</f>
        <v>84.485731464800651</v>
      </c>
      <c r="IB109" s="10"/>
      <c r="IC109" s="9">
        <f>(HD109-Data!$U109)</f>
        <v>-8.0840605480148042E-4</v>
      </c>
    </row>
    <row r="110" spans="1:237" x14ac:dyDescent="0.2">
      <c r="A110">
        <v>110</v>
      </c>
      <c r="B110">
        <v>230.00199890136699</v>
      </c>
      <c r="C110">
        <v>6.0002884864807102</v>
      </c>
      <c r="D110">
        <v>-828.12542724609398</v>
      </c>
      <c r="E110">
        <v>1380.07995605469</v>
      </c>
      <c r="F110">
        <v>1104.01879882812</v>
      </c>
      <c r="G110">
        <v>49.999969482421903</v>
      </c>
      <c r="H110">
        <v>-126.87362670898401</v>
      </c>
      <c r="I110">
        <v>1.66115295141935E-2</v>
      </c>
      <c r="J110" s="2">
        <v>3.98302472603973E-6</v>
      </c>
      <c r="K110" s="2">
        <v>-2.0629569164043501E-9</v>
      </c>
      <c r="L110" s="2">
        <v>6.6046574431766203E-8</v>
      </c>
      <c r="M110" s="2">
        <v>1.32311903655591E-8</v>
      </c>
      <c r="N110">
        <v>74.650985717773395</v>
      </c>
      <c r="O110">
        <v>-99.806373596191406</v>
      </c>
      <c r="P110">
        <v>1.8272938206791899E-2</v>
      </c>
      <c r="Q110" s="2">
        <v>3.1876297725830202E-6</v>
      </c>
      <c r="R110" s="2">
        <v>-5.8103748479254599E-9</v>
      </c>
      <c r="S110" s="2">
        <v>5.6973110673652601E-8</v>
      </c>
      <c r="T110" s="2">
        <v>-3.9797573569977399E-10</v>
      </c>
      <c r="U110">
        <v>74.704139709472699</v>
      </c>
      <c r="V110">
        <v>175.92240905761699</v>
      </c>
      <c r="W110" s="2">
        <v>3.4028230607370999E+38</v>
      </c>
      <c r="X110" s="2">
        <v>3.4028230607370999E+38</v>
      </c>
      <c r="Y110">
        <v>-828.12548828125</v>
      </c>
      <c r="Z110">
        <v>1380.07995605469</v>
      </c>
      <c r="AA110">
        <v>1104.01867675781</v>
      </c>
      <c r="AB110" s="2">
        <v>3.4028230607370999E+38</v>
      </c>
      <c r="AC110" s="2">
        <v>3.4028230607370999E+38</v>
      </c>
      <c r="AD110">
        <v>230.00180053710901</v>
      </c>
      <c r="AE110">
        <v>6.0002784729003897</v>
      </c>
      <c r="AF110">
        <v>-828.12091064453102</v>
      </c>
      <c r="AG110">
        <v>1380.07934570312</v>
      </c>
      <c r="AH110">
        <v>1104.02111816406</v>
      </c>
      <c r="AI110">
        <v>49.999958038330099</v>
      </c>
      <c r="AJ110">
        <v>-126.873489379883</v>
      </c>
      <c r="AK110">
        <v>1.7559669911861399E-2</v>
      </c>
      <c r="AL110" s="2">
        <v>3.9365208976960301E-6</v>
      </c>
      <c r="AM110" s="2">
        <v>3.3172753433063902E-10</v>
      </c>
      <c r="AN110" s="2">
        <v>6.9210244646456003E-8</v>
      </c>
      <c r="AO110" s="2">
        <v>1.4990353847110799E-8</v>
      </c>
      <c r="AP110">
        <v>74.659286499023395</v>
      </c>
      <c r="AQ110">
        <v>-89.539169311523395</v>
      </c>
      <c r="AR110">
        <v>1.9659038633108101E-2</v>
      </c>
      <c r="AS110" s="2">
        <v>3.1895388019620399E-6</v>
      </c>
      <c r="AT110" s="2">
        <v>-6.4864806859077403E-9</v>
      </c>
      <c r="AU110" s="2">
        <v>6.3108565484526506E-8</v>
      </c>
      <c r="AV110" s="2">
        <v>1.9333132872389999E-9</v>
      </c>
      <c r="AW110">
        <v>74.800231933593807</v>
      </c>
      <c r="AX110">
        <v>-156.655197143555</v>
      </c>
      <c r="AY110" s="2">
        <v>3.4028230607370999E+38</v>
      </c>
      <c r="AZ110" s="2">
        <v>3.4028230607370999E+38</v>
      </c>
      <c r="BA110">
        <v>-828.12097167968795</v>
      </c>
      <c r="BB110">
        <v>1380.07934570312</v>
      </c>
      <c r="BC110">
        <v>1104.02111816406</v>
      </c>
      <c r="BD110" s="2">
        <v>3.4028230607370999E+38</v>
      </c>
      <c r="BE110" s="2">
        <v>3.4028230607370999E+38</v>
      </c>
      <c r="BF110">
        <v>230.00224304199199</v>
      </c>
      <c r="BG110">
        <v>6.00030517578125</v>
      </c>
      <c r="BH110">
        <v>-828.12274169921898</v>
      </c>
      <c r="BI110">
        <v>1380.08129882812</v>
      </c>
      <c r="BJ110">
        <v>1104.02526855469</v>
      </c>
      <c r="BK110">
        <v>49.9999389648438</v>
      </c>
      <c r="BL110">
        <v>-126.873252868652</v>
      </c>
      <c r="BM110">
        <v>1.44000062718987E-2</v>
      </c>
      <c r="BN110" s="2">
        <v>4.0307777453563202E-6</v>
      </c>
      <c r="BO110" s="2">
        <v>2.5097057765322002E-9</v>
      </c>
      <c r="BP110" s="2">
        <v>5.8970751837250599E-8</v>
      </c>
      <c r="BQ110" s="2">
        <v>7.9472854963569295E-9</v>
      </c>
      <c r="BR110">
        <v>74.690345764160199</v>
      </c>
      <c r="BS110">
        <v>-66.825500488281193</v>
      </c>
      <c r="BT110">
        <v>1.51196178048849E-2</v>
      </c>
      <c r="BU110" s="2">
        <v>3.1100075830181599E-6</v>
      </c>
      <c r="BV110" s="2">
        <v>-1.74193637292319E-9</v>
      </c>
      <c r="BW110" s="2">
        <v>4.8507796890362403E-8</v>
      </c>
      <c r="BX110" s="2">
        <v>7.8781331458444005E-10</v>
      </c>
      <c r="BY110">
        <v>74.770111083984403</v>
      </c>
      <c r="BZ110">
        <v>-152.03375244140599</v>
      </c>
      <c r="CA110" s="2">
        <v>3.4028230607370999E+38</v>
      </c>
      <c r="CB110" s="2">
        <v>3.4028230607370999E+38</v>
      </c>
      <c r="CC110">
        <v>-828.122802734375</v>
      </c>
      <c r="CD110">
        <v>1380.08129882812</v>
      </c>
      <c r="CE110">
        <v>1104.02526855469</v>
      </c>
      <c r="CF110" s="2">
        <v>3.4028230607370999E+38</v>
      </c>
      <c r="CG110" s="2">
        <v>3.4028230607370999E+38</v>
      </c>
      <c r="CH110">
        <v>230.00230407714801</v>
      </c>
      <c r="CI110">
        <v>6.0003080368042001</v>
      </c>
      <c r="CJ110">
        <v>-828.12457275390602</v>
      </c>
      <c r="CK110">
        <v>1380.08386230469</v>
      </c>
      <c r="CL110">
        <v>1104.02575683594</v>
      </c>
      <c r="CM110">
        <v>49.999973297119098</v>
      </c>
      <c r="CN110">
        <v>-126.873489379883</v>
      </c>
      <c r="CO110">
        <v>1.42261171713471E-2</v>
      </c>
      <c r="CP110" s="2">
        <v>4.09267340728547E-6</v>
      </c>
      <c r="CQ110" s="2">
        <v>7.28835394814276E-11</v>
      </c>
      <c r="CR110" s="2">
        <v>5.9092354121048603E-8</v>
      </c>
      <c r="CS110" s="2">
        <v>7.4276571560005802E-9</v>
      </c>
      <c r="CT110">
        <v>74.701271057128906</v>
      </c>
      <c r="CU110">
        <v>-87.546089172363295</v>
      </c>
      <c r="CV110">
        <v>1.53785394504666E-2</v>
      </c>
      <c r="CW110" s="2">
        <v>3.1602749004378E-6</v>
      </c>
      <c r="CX110" s="2">
        <v>-3.0308608955920098E-9</v>
      </c>
      <c r="CY110" s="2">
        <v>4.8446729294937501E-8</v>
      </c>
      <c r="CZ110" s="2">
        <v>2.03722351488356E-11</v>
      </c>
      <c r="DA110">
        <v>74.7777099609375</v>
      </c>
      <c r="DB110">
        <v>162.67129516601599</v>
      </c>
      <c r="DC110" s="2">
        <v>3.4028230607370999E+38</v>
      </c>
      <c r="DD110" s="2">
        <v>3.4028230607370999E+38</v>
      </c>
      <c r="DE110">
        <v>-828.12463378906205</v>
      </c>
      <c r="DF110">
        <v>1380.08386230469</v>
      </c>
      <c r="DG110">
        <v>1104.02575683594</v>
      </c>
      <c r="DH110" s="2">
        <v>3.4028230607370999E+38</v>
      </c>
      <c r="DI110" s="2">
        <v>3.4028230607370999E+38</v>
      </c>
      <c r="DJ110">
        <v>230.00172424316401</v>
      </c>
      <c r="DK110">
        <v>6.0002923011779803</v>
      </c>
      <c r="DL110">
        <v>-828.12097167968795</v>
      </c>
      <c r="DM110">
        <v>1380.08410644531</v>
      </c>
      <c r="DN110">
        <v>1104.025390625</v>
      </c>
      <c r="DO110">
        <v>49.999969482421903</v>
      </c>
      <c r="DP110">
        <v>-126.873374938965</v>
      </c>
      <c r="DQ110">
        <v>1.6824657097458801E-2</v>
      </c>
      <c r="DR110" s="2">
        <v>3.9815186028135898E-6</v>
      </c>
      <c r="DS110" s="2">
        <v>-2.7309705608047402E-9</v>
      </c>
      <c r="DT110" s="2">
        <v>6.5428992002125597E-8</v>
      </c>
      <c r="DU110" s="2">
        <v>1.09900426537024E-8</v>
      </c>
      <c r="DV110">
        <v>74.65087890625</v>
      </c>
      <c r="DW110">
        <v>-101.446090698242</v>
      </c>
      <c r="DX110">
        <v>1.8402181565761601E-2</v>
      </c>
      <c r="DY110" s="2">
        <v>3.18041361424548E-6</v>
      </c>
      <c r="DZ110" s="2">
        <v>-4.6141228615681501E-9</v>
      </c>
      <c r="EA110" s="2">
        <v>5.8591819396269797E-8</v>
      </c>
      <c r="EB110" s="2">
        <v>4.1987494037165603E-10</v>
      </c>
      <c r="EC110">
        <v>74.807609558105497</v>
      </c>
      <c r="ED110">
        <v>-175.35469055175801</v>
      </c>
      <c r="EE110" s="2">
        <v>3.4028230607370999E+38</v>
      </c>
      <c r="EF110" s="2">
        <v>3.4028230607370999E+38</v>
      </c>
      <c r="EG110">
        <v>-828.12103271484398</v>
      </c>
      <c r="EH110">
        <v>1380.08410644531</v>
      </c>
      <c r="EI110">
        <v>1104.025390625</v>
      </c>
      <c r="EJ110" s="2">
        <v>3.4028230607370999E+38</v>
      </c>
      <c r="EK110" s="2">
        <v>3.4028230607370999E+38</v>
      </c>
      <c r="EL110">
        <v>123</v>
      </c>
      <c r="EM110">
        <v>230.00244140625</v>
      </c>
      <c r="EN110">
        <v>6.0003004074096697</v>
      </c>
      <c r="EO110">
        <v>-828.126708984375</v>
      </c>
      <c r="EP110">
        <v>1380.0830078125</v>
      </c>
      <c r="EQ110">
        <v>1104.0224609375</v>
      </c>
      <c r="ER110">
        <v>49.999973297119098</v>
      </c>
      <c r="ES110">
        <v>-126.87371826171901</v>
      </c>
      <c r="ET110">
        <v>-0.60005724430084195</v>
      </c>
      <c r="EU110" s="2">
        <v>3.4028230607370999E+38</v>
      </c>
      <c r="EV110">
        <v>0</v>
      </c>
      <c r="EW110">
        <v>230.00057983398401</v>
      </c>
      <c r="EX110">
        <v>-828.15875244140602</v>
      </c>
      <c r="EY110">
        <v>1380.07055664062</v>
      </c>
      <c r="EZ110">
        <v>1103.96887207031</v>
      </c>
      <c r="FA110">
        <v>-2.6734191924333598E-3</v>
      </c>
      <c r="FB110">
        <v>1.7025629058480301E-2</v>
      </c>
      <c r="FC110" s="2">
        <v>3.9469200601161E-6</v>
      </c>
      <c r="FD110" s="2">
        <v>-4.2310830394853796E-9</v>
      </c>
      <c r="FE110" s="2">
        <v>6.6280826160891606E-8</v>
      </c>
      <c r="FF110" s="2">
        <v>1.12857296841185E-8</v>
      </c>
      <c r="FG110">
        <v>74.676338195800795</v>
      </c>
      <c r="FH110">
        <v>-116.66960906982401</v>
      </c>
      <c r="FI110">
        <v>-8.1036396324634594E-2</v>
      </c>
      <c r="FJ110" s="2">
        <v>3.4028230607370999E+38</v>
      </c>
      <c r="FK110">
        <v>-3.4582200050353999</v>
      </c>
      <c r="FL110">
        <v>2.08405666053295E-2</v>
      </c>
      <c r="FM110">
        <v>0</v>
      </c>
      <c r="FN110">
        <v>0</v>
      </c>
      <c r="FO110">
        <v>0</v>
      </c>
      <c r="FP110">
        <v>2.29259152547456E-4</v>
      </c>
      <c r="FQ110">
        <v>1.8478795886039699E-2</v>
      </c>
      <c r="FR110" s="2">
        <v>3.0903552215022501E-6</v>
      </c>
      <c r="FS110" s="2">
        <v>-6.3971450359190401E-9</v>
      </c>
      <c r="FT110" s="2">
        <v>5.7067097714025301E-8</v>
      </c>
      <c r="FU110" s="2">
        <v>-4.1961573105098198E-10</v>
      </c>
      <c r="FV110">
        <v>74.776298522949205</v>
      </c>
      <c r="FW110">
        <v>175.93557739257801</v>
      </c>
      <c r="FX110">
        <v>-0.11259995400905599</v>
      </c>
      <c r="FY110" s="2">
        <v>3.4028230607370999E+38</v>
      </c>
      <c r="FZ110">
        <v>-84.794502258300795</v>
      </c>
      <c r="GA110">
        <v>229.60879516601599</v>
      </c>
      <c r="GB110" s="2">
        <v>-1.7235365357137799E-9</v>
      </c>
      <c r="GC110">
        <v>7.27114907931536E-4</v>
      </c>
      <c r="GD110" s="2">
        <v>-3.15853926347032E-10</v>
      </c>
      <c r="GE110" s="2">
        <v>-5.9854894061572802E-5</v>
      </c>
      <c r="GF110" s="2">
        <v>3.4028230607370999E+38</v>
      </c>
      <c r="GG110" s="2">
        <v>3.4028230607370999E+38</v>
      </c>
      <c r="GH110">
        <v>-828.119873046875</v>
      </c>
      <c r="GI110">
        <v>1380.07788085938</v>
      </c>
      <c r="GJ110">
        <v>1104.02099609375</v>
      </c>
      <c r="GK110" s="2">
        <v>3.4028230607370999E+38</v>
      </c>
      <c r="GL110" s="2">
        <v>3.4028230607370999E+38</v>
      </c>
      <c r="GM110" s="2">
        <v>3.4028230607370999E+38</v>
      </c>
      <c r="GN110" s="2">
        <v>3.4028230607370999E+38</v>
      </c>
      <c r="GO110" s="2">
        <v>3.4028230607370999E+38</v>
      </c>
      <c r="GP110" s="2">
        <v>3.4028230607370999E+38</v>
      </c>
      <c r="GQ110">
        <v>-828.16906738281205</v>
      </c>
      <c r="GR110">
        <v>-828.16906738281205</v>
      </c>
      <c r="GS110">
        <v>1103.96655273438</v>
      </c>
      <c r="GT110">
        <v>-1.4405638212338101E-3</v>
      </c>
      <c r="GX110">
        <f t="shared" si="8"/>
        <v>230.00201416015597</v>
      </c>
      <c r="GY110">
        <f t="shared" si="9"/>
        <v>6.0002944946289061</v>
      </c>
      <c r="GZ110">
        <f t="shared" si="10"/>
        <v>-828.1229248046875</v>
      </c>
      <c r="HA110">
        <f t="shared" si="11"/>
        <v>1380.081713867186</v>
      </c>
      <c r="HB110">
        <f t="shared" si="12"/>
        <v>1104.0232666015622</v>
      </c>
      <c r="HC110">
        <f t="shared" si="13"/>
        <v>49.999961853027358</v>
      </c>
      <c r="HD110">
        <f t="shared" si="14"/>
        <v>-126.8734466552734</v>
      </c>
      <c r="HW110" s="10">
        <f>(GX110/Data!$S110-1)*1000000</f>
        <v>22.031858353921407</v>
      </c>
      <c r="HX110" s="10">
        <f>(GY110/Data!$T110-1)*1000000</f>
        <v>67.668195730563596</v>
      </c>
      <c r="HY110" s="10">
        <f>(GZ110/Data!$BW110-1)*1000000</f>
        <v>114.90206811326509</v>
      </c>
      <c r="HZ110" s="10">
        <f>(HA110/(Data!$S110*Data!$T110)-1)*1000000</f>
        <v>91.074449869665841</v>
      </c>
      <c r="IA110" s="7">
        <f>(HB110/IF(HD110&gt;0, -Data!$BX110,Data!$BX110)-1)*1000000</f>
        <v>89.726812960710944</v>
      </c>
      <c r="IB110" s="10"/>
      <c r="IC110" s="9">
        <f>(HD110-Data!$U110)</f>
        <v>-7.3825527340432018E-4</v>
      </c>
    </row>
    <row r="111" spans="1:237" x14ac:dyDescent="0.2">
      <c r="A111">
        <v>111</v>
      </c>
      <c r="B111">
        <v>230.00329589843801</v>
      </c>
      <c r="C111">
        <v>50.000946044921903</v>
      </c>
      <c r="D111">
        <v>11500.3671875</v>
      </c>
      <c r="E111">
        <v>11500.373046875</v>
      </c>
      <c r="F111">
        <v>0.354404777288437</v>
      </c>
      <c r="G111">
        <v>49.999935150146499</v>
      </c>
      <c r="H111">
        <v>-2.01488938182592E-3</v>
      </c>
      <c r="I111">
        <v>1.7458403483033201E-2</v>
      </c>
      <c r="J111" s="2">
        <v>8.2397791629773599E-6</v>
      </c>
      <c r="K111" s="2">
        <v>7.6247026470355195E-8</v>
      </c>
      <c r="L111" s="2">
        <v>1.4444697171711601E-7</v>
      </c>
      <c r="M111" s="2">
        <v>1.44243950117584E-8</v>
      </c>
      <c r="N111">
        <v>72.411895751953097</v>
      </c>
      <c r="O111">
        <v>-11.686551094055201</v>
      </c>
      <c r="P111">
        <v>1.9618373364210101E-2</v>
      </c>
      <c r="Q111" s="2">
        <v>8.0321942732552998E-6</v>
      </c>
      <c r="R111" s="2">
        <v>5.0692797515239403E-8</v>
      </c>
      <c r="S111" s="2">
        <v>1.5550671150776899E-7</v>
      </c>
      <c r="T111" s="2">
        <v>8.0419518155849801E-8</v>
      </c>
      <c r="U111">
        <v>69.418441772460895</v>
      </c>
      <c r="V111">
        <v>-57.630302429199197</v>
      </c>
      <c r="W111" s="2">
        <v>3.4028230607370999E+38</v>
      </c>
      <c r="X111" s="2">
        <v>3.4028230607370999E+38</v>
      </c>
      <c r="Y111">
        <v>11500.3671875</v>
      </c>
      <c r="Z111">
        <v>11500.373046875</v>
      </c>
      <c r="AA111">
        <v>0.354404866695404</v>
      </c>
      <c r="AB111" s="2">
        <v>3.4028230607370999E+38</v>
      </c>
      <c r="AC111" s="2">
        <v>3.4028230607370999E+38</v>
      </c>
      <c r="AD111">
        <v>230.00311279296901</v>
      </c>
      <c r="AE111">
        <v>50.000991821289098</v>
      </c>
      <c r="AF111">
        <v>11500.34375</v>
      </c>
      <c r="AG111">
        <v>11500.349609375</v>
      </c>
      <c r="AH111">
        <v>0.43049257993698098</v>
      </c>
      <c r="AI111">
        <v>49.999923706054702</v>
      </c>
      <c r="AJ111">
        <v>-2.1960318554192799E-3</v>
      </c>
      <c r="AK111">
        <v>1.44496150314808E-2</v>
      </c>
      <c r="AL111" s="2">
        <v>8.4830053310724907E-6</v>
      </c>
      <c r="AM111" s="2">
        <v>2.6307819922522001E-8</v>
      </c>
      <c r="AN111" s="2">
        <v>1.21574132094793E-7</v>
      </c>
      <c r="AO111" s="2">
        <v>-7.7594295433414101E-9</v>
      </c>
      <c r="AP111">
        <v>71.941711425781193</v>
      </c>
      <c r="AQ111">
        <v>9.1021490097045898</v>
      </c>
      <c r="AR111">
        <v>1.5541006810963201E-2</v>
      </c>
      <c r="AS111" s="2">
        <v>7.8792145359329896E-6</v>
      </c>
      <c r="AT111" s="2">
        <v>3.2392001969583401E-8</v>
      </c>
      <c r="AU111" s="2">
        <v>1.20470659226157E-7</v>
      </c>
      <c r="AV111" s="2">
        <v>2.53760106261325E-8</v>
      </c>
      <c r="AW111">
        <v>72.092681884765597</v>
      </c>
      <c r="AX111">
        <v>-38.285438537597699</v>
      </c>
      <c r="AY111" s="2">
        <v>3.4028230607370999E+38</v>
      </c>
      <c r="AZ111" s="2">
        <v>3.4028230607370999E+38</v>
      </c>
      <c r="BA111">
        <v>11500.34375</v>
      </c>
      <c r="BB111">
        <v>11500.349609375</v>
      </c>
      <c r="BC111">
        <v>0.43049257993698098</v>
      </c>
      <c r="BD111" s="2">
        <v>3.4028230607370999E+38</v>
      </c>
      <c r="BE111" s="2">
        <v>3.4028230607370999E+38</v>
      </c>
      <c r="BF111">
        <v>230.00308227539099</v>
      </c>
      <c r="BG111">
        <v>50.000816345214801</v>
      </c>
      <c r="BH111">
        <v>11500.3271484375</v>
      </c>
      <c r="BI111">
        <v>11500.3349609375</v>
      </c>
      <c r="BJ111">
        <v>0.41725781559944197</v>
      </c>
      <c r="BK111">
        <v>49.999973297119098</v>
      </c>
      <c r="BL111">
        <v>-2.0788183901459E-3</v>
      </c>
      <c r="BM111">
        <v>1.6050038859248199E-2</v>
      </c>
      <c r="BN111" s="2">
        <v>8.1808220784296299E-6</v>
      </c>
      <c r="BO111" s="2">
        <v>6.0231990062220602E-8</v>
      </c>
      <c r="BP111" s="2">
        <v>1.31732335262313E-7</v>
      </c>
      <c r="BQ111" s="2">
        <v>2.9853470806528997E-8</v>
      </c>
      <c r="BR111">
        <v>73.538963317871094</v>
      </c>
      <c r="BS111">
        <v>-27.219547271728501</v>
      </c>
      <c r="BT111">
        <v>1.7655875533819199E-2</v>
      </c>
      <c r="BU111" s="2">
        <v>8.1950229287031107E-6</v>
      </c>
      <c r="BV111" s="2">
        <v>2.4781076746194201E-8</v>
      </c>
      <c r="BW111" s="2">
        <v>1.4317231489258101E-7</v>
      </c>
      <c r="BX111" s="2">
        <v>6.7108750556599301E-8</v>
      </c>
      <c r="BY111">
        <v>71.335990905761705</v>
      </c>
      <c r="BZ111">
        <v>-68.418609619140597</v>
      </c>
      <c r="CA111" s="2">
        <v>3.4028230607370999E+38</v>
      </c>
      <c r="CB111" s="2">
        <v>3.4028230607370999E+38</v>
      </c>
      <c r="CC111">
        <v>11500.3271484375</v>
      </c>
      <c r="CD111">
        <v>11500.3349609375</v>
      </c>
      <c r="CE111">
        <v>0.41725790500640902</v>
      </c>
      <c r="CF111" s="2">
        <v>3.4028230607370999E+38</v>
      </c>
      <c r="CG111" s="2">
        <v>3.4028230607370999E+38</v>
      </c>
      <c r="CH111">
        <v>230.00254821777301</v>
      </c>
      <c r="CI111">
        <v>50.000965118408203</v>
      </c>
      <c r="CJ111">
        <v>11500.3603515625</v>
      </c>
      <c r="CK111">
        <v>11500.3671875</v>
      </c>
      <c r="CL111">
        <v>0.40977013111114502</v>
      </c>
      <c r="CM111">
        <v>49.999889373779297</v>
      </c>
      <c r="CN111">
        <v>-2.0292571280151601E-3</v>
      </c>
      <c r="CO111">
        <v>1.6576245427131701E-2</v>
      </c>
      <c r="CP111" s="2">
        <v>8.5691926869913004E-6</v>
      </c>
      <c r="CQ111" s="2">
        <v>5.38351301315743E-8</v>
      </c>
      <c r="CR111" s="2">
        <v>1.4341553367103201E-7</v>
      </c>
      <c r="CS111" s="2">
        <v>-1.48663952259653E-8</v>
      </c>
      <c r="CT111">
        <v>71.445373535156193</v>
      </c>
      <c r="CU111">
        <v>19.214603424072301</v>
      </c>
      <c r="CV111">
        <v>1.8550770357251199E-2</v>
      </c>
      <c r="CW111" s="2">
        <v>7.8315024438779801E-6</v>
      </c>
      <c r="CX111" s="2">
        <v>7.0105585336932603E-8</v>
      </c>
      <c r="CY111" s="2">
        <v>1.4264499270666401E-7</v>
      </c>
      <c r="CZ111" s="2">
        <v>5.6673165715892498E-8</v>
      </c>
      <c r="DA111">
        <v>72.575721740722699</v>
      </c>
      <c r="DB111">
        <v>-41.286636352539098</v>
      </c>
      <c r="DC111" s="2">
        <v>3.4028230607370999E+38</v>
      </c>
      <c r="DD111" s="2">
        <v>3.4028230607370999E+38</v>
      </c>
      <c r="DE111">
        <v>11500.3603515625</v>
      </c>
      <c r="DF111">
        <v>11500.3671875</v>
      </c>
      <c r="DG111">
        <v>0.40977016091346702</v>
      </c>
      <c r="DH111" s="2">
        <v>3.4028230607370999E+38</v>
      </c>
      <c r="DI111" s="2">
        <v>3.4028230607370999E+38</v>
      </c>
      <c r="DJ111">
        <v>230.003662109375</v>
      </c>
      <c r="DK111">
        <v>50.000965118408203</v>
      </c>
      <c r="DL111">
        <v>11500.333984375</v>
      </c>
      <c r="DM111">
        <v>11500.341796875</v>
      </c>
      <c r="DN111">
        <v>0.43690800666809099</v>
      </c>
      <c r="DO111">
        <v>49.999923706054702</v>
      </c>
      <c r="DP111">
        <v>-2.1497223060578099E-3</v>
      </c>
      <c r="DQ111">
        <v>1.42139187082648E-2</v>
      </c>
      <c r="DR111" s="2">
        <v>8.4214971138862893E-6</v>
      </c>
      <c r="DS111" s="2">
        <v>2.6314603829291601E-8</v>
      </c>
      <c r="DT111" s="2">
        <v>1.2120220560518599E-7</v>
      </c>
      <c r="DU111" s="2">
        <v>3.2693656670801399E-9</v>
      </c>
      <c r="DV111">
        <v>72.364540100097699</v>
      </c>
      <c r="DW111">
        <v>-6.9221496582031197</v>
      </c>
      <c r="DX111">
        <v>1.5116538852453201E-2</v>
      </c>
      <c r="DY111" s="2">
        <v>7.9903111327439496E-6</v>
      </c>
      <c r="DZ111" s="2">
        <v>2.2879987682245E-8</v>
      </c>
      <c r="EA111" s="2">
        <v>1.2230654533596E-7</v>
      </c>
      <c r="EB111" s="2">
        <v>2.46992808428104E-8</v>
      </c>
      <c r="EC111">
        <v>68.065185546875</v>
      </c>
      <c r="ED111">
        <v>-56.436931610107401</v>
      </c>
      <c r="EE111" s="2">
        <v>3.4028230607370999E+38</v>
      </c>
      <c r="EF111" s="2">
        <v>3.4028230607370999E+38</v>
      </c>
      <c r="EG111">
        <v>11500.333984375</v>
      </c>
      <c r="EH111">
        <v>11500.341796875</v>
      </c>
      <c r="EI111">
        <v>0.43690800666809099</v>
      </c>
      <c r="EJ111" s="2">
        <v>3.4028230607370999E+38</v>
      </c>
      <c r="EK111" s="2">
        <v>3.4028230607370999E+38</v>
      </c>
      <c r="EL111">
        <v>123</v>
      </c>
      <c r="EM111">
        <v>230.00361633300801</v>
      </c>
      <c r="EN111">
        <v>50.000904083252003</v>
      </c>
      <c r="EO111">
        <v>11500.375</v>
      </c>
      <c r="EP111">
        <v>11500.3828125</v>
      </c>
      <c r="EQ111">
        <v>0.45395424962043801</v>
      </c>
      <c r="ER111">
        <v>49.999946594238303</v>
      </c>
      <c r="ES111">
        <v>-2.2616428323090098E-3</v>
      </c>
      <c r="ET111">
        <v>0.99999952316284202</v>
      </c>
      <c r="EU111" s="2">
        <v>3.4028230607370999E+38</v>
      </c>
      <c r="EV111">
        <v>0</v>
      </c>
      <c r="EW111">
        <v>230.00128173828099</v>
      </c>
      <c r="EX111">
        <v>11500.22265625</v>
      </c>
      <c r="EY111">
        <v>11500.2275390625</v>
      </c>
      <c r="EZ111">
        <v>0.70134484767913796</v>
      </c>
      <c r="FA111">
        <v>-1.2247052043676401E-2</v>
      </c>
      <c r="FB111">
        <v>1.57755706459284E-2</v>
      </c>
      <c r="FC111" s="2">
        <v>8.1504704212420603E-6</v>
      </c>
      <c r="FD111" s="2">
        <v>5.4268760152353901E-8</v>
      </c>
      <c r="FE111" s="2">
        <v>1.29677744098444E-7</v>
      </c>
      <c r="FF111" s="2">
        <v>2.8312877375924499E-8</v>
      </c>
      <c r="FG111">
        <v>72.385032653808594</v>
      </c>
      <c r="FH111">
        <v>-27.5517673492432</v>
      </c>
      <c r="FI111">
        <v>0.455891042947769</v>
      </c>
      <c r="FJ111" s="2">
        <v>3.4028230607370999E+38</v>
      </c>
      <c r="FK111">
        <v>5.49237060546875</v>
      </c>
      <c r="FL111">
        <v>1.9683001562952999E-2</v>
      </c>
      <c r="FM111">
        <v>0</v>
      </c>
      <c r="FN111">
        <v>0</v>
      </c>
      <c r="FO111">
        <v>0</v>
      </c>
      <c r="FP111">
        <v>-1.70375380548649E-4</v>
      </c>
      <c r="FQ111">
        <v>1.8573623150587099E-2</v>
      </c>
      <c r="FR111" s="2">
        <v>8.2583583207451705E-6</v>
      </c>
      <c r="FS111" s="2">
        <v>2.9902171405638001E-8</v>
      </c>
      <c r="FT111" s="2">
        <v>1.53197746044498E-7</v>
      </c>
      <c r="FU111" s="2">
        <v>8.0218221398809004E-8</v>
      </c>
      <c r="FV111">
        <v>69.996284484863295</v>
      </c>
      <c r="FW111">
        <v>-63.714778900146499</v>
      </c>
      <c r="FX111">
        <v>0.30243515968322798</v>
      </c>
      <c r="FY111" s="2">
        <v>3.4028230607370999E+38</v>
      </c>
      <c r="FZ111">
        <v>-52.735755920410199</v>
      </c>
      <c r="GA111">
        <v>229.72897338867199</v>
      </c>
      <c r="GB111" s="2">
        <v>4.3909977875955503E-9</v>
      </c>
      <c r="GC111">
        <v>1.8377223750576401E-3</v>
      </c>
      <c r="GD111" s="2">
        <v>7.44200079338952E-9</v>
      </c>
      <c r="GE111">
        <v>-7.8517093788832404E-4</v>
      </c>
      <c r="GF111" s="2">
        <v>3.4028230607370999E+38</v>
      </c>
      <c r="GG111" s="2">
        <v>3.4028230607370999E+38</v>
      </c>
      <c r="GH111">
        <v>11500.3046875</v>
      </c>
      <c r="GI111">
        <v>11500.3095703125</v>
      </c>
      <c r="GJ111">
        <v>0.41267585754394498</v>
      </c>
      <c r="GK111" s="2">
        <v>3.4028230607370999E+38</v>
      </c>
      <c r="GL111" s="2">
        <v>3.4028230607370999E+38</v>
      </c>
      <c r="GM111" s="2">
        <v>3.4028230607370999E+38</v>
      </c>
      <c r="GN111" s="2">
        <v>3.4028230607370999E+38</v>
      </c>
      <c r="GO111" s="2">
        <v>3.4028230607370999E+38</v>
      </c>
      <c r="GP111" s="2">
        <v>3.4028230607370999E+38</v>
      </c>
      <c r="GQ111">
        <v>11500.4326171875</v>
      </c>
      <c r="GR111">
        <v>11500.4326171875</v>
      </c>
      <c r="GS111">
        <v>0.91261333227157604</v>
      </c>
      <c r="GT111">
        <v>1.51365781202912E-2</v>
      </c>
      <c r="GX111">
        <f t="shared" si="8"/>
        <v>230.00314025878919</v>
      </c>
      <c r="GY111">
        <f t="shared" si="9"/>
        <v>50.000936889648436</v>
      </c>
      <c r="GZ111">
        <f t="shared" si="10"/>
        <v>11500.346484375001</v>
      </c>
      <c r="HA111">
        <f t="shared" si="11"/>
        <v>11500.353320312501</v>
      </c>
      <c r="HB111">
        <f t="shared" si="12"/>
        <v>0.40976666212081919</v>
      </c>
      <c r="HC111">
        <f t="shared" si="13"/>
        <v>49.999929046630861</v>
      </c>
      <c r="HD111">
        <f t="shared" si="14"/>
        <v>-2.0937438122928141E-3</v>
      </c>
      <c r="HW111" s="10">
        <f>(GX111/Data!$S111-1)*1000000</f>
        <v>29.788562324162271</v>
      </c>
      <c r="HX111" s="10">
        <f>(GY111/Data!$T111-1)*1000000</f>
        <v>-4.665897831657162</v>
      </c>
      <c r="HY111" s="10">
        <f>(GZ111/Data!$BW111-1)*1000000</f>
        <v>22.854127219584797</v>
      </c>
      <c r="HZ111" s="10">
        <f>(HA111/(Data!$S111*Data!$T111)-1)*1000000</f>
        <v>23.454695174951468</v>
      </c>
      <c r="IA111" s="7">
        <f>(HB111/IF(HD111&gt;0, -Data!$BX111,Data!$BX111)-1)*1000000</f>
        <v>3792122.1267813933</v>
      </c>
      <c r="IB111" s="10"/>
      <c r="IC111" s="9">
        <f>(HD111-Data!$U111)</f>
        <v>-1.667723812292814E-3</v>
      </c>
    </row>
    <row r="112" spans="1:237" x14ac:dyDescent="0.2">
      <c r="A112">
        <v>112</v>
      </c>
      <c r="B112">
        <v>230.00477600097699</v>
      </c>
      <c r="C112">
        <v>50.001083374023402</v>
      </c>
      <c r="D112">
        <v>5749.98095703125</v>
      </c>
      <c r="E112">
        <v>11500.4833984375</v>
      </c>
      <c r="F112">
        <v>9959.8916015625</v>
      </c>
      <c r="G112">
        <v>49.999927520752003</v>
      </c>
      <c r="H112">
        <v>-60.001785278320298</v>
      </c>
      <c r="I112">
        <v>1.5264130197465401E-2</v>
      </c>
      <c r="J112" s="2">
        <v>8.5942228906787898E-6</v>
      </c>
      <c r="K112" s="2">
        <v>4.7801830049820598E-8</v>
      </c>
      <c r="L112" s="2">
        <v>1.3146139110631299E-7</v>
      </c>
      <c r="M112" s="2">
        <v>2.7134532842865199E-8</v>
      </c>
      <c r="N112">
        <v>72.375572204589801</v>
      </c>
      <c r="O112">
        <v>-29.581249237060501</v>
      </c>
      <c r="P112">
        <v>1.6506632789969399E-2</v>
      </c>
      <c r="Q112" s="2">
        <v>7.7366257755784301E-6</v>
      </c>
      <c r="R112" s="2">
        <v>1.1813236611146699E-8</v>
      </c>
      <c r="S112" s="2">
        <v>1.2766744816872201E-7</v>
      </c>
      <c r="T112" s="2">
        <v>4.8084338288845201E-8</v>
      </c>
      <c r="U112">
        <v>72.177131652832003</v>
      </c>
      <c r="V112">
        <v>-74.759109497070298</v>
      </c>
      <c r="W112" s="2">
        <v>3.4028230607370999E+38</v>
      </c>
      <c r="X112" s="2">
        <v>3.4028230607370999E+38</v>
      </c>
      <c r="Y112">
        <v>5749.98095703125</v>
      </c>
      <c r="Z112">
        <v>11500.4833984375</v>
      </c>
      <c r="AA112">
        <v>9959.8916015625</v>
      </c>
      <c r="AB112" s="2">
        <v>3.4028230607370999E+38</v>
      </c>
      <c r="AC112" s="2">
        <v>3.4028230607370999E+38</v>
      </c>
      <c r="AD112">
        <v>230.00486755371099</v>
      </c>
      <c r="AE112">
        <v>50.000904083252003</v>
      </c>
      <c r="AF112">
        <v>5749.96875</v>
      </c>
      <c r="AG112">
        <v>11500.4443359375</v>
      </c>
      <c r="AH112">
        <v>9959.8359375</v>
      </c>
      <c r="AI112">
        <v>49.999904632568402</v>
      </c>
      <c r="AJ112">
        <v>-60.001731872558601</v>
      </c>
      <c r="AK112">
        <v>1.5678405761718799E-2</v>
      </c>
      <c r="AL112" s="2">
        <v>8.3451650425558893E-6</v>
      </c>
      <c r="AM112" s="2">
        <v>2.38085018366974E-8</v>
      </c>
      <c r="AN112" s="2">
        <v>1.3081096028599899E-7</v>
      </c>
      <c r="AO112" s="2">
        <v>4.6368981543309902E-8</v>
      </c>
      <c r="AP112">
        <v>72.096214294433594</v>
      </c>
      <c r="AQ112">
        <v>-66.477226257324205</v>
      </c>
      <c r="AR112">
        <v>1.7114294692874E-2</v>
      </c>
      <c r="AS112" s="2">
        <v>7.9493602243019302E-6</v>
      </c>
      <c r="AT112" s="2">
        <v>-3.30854312835527E-8</v>
      </c>
      <c r="AU112" s="2">
        <v>1.3240446605777799E-7</v>
      </c>
      <c r="AV112" s="2">
        <v>1.9227028857926601E-8</v>
      </c>
      <c r="AW112">
        <v>73.445075988769503</v>
      </c>
      <c r="AX112">
        <v>-155.72813415527301</v>
      </c>
      <c r="AY112" s="2">
        <v>3.4028230607370999E+38</v>
      </c>
      <c r="AZ112" s="2">
        <v>3.4028230607370999E+38</v>
      </c>
      <c r="BA112">
        <v>5749.96826171875</v>
      </c>
      <c r="BB112">
        <v>11500.4443359375</v>
      </c>
      <c r="BC112">
        <v>9959.8359375</v>
      </c>
      <c r="BD112" s="2">
        <v>3.4028230607370999E+38</v>
      </c>
      <c r="BE112" s="2">
        <v>3.4028230607370999E+38</v>
      </c>
      <c r="BF112">
        <v>230.00451660156199</v>
      </c>
      <c r="BG112">
        <v>50.000953674316399</v>
      </c>
      <c r="BH112">
        <v>5749.931640625</v>
      </c>
      <c r="BI112">
        <v>11500.4384765625</v>
      </c>
      <c r="BJ112">
        <v>9959.8515625</v>
      </c>
      <c r="BK112">
        <v>49.999969482421903</v>
      </c>
      <c r="BL112">
        <v>-60.001678466796903</v>
      </c>
      <c r="BM112">
        <v>1.6419464722275699E-2</v>
      </c>
      <c r="BN112" s="2">
        <v>8.1752114056143893E-6</v>
      </c>
      <c r="BO112" s="2">
        <v>3.04290246333494E-8</v>
      </c>
      <c r="BP112" s="2">
        <v>1.35910639187387E-7</v>
      </c>
      <c r="BQ112" s="2">
        <v>5.7857825197515902E-8</v>
      </c>
      <c r="BR112">
        <v>72.104537963867202</v>
      </c>
      <c r="BS112">
        <v>-65.545318603515597</v>
      </c>
      <c r="BT112">
        <v>1.7757900059223199E-2</v>
      </c>
      <c r="BU112" s="2">
        <v>7.9909750638762506E-6</v>
      </c>
      <c r="BV112" s="2">
        <v>-3.91714998215775E-8</v>
      </c>
      <c r="BW112" s="2">
        <v>1.4228757549972199E-7</v>
      </c>
      <c r="BX112" s="2">
        <v>3.0652390847762898E-8</v>
      </c>
      <c r="BY112">
        <v>69.949920654296903</v>
      </c>
      <c r="BZ112">
        <v>-142.25979614257801</v>
      </c>
      <c r="CA112" s="2">
        <v>3.4028230607370999E+38</v>
      </c>
      <c r="CB112" s="2">
        <v>3.4028230607370999E+38</v>
      </c>
      <c r="CC112">
        <v>5749.93115234375</v>
      </c>
      <c r="CD112">
        <v>11500.4384765625</v>
      </c>
      <c r="CE112">
        <v>9959.8515625</v>
      </c>
      <c r="CF112" s="2">
        <v>3.4028230607370999E+38</v>
      </c>
      <c r="CG112" s="2">
        <v>3.4028230607370999E+38</v>
      </c>
      <c r="CH112">
        <v>230.00498962402301</v>
      </c>
      <c r="CI112">
        <v>50.000907897949197</v>
      </c>
      <c r="CJ112">
        <v>5749.98974609375</v>
      </c>
      <c r="CK112">
        <v>11500.458984375</v>
      </c>
      <c r="CL112">
        <v>9959.8544921875</v>
      </c>
      <c r="CM112">
        <v>49.999908447265597</v>
      </c>
      <c r="CN112">
        <v>-60.001522064208999</v>
      </c>
      <c r="CO112">
        <v>1.6208441928029099E-2</v>
      </c>
      <c r="CP112" s="2">
        <v>8.3983177319168994E-6</v>
      </c>
      <c r="CQ112" s="2">
        <v>6.0530744860898306E-8</v>
      </c>
      <c r="CR112" s="2">
        <v>1.3854513269961899E-7</v>
      </c>
      <c r="CS112" s="2">
        <v>4.0165645032175201E-8</v>
      </c>
      <c r="CT112">
        <v>71.977935791015597</v>
      </c>
      <c r="CU112">
        <v>-32.804542541503899</v>
      </c>
      <c r="CV112">
        <v>1.7788516357541102E-2</v>
      </c>
      <c r="CW112" s="2">
        <v>7.8216953625087592E-6</v>
      </c>
      <c r="CX112" s="2">
        <v>1.0206393064038401E-8</v>
      </c>
      <c r="CY112" s="2">
        <v>1.3922328889748301E-7</v>
      </c>
      <c r="CZ112" s="2">
        <v>6.6363845974137803E-8</v>
      </c>
      <c r="DA112">
        <v>72.779373168945298</v>
      </c>
      <c r="DB112">
        <v>-78.342605590820298</v>
      </c>
      <c r="DC112" s="2">
        <v>3.4028230607370999E+38</v>
      </c>
      <c r="DD112" s="2">
        <v>3.4028230607370999E+38</v>
      </c>
      <c r="DE112">
        <v>5749.98974609375</v>
      </c>
      <c r="DF112">
        <v>11500.458984375</v>
      </c>
      <c r="DG112">
        <v>9959.8544921875</v>
      </c>
      <c r="DH112" s="2">
        <v>3.4028230607370999E+38</v>
      </c>
      <c r="DI112" s="2">
        <v>3.4028230607370999E+38</v>
      </c>
      <c r="DJ112">
        <v>230.00474548339801</v>
      </c>
      <c r="DK112">
        <v>50.000968933105497</v>
      </c>
      <c r="DL112">
        <v>5749.9609375</v>
      </c>
      <c r="DM112">
        <v>11500.453125</v>
      </c>
      <c r="DN112">
        <v>9959.8720703125</v>
      </c>
      <c r="DO112">
        <v>49.999923706054702</v>
      </c>
      <c r="DP112">
        <v>-60.001590728759801</v>
      </c>
      <c r="DQ112">
        <v>1.76823940128088E-2</v>
      </c>
      <c r="DR112" s="2">
        <v>8.1031930676545E-6</v>
      </c>
      <c r="DS112" s="2">
        <v>5.7512735907039301E-8</v>
      </c>
      <c r="DT112" s="2">
        <v>1.4360855971062799E-7</v>
      </c>
      <c r="DU112" s="2">
        <v>6.8231479133373796E-8</v>
      </c>
      <c r="DV112">
        <v>73.020317077636705</v>
      </c>
      <c r="DW112">
        <v>-52.540760040283203</v>
      </c>
      <c r="DX112">
        <v>1.9544772803783399E-2</v>
      </c>
      <c r="DY112" s="2">
        <v>8.1500602391315607E-6</v>
      </c>
      <c r="DZ112" s="2">
        <v>-2.6818971932129901E-8</v>
      </c>
      <c r="EA112" s="2">
        <v>1.59971705215867E-7</v>
      </c>
      <c r="EB112" s="2">
        <v>6.0628835285569896E-8</v>
      </c>
      <c r="EC112">
        <v>71.446502685546903</v>
      </c>
      <c r="ED112">
        <v>-112.537246704102</v>
      </c>
      <c r="EE112" s="2">
        <v>3.4028230607370999E+38</v>
      </c>
      <c r="EF112" s="2">
        <v>3.4028230607370999E+38</v>
      </c>
      <c r="EG112">
        <v>5749.96044921875</v>
      </c>
      <c r="EH112">
        <v>11500.453125</v>
      </c>
      <c r="EI112">
        <v>9959.8720703125</v>
      </c>
      <c r="EJ112" s="2">
        <v>3.4028230607370999E+38</v>
      </c>
      <c r="EK112" s="2">
        <v>3.4028230607370999E+38</v>
      </c>
      <c r="EL112">
        <v>123</v>
      </c>
      <c r="EM112">
        <v>230.00466918945301</v>
      </c>
      <c r="EN112">
        <v>50.0009155273438</v>
      </c>
      <c r="EO112">
        <v>5749.94921875</v>
      </c>
      <c r="EP112">
        <v>11500.4462890625</v>
      </c>
      <c r="EQ112">
        <v>9959.87109375</v>
      </c>
      <c r="ER112">
        <v>49.999996185302699</v>
      </c>
      <c r="ES112">
        <v>-60.00146484375</v>
      </c>
      <c r="ET112">
        <v>0.499977827072144</v>
      </c>
      <c r="EU112" s="2">
        <v>3.4028230607370999E+38</v>
      </c>
      <c r="EV112">
        <v>0</v>
      </c>
      <c r="EW112">
        <v>230.00306701660199</v>
      </c>
      <c r="EX112">
        <v>5749.52001953125</v>
      </c>
      <c r="EY112">
        <v>11500.3505859375</v>
      </c>
      <c r="EZ112">
        <v>9959.806640625</v>
      </c>
      <c r="FA112">
        <v>-2.31115575879812E-2</v>
      </c>
      <c r="FB112">
        <v>1.5782408416271199E-2</v>
      </c>
      <c r="FC112" s="2">
        <v>8.3429540609358793E-6</v>
      </c>
      <c r="FD112" s="2">
        <v>2.59817838355048E-8</v>
      </c>
      <c r="FE112" s="2">
        <v>1.3160142486867701E-7</v>
      </c>
      <c r="FF112" s="2">
        <v>4.9753055009205101E-8</v>
      </c>
      <c r="FG112">
        <v>72.004051208496094</v>
      </c>
      <c r="FH112">
        <v>-67.682876586914105</v>
      </c>
      <c r="FI112">
        <v>0.15419387817382799</v>
      </c>
      <c r="FJ112" s="2">
        <v>3.4028230607370999E+38</v>
      </c>
      <c r="FK112">
        <v>-153.57440185546901</v>
      </c>
      <c r="FL112">
        <v>1.98817253112793E-2</v>
      </c>
      <c r="FM112">
        <v>0</v>
      </c>
      <c r="FN112">
        <v>0</v>
      </c>
      <c r="FO112">
        <v>0</v>
      </c>
      <c r="FP112">
        <v>7.5823068618774403E-4</v>
      </c>
      <c r="FQ112">
        <v>1.55657306313515E-2</v>
      </c>
      <c r="FR112" s="2">
        <v>7.8390148701146194E-6</v>
      </c>
      <c r="FS112" s="2">
        <v>-1.23264261020495E-8</v>
      </c>
      <c r="FT112" s="2">
        <v>1.1835790303393899E-7</v>
      </c>
      <c r="FU112" s="2">
        <v>1.81192874038061E-8</v>
      </c>
      <c r="FV112">
        <v>71.935127258300795</v>
      </c>
      <c r="FW112">
        <v>-100.31252288818401</v>
      </c>
      <c r="FX112">
        <v>-3.6731448024511303E-2</v>
      </c>
      <c r="FY112" s="2">
        <v>3.4028230607370999E+38</v>
      </c>
      <c r="FZ112">
        <v>9.14331150054932</v>
      </c>
      <c r="GA112">
        <v>229.07525634765599</v>
      </c>
      <c r="GB112" s="2">
        <v>-6.0650412470053497E-10</v>
      </c>
      <c r="GC112">
        <v>1.7685724887996899E-3</v>
      </c>
      <c r="GD112" s="2">
        <v>-2.1904151825680199E-9</v>
      </c>
      <c r="GE112">
        <v>-8.0537569010630196E-4</v>
      </c>
      <c r="GF112" s="2">
        <v>3.4028230607370999E+38</v>
      </c>
      <c r="GG112" s="2">
        <v>3.4028230607370999E+38</v>
      </c>
      <c r="GH112">
        <v>5749.94091796875</v>
      </c>
      <c r="GI112">
        <v>11500.4599609375</v>
      </c>
      <c r="GJ112">
        <v>9959.8837890625</v>
      </c>
      <c r="GK112" s="2">
        <v>3.4028230607370999E+38</v>
      </c>
      <c r="GL112" s="2">
        <v>3.4028230607370999E+38</v>
      </c>
      <c r="GM112" s="2">
        <v>3.4028230607370999E+38</v>
      </c>
      <c r="GN112" s="2">
        <v>3.4028230607370999E+38</v>
      </c>
      <c r="GO112" s="2">
        <v>3.4028230607370999E+38</v>
      </c>
      <c r="GP112" s="2">
        <v>3.4028230607370999E+38</v>
      </c>
      <c r="GQ112">
        <v>5749.82421875</v>
      </c>
      <c r="GR112">
        <v>5749.82421875</v>
      </c>
      <c r="GS112">
        <v>9960.1171875</v>
      </c>
      <c r="GT112">
        <v>-5.9079648926854099E-3</v>
      </c>
      <c r="GX112">
        <f t="shared" si="8"/>
        <v>230.00477905273419</v>
      </c>
      <c r="GY112">
        <f t="shared" si="9"/>
        <v>50.000963592529295</v>
      </c>
      <c r="GZ112">
        <f t="shared" si="10"/>
        <v>5749.9664062499996</v>
      </c>
      <c r="HA112">
        <f t="shared" si="11"/>
        <v>11500.4556640625</v>
      </c>
      <c r="HB112">
        <f t="shared" si="12"/>
        <v>9959.8611328125007</v>
      </c>
      <c r="HC112">
        <f t="shared" si="13"/>
        <v>49.999926757812524</v>
      </c>
      <c r="HD112">
        <f t="shared" si="14"/>
        <v>-60.001661682128926</v>
      </c>
      <c r="HW112" s="10">
        <f>(GX112/Data!$S112-1)*1000000</f>
        <v>36.045996983036233</v>
      </c>
      <c r="HX112" s="10">
        <f>(GY112/Data!$T112-1)*1000000</f>
        <v>40.567914487699142</v>
      </c>
      <c r="HY112" s="10">
        <f>(GZ112/Data!$BW112-1)*1000000</f>
        <v>-37.609022634499389</v>
      </c>
      <c r="HZ112" s="10">
        <f>(HA112/(Data!$S112*Data!$T112)-1)*1000000</f>
        <v>76.187578922803922</v>
      </c>
      <c r="IA112" s="7">
        <f>(HB112/IF(HD112&gt;0, -Data!$BX112,Data!$BX112)-1)*1000000</f>
        <v>116.47038952822264</v>
      </c>
      <c r="IB112" s="10"/>
      <c r="IC112" s="9">
        <f>(HD112-Data!$U112)</f>
        <v>-3.9219321289252207E-3</v>
      </c>
    </row>
    <row r="113" spans="1:237" x14ac:dyDescent="0.2">
      <c r="A113">
        <v>113</v>
      </c>
      <c r="B113">
        <v>230.00099182128901</v>
      </c>
      <c r="C113">
        <v>50.000759124755902</v>
      </c>
      <c r="D113">
        <v>9196.7939453125</v>
      </c>
      <c r="E113">
        <v>11500.2177734375</v>
      </c>
      <c r="F113">
        <v>-6904.7705078125</v>
      </c>
      <c r="G113">
        <v>49.999946594238303</v>
      </c>
      <c r="H113">
        <v>36.898361206054702</v>
      </c>
      <c r="I113">
        <v>1.50431785732508E-2</v>
      </c>
      <c r="J113" s="2">
        <v>8.0759427873999795E-6</v>
      </c>
      <c r="K113" s="2">
        <v>3.0296199327040099E-8</v>
      </c>
      <c r="L113" s="2">
        <v>1.21326692692492E-7</v>
      </c>
      <c r="M113" s="2">
        <v>-6.8163354960404401E-9</v>
      </c>
      <c r="N113">
        <v>72.679092407226605</v>
      </c>
      <c r="O113">
        <v>15.091712951660201</v>
      </c>
      <c r="P113">
        <v>1.6026588156819298E-2</v>
      </c>
      <c r="Q113" s="2">
        <v>8.2441993072279695E-6</v>
      </c>
      <c r="R113" s="2">
        <v>3.6770831712829002E-8</v>
      </c>
      <c r="S113" s="2">
        <v>1.3220652306245E-7</v>
      </c>
      <c r="T113" s="2">
        <v>2.84164975994372E-8</v>
      </c>
      <c r="U113">
        <v>72.162849426269503</v>
      </c>
      <c r="V113">
        <v>-40.872421264648402</v>
      </c>
      <c r="W113" s="2">
        <v>3.4028230607370999E+38</v>
      </c>
      <c r="X113" s="2">
        <v>3.4028230607370999E+38</v>
      </c>
      <c r="Y113">
        <v>9196.7939453125</v>
      </c>
      <c r="Z113">
        <v>11500.2177734375</v>
      </c>
      <c r="AA113">
        <v>-6904.77099609375</v>
      </c>
      <c r="AB113" s="2">
        <v>3.4028230607370999E+38</v>
      </c>
      <c r="AC113" s="2">
        <v>3.4028230607370999E+38</v>
      </c>
      <c r="AD113">
        <v>230.00134277343801</v>
      </c>
      <c r="AE113">
        <v>50.000732421875</v>
      </c>
      <c r="AF113">
        <v>9196.8173828125</v>
      </c>
      <c r="AG113">
        <v>11500.228515625</v>
      </c>
      <c r="AH113">
        <v>-6904.7724609375</v>
      </c>
      <c r="AI113">
        <v>49.999923706054702</v>
      </c>
      <c r="AJ113">
        <v>36.8985595703125</v>
      </c>
      <c r="AK113">
        <v>1.7157800495624501E-2</v>
      </c>
      <c r="AL113" s="2">
        <v>8.3122622527298501E-6</v>
      </c>
      <c r="AM113" s="2">
        <v>4.5268397030895397E-8</v>
      </c>
      <c r="AN113" s="2">
        <v>1.3955256861208901E-7</v>
      </c>
      <c r="AO113" s="2">
        <v>-2.2354612383424002E-8</v>
      </c>
      <c r="AP113">
        <v>71.692481994628906</v>
      </c>
      <c r="AQ113">
        <v>22.4561443328857</v>
      </c>
      <c r="AR113">
        <v>1.9105359911918599E-2</v>
      </c>
      <c r="AS113" s="2">
        <v>8.0831450759433193E-6</v>
      </c>
      <c r="AT113" s="2">
        <v>7.5624356554726506E-8</v>
      </c>
      <c r="AU113" s="2">
        <v>1.54258628981552E-7</v>
      </c>
      <c r="AV113" s="2">
        <v>6.2915020748732799E-8</v>
      </c>
      <c r="AW113">
        <v>71.793930053710895</v>
      </c>
      <c r="AX113">
        <v>-40.8537406921387</v>
      </c>
      <c r="AY113" s="2">
        <v>3.4028230607370999E+38</v>
      </c>
      <c r="AZ113" s="2">
        <v>3.4028230607370999E+38</v>
      </c>
      <c r="BA113">
        <v>9196.8173828125</v>
      </c>
      <c r="BB113">
        <v>11500.228515625</v>
      </c>
      <c r="BC113">
        <v>-6904.77294921875</v>
      </c>
      <c r="BD113" s="2">
        <v>3.4028230607370999E+38</v>
      </c>
      <c r="BE113" s="2">
        <v>3.4028230607370999E+38</v>
      </c>
      <c r="BF113">
        <v>230.001388549805</v>
      </c>
      <c r="BG113">
        <v>50.0007934570312</v>
      </c>
      <c r="BH113">
        <v>9196.8408203125</v>
      </c>
      <c r="BI113">
        <v>11500.2646484375</v>
      </c>
      <c r="BJ113">
        <v>-6904.7802734375</v>
      </c>
      <c r="BK113">
        <v>49.999954223632798</v>
      </c>
      <c r="BL113">
        <v>36.898311614990199</v>
      </c>
      <c r="BM113">
        <v>1.4104318805038899E-2</v>
      </c>
      <c r="BN113" s="2">
        <v>8.1722118920879405E-6</v>
      </c>
      <c r="BO113" s="2">
        <v>1.41280329657434E-8</v>
      </c>
      <c r="BP113" s="2">
        <v>1.15435028646971E-7</v>
      </c>
      <c r="BQ113" s="2">
        <v>-1.2884349587238801E-8</v>
      </c>
      <c r="BR113">
        <v>72.342704772949205</v>
      </c>
      <c r="BS113">
        <v>35.311408996582003</v>
      </c>
      <c r="BT113">
        <v>1.54392579570413E-2</v>
      </c>
      <c r="BU113" s="2">
        <v>8.1837588368216496E-6</v>
      </c>
      <c r="BV113" s="2">
        <v>2.9783693733520499E-8</v>
      </c>
      <c r="BW113" s="2">
        <v>1.2640236946026599E-7</v>
      </c>
      <c r="BX113" s="2">
        <v>1.7155628029286199E-8</v>
      </c>
      <c r="BY113">
        <v>72.483108520507798</v>
      </c>
      <c r="BZ113">
        <v>-29.041580200195298</v>
      </c>
      <c r="CA113" s="2">
        <v>3.4028230607370999E+38</v>
      </c>
      <c r="CB113" s="2">
        <v>3.4028230607370999E+38</v>
      </c>
      <c r="CC113">
        <v>9196.8408203125</v>
      </c>
      <c r="CD113">
        <v>11500.2646484375</v>
      </c>
      <c r="CE113">
        <v>-6904.78076171875</v>
      </c>
      <c r="CF113" s="2">
        <v>3.4028230607370999E+38</v>
      </c>
      <c r="CG113" s="2">
        <v>3.4028230607370999E+38</v>
      </c>
      <c r="CH113">
        <v>230.00184631347699</v>
      </c>
      <c r="CI113">
        <v>50.000755310058601</v>
      </c>
      <c r="CJ113">
        <v>9196.826171875</v>
      </c>
      <c r="CK113">
        <v>11500.2421875</v>
      </c>
      <c r="CL113">
        <v>-6904.79736328125</v>
      </c>
      <c r="CM113">
        <v>49.999931335449197</v>
      </c>
      <c r="CN113">
        <v>36.898548126220703</v>
      </c>
      <c r="CO113">
        <v>1.54450489208102E-2</v>
      </c>
      <c r="CP113" s="2">
        <v>8.0639129009796306E-6</v>
      </c>
      <c r="CQ113" s="2">
        <v>3.85316063500341E-8</v>
      </c>
      <c r="CR113" s="2">
        <v>1.2504754920428201E-7</v>
      </c>
      <c r="CS113" s="2">
        <v>-4.8224997328816202E-9</v>
      </c>
      <c r="CT113">
        <v>73.385841369628906</v>
      </c>
      <c r="CU113">
        <v>6.80997657775879</v>
      </c>
      <c r="CV113">
        <v>1.66877824813128E-2</v>
      </c>
      <c r="CW113" s="2">
        <v>8.2667456808849204E-6</v>
      </c>
      <c r="CX113" s="2">
        <v>4.5100353673888101E-8</v>
      </c>
      <c r="CY113" s="2">
        <v>1.38769024715657E-7</v>
      </c>
      <c r="CZ113" s="2">
        <v>4.9230902021690801E-8</v>
      </c>
      <c r="DA113">
        <v>72.329177856445298</v>
      </c>
      <c r="DB113">
        <v>-47.541721343994098</v>
      </c>
      <c r="DC113" s="2">
        <v>3.4028230607370999E+38</v>
      </c>
      <c r="DD113" s="2">
        <v>3.4028230607370999E+38</v>
      </c>
      <c r="DE113">
        <v>9196.826171875</v>
      </c>
      <c r="DF113">
        <v>11500.2421875</v>
      </c>
      <c r="DG113">
        <v>-6904.7978515625</v>
      </c>
      <c r="DH113" s="2">
        <v>3.4028230607370999E+38</v>
      </c>
      <c r="DI113" s="2">
        <v>3.4028230607370999E+38</v>
      </c>
      <c r="DJ113">
        <v>230.00100708007801</v>
      </c>
      <c r="DK113">
        <v>50.000789642333999</v>
      </c>
      <c r="DL113">
        <v>9196.81640625</v>
      </c>
      <c r="DM113">
        <v>11500.2470703125</v>
      </c>
      <c r="DN113">
        <v>-6904.7939453125</v>
      </c>
      <c r="DO113">
        <v>49.999988555908203</v>
      </c>
      <c r="DP113">
        <v>36.898448944091797</v>
      </c>
      <c r="DQ113">
        <v>1.4312016777694199E-2</v>
      </c>
      <c r="DR113" s="2">
        <v>8.2135102275060507E-6</v>
      </c>
      <c r="DS113" s="2">
        <v>1.9786240201824499E-8</v>
      </c>
      <c r="DT113" s="2">
        <v>1.1745267158858E-7</v>
      </c>
      <c r="DU113" s="2">
        <v>-1.14209255386299E-8</v>
      </c>
      <c r="DV113">
        <v>73.476287841796903</v>
      </c>
      <c r="DW113">
        <v>36.095573425292997</v>
      </c>
      <c r="DX113">
        <v>1.55695248395205E-2</v>
      </c>
      <c r="DY113" s="2">
        <v>8.2569185906322707E-6</v>
      </c>
      <c r="DZ113" s="2">
        <v>3.1900775354643E-8</v>
      </c>
      <c r="EA113" s="2">
        <v>1.2714231445443099E-7</v>
      </c>
      <c r="EB113" s="2">
        <v>2.20360334424186E-8</v>
      </c>
      <c r="EC113">
        <v>72.314308166503906</v>
      </c>
      <c r="ED113">
        <v>-31.544509887695298</v>
      </c>
      <c r="EE113" s="2">
        <v>3.4028230607370999E+38</v>
      </c>
      <c r="EF113" s="2">
        <v>3.4028230607370999E+38</v>
      </c>
      <c r="EG113">
        <v>9196.81640625</v>
      </c>
      <c r="EH113">
        <v>11500.2470703125</v>
      </c>
      <c r="EI113">
        <v>-6904.79443359375</v>
      </c>
      <c r="EJ113" s="2">
        <v>3.4028230607370999E+38</v>
      </c>
      <c r="EK113" s="2">
        <v>3.4028230607370999E+38</v>
      </c>
      <c r="EL113">
        <v>123</v>
      </c>
      <c r="EM113">
        <v>230.00157165527301</v>
      </c>
      <c r="EN113">
        <v>50.000728607177699</v>
      </c>
      <c r="EO113">
        <v>9196.841796875</v>
      </c>
      <c r="EP113">
        <v>11500.2392578125</v>
      </c>
      <c r="EQ113">
        <v>-6904.79052734375</v>
      </c>
      <c r="ER113">
        <v>49.999870300292997</v>
      </c>
      <c r="ES113">
        <v>36.8984375</v>
      </c>
      <c r="ET113">
        <v>0.79970848560333296</v>
      </c>
      <c r="EU113" s="2">
        <v>3.4028230607370999E+38</v>
      </c>
      <c r="EV113">
        <v>0</v>
      </c>
      <c r="EW113">
        <v>230.00325012207</v>
      </c>
      <c r="EX113">
        <v>9197.0283203125</v>
      </c>
      <c r="EY113">
        <v>11500.3232421875</v>
      </c>
      <c r="EZ113">
        <v>-6904.587890625</v>
      </c>
      <c r="FA113">
        <v>1.4397656545043E-2</v>
      </c>
      <c r="FB113">
        <v>1.43650714308023E-2</v>
      </c>
      <c r="FC113" s="2">
        <v>8.3820441432180798E-6</v>
      </c>
      <c r="FD113" s="2">
        <v>7.7955455424216796E-9</v>
      </c>
      <c r="FE113" s="2">
        <v>1.19544850463171E-7</v>
      </c>
      <c r="FF113" s="2">
        <v>-2.99521687452398E-8</v>
      </c>
      <c r="FG113">
        <v>72.615570068359403</v>
      </c>
      <c r="FH113">
        <v>78.424148559570298</v>
      </c>
      <c r="FI113">
        <v>4.5939467847347301E-2</v>
      </c>
      <c r="FJ113" s="2">
        <v>3.4028230607370999E+38</v>
      </c>
      <c r="FK113">
        <v>-4.1403489112854004</v>
      </c>
      <c r="FL113">
        <v>1.9761048257350901E-2</v>
      </c>
      <c r="FM113">
        <v>0</v>
      </c>
      <c r="FN113">
        <v>0</v>
      </c>
      <c r="FO113">
        <v>0</v>
      </c>
      <c r="FP113">
        <v>-6.7925296025350701E-4</v>
      </c>
      <c r="FQ113">
        <v>1.5983372926712001E-2</v>
      </c>
      <c r="FR113" s="2">
        <v>8.0072359196492505E-6</v>
      </c>
      <c r="FS113" s="2">
        <v>4.0085609498419197E-8</v>
      </c>
      <c r="FT113" s="2">
        <v>1.2804592586235199E-7</v>
      </c>
      <c r="FU113" s="2">
        <v>4.8485908621387402E-9</v>
      </c>
      <c r="FV113">
        <v>72.012672424316406</v>
      </c>
      <c r="FW113">
        <v>-6.9949512481689498</v>
      </c>
      <c r="FX113">
        <v>0.300576001405716</v>
      </c>
      <c r="FY113" s="2">
        <v>3.4028230607370999E+38</v>
      </c>
      <c r="FZ113">
        <v>18.8030300140381</v>
      </c>
      <c r="GA113">
        <v>229.30619812011699</v>
      </c>
      <c r="GB113" s="2">
        <v>5.5894271433487599E-9</v>
      </c>
      <c r="GC113">
        <v>1.8350118771195401E-3</v>
      </c>
      <c r="GD113" s="2">
        <v>-4.0332429063205702E-10</v>
      </c>
      <c r="GE113">
        <v>-2.6258282014168799E-4</v>
      </c>
      <c r="GF113" s="2">
        <v>3.4028230607370999E+38</v>
      </c>
      <c r="GG113" s="2">
        <v>3.4028230607370999E+38</v>
      </c>
      <c r="GH113">
        <v>9196.8330078125</v>
      </c>
      <c r="GI113">
        <v>11500.23828125</v>
      </c>
      <c r="GJ113">
        <v>-6904.7802734375</v>
      </c>
      <c r="GK113" s="2">
        <v>3.4028230607370999E+38</v>
      </c>
      <c r="GL113" s="2">
        <v>3.4028230607370999E+38</v>
      </c>
      <c r="GM113" s="2">
        <v>3.4028230607370999E+38</v>
      </c>
      <c r="GN113" s="2">
        <v>3.4028230607370999E+38</v>
      </c>
      <c r="GO113" s="2">
        <v>3.4028230607370999E+38</v>
      </c>
      <c r="GP113" s="2">
        <v>3.4028230607370999E+38</v>
      </c>
      <c r="GQ113">
        <v>9197.171875</v>
      </c>
      <c r="GR113">
        <v>9197.171875</v>
      </c>
      <c r="GS113">
        <v>-6904.54638671875</v>
      </c>
      <c r="GT113">
        <v>2.5566894561052302E-2</v>
      </c>
      <c r="GX113">
        <f t="shared" si="8"/>
        <v>230.0013153076174</v>
      </c>
      <c r="GY113">
        <f t="shared" si="9"/>
        <v>50.00076599121094</v>
      </c>
      <c r="GZ113">
        <f t="shared" si="10"/>
        <v>9196.8189453124996</v>
      </c>
      <c r="HA113">
        <f t="shared" si="11"/>
        <v>11500.240039062501</v>
      </c>
      <c r="HB113">
        <f t="shared" si="12"/>
        <v>-6904.7829101562502</v>
      </c>
      <c r="HC113">
        <f t="shared" si="13"/>
        <v>49.999948883056632</v>
      </c>
      <c r="HD113">
        <f t="shared" si="14"/>
        <v>36.898445892333982</v>
      </c>
      <c r="HW113" s="10">
        <f>(GX113/Data!$S113-1)*1000000</f>
        <v>19.299860445354255</v>
      </c>
      <c r="HX113" s="10">
        <f>(GY113/Data!$T113-1)*1000000</f>
        <v>34.676095395536066</v>
      </c>
      <c r="HY113" s="10">
        <f>(GZ113/Data!$BW113-1)*1000000</f>
        <v>56.295493075841918</v>
      </c>
      <c r="HZ113" s="10">
        <f>(HA113/(Data!$S113*Data!$T113)-1)*1000000</f>
        <v>53.810940984222455</v>
      </c>
      <c r="IA113" s="7">
        <f>(HB113/IF(HD113&gt;0, -Data!$BX113,Data!$BX113)-1)*1000000</f>
        <v>70.204116654482007</v>
      </c>
      <c r="IB113" s="10"/>
      <c r="IC113" s="9">
        <f>(HD113-Data!$U113)</f>
        <v>3.586923339824466E-4</v>
      </c>
    </row>
    <row r="114" spans="1:237" x14ac:dyDescent="0.2">
      <c r="A114">
        <v>114</v>
      </c>
      <c r="B114">
        <v>230.003005981445</v>
      </c>
      <c r="C114">
        <v>50.000938415527301</v>
      </c>
      <c r="D114">
        <v>11500.3544921875</v>
      </c>
      <c r="E114">
        <v>11500.3349609375</v>
      </c>
      <c r="F114">
        <v>0.38635563850402799</v>
      </c>
      <c r="G114">
        <v>49.999946594238303</v>
      </c>
      <c r="H114">
        <v>-1.92486215382814E-3</v>
      </c>
      <c r="I114">
        <v>1.7670139670371999E-2</v>
      </c>
      <c r="J114" s="2">
        <v>8.3794466263498197E-6</v>
      </c>
      <c r="K114" s="2">
        <v>7.2082400492945506E-8</v>
      </c>
      <c r="L114" s="2">
        <v>1.4724770380780699E-7</v>
      </c>
      <c r="M114" s="2">
        <v>2.8045163968926098E-9</v>
      </c>
      <c r="N114">
        <v>72.539703369140597</v>
      </c>
      <c r="O114">
        <v>-1.14905917644501</v>
      </c>
      <c r="P114">
        <v>1.9491087645292299E-2</v>
      </c>
      <c r="Q114" s="2">
        <v>8.0978743426385302E-6</v>
      </c>
      <c r="R114" s="2">
        <v>6.2627890429212103E-8</v>
      </c>
      <c r="S114" s="2">
        <v>1.5690305588123E-7</v>
      </c>
      <c r="T114" s="2">
        <v>7.8105834688812994E-8</v>
      </c>
      <c r="U114">
        <v>71.761260986328097</v>
      </c>
      <c r="V114">
        <v>-51.070518493652301</v>
      </c>
      <c r="W114" s="2">
        <v>3.4028230607370999E+38</v>
      </c>
      <c r="X114" s="2">
        <v>3.4028230607370999E+38</v>
      </c>
      <c r="Y114">
        <v>11500.3544921875</v>
      </c>
      <c r="Z114">
        <v>11500.3349609375</v>
      </c>
      <c r="AA114">
        <v>0.38635569810867298</v>
      </c>
      <c r="AB114" s="2">
        <v>3.4028230607370999E+38</v>
      </c>
      <c r="AC114" s="2">
        <v>3.4028230607370999E+38</v>
      </c>
      <c r="AD114">
        <v>230.00332641601599</v>
      </c>
      <c r="AE114">
        <v>50.000843048095703</v>
      </c>
      <c r="AF114">
        <v>11500.322265625</v>
      </c>
      <c r="AG114">
        <v>11500.330078125</v>
      </c>
      <c r="AH114">
        <v>0.396019786596298</v>
      </c>
      <c r="AI114">
        <v>49.999958038330099</v>
      </c>
      <c r="AJ114">
        <v>-1.8517771968618001E-3</v>
      </c>
      <c r="AK114">
        <v>1.6989134252071401E-2</v>
      </c>
      <c r="AL114" s="2">
        <v>8.0025984061649103E-6</v>
      </c>
      <c r="AM114" s="2">
        <v>6.6563174527800597E-8</v>
      </c>
      <c r="AN114" s="2">
        <v>1.3558566536175899E-7</v>
      </c>
      <c r="AO114" s="2">
        <v>2.4760614891761199E-8</v>
      </c>
      <c r="AP114">
        <v>72.070602416992202</v>
      </c>
      <c r="AQ114">
        <v>-19.745069503784201</v>
      </c>
      <c r="AR114">
        <v>1.86508744955063E-2</v>
      </c>
      <c r="AS114" s="2">
        <v>8.2440819824114408E-6</v>
      </c>
      <c r="AT114" s="2">
        <v>3.8129606139136701E-8</v>
      </c>
      <c r="AU114" s="2">
        <v>1.5498331151775299E-7</v>
      </c>
      <c r="AV114" s="2">
        <v>8.1445875821373206E-8</v>
      </c>
      <c r="AW114">
        <v>72.155059814453097</v>
      </c>
      <c r="AX114">
        <v>-64.424713134765597</v>
      </c>
      <c r="AY114" s="2">
        <v>3.4028230607370999E+38</v>
      </c>
      <c r="AZ114" s="2">
        <v>3.4028230607370999E+38</v>
      </c>
      <c r="BA114">
        <v>11500.322265625</v>
      </c>
      <c r="BB114">
        <v>11500.330078125</v>
      </c>
      <c r="BC114">
        <v>0.39601987600326499</v>
      </c>
      <c r="BD114" s="2">
        <v>3.4028230607370999E+38</v>
      </c>
      <c r="BE114" s="2">
        <v>3.4028230607370999E+38</v>
      </c>
      <c r="BF114">
        <v>230.002365112305</v>
      </c>
      <c r="BG114">
        <v>50.000926971435497</v>
      </c>
      <c r="BH114">
        <v>11500.3193359375</v>
      </c>
      <c r="BI114">
        <v>11500.35546875</v>
      </c>
      <c r="BJ114">
        <v>0.36470940709114102</v>
      </c>
      <c r="BK114">
        <v>50.000007629394503</v>
      </c>
      <c r="BL114">
        <v>-1.81701511610299E-3</v>
      </c>
      <c r="BM114">
        <v>1.78764741867781E-2</v>
      </c>
      <c r="BN114" s="2">
        <v>8.3044897110085003E-6</v>
      </c>
      <c r="BO114" s="2">
        <v>6.4485021766813602E-8</v>
      </c>
      <c r="BP114" s="2">
        <v>1.4550708726801499E-7</v>
      </c>
      <c r="BQ114" s="2">
        <v>-4.4795731568569896E-9</v>
      </c>
      <c r="BR114">
        <v>72.103668212890597</v>
      </c>
      <c r="BS114">
        <v>-2.4384677410125701</v>
      </c>
      <c r="BT114">
        <v>1.96757689118385E-2</v>
      </c>
      <c r="BU114" s="2">
        <v>7.9297251431853493E-6</v>
      </c>
      <c r="BV114" s="2">
        <v>6.5245217228948604E-8</v>
      </c>
      <c r="BW114" s="2">
        <v>1.5737433045615E-7</v>
      </c>
      <c r="BX114" s="2">
        <v>8.5551256745475297E-8</v>
      </c>
      <c r="BY114">
        <v>71.2520751953125</v>
      </c>
      <c r="BZ114">
        <v>-50.755321502685497</v>
      </c>
      <c r="CA114" s="2">
        <v>3.4028230607370999E+38</v>
      </c>
      <c r="CB114" s="2">
        <v>3.4028230607370999E+38</v>
      </c>
      <c r="CC114">
        <v>11500.3193359375</v>
      </c>
      <c r="CD114">
        <v>11500.35546875</v>
      </c>
      <c r="CE114">
        <v>0.36470946669578602</v>
      </c>
      <c r="CF114" s="2">
        <v>3.4028230607370999E+38</v>
      </c>
      <c r="CG114" s="2">
        <v>3.4028230607370999E+38</v>
      </c>
      <c r="CH114">
        <v>230.00294494628901</v>
      </c>
      <c r="CI114">
        <v>50.000770568847699</v>
      </c>
      <c r="CJ114">
        <v>11500.3125</v>
      </c>
      <c r="CK114">
        <v>11500.318359375</v>
      </c>
      <c r="CL114">
        <v>0.40164506435394298</v>
      </c>
      <c r="CM114">
        <v>49.999904632568402</v>
      </c>
      <c r="CN114">
        <v>-2.0010401494801001E-3</v>
      </c>
      <c r="CO114">
        <v>1.5573767945170401E-2</v>
      </c>
      <c r="CP114" s="2">
        <v>8.1878652054001594E-6</v>
      </c>
      <c r="CQ114" s="2">
        <v>5.47618093094115E-8</v>
      </c>
      <c r="CR114" s="2">
        <v>1.2952708061675401E-7</v>
      </c>
      <c r="CS114" s="2">
        <v>2.8572491928002799E-8</v>
      </c>
      <c r="CT114">
        <v>71.741867065429702</v>
      </c>
      <c r="CU114">
        <v>-26.830652236938501</v>
      </c>
      <c r="CV114">
        <v>1.66796986013651E-2</v>
      </c>
      <c r="CW114" s="2">
        <v>8.2644510257523507E-6</v>
      </c>
      <c r="CX114" s="2">
        <v>1.9237520021420099E-8</v>
      </c>
      <c r="CY114" s="2">
        <v>1.4172695728120701E-7</v>
      </c>
      <c r="CZ114" s="2">
        <v>6.1792647443326105E-8</v>
      </c>
      <c r="DA114">
        <v>72.724212646484403</v>
      </c>
      <c r="DB114">
        <v>-68.448776245117202</v>
      </c>
      <c r="DC114" s="2">
        <v>3.4028230607370999E+38</v>
      </c>
      <c r="DD114" s="2">
        <v>3.4028230607370999E+38</v>
      </c>
      <c r="DE114">
        <v>11500.3125</v>
      </c>
      <c r="DF114">
        <v>11500.318359375</v>
      </c>
      <c r="DG114">
        <v>0.40164515376090998</v>
      </c>
      <c r="DH114" s="2">
        <v>3.4028230607370999E+38</v>
      </c>
      <c r="DI114" s="2">
        <v>3.4028230607370999E+38</v>
      </c>
      <c r="DJ114">
        <v>230.00312805175801</v>
      </c>
      <c r="DK114">
        <v>50.000839233398402</v>
      </c>
      <c r="DL114">
        <v>11500.3369140625</v>
      </c>
      <c r="DM114">
        <v>11500.34375</v>
      </c>
      <c r="DN114">
        <v>0.44895008206367498</v>
      </c>
      <c r="DO114">
        <v>49.999923706054702</v>
      </c>
      <c r="DP114">
        <v>-2.2367185447364998E-3</v>
      </c>
      <c r="DQ114">
        <v>1.59609764814377E-2</v>
      </c>
      <c r="DR114" s="2">
        <v>8.0967774920282005E-6</v>
      </c>
      <c r="DS114" s="2">
        <v>5.65208004843498E-8</v>
      </c>
      <c r="DT114" s="2">
        <v>1.2940591886945201E-7</v>
      </c>
      <c r="DU114" s="2">
        <v>2.99239530932027E-8</v>
      </c>
      <c r="DV114">
        <v>72.765556335449205</v>
      </c>
      <c r="DW114">
        <v>-26.971185684204102</v>
      </c>
      <c r="DX114">
        <v>1.7308825626969299E-2</v>
      </c>
      <c r="DY114" s="2">
        <v>8.1937032518908398E-6</v>
      </c>
      <c r="DZ114" s="2">
        <v>2.0704558068018702E-8</v>
      </c>
      <c r="EA114" s="2">
        <v>1.42184092055686E-7</v>
      </c>
      <c r="EB114" s="2">
        <v>6.2342522255676198E-8</v>
      </c>
      <c r="EC114">
        <v>71.537330627441406</v>
      </c>
      <c r="ED114">
        <v>-68.043006896972699</v>
      </c>
      <c r="EE114" s="2">
        <v>3.4028230607370999E+38</v>
      </c>
      <c r="EF114" s="2">
        <v>3.4028230607370999E+38</v>
      </c>
      <c r="EG114">
        <v>11500.3369140625</v>
      </c>
      <c r="EH114">
        <v>11500.34375</v>
      </c>
      <c r="EI114">
        <v>0.44895017147064198</v>
      </c>
      <c r="EJ114" s="2">
        <v>3.4028230607370999E+38</v>
      </c>
      <c r="EK114" s="2">
        <v>3.4028230607370999E+38</v>
      </c>
      <c r="EL114">
        <v>123</v>
      </c>
      <c r="EM114">
        <v>230.00297546386699</v>
      </c>
      <c r="EN114">
        <v>50.000740051269503</v>
      </c>
      <c r="EO114">
        <v>11500.3076171875</v>
      </c>
      <c r="EP114">
        <v>11500.3134765625</v>
      </c>
      <c r="EQ114">
        <v>0.415304005146027</v>
      </c>
      <c r="ER114">
        <v>49.999958038330099</v>
      </c>
      <c r="ES114">
        <v>-1.8749741138890401E-3</v>
      </c>
      <c r="ET114">
        <v>0.99999940395355202</v>
      </c>
      <c r="EU114" s="2">
        <v>3.4028230607370999E+38</v>
      </c>
      <c r="EV114">
        <v>0</v>
      </c>
      <c r="EW114">
        <v>230.00256347656199</v>
      </c>
      <c r="EX114">
        <v>11500.2763671875</v>
      </c>
      <c r="EY114">
        <v>11500.283203125</v>
      </c>
      <c r="EZ114">
        <v>0.848066806793213</v>
      </c>
      <c r="FA114">
        <v>-5.2663329988717998E-3</v>
      </c>
      <c r="FB114">
        <v>1.75240840762854E-2</v>
      </c>
      <c r="FC114" s="2">
        <v>8.1551943367230706E-6</v>
      </c>
      <c r="FD114" s="2">
        <v>7.0004659846745199E-8</v>
      </c>
      <c r="FE114" s="2">
        <v>1.43347278935835E-7</v>
      </c>
      <c r="FF114" s="2">
        <v>1.13229816633975E-8</v>
      </c>
      <c r="FG114">
        <v>72.256881713867202</v>
      </c>
      <c r="FH114">
        <v>-7.7478713989257804</v>
      </c>
      <c r="FI114">
        <v>0.495171368122101</v>
      </c>
      <c r="FJ114" s="2">
        <v>3.4028230607370999E+38</v>
      </c>
      <c r="FK114">
        <v>-64.954658508300795</v>
      </c>
      <c r="FL114">
        <v>1.9811997190117801E-2</v>
      </c>
      <c r="FM114">
        <v>0</v>
      </c>
      <c r="FN114">
        <v>0</v>
      </c>
      <c r="FO114">
        <v>0</v>
      </c>
      <c r="FP114">
        <v>-2.0837908959947499E-4</v>
      </c>
      <c r="FQ114">
        <v>1.9483372569084199E-2</v>
      </c>
      <c r="FR114" s="2">
        <v>8.0969175542122701E-6</v>
      </c>
      <c r="FS114" s="2">
        <v>6.4897896834281697E-8</v>
      </c>
      <c r="FT114" s="2">
        <v>1.5472122072424099E-7</v>
      </c>
      <c r="FU114" s="2">
        <v>7.4563345719980094E-8</v>
      </c>
      <c r="FV114">
        <v>72.5518798828125</v>
      </c>
      <c r="FW114">
        <v>-47.576839447021499</v>
      </c>
      <c r="FX114">
        <v>0.41479974985122697</v>
      </c>
      <c r="FY114" s="2">
        <v>3.4028230607370999E+38</v>
      </c>
      <c r="FZ114">
        <v>-4.4418830871581996</v>
      </c>
      <c r="GA114">
        <v>229.48617553710901</v>
      </c>
      <c r="GB114" s="2">
        <v>1.11987148443404E-8</v>
      </c>
      <c r="GC114">
        <v>1.8005421152338401E-3</v>
      </c>
      <c r="GD114" s="2">
        <v>7.7173449852807607E-9</v>
      </c>
      <c r="GE114">
        <v>-7.5343786738812902E-4</v>
      </c>
      <c r="GF114" s="2">
        <v>3.4028230607370999E+38</v>
      </c>
      <c r="GG114" s="2">
        <v>3.4028230607370999E+38</v>
      </c>
      <c r="GH114">
        <v>11500.34765625</v>
      </c>
      <c r="GI114">
        <v>11500.3544921875</v>
      </c>
      <c r="GJ114">
        <v>0.37600740790367099</v>
      </c>
      <c r="GK114" s="2">
        <v>3.4028230607370999E+38</v>
      </c>
      <c r="GL114" s="2">
        <v>3.4028230607370999E+38</v>
      </c>
      <c r="GM114" s="2">
        <v>3.4028230607370999E+38</v>
      </c>
      <c r="GN114" s="2">
        <v>3.4028230607370999E+38</v>
      </c>
      <c r="GO114" s="2">
        <v>3.4028230607370999E+38</v>
      </c>
      <c r="GP114" s="2">
        <v>3.4028230607370999E+38</v>
      </c>
      <c r="GQ114">
        <v>11500.650390625</v>
      </c>
      <c r="GR114">
        <v>11500.650390625</v>
      </c>
      <c r="GS114">
        <v>0.85968708992004395</v>
      </c>
      <c r="GT114">
        <v>2.5809934362769099E-2</v>
      </c>
      <c r="GX114">
        <f t="shared" si="8"/>
        <v>230.00295410156258</v>
      </c>
      <c r="GY114">
        <f t="shared" si="9"/>
        <v>50.000863647460918</v>
      </c>
      <c r="GZ114">
        <f t="shared" si="10"/>
        <v>11500.3291015625</v>
      </c>
      <c r="HA114">
        <f t="shared" si="11"/>
        <v>11500.3365234375</v>
      </c>
      <c r="HB114">
        <f t="shared" si="12"/>
        <v>0.39953599572181703</v>
      </c>
      <c r="HC114">
        <f t="shared" si="13"/>
        <v>49.999948120117196</v>
      </c>
      <c r="HD114">
        <f t="shared" si="14"/>
        <v>-1.966282632201906E-3</v>
      </c>
      <c r="HW114" s="10">
        <f>(GX114/Data!$S114-1)*1000000</f>
        <v>26.766901197960991</v>
      </c>
      <c r="HX114" s="10">
        <f>(GY114/Data!$T114-1)*1000000</f>
        <v>2.843708185817917</v>
      </c>
      <c r="HY114" s="10">
        <f>(GZ114/Data!$BW114-1)*1000000</f>
        <v>28.105338865991314</v>
      </c>
      <c r="HZ114" s="10">
        <f>(HA114/(Data!$S114*Data!$T114)-1)*1000000</f>
        <v>28.75650263445273</v>
      </c>
      <c r="IA114" s="7">
        <f>(HB114/IF(HD114&gt;0, -Data!$BX114,Data!$BX114)-1)*1000000</f>
        <v>2018519.3900058991</v>
      </c>
      <c r="IB114" s="10"/>
      <c r="IC114" s="9">
        <f>(HD114-Data!$U114)</f>
        <v>-1.306825632201906E-3</v>
      </c>
    </row>
    <row r="115" spans="1:237" x14ac:dyDescent="0.2">
      <c r="A115">
        <v>115</v>
      </c>
      <c r="B115">
        <v>230.00331115722699</v>
      </c>
      <c r="C115">
        <v>50.000900268554702</v>
      </c>
      <c r="D115">
        <v>11500.345703125</v>
      </c>
      <c r="E115">
        <v>11500.3525390625</v>
      </c>
      <c r="F115">
        <v>0.43493136763572698</v>
      </c>
      <c r="G115">
        <v>49.999988555908203</v>
      </c>
      <c r="H115">
        <v>-2.12090252898633E-3</v>
      </c>
      <c r="I115">
        <v>1.5555678866803599E-2</v>
      </c>
      <c r="J115" s="2">
        <v>8.6191075752140006E-6</v>
      </c>
      <c r="K115" s="2">
        <v>3.5054302571779798E-8</v>
      </c>
      <c r="L115" s="2">
        <v>1.33713612626707E-7</v>
      </c>
      <c r="M115" s="2">
        <v>-2.07736903234945E-8</v>
      </c>
      <c r="N115">
        <v>71.794967651367202</v>
      </c>
      <c r="O115">
        <v>30.0726528167725</v>
      </c>
      <c r="P115">
        <v>1.6689045354723899E-2</v>
      </c>
      <c r="Q115" s="2">
        <v>7.9060791904339601E-6</v>
      </c>
      <c r="R115" s="2">
        <v>4.9343821473257803E-8</v>
      </c>
      <c r="S115" s="2">
        <v>1.32214850623313E-7</v>
      </c>
      <c r="T115" s="2">
        <v>3.84978626755128E-8</v>
      </c>
      <c r="U115">
        <v>72.971122741699205</v>
      </c>
      <c r="V115">
        <v>-34.912708282470703</v>
      </c>
      <c r="W115" s="2">
        <v>3.4028230607370999E+38</v>
      </c>
      <c r="X115" s="2">
        <v>3.4028230607370999E+38</v>
      </c>
      <c r="Y115">
        <v>11500.345703125</v>
      </c>
      <c r="Z115">
        <v>11500.3525390625</v>
      </c>
      <c r="AA115">
        <v>0.43493136763572698</v>
      </c>
      <c r="AB115" s="2">
        <v>3.4028230607370999E+38</v>
      </c>
      <c r="AC115" s="2">
        <v>3.4028230607370999E+38</v>
      </c>
      <c r="AD115">
        <v>230.00286865234401</v>
      </c>
      <c r="AE115">
        <v>50.000823974609403</v>
      </c>
      <c r="AF115">
        <v>11500.3134765625</v>
      </c>
      <c r="AG115">
        <v>11500.322265625</v>
      </c>
      <c r="AH115">
        <v>0.43513977527618403</v>
      </c>
      <c r="AI115">
        <v>49.999927520752003</v>
      </c>
      <c r="AJ115">
        <v>-2.0902894902974402E-3</v>
      </c>
      <c r="AK115">
        <v>1.43447648733854E-2</v>
      </c>
      <c r="AL115" s="2">
        <v>8.3437298599164899E-6</v>
      </c>
      <c r="AM115" s="2">
        <v>3.03889393649115E-8</v>
      </c>
      <c r="AN115" s="2">
        <v>1.2004724680991801E-7</v>
      </c>
      <c r="AO115" s="2">
        <v>5.6563402850429198E-9</v>
      </c>
      <c r="AP115">
        <v>71.964797973632798</v>
      </c>
      <c r="AQ115">
        <v>-13.8165130615234</v>
      </c>
      <c r="AR115">
        <v>1.51229128241539E-2</v>
      </c>
      <c r="AS115" s="2">
        <v>8.0114896263694408E-6</v>
      </c>
      <c r="AT115" s="2">
        <v>2.2462124604771799E-8</v>
      </c>
      <c r="AU115" s="2">
        <v>1.2726553677566699E-7</v>
      </c>
      <c r="AV115" s="2">
        <v>2.9444686688862001E-8</v>
      </c>
      <c r="AW115">
        <v>70.640228271484403</v>
      </c>
      <c r="AX115">
        <v>-51.724124908447301</v>
      </c>
      <c r="AY115" s="2">
        <v>3.4028230607370999E+38</v>
      </c>
      <c r="AZ115" s="2">
        <v>3.4028230607370999E+38</v>
      </c>
      <c r="BA115">
        <v>11500.3134765625</v>
      </c>
      <c r="BB115">
        <v>11500.322265625</v>
      </c>
      <c r="BC115">
        <v>0.43513980507850603</v>
      </c>
      <c r="BD115" s="2">
        <v>3.4028230607370999E+38</v>
      </c>
      <c r="BE115" s="2">
        <v>3.4028230607370999E+38</v>
      </c>
      <c r="BF115">
        <v>230.00279235839801</v>
      </c>
      <c r="BG115">
        <v>50.000980377197301</v>
      </c>
      <c r="BH115">
        <v>11500.34765625</v>
      </c>
      <c r="BI115">
        <v>11500.3564453125</v>
      </c>
      <c r="BJ115">
        <v>0.41212490200996399</v>
      </c>
      <c r="BK115">
        <v>49.999912261962898</v>
      </c>
      <c r="BL115">
        <v>-2.0532482303678998E-3</v>
      </c>
      <c r="BM115">
        <v>1.58393289893866E-2</v>
      </c>
      <c r="BN115" s="2">
        <v>8.6013378677307594E-6</v>
      </c>
      <c r="BO115" s="2">
        <v>3.9925360795223202E-8</v>
      </c>
      <c r="BP115" s="2">
        <v>1.36076366175075E-7</v>
      </c>
      <c r="BQ115" s="2">
        <v>-2.0222568508643199E-8</v>
      </c>
      <c r="BR115">
        <v>72.006805419921903</v>
      </c>
      <c r="BS115">
        <v>30.713542938232401</v>
      </c>
      <c r="BT115">
        <v>1.73806622624397E-2</v>
      </c>
      <c r="BU115" s="2">
        <v>7.8718294389545901E-6</v>
      </c>
      <c r="BV115" s="2">
        <v>5.5667772613787701E-8</v>
      </c>
      <c r="BW115" s="2">
        <v>1.3375908736179601E-7</v>
      </c>
      <c r="BX115" s="2">
        <v>3.68651811299969E-8</v>
      </c>
      <c r="BY115">
        <v>70.936828613281193</v>
      </c>
      <c r="BZ115">
        <v>-35.202648162841797</v>
      </c>
      <c r="CA115" s="2">
        <v>3.4028230607370999E+38</v>
      </c>
      <c r="CB115" s="2">
        <v>3.4028230607370999E+38</v>
      </c>
      <c r="CC115">
        <v>11500.34765625</v>
      </c>
      <c r="CD115">
        <v>11500.3564453125</v>
      </c>
      <c r="CE115">
        <v>0.41212490200996399</v>
      </c>
      <c r="CF115" s="2">
        <v>3.4028230607370999E+38</v>
      </c>
      <c r="CG115" s="2">
        <v>3.4028230607370999E+38</v>
      </c>
      <c r="CH115">
        <v>230.00289916992199</v>
      </c>
      <c r="CI115">
        <v>50.000839233398402</v>
      </c>
      <c r="CJ115">
        <v>11500.3232421875</v>
      </c>
      <c r="CK115">
        <v>11500.3310546875</v>
      </c>
      <c r="CL115">
        <v>0.37707594037056003</v>
      </c>
      <c r="CM115">
        <v>49.999923706054702</v>
      </c>
      <c r="CN115">
        <v>-1.8922620220109801E-3</v>
      </c>
      <c r="CO115">
        <v>1.7788806930184399E-2</v>
      </c>
      <c r="CP115" s="2">
        <v>8.4076145867584307E-6</v>
      </c>
      <c r="CQ115" s="2">
        <v>6.2174805748327304E-8</v>
      </c>
      <c r="CR115" s="2">
        <v>1.4708636797422501E-7</v>
      </c>
      <c r="CS115" s="2">
        <v>-1.01229904458933E-8</v>
      </c>
      <c r="CT115">
        <v>71.921432495117202</v>
      </c>
      <c r="CU115">
        <v>13.219266891479499</v>
      </c>
      <c r="CV115">
        <v>1.9675830379128501E-2</v>
      </c>
      <c r="CW115" s="2">
        <v>7.9977608038461801E-6</v>
      </c>
      <c r="CX115" s="2">
        <v>7.0095275361836697E-8</v>
      </c>
      <c r="CY115" s="2">
        <v>1.5607331249611899E-7</v>
      </c>
      <c r="CZ115" s="2">
        <v>7.29886409089886E-8</v>
      </c>
      <c r="DA115">
        <v>73.281768798828097</v>
      </c>
      <c r="DB115">
        <v>-42.869110107421903</v>
      </c>
      <c r="DC115" s="2">
        <v>3.4028230607370999E+38</v>
      </c>
      <c r="DD115" s="2">
        <v>3.4028230607370999E+38</v>
      </c>
      <c r="DE115">
        <v>11500.3232421875</v>
      </c>
      <c r="DF115">
        <v>11500.3310546875</v>
      </c>
      <c r="DG115">
        <v>0.37707599997520402</v>
      </c>
      <c r="DH115" s="2">
        <v>3.4028230607370999E+38</v>
      </c>
      <c r="DI115" s="2">
        <v>3.4028230607370999E+38</v>
      </c>
      <c r="DJ115">
        <v>230.00315856933599</v>
      </c>
      <c r="DK115">
        <v>50.0007514953613</v>
      </c>
      <c r="DL115">
        <v>11500.318359375</v>
      </c>
      <c r="DM115">
        <v>11500.3359375</v>
      </c>
      <c r="DN115">
        <v>0.40129759907722501</v>
      </c>
      <c r="DO115">
        <v>49.999954223632798</v>
      </c>
      <c r="DP115">
        <v>-2.03629024326801E-3</v>
      </c>
      <c r="DQ115">
        <v>1.58511977642775E-2</v>
      </c>
      <c r="DR115" s="2">
        <v>8.0863419498200494E-6</v>
      </c>
      <c r="DS115" s="2">
        <v>5.4652328884685597E-8</v>
      </c>
      <c r="DT115" s="2">
        <v>1.2846508923303201E-7</v>
      </c>
      <c r="DU115" s="2">
        <v>2.8968473841928201E-8</v>
      </c>
      <c r="DV115">
        <v>72.605781555175795</v>
      </c>
      <c r="DW115">
        <v>-26.692255020141602</v>
      </c>
      <c r="DX115">
        <v>1.7223954200744601E-2</v>
      </c>
      <c r="DY115" s="2">
        <v>7.9024075603228994E-6</v>
      </c>
      <c r="DZ115" s="2">
        <v>2.3904350499037699E-8</v>
      </c>
      <c r="EA115" s="2">
        <v>1.35825075631146E-7</v>
      </c>
      <c r="EB115" s="2">
        <v>6.4699058555106603E-8</v>
      </c>
      <c r="EC115">
        <v>70.355987548828097</v>
      </c>
      <c r="ED115">
        <v>-70.030563354492202</v>
      </c>
      <c r="EE115" s="2">
        <v>3.4028230607370999E+38</v>
      </c>
      <c r="EF115" s="2">
        <v>3.4028230607370999E+38</v>
      </c>
      <c r="EG115">
        <v>11500.318359375</v>
      </c>
      <c r="EH115">
        <v>11500.3359375</v>
      </c>
      <c r="EI115">
        <v>0.40129768848419201</v>
      </c>
      <c r="EJ115" s="2">
        <v>3.4028230607370999E+38</v>
      </c>
      <c r="EK115" s="2">
        <v>3.4028230607370999E+38</v>
      </c>
      <c r="EL115">
        <v>123</v>
      </c>
      <c r="EM115">
        <v>230.00306701660199</v>
      </c>
      <c r="EN115">
        <v>50.000747680664098</v>
      </c>
      <c r="EO115">
        <v>11500.310546875</v>
      </c>
      <c r="EP115">
        <v>11500.310546875</v>
      </c>
      <c r="EQ115">
        <v>0.35642921924591098</v>
      </c>
      <c r="ER115">
        <v>49.999973297119098</v>
      </c>
      <c r="ES115">
        <v>-1.775769633241E-3</v>
      </c>
      <c r="ET115">
        <v>0.99999946355819702</v>
      </c>
      <c r="EU115" s="2">
        <v>3.4028230607370999E+38</v>
      </c>
      <c r="EV115">
        <v>0</v>
      </c>
      <c r="EW115">
        <v>230.00131225585901</v>
      </c>
      <c r="EX115">
        <v>11500.205078125</v>
      </c>
      <c r="EY115">
        <v>11500.2119140625</v>
      </c>
      <c r="EZ115">
        <v>0.73337429761886597</v>
      </c>
      <c r="FA115">
        <v>-1.53604662045836E-2</v>
      </c>
      <c r="FB115">
        <v>1.5876853838563E-2</v>
      </c>
      <c r="FC115" s="2">
        <v>8.0670652096159807E-6</v>
      </c>
      <c r="FD115" s="2">
        <v>5.5005109800276802E-8</v>
      </c>
      <c r="FE115" s="2">
        <v>1.28216157690986E-7</v>
      </c>
      <c r="FF115" s="2">
        <v>2.75607074939899E-8</v>
      </c>
      <c r="FG115">
        <v>71.606697082519503</v>
      </c>
      <c r="FH115">
        <v>-27.402896881103501</v>
      </c>
      <c r="FI115">
        <v>0.41539153456687899</v>
      </c>
      <c r="FJ115" s="2">
        <v>3.4028230607370999E+38</v>
      </c>
      <c r="FK115">
        <v>-84.341018676757798</v>
      </c>
      <c r="FL115">
        <v>1.9986925646662702E-2</v>
      </c>
      <c r="FM115">
        <v>0</v>
      </c>
      <c r="FN115">
        <v>0</v>
      </c>
      <c r="FO115">
        <v>0</v>
      </c>
      <c r="FP115">
        <v>-1.4475648640655E-4</v>
      </c>
      <c r="FQ115">
        <v>1.70291438698769E-2</v>
      </c>
      <c r="FR115" s="2">
        <v>8.2326750998618098E-6</v>
      </c>
      <c r="FS115" s="2">
        <v>1.9280248508835E-8</v>
      </c>
      <c r="FT115" s="2">
        <v>1.38344091737963E-7</v>
      </c>
      <c r="FU115" s="2">
        <v>5.4637226298837003E-8</v>
      </c>
      <c r="FV115">
        <v>72.651130676269503</v>
      </c>
      <c r="FW115">
        <v>-73.5579833984375</v>
      </c>
      <c r="FX115">
        <v>0.111767753958702</v>
      </c>
      <c r="FY115" s="2">
        <v>3.4028230607370999E+38</v>
      </c>
      <c r="FZ115">
        <v>-1.09414982795715</v>
      </c>
      <c r="GA115">
        <v>229.85984802246099</v>
      </c>
      <c r="GB115" s="2">
        <v>-4.46586406743776E-10</v>
      </c>
      <c r="GC115">
        <v>1.88747164793313E-3</v>
      </c>
      <c r="GD115" s="2">
        <v>3.2040401443111899E-9</v>
      </c>
      <c r="GE115">
        <v>-7.8848993871360996E-4</v>
      </c>
      <c r="GF115" s="2">
        <v>3.4028230607370999E+38</v>
      </c>
      <c r="GG115" s="2">
        <v>3.4028230607370999E+38</v>
      </c>
      <c r="GH115">
        <v>11500.31640625</v>
      </c>
      <c r="GI115">
        <v>11500.3232421875</v>
      </c>
      <c r="GJ115">
        <v>0.41114163398742698</v>
      </c>
      <c r="GK115" s="2">
        <v>3.4028230607370999E+38</v>
      </c>
      <c r="GL115" s="2">
        <v>3.4028230607370999E+38</v>
      </c>
      <c r="GM115" s="2">
        <v>3.4028230607370999E+38</v>
      </c>
      <c r="GN115" s="2">
        <v>3.4028230607370999E+38</v>
      </c>
      <c r="GO115" s="2">
        <v>3.4028230607370999E+38</v>
      </c>
      <c r="GP115" s="2">
        <v>3.4028230607370999E+38</v>
      </c>
      <c r="GQ115">
        <v>11500.28515625</v>
      </c>
      <c r="GR115">
        <v>11500.28515625</v>
      </c>
      <c r="GS115">
        <v>0.62155574560165405</v>
      </c>
      <c r="GT115">
        <v>-1.28614660352468E-2</v>
      </c>
      <c r="GX115">
        <f t="shared" si="8"/>
        <v>230.0030059814454</v>
      </c>
      <c r="GY115">
        <f t="shared" si="9"/>
        <v>50.000859069824223</v>
      </c>
      <c r="GZ115">
        <f t="shared" si="10"/>
        <v>11500.3296875</v>
      </c>
      <c r="HA115">
        <f t="shared" si="11"/>
        <v>11500.339648437501</v>
      </c>
      <c r="HB115">
        <f t="shared" si="12"/>
        <v>0.41211391687393206</v>
      </c>
      <c r="HC115">
        <f t="shared" si="13"/>
        <v>49.999941253662122</v>
      </c>
      <c r="HD115">
        <f t="shared" si="14"/>
        <v>-2.0385985029861319E-3</v>
      </c>
      <c r="HW115" s="10">
        <f>(GX115/Data!$S115-1)*1000000</f>
        <v>27.377267546979667</v>
      </c>
      <c r="HX115" s="10">
        <f>(GY115/Data!$T115-1)*1000000</f>
        <v>1.6149713450985814</v>
      </c>
      <c r="HY115" s="10">
        <f>(GZ115/Data!$BW115-1)*1000000</f>
        <v>27.404095786387472</v>
      </c>
      <c r="HZ115" s="10">
        <f>(HA115/(Data!$S115*Data!$T115)-1)*1000000</f>
        <v>28.27582516484739</v>
      </c>
      <c r="IA115" s="7">
        <f>(HB115/IF(HD115&gt;0, -Data!$BX115,Data!$BX115)-1)*1000000</f>
        <v>1720264.6328359642</v>
      </c>
      <c r="IB115" s="10"/>
      <c r="IC115" s="9">
        <f>(HD115-Data!$U115)</f>
        <v>-1.2838015029861319E-3</v>
      </c>
    </row>
    <row r="116" spans="1:237" x14ac:dyDescent="0.2">
      <c r="A116">
        <v>116</v>
      </c>
      <c r="B116">
        <v>230.00250244140599</v>
      </c>
      <c r="C116">
        <v>50.000961303710902</v>
      </c>
      <c r="D116">
        <v>11500.330078125</v>
      </c>
      <c r="E116">
        <v>11500.3369140625</v>
      </c>
      <c r="F116">
        <v>0.37759876251220698</v>
      </c>
      <c r="G116">
        <v>49.999973297119098</v>
      </c>
      <c r="H116">
        <v>-2.1016099490225302E-3</v>
      </c>
      <c r="I116">
        <v>1.7227195203304301E-2</v>
      </c>
      <c r="J116" s="2">
        <v>8.3969816842E-6</v>
      </c>
      <c r="K116" s="2">
        <v>6.2816020829359305E-8</v>
      </c>
      <c r="L116" s="2">
        <v>1.47186156596035E-7</v>
      </c>
      <c r="M116" s="2">
        <v>-1.5418679666368E-8</v>
      </c>
      <c r="N116">
        <v>71.591941833496094</v>
      </c>
      <c r="O116">
        <v>15.5428323745728</v>
      </c>
      <c r="P116">
        <v>1.9221408292651201E-2</v>
      </c>
      <c r="Q116" s="2">
        <v>7.9822948464425298E-6</v>
      </c>
      <c r="R116" s="2">
        <v>7.4379066461460805E-8</v>
      </c>
      <c r="S116" s="2">
        <v>1.5053566926326301E-7</v>
      </c>
      <c r="T116" s="2">
        <v>6.9208503816753404E-8</v>
      </c>
      <c r="U116">
        <v>72.802330017089801</v>
      </c>
      <c r="V116">
        <v>-41.873916625976598</v>
      </c>
      <c r="W116" s="2">
        <v>3.4028230607370999E+38</v>
      </c>
      <c r="X116" s="2">
        <v>3.4028230607370999E+38</v>
      </c>
      <c r="Y116">
        <v>11500.330078125</v>
      </c>
      <c r="Z116">
        <v>11500.3369140625</v>
      </c>
      <c r="AA116">
        <v>0.37759879231452897</v>
      </c>
      <c r="AB116" s="2">
        <v>3.4028230607370999E+38</v>
      </c>
      <c r="AC116" s="2">
        <v>3.4028230607370999E+38</v>
      </c>
      <c r="AD116">
        <v>230.00286865234401</v>
      </c>
      <c r="AE116">
        <v>50.000896453857401</v>
      </c>
      <c r="AF116">
        <v>11500.3408203125</v>
      </c>
      <c r="AG116">
        <v>11500.3486328125</v>
      </c>
      <c r="AH116">
        <v>0.404319137334824</v>
      </c>
      <c r="AI116">
        <v>49.999988555908203</v>
      </c>
      <c r="AJ116">
        <v>-2.0262310281395899E-3</v>
      </c>
      <c r="AK116">
        <v>1.7752109095454199E-2</v>
      </c>
      <c r="AL116" s="2">
        <v>8.2191754700033892E-6</v>
      </c>
      <c r="AM116" s="2">
        <v>7.2527164718394501E-8</v>
      </c>
      <c r="AN116" s="2">
        <v>1.4592143315894601E-7</v>
      </c>
      <c r="AO116" s="2">
        <v>8.7918232694050907E-9</v>
      </c>
      <c r="AP116">
        <v>71.315383911132798</v>
      </c>
      <c r="AQ116">
        <v>-6.8748307228088397</v>
      </c>
      <c r="AR116">
        <v>1.9325291737914099E-2</v>
      </c>
      <c r="AS116" s="2">
        <v>8.1085272540803999E-6</v>
      </c>
      <c r="AT116" s="2">
        <v>5.87965338638696E-8</v>
      </c>
      <c r="AU116" s="2">
        <v>1.5741777303901501E-7</v>
      </c>
      <c r="AV116" s="2">
        <v>8.1064861490176594E-8</v>
      </c>
      <c r="AW116">
        <v>71.995246887207003</v>
      </c>
      <c r="AX116">
        <v>-54.418601989746101</v>
      </c>
      <c r="AY116" s="2">
        <v>3.4028230607370999E+38</v>
      </c>
      <c r="AZ116" s="2">
        <v>3.4028230607370999E+38</v>
      </c>
      <c r="BA116">
        <v>11500.3408203125</v>
      </c>
      <c r="BB116">
        <v>11500.3486328125</v>
      </c>
      <c r="BC116">
        <v>0.40431922674179099</v>
      </c>
      <c r="BD116" s="2">
        <v>3.4028230607370999E+38</v>
      </c>
      <c r="BE116" s="2">
        <v>3.4028230607370999E+38</v>
      </c>
      <c r="BF116">
        <v>230.00302124023401</v>
      </c>
      <c r="BG116">
        <v>50.000865936279297</v>
      </c>
      <c r="BH116">
        <v>11500.3310546875</v>
      </c>
      <c r="BI116">
        <v>11500.3369140625</v>
      </c>
      <c r="BJ116">
        <v>0.434453696012497</v>
      </c>
      <c r="BK116">
        <v>49.999946594238303</v>
      </c>
      <c r="BL116">
        <v>-2.1644942462444301E-3</v>
      </c>
      <c r="BM116">
        <v>1.49493627250195E-2</v>
      </c>
      <c r="BN116" s="2">
        <v>8.2032520367647504E-6</v>
      </c>
      <c r="BO116" s="2">
        <v>3.9256665473885699E-8</v>
      </c>
      <c r="BP116" s="2">
        <v>1.22601036878223E-7</v>
      </c>
      <c r="BQ116" s="2">
        <v>2.3814322958060101E-8</v>
      </c>
      <c r="BR116">
        <v>71.991981506347699</v>
      </c>
      <c r="BS116">
        <v>-29.050592422485401</v>
      </c>
      <c r="BT116">
        <v>1.62738580256701E-2</v>
      </c>
      <c r="BU116" s="2">
        <v>8.1806065281853097E-6</v>
      </c>
      <c r="BV116" s="2">
        <v>1.5551021803617001E-8</v>
      </c>
      <c r="BW116" s="2">
        <v>1.3308658708410801E-7</v>
      </c>
      <c r="BX116" s="2">
        <v>4.6557751431919301E-8</v>
      </c>
      <c r="BY116">
        <v>71.575271606445298</v>
      </c>
      <c r="BZ116">
        <v>-70.909843444824205</v>
      </c>
      <c r="CA116" s="2">
        <v>3.4028230607370999E+38</v>
      </c>
      <c r="CB116" s="2">
        <v>3.4028230607370999E+38</v>
      </c>
      <c r="CC116">
        <v>11500.3310546875</v>
      </c>
      <c r="CD116">
        <v>11500.3369140625</v>
      </c>
      <c r="CE116">
        <v>0.434453755617142</v>
      </c>
      <c r="CF116" s="2">
        <v>3.4028230607370999E+38</v>
      </c>
      <c r="CG116" s="2">
        <v>3.4028230607370999E+38</v>
      </c>
      <c r="CH116">
        <v>230.003005981445</v>
      </c>
      <c r="CI116">
        <v>50.000823974609403</v>
      </c>
      <c r="CJ116">
        <v>11500.3251953125</v>
      </c>
      <c r="CK116">
        <v>11500.3515625</v>
      </c>
      <c r="CL116">
        <v>0.44025164842605602</v>
      </c>
      <c r="CM116">
        <v>49.999904632568402</v>
      </c>
      <c r="CN116">
        <v>-2.1933743264526098E-3</v>
      </c>
      <c r="CO116">
        <v>1.43406121060252E-2</v>
      </c>
      <c r="CP116" s="2">
        <v>8.3222421380924095E-6</v>
      </c>
      <c r="CQ116" s="2">
        <v>3.0962674202328298E-8</v>
      </c>
      <c r="CR116" s="2">
        <v>1.1992858617304599E-7</v>
      </c>
      <c r="CS116" s="2">
        <v>1.15281517665267E-8</v>
      </c>
      <c r="CT116">
        <v>72.234214782714801</v>
      </c>
      <c r="CU116">
        <v>-23.872245788574201</v>
      </c>
      <c r="CV116">
        <v>1.5447525307536099E-2</v>
      </c>
      <c r="CW116" s="2">
        <v>8.21805497253081E-6</v>
      </c>
      <c r="CX116" s="2">
        <v>1.9075629964504501E-8</v>
      </c>
      <c r="CY116" s="2">
        <v>1.2984503428015199E-7</v>
      </c>
      <c r="CZ116" s="2">
        <v>3.16283852441757E-8</v>
      </c>
      <c r="DA116">
        <v>71.971275329589801</v>
      </c>
      <c r="DB116">
        <v>-64.267990112304702</v>
      </c>
      <c r="DC116" s="2">
        <v>3.4028230607370999E+38</v>
      </c>
      <c r="DD116" s="2">
        <v>3.4028230607370999E+38</v>
      </c>
      <c r="DE116">
        <v>11500.3251953125</v>
      </c>
      <c r="DF116">
        <v>11500.3515625</v>
      </c>
      <c r="DG116">
        <v>0.44025167822837802</v>
      </c>
      <c r="DH116" s="2">
        <v>3.4028230607370999E+38</v>
      </c>
      <c r="DI116" s="2">
        <v>3.4028230607370999E+38</v>
      </c>
      <c r="DJ116">
        <v>230.00221252441401</v>
      </c>
      <c r="DK116">
        <v>50.000766754150398</v>
      </c>
      <c r="DL116">
        <v>11500.2724609375</v>
      </c>
      <c r="DM116">
        <v>11500.28125</v>
      </c>
      <c r="DN116">
        <v>0.40022361278533902</v>
      </c>
      <c r="DO116">
        <v>49.999954223632798</v>
      </c>
      <c r="DP116">
        <v>-1.9939593039452999E-3</v>
      </c>
      <c r="DQ116">
        <v>1.7240706831216802E-2</v>
      </c>
      <c r="DR116" s="2">
        <v>8.1508151197340306E-6</v>
      </c>
      <c r="DS116" s="2">
        <v>6.9059566953910703E-8</v>
      </c>
      <c r="DT116" s="2">
        <v>1.42021079341248E-7</v>
      </c>
      <c r="DU116" s="2">
        <v>2.1735903743547199E-8</v>
      </c>
      <c r="DV116">
        <v>73.259071350097699</v>
      </c>
      <c r="DW116">
        <v>-14.2983751296997</v>
      </c>
      <c r="DX116">
        <v>1.90913062542677E-2</v>
      </c>
      <c r="DY116" s="2">
        <v>8.2806282080127908E-6</v>
      </c>
      <c r="DZ116" s="2">
        <v>4.3877513178358601E-8</v>
      </c>
      <c r="EA116" s="2">
        <v>1.5822530485820599E-7</v>
      </c>
      <c r="EB116" s="2">
        <v>8.3771908521157496E-8</v>
      </c>
      <c r="EC116">
        <v>69.477790832519503</v>
      </c>
      <c r="ED116">
        <v>-59.754875183105497</v>
      </c>
      <c r="EE116" s="2">
        <v>3.4028230607370999E+38</v>
      </c>
      <c r="EF116" s="2">
        <v>3.4028230607370999E+38</v>
      </c>
      <c r="EG116">
        <v>11500.2724609375</v>
      </c>
      <c r="EH116">
        <v>11500.28125</v>
      </c>
      <c r="EI116">
        <v>0.40022370219230702</v>
      </c>
      <c r="EJ116" s="2">
        <v>3.4028230607370999E+38</v>
      </c>
      <c r="EK116" s="2">
        <v>3.4028230607370999E+38</v>
      </c>
      <c r="EL116">
        <v>123</v>
      </c>
      <c r="EM116">
        <v>230.00259399414099</v>
      </c>
      <c r="EN116">
        <v>50.000808715820298</v>
      </c>
      <c r="EO116">
        <v>11500.310546875</v>
      </c>
      <c r="EP116">
        <v>11500.3193359375</v>
      </c>
      <c r="EQ116">
        <v>0.39890727400779702</v>
      </c>
      <c r="ER116">
        <v>49.999973297119098</v>
      </c>
      <c r="ES116">
        <v>-2.1900185383856301E-3</v>
      </c>
      <c r="ET116">
        <v>0.99999940395355202</v>
      </c>
      <c r="EU116" s="2">
        <v>3.4028230607370999E+38</v>
      </c>
      <c r="EV116">
        <v>0</v>
      </c>
      <c r="EW116">
        <v>230.005294799805</v>
      </c>
      <c r="EX116">
        <v>11500.4345703125</v>
      </c>
      <c r="EY116">
        <v>11500.4423828125</v>
      </c>
      <c r="EZ116">
        <v>0.94695806503295898</v>
      </c>
      <c r="FA116">
        <v>1.6146138310432399E-2</v>
      </c>
      <c r="FB116">
        <v>1.77051108330488E-2</v>
      </c>
      <c r="FC116" s="2">
        <v>8.4398843682720292E-6</v>
      </c>
      <c r="FD116" s="2">
        <v>6.9273106362288699E-8</v>
      </c>
      <c r="FE116" s="2">
        <v>1.4820929550296601E-7</v>
      </c>
      <c r="FF116" s="2">
        <v>-6.3202030275988397E-9</v>
      </c>
      <c r="FG116">
        <v>71.247489929199205</v>
      </c>
      <c r="FH116">
        <v>5.6009349822998002</v>
      </c>
      <c r="FI116">
        <v>0.43484169244766202</v>
      </c>
      <c r="FJ116" s="2">
        <v>3.4028230607370999E+38</v>
      </c>
      <c r="FK116">
        <v>25.688602447509801</v>
      </c>
      <c r="FL116">
        <v>2.02187225222588E-2</v>
      </c>
      <c r="FM116">
        <v>0</v>
      </c>
      <c r="FN116">
        <v>0</v>
      </c>
      <c r="FO116">
        <v>0</v>
      </c>
      <c r="FP116">
        <v>-2.0987783500458999E-4</v>
      </c>
      <c r="FQ116">
        <v>1.89709924161434E-2</v>
      </c>
      <c r="FR116" s="2">
        <v>7.9413357525481792E-6</v>
      </c>
      <c r="FS116" s="2">
        <v>6.6190956715672695E-8</v>
      </c>
      <c r="FT116" s="2">
        <v>1.4840495055068501E-7</v>
      </c>
      <c r="FU116" s="2">
        <v>5.9514970729424002E-8</v>
      </c>
      <c r="FV116">
        <v>72.388000488281193</v>
      </c>
      <c r="FW116">
        <v>-41.959991455078097</v>
      </c>
      <c r="FX116">
        <v>0.46711230278015098</v>
      </c>
      <c r="FY116" s="2">
        <v>3.4028230607370999E+38</v>
      </c>
      <c r="FZ116">
        <v>-70.215377807617202</v>
      </c>
      <c r="GA116">
        <v>228.99359130859401</v>
      </c>
      <c r="GB116" s="2">
        <v>4.4995185355389797E-9</v>
      </c>
      <c r="GC116">
        <v>1.79182575084269E-3</v>
      </c>
      <c r="GD116" s="2">
        <v>4.5006083304599501E-9</v>
      </c>
      <c r="GE116">
        <v>-7.5418973574414795E-4</v>
      </c>
      <c r="GF116" s="2">
        <v>3.4028230607370999E+38</v>
      </c>
      <c r="GG116" s="2">
        <v>3.4028230607370999E+38</v>
      </c>
      <c r="GH116">
        <v>11500.3232421875</v>
      </c>
      <c r="GI116">
        <v>11500.3310546875</v>
      </c>
      <c r="GJ116">
        <v>0.39747396111488298</v>
      </c>
      <c r="GK116" s="2">
        <v>3.4028230607370999E+38</v>
      </c>
      <c r="GL116" s="2">
        <v>3.4028230607370999E+38</v>
      </c>
      <c r="GM116" s="2">
        <v>3.4028230607370999E+38</v>
      </c>
      <c r="GN116" s="2">
        <v>3.4028230607370999E+38</v>
      </c>
      <c r="GO116" s="2">
        <v>3.4028230607370999E+38</v>
      </c>
      <c r="GP116" s="2">
        <v>3.4028230607370999E+38</v>
      </c>
      <c r="GQ116">
        <v>11500.5888671875</v>
      </c>
      <c r="GR116">
        <v>11500.5888671875</v>
      </c>
      <c r="GS116">
        <v>0.87346756458282504</v>
      </c>
      <c r="GT116">
        <v>1.9361598417162899E-2</v>
      </c>
      <c r="GX116">
        <f t="shared" si="8"/>
        <v>230.00272216796861</v>
      </c>
      <c r="GY116">
        <f t="shared" si="9"/>
        <v>50.000862884521482</v>
      </c>
      <c r="GZ116">
        <f t="shared" si="10"/>
        <v>11500.319921875</v>
      </c>
      <c r="HA116">
        <f t="shared" si="11"/>
        <v>11500.3310546875</v>
      </c>
      <c r="HB116">
        <f t="shared" si="12"/>
        <v>0.41136937141418456</v>
      </c>
      <c r="HC116">
        <f t="shared" si="13"/>
        <v>49.999953460693362</v>
      </c>
      <c r="HD116">
        <f t="shared" si="14"/>
        <v>-2.0959337707608917E-3</v>
      </c>
      <c r="HW116" s="10">
        <f>(GX116/Data!$S116-1)*1000000</f>
        <v>26.17632306955997</v>
      </c>
      <c r="HX116" s="10">
        <f>(GY116/Data!$T116-1)*1000000</f>
        <v>-0.37870289137931223</v>
      </c>
      <c r="HY116" s="10">
        <f>(GZ116/Data!$BW116-1)*1000000</f>
        <v>24.517473397489553</v>
      </c>
      <c r="HZ116" s="10">
        <f>(HA116/(Data!$S116*Data!$T116)-1)*1000000</f>
        <v>25.491567813951121</v>
      </c>
      <c r="IA116" s="7">
        <f>(HB116/IF(HD116&gt;0, -Data!$BX116,Data!$BX116)-1)*1000000</f>
        <v>1531105.5137476122</v>
      </c>
      <c r="IB116" s="10"/>
      <c r="IC116" s="9">
        <f>(HD116-Data!$U116)</f>
        <v>-1.2861947707608918E-3</v>
      </c>
    </row>
    <row r="117" spans="1:237" x14ac:dyDescent="0.2">
      <c r="A117">
        <v>117</v>
      </c>
      <c r="B117">
        <v>230.00424194335901</v>
      </c>
      <c r="C117">
        <v>50.000896453857401</v>
      </c>
      <c r="D117">
        <v>5749.9052734375</v>
      </c>
      <c r="E117">
        <v>11500.435546875</v>
      </c>
      <c r="F117">
        <v>9959.8505859375</v>
      </c>
      <c r="G117">
        <v>49.999927520752003</v>
      </c>
      <c r="H117">
        <v>-60.001663208007798</v>
      </c>
      <c r="I117">
        <v>1.55059862881899E-2</v>
      </c>
      <c r="J117" s="2">
        <v>8.4549883467843807E-6</v>
      </c>
      <c r="K117" s="2">
        <v>5.3324043847169398E-8</v>
      </c>
      <c r="L117" s="2">
        <v>1.32402334429571E-7</v>
      </c>
      <c r="M117" s="2">
        <v>3.1114872456328197E-8</v>
      </c>
      <c r="N117">
        <v>72.390998840332003</v>
      </c>
      <c r="O117">
        <v>-31.4477424621582</v>
      </c>
      <c r="P117">
        <v>1.6820425167679801E-2</v>
      </c>
      <c r="Q117" s="2">
        <v>7.7670574682997506E-6</v>
      </c>
      <c r="R117" s="2">
        <v>1.39163267576237E-8</v>
      </c>
      <c r="S117" s="2">
        <v>1.30657667796186E-7</v>
      </c>
      <c r="T117" s="2">
        <v>5.2812225703746702E-8</v>
      </c>
      <c r="U117">
        <v>71.796302795410199</v>
      </c>
      <c r="V117">
        <v>-73.834228515625</v>
      </c>
      <c r="W117" s="2">
        <v>3.4028230607370999E+38</v>
      </c>
      <c r="X117" s="2">
        <v>3.4028230607370999E+38</v>
      </c>
      <c r="Y117">
        <v>5749.9052734375</v>
      </c>
      <c r="Z117">
        <v>11500.435546875</v>
      </c>
      <c r="AA117">
        <v>9959.8505859375</v>
      </c>
      <c r="AB117" s="2">
        <v>3.4028230607370999E+38</v>
      </c>
      <c r="AC117" s="2">
        <v>3.4028230607370999E+38</v>
      </c>
      <c r="AD117">
        <v>230.00460815429699</v>
      </c>
      <c r="AE117">
        <v>50.0010795593262</v>
      </c>
      <c r="AF117">
        <v>5749.96435546875</v>
      </c>
      <c r="AG117">
        <v>11500.462890625</v>
      </c>
      <c r="AH117">
        <v>9959.9013671875</v>
      </c>
      <c r="AI117">
        <v>49.999904632568402</v>
      </c>
      <c r="AJ117">
        <v>-60.001861572265597</v>
      </c>
      <c r="AK117">
        <v>1.49176754057407E-2</v>
      </c>
      <c r="AL117" s="2">
        <v>8.5266019596019794E-6</v>
      </c>
      <c r="AM117" s="2">
        <v>1.8524039191447601E-8</v>
      </c>
      <c r="AN117" s="2">
        <v>1.27264769389512E-7</v>
      </c>
      <c r="AO117" s="2">
        <v>4.1582858045785503E-8</v>
      </c>
      <c r="AP117">
        <v>71.739860534667997</v>
      </c>
      <c r="AQ117">
        <v>-64.025489807128906</v>
      </c>
      <c r="AR117">
        <v>1.5742316842079201E-2</v>
      </c>
      <c r="AS117" s="2">
        <v>7.8014700193307396E-6</v>
      </c>
      <c r="AT117" s="2">
        <v>-2.5962231475773502E-8</v>
      </c>
      <c r="AU117" s="2">
        <v>1.2788233050287101E-7</v>
      </c>
      <c r="AV117" s="2">
        <v>1.7101500660032801E-8</v>
      </c>
      <c r="AW117">
        <v>72.295867919921903</v>
      </c>
      <c r="AX117">
        <v>-149.37083435058599</v>
      </c>
      <c r="AY117" s="2">
        <v>3.4028230607370999E+38</v>
      </c>
      <c r="AZ117" s="2">
        <v>3.4028230607370999E+38</v>
      </c>
      <c r="BA117">
        <v>5749.9638671875</v>
      </c>
      <c r="BB117">
        <v>11500.462890625</v>
      </c>
      <c r="BC117">
        <v>9959.9013671875</v>
      </c>
      <c r="BD117" s="2">
        <v>3.4028230607370999E+38</v>
      </c>
      <c r="BE117" s="2">
        <v>3.4028230607370999E+38</v>
      </c>
      <c r="BF117">
        <v>230.00454711914099</v>
      </c>
      <c r="BG117">
        <v>50.000839233398402</v>
      </c>
      <c r="BH117">
        <v>5749.97705078125</v>
      </c>
      <c r="BI117">
        <v>11500.435546875</v>
      </c>
      <c r="BJ117">
        <v>9959.81640625</v>
      </c>
      <c r="BK117">
        <v>49.999923706054702</v>
      </c>
      <c r="BL117">
        <v>-60.001575469970703</v>
      </c>
      <c r="BM117">
        <v>1.8046973273158101E-2</v>
      </c>
      <c r="BN117" s="2">
        <v>8.0590925790602307E-6</v>
      </c>
      <c r="BO117" s="2">
        <v>6.1868298928402497E-8</v>
      </c>
      <c r="BP117" s="2">
        <v>1.44326506301695E-7</v>
      </c>
      <c r="BQ117" s="2">
        <v>6.7589382979349506E-8</v>
      </c>
      <c r="BR117">
        <v>72.876976013183594</v>
      </c>
      <c r="BS117">
        <v>-47.601413726806598</v>
      </c>
      <c r="BT117">
        <v>1.9670909270644198E-2</v>
      </c>
      <c r="BU117" s="2">
        <v>8.0285817602998594E-6</v>
      </c>
      <c r="BV117" s="2">
        <v>-1.8462005257902099E-8</v>
      </c>
      <c r="BW117" s="2">
        <v>1.5765718330840199E-7</v>
      </c>
      <c r="BX117" s="2">
        <v>7.0206716884513298E-8</v>
      </c>
      <c r="BY117">
        <v>72.176429748535199</v>
      </c>
      <c r="BZ117">
        <v>-103.70793914794901</v>
      </c>
      <c r="CA117" s="2">
        <v>3.4028230607370999E+38</v>
      </c>
      <c r="CB117" s="2">
        <v>3.4028230607370999E+38</v>
      </c>
      <c r="CC117">
        <v>5749.9765625</v>
      </c>
      <c r="CD117">
        <v>11500.435546875</v>
      </c>
      <c r="CE117">
        <v>9959.81640625</v>
      </c>
      <c r="CF117" s="2">
        <v>3.4028230607370999E+38</v>
      </c>
      <c r="CG117" s="2">
        <v>3.4028230607370999E+38</v>
      </c>
      <c r="CH117">
        <v>230.00477600097699</v>
      </c>
      <c r="CI117">
        <v>50.000823974609403</v>
      </c>
      <c r="CJ117">
        <v>5749.96435546875</v>
      </c>
      <c r="CK117">
        <v>11500.421875</v>
      </c>
      <c r="CL117">
        <v>9959.8330078125</v>
      </c>
      <c r="CM117">
        <v>49.999988555908203</v>
      </c>
      <c r="CN117">
        <v>-60.001678466796903</v>
      </c>
      <c r="CO117">
        <v>1.7661031335592301E-2</v>
      </c>
      <c r="CP117" s="2">
        <v>8.1610432971501706E-6</v>
      </c>
      <c r="CQ117" s="2">
        <v>6.8439611311532605E-8</v>
      </c>
      <c r="CR117" s="2">
        <v>1.42218652854353E-7</v>
      </c>
      <c r="CS117" s="2">
        <v>5.5362519901791503E-8</v>
      </c>
      <c r="CT117">
        <v>72.588371276855497</v>
      </c>
      <c r="CU117">
        <v>-38.093746185302699</v>
      </c>
      <c r="CV117">
        <v>1.9189111888408699E-2</v>
      </c>
      <c r="CW117" s="2">
        <v>7.97136999608483E-6</v>
      </c>
      <c r="CX117" s="2">
        <v>-2.2101065422219798E-9</v>
      </c>
      <c r="CY117" s="2">
        <v>1.5316386736685701E-7</v>
      </c>
      <c r="CZ117" s="2">
        <v>6.8250606943820497E-8</v>
      </c>
      <c r="DA117">
        <v>72.227035522460895</v>
      </c>
      <c r="DB117">
        <v>-92.575088500976605</v>
      </c>
      <c r="DC117" s="2">
        <v>3.4028230607370999E+38</v>
      </c>
      <c r="DD117" s="2">
        <v>3.4028230607370999E+38</v>
      </c>
      <c r="DE117">
        <v>5749.9638671875</v>
      </c>
      <c r="DF117">
        <v>11500.421875</v>
      </c>
      <c r="DG117">
        <v>9959.8330078125</v>
      </c>
      <c r="DH117" s="2">
        <v>3.4028230607370999E+38</v>
      </c>
      <c r="DI117" s="2">
        <v>3.4028230607370999E+38</v>
      </c>
      <c r="DJ117">
        <v>230.00457763671901</v>
      </c>
      <c r="DK117">
        <v>50.000988006591797</v>
      </c>
      <c r="DL117">
        <v>5749.91650390625</v>
      </c>
      <c r="DM117">
        <v>11500.41015625</v>
      </c>
      <c r="DN117">
        <v>9959.84765625</v>
      </c>
      <c r="DO117">
        <v>49.999908447265597</v>
      </c>
      <c r="DP117">
        <v>-60.001628875732401</v>
      </c>
      <c r="DQ117">
        <v>1.6098322346806498E-2</v>
      </c>
      <c r="DR117" s="2">
        <v>8.3654285845113901E-6</v>
      </c>
      <c r="DS117" s="2">
        <v>2.5829208993855001E-8</v>
      </c>
      <c r="DT117" s="2">
        <v>1.3419635536138201E-7</v>
      </c>
      <c r="DU117" s="2">
        <v>5.8467023222874599E-8</v>
      </c>
      <c r="DV117">
        <v>72.6793212890625</v>
      </c>
      <c r="DW117">
        <v>-66.088874816894503</v>
      </c>
      <c r="DX117">
        <v>1.72086115926504E-2</v>
      </c>
      <c r="DY117" s="2">
        <v>8.0787149272509901E-6</v>
      </c>
      <c r="DZ117" s="2">
        <v>-3.8643737099164401E-8</v>
      </c>
      <c r="EA117" s="2">
        <v>1.4140479720481399E-7</v>
      </c>
      <c r="EB117" s="2">
        <v>2.6137721320651501E-8</v>
      </c>
      <c r="EC117">
        <v>71.962684631347699</v>
      </c>
      <c r="ED117">
        <v>-141.16104125976599</v>
      </c>
      <c r="EE117" s="2">
        <v>3.4028230607370999E+38</v>
      </c>
      <c r="EF117" s="2">
        <v>3.4028230607370999E+38</v>
      </c>
      <c r="EG117">
        <v>5749.916015625</v>
      </c>
      <c r="EH117">
        <v>11500.41015625</v>
      </c>
      <c r="EI117">
        <v>9959.84765625</v>
      </c>
      <c r="EJ117" s="2">
        <v>3.4028230607370999E+38</v>
      </c>
      <c r="EK117" s="2">
        <v>3.4028230607370999E+38</v>
      </c>
      <c r="EL117">
        <v>123</v>
      </c>
      <c r="EM117">
        <v>230.00486755371099</v>
      </c>
      <c r="EN117">
        <v>50.000820159912102</v>
      </c>
      <c r="EO117">
        <v>5749.955078125</v>
      </c>
      <c r="EP117">
        <v>11500.392578125</v>
      </c>
      <c r="EQ117">
        <v>9959.8330078125</v>
      </c>
      <c r="ER117">
        <v>49.999885559082003</v>
      </c>
      <c r="ES117">
        <v>-60.001731872558601</v>
      </c>
      <c r="ET117">
        <v>0.499976485967636</v>
      </c>
      <c r="EU117" s="2">
        <v>3.4028230607370999E+38</v>
      </c>
      <c r="EV117">
        <v>0</v>
      </c>
      <c r="EW117">
        <v>230.00299072265599</v>
      </c>
      <c r="EX117">
        <v>5749.5087890625</v>
      </c>
      <c r="EY117">
        <v>11500.3701171875</v>
      </c>
      <c r="EZ117">
        <v>9959.798828125</v>
      </c>
      <c r="FA117">
        <v>-3.5776715725660303E-2</v>
      </c>
      <c r="FB117">
        <v>1.7111405730247501E-2</v>
      </c>
      <c r="FC117" s="2">
        <v>8.1980078903143294E-6</v>
      </c>
      <c r="FD117" s="2">
        <v>3.4277483962341602E-8</v>
      </c>
      <c r="FE117" s="2">
        <v>1.38668411864273E-7</v>
      </c>
      <c r="FF117" s="2">
        <v>6.4969768232003804E-8</v>
      </c>
      <c r="FG117">
        <v>72.937713623046903</v>
      </c>
      <c r="FH117">
        <v>-62.184276580810497</v>
      </c>
      <c r="FI117">
        <v>0.270679891109467</v>
      </c>
      <c r="FJ117" s="2">
        <v>3.4028230607370999E+38</v>
      </c>
      <c r="FK117">
        <v>-41.050357818603501</v>
      </c>
      <c r="FL117">
        <v>2.0202020183205601E-2</v>
      </c>
      <c r="FM117">
        <v>0</v>
      </c>
      <c r="FN117">
        <v>0</v>
      </c>
      <c r="FO117">
        <v>0</v>
      </c>
      <c r="FP117">
        <v>7.1433099219575503E-4</v>
      </c>
      <c r="FQ117">
        <v>1.8713196739554398E-2</v>
      </c>
      <c r="FR117" s="2">
        <v>8.1325542851118405E-6</v>
      </c>
      <c r="FS117" s="2">
        <v>-3.9288483577593103E-8</v>
      </c>
      <c r="FT117" s="2">
        <v>1.55652145394924E-7</v>
      </c>
      <c r="FU117" s="2">
        <v>4.6614136550715603E-8</v>
      </c>
      <c r="FV117">
        <v>72.108795166015597</v>
      </c>
      <c r="FW117">
        <v>-117.34197235107401</v>
      </c>
      <c r="FX117">
        <v>-0.19130596518516499</v>
      </c>
      <c r="FY117" s="2">
        <v>3.4028230607370999E+38</v>
      </c>
      <c r="FZ117">
        <v>-2.5490772724151598</v>
      </c>
      <c r="GA117">
        <v>229.18217468261699</v>
      </c>
      <c r="GB117" s="2">
        <v>-2.99176039497695E-9</v>
      </c>
      <c r="GC117">
        <v>1.8676788313314299E-3</v>
      </c>
      <c r="GD117" s="2">
        <v>5.3621058704322902E-9</v>
      </c>
      <c r="GE117">
        <v>-8.62184737343341E-4</v>
      </c>
      <c r="GF117" s="2">
        <v>3.4028230607370999E+38</v>
      </c>
      <c r="GG117" s="2">
        <v>3.4028230607370999E+38</v>
      </c>
      <c r="GH117">
        <v>5749.939453125</v>
      </c>
      <c r="GI117">
        <v>11500.3994140625</v>
      </c>
      <c r="GJ117">
        <v>9959.7861328125</v>
      </c>
      <c r="GK117" s="2">
        <v>3.4028230607370999E+38</v>
      </c>
      <c r="GL117" s="2">
        <v>3.4028230607370999E+38</v>
      </c>
      <c r="GM117" s="2">
        <v>3.4028230607370999E+38</v>
      </c>
      <c r="GN117" s="2">
        <v>3.4028230607370999E+38</v>
      </c>
      <c r="GO117" s="2">
        <v>3.4028230607370999E+38</v>
      </c>
      <c r="GP117" s="2">
        <v>3.4028230607370999E+38</v>
      </c>
      <c r="GQ117">
        <v>5749.49609375</v>
      </c>
      <c r="GR117">
        <v>5749.49609375</v>
      </c>
      <c r="GS117">
        <v>9959.92578125</v>
      </c>
      <c r="GT117">
        <v>-3.7818867713213002E-2</v>
      </c>
      <c r="GX117">
        <f t="shared" si="8"/>
        <v>230.00455017089863</v>
      </c>
      <c r="GY117">
        <f t="shared" si="9"/>
        <v>50.000925445556639</v>
      </c>
      <c r="GZ117">
        <f t="shared" si="10"/>
        <v>5749.9455078125002</v>
      </c>
      <c r="HA117">
        <f t="shared" si="11"/>
        <v>11500.433203125</v>
      </c>
      <c r="HB117">
        <f t="shared" si="12"/>
        <v>9959.8498046874993</v>
      </c>
      <c r="HC117">
        <f t="shared" si="13"/>
        <v>49.999930572509783</v>
      </c>
      <c r="HD117">
        <f t="shared" si="14"/>
        <v>-60.001681518554676</v>
      </c>
      <c r="HW117" s="10">
        <f>(GX117/Data!$S117-1)*1000000</f>
        <v>33.592511254010304</v>
      </c>
      <c r="HX117" s="10">
        <f>(GY117/Data!$T117-1)*1000000</f>
        <v>32.444163235778589</v>
      </c>
      <c r="HY117" s="10">
        <f>(GZ117/Data!$BW117-1)*1000000</f>
        <v>-38.543086178122188</v>
      </c>
      <c r="HZ117" s="10">
        <f>(HA117/(Data!$S117*Data!$T117)-1)*1000000</f>
        <v>65.414955014109211</v>
      </c>
      <c r="IA117" s="7">
        <f>(HB117/IF(HD117&gt;0, -Data!$BX117,Data!$BX117)-1)*1000000</f>
        <v>102.67219780701886</v>
      </c>
      <c r="IB117" s="10"/>
      <c r="IC117" s="9">
        <f>(HD117-Data!$U117)</f>
        <v>-3.5606785546775654E-3</v>
      </c>
    </row>
    <row r="118" spans="1:237" x14ac:dyDescent="0.2">
      <c r="A118">
        <v>118</v>
      </c>
      <c r="B118">
        <v>230.00459289550801</v>
      </c>
      <c r="C118">
        <v>50.000785827636697</v>
      </c>
      <c r="D118">
        <v>5749.91455078125</v>
      </c>
      <c r="E118">
        <v>11500.4189453125</v>
      </c>
      <c r="F118">
        <v>9959.814453125</v>
      </c>
      <c r="G118">
        <v>49.999958038330099</v>
      </c>
      <c r="H118">
        <v>-60.001712799072301</v>
      </c>
      <c r="I118">
        <v>1.5687646344304099E-2</v>
      </c>
      <c r="J118" s="2">
        <v>8.4309194789966602E-6</v>
      </c>
      <c r="K118" s="2">
        <v>2.1990750553868599E-8</v>
      </c>
      <c r="L118" s="2">
        <v>1.3187145952997499E-7</v>
      </c>
      <c r="M118" s="2">
        <v>4.9837826310294999E-8</v>
      </c>
      <c r="N118">
        <v>72.470932006835895</v>
      </c>
      <c r="O118">
        <v>-65.671051025390597</v>
      </c>
      <c r="P118">
        <v>1.7391195520758601E-2</v>
      </c>
      <c r="Q118" s="2">
        <v>7.9965066106524302E-6</v>
      </c>
      <c r="R118" s="2">
        <v>-3.8161260818014899E-8</v>
      </c>
      <c r="S118" s="2">
        <v>1.3497712814114501E-7</v>
      </c>
      <c r="T118" s="2">
        <v>1.7625366055540299E-8</v>
      </c>
      <c r="U118">
        <v>71.799301147460895</v>
      </c>
      <c r="V118">
        <v>-148.90092468261699</v>
      </c>
      <c r="W118" s="2">
        <v>3.4028230607370999E+38</v>
      </c>
      <c r="X118" s="2">
        <v>3.4028230607370999E+38</v>
      </c>
      <c r="Y118">
        <v>5749.9140625</v>
      </c>
      <c r="Z118">
        <v>11500.4189453125</v>
      </c>
      <c r="AA118">
        <v>9959.814453125</v>
      </c>
      <c r="AB118" s="2">
        <v>3.4028230607370999E+38</v>
      </c>
      <c r="AC118" s="2">
        <v>3.4028230607370999E+38</v>
      </c>
      <c r="AD118">
        <v>230.00451660156199</v>
      </c>
      <c r="AE118">
        <v>50.000972747802699</v>
      </c>
      <c r="AF118">
        <v>5749.958984375</v>
      </c>
      <c r="AG118">
        <v>11500.4423828125</v>
      </c>
      <c r="AH118">
        <v>9959.87109375</v>
      </c>
      <c r="AI118">
        <v>49.999935150146499</v>
      </c>
      <c r="AJ118">
        <v>-60.001766204833999</v>
      </c>
      <c r="AK118">
        <v>1.4430865645408599E-2</v>
      </c>
      <c r="AL118" s="2">
        <v>8.6643331087543595E-6</v>
      </c>
      <c r="AM118" s="2">
        <v>3.3170387325753803E-8</v>
      </c>
      <c r="AN118" s="2">
        <v>1.2440938235158699E-7</v>
      </c>
      <c r="AO118" s="2">
        <v>2.6287827026294501E-8</v>
      </c>
      <c r="AP118">
        <v>71.798057556152301</v>
      </c>
      <c r="AQ118">
        <v>-36.4781494140625</v>
      </c>
      <c r="AR118">
        <v>1.5215150080621199E-2</v>
      </c>
      <c r="AS118" s="2">
        <v>7.6752503446186893E-6</v>
      </c>
      <c r="AT118" s="2">
        <v>2.8672355600889399E-9</v>
      </c>
      <c r="AU118" s="2">
        <v>1.160494136343E-7</v>
      </c>
      <c r="AV118" s="2">
        <v>2.7982267170045799E-8</v>
      </c>
      <c r="AW118">
        <v>72.148826599121094</v>
      </c>
      <c r="AX118">
        <v>-83.9100341796875</v>
      </c>
      <c r="AY118" s="2">
        <v>3.4028230607370999E+38</v>
      </c>
      <c r="AZ118" s="2">
        <v>3.4028230607370999E+38</v>
      </c>
      <c r="BA118">
        <v>5749.958984375</v>
      </c>
      <c r="BB118">
        <v>11500.4423828125</v>
      </c>
      <c r="BC118">
        <v>9959.87109375</v>
      </c>
      <c r="BD118" s="2">
        <v>3.4028230607370999E+38</v>
      </c>
      <c r="BE118" s="2">
        <v>3.4028230607370999E+38</v>
      </c>
      <c r="BF118">
        <v>230.00465393066401</v>
      </c>
      <c r="BG118">
        <v>50.000801086425803</v>
      </c>
      <c r="BH118">
        <v>5749.94287109375</v>
      </c>
      <c r="BI118">
        <v>11500.3955078125</v>
      </c>
      <c r="BJ118">
        <v>9959.7998046875</v>
      </c>
      <c r="BK118">
        <v>49.9999389648438</v>
      </c>
      <c r="BL118">
        <v>-60.001602172851598</v>
      </c>
      <c r="BM118">
        <v>1.7634583637118301E-2</v>
      </c>
      <c r="BN118" s="2">
        <v>8.0330491982749697E-6</v>
      </c>
      <c r="BO118" s="2">
        <v>4.7969013650117598E-8</v>
      </c>
      <c r="BP118" s="2">
        <v>1.4212929499990399E-7</v>
      </c>
      <c r="BQ118" s="2">
        <v>6.6991681535455401E-8</v>
      </c>
      <c r="BR118">
        <v>72.267311096191406</v>
      </c>
      <c r="BS118">
        <v>-60.302295684814503</v>
      </c>
      <c r="BT118">
        <v>1.94342974573374E-2</v>
      </c>
      <c r="BU118" s="2">
        <v>8.1785074144136194E-6</v>
      </c>
      <c r="BV118" s="2">
        <v>-3.7438546485191202E-8</v>
      </c>
      <c r="BW118" s="2">
        <v>1.5200447478491699E-7</v>
      </c>
      <c r="BX118" s="2">
        <v>4.7236706990361199E-8</v>
      </c>
      <c r="BY118">
        <v>70.901351928710895</v>
      </c>
      <c r="BZ118">
        <v>-137.651611328125</v>
      </c>
      <c r="CA118" s="2">
        <v>3.4028230607370999E+38</v>
      </c>
      <c r="CB118" s="2">
        <v>3.4028230607370999E+38</v>
      </c>
      <c r="CC118">
        <v>5749.9423828125</v>
      </c>
      <c r="CD118">
        <v>11500.3955078125</v>
      </c>
      <c r="CE118">
        <v>9959.7998046875</v>
      </c>
      <c r="CF118" s="2">
        <v>3.4028230607370999E+38</v>
      </c>
      <c r="CG118" s="2">
        <v>3.4028230607370999E+38</v>
      </c>
      <c r="CH118">
        <v>230.00462341308599</v>
      </c>
      <c r="CI118">
        <v>50.000968933105497</v>
      </c>
      <c r="CJ118">
        <v>5749.95654296875</v>
      </c>
      <c r="CK118">
        <v>11500.46875</v>
      </c>
      <c r="CL118">
        <v>9959.853515625</v>
      </c>
      <c r="CM118">
        <v>50</v>
      </c>
      <c r="CN118">
        <v>-60.0015678405762</v>
      </c>
      <c r="CO118">
        <v>1.50864226743579E-2</v>
      </c>
      <c r="CP118" s="2">
        <v>8.4799048636341501E-6</v>
      </c>
      <c r="CQ118" s="2">
        <v>1.9485570490473901E-8</v>
      </c>
      <c r="CR118" s="2">
        <v>1.2591183917720601E-7</v>
      </c>
      <c r="CS118" s="2">
        <v>3.5218949534510102E-8</v>
      </c>
      <c r="CT118">
        <v>71.823028564453097</v>
      </c>
      <c r="CU118">
        <v>-63.985561370849602</v>
      </c>
      <c r="CV118">
        <v>1.6061328351497699E-2</v>
      </c>
      <c r="CW118" s="2">
        <v>7.9338906289194694E-6</v>
      </c>
      <c r="CX118" s="2">
        <v>-2.6952282183856398E-8</v>
      </c>
      <c r="CY118" s="2">
        <v>1.23748151281688E-7</v>
      </c>
      <c r="CZ118" s="2">
        <v>1.7872782365202501E-8</v>
      </c>
      <c r="DA118">
        <v>71.941276550292997</v>
      </c>
      <c r="DB118">
        <v>-139.06192016601599</v>
      </c>
      <c r="DC118" s="2">
        <v>3.4028230607370999E+38</v>
      </c>
      <c r="DD118" s="2">
        <v>3.4028230607370999E+38</v>
      </c>
      <c r="DE118">
        <v>5749.9560546875</v>
      </c>
      <c r="DF118">
        <v>11500.46875</v>
      </c>
      <c r="DG118">
        <v>9959.853515625</v>
      </c>
      <c r="DH118" s="2">
        <v>3.4028230607370999E+38</v>
      </c>
      <c r="DI118" s="2">
        <v>3.4028230607370999E+38</v>
      </c>
      <c r="DJ118">
        <v>230.00419616699199</v>
      </c>
      <c r="DK118">
        <v>50.000808715820298</v>
      </c>
      <c r="DL118">
        <v>5749.91064453125</v>
      </c>
      <c r="DM118">
        <v>11500.3896484375</v>
      </c>
      <c r="DN118">
        <v>9959.8154296875</v>
      </c>
      <c r="DO118">
        <v>49.999935150146499</v>
      </c>
      <c r="DP118">
        <v>-60.001506805419901</v>
      </c>
      <c r="DQ118">
        <v>1.7340060323476798E-2</v>
      </c>
      <c r="DR118" s="2">
        <v>8.0621257438906502E-6</v>
      </c>
      <c r="DS118" s="2">
        <v>3.5514890583954197E-8</v>
      </c>
      <c r="DT118" s="2">
        <v>1.3883128247016401E-7</v>
      </c>
      <c r="DU118" s="2">
        <v>6.6830438072429401E-8</v>
      </c>
      <c r="DV118">
        <v>72.206924438476605</v>
      </c>
      <c r="DW118">
        <v>-64.119934082031193</v>
      </c>
      <c r="DX118">
        <v>1.8946085125207901E-2</v>
      </c>
      <c r="DY118" s="2">
        <v>8.2118322097812796E-6</v>
      </c>
      <c r="DZ118" s="2">
        <v>-3.68866466260442E-8</v>
      </c>
      <c r="EA118" s="2">
        <v>1.5502776307130301E-7</v>
      </c>
      <c r="EB118" s="2">
        <v>3.5179873236757002E-8</v>
      </c>
      <c r="EC118">
        <v>72.634628295898395</v>
      </c>
      <c r="ED118">
        <v>-138.73533630371099</v>
      </c>
      <c r="EE118" s="2">
        <v>3.4028230607370999E+38</v>
      </c>
      <c r="EF118" s="2">
        <v>3.4028230607370999E+38</v>
      </c>
      <c r="EG118">
        <v>5749.91015625</v>
      </c>
      <c r="EH118">
        <v>11500.3896484375</v>
      </c>
      <c r="EI118">
        <v>9959.8154296875</v>
      </c>
      <c r="EJ118" s="2">
        <v>3.4028230607370999E+38</v>
      </c>
      <c r="EK118" s="2">
        <v>3.4028230607370999E+38</v>
      </c>
      <c r="EL118">
        <v>123</v>
      </c>
      <c r="EM118">
        <v>230.00439453125</v>
      </c>
      <c r="EN118">
        <v>50.000885009765597</v>
      </c>
      <c r="EO118">
        <v>5749.94970703125</v>
      </c>
      <c r="EP118">
        <v>11500.4052734375</v>
      </c>
      <c r="EQ118">
        <v>9959.80859375</v>
      </c>
      <c r="ER118">
        <v>49.999904632568402</v>
      </c>
      <c r="ES118">
        <v>-60.001602172851598</v>
      </c>
      <c r="ET118">
        <v>0.49997571110725397</v>
      </c>
      <c r="EU118" s="2">
        <v>3.4028230607370999E+38</v>
      </c>
      <c r="EV118">
        <v>0</v>
      </c>
      <c r="EW118">
        <v>230.00373840332</v>
      </c>
      <c r="EX118">
        <v>5749.662109375</v>
      </c>
      <c r="EY118">
        <v>11500.3916015625</v>
      </c>
      <c r="EZ118">
        <v>9959.8466796875</v>
      </c>
      <c r="FA118">
        <v>-1.20388548821211E-2</v>
      </c>
      <c r="FB118">
        <v>1.45856915041804E-2</v>
      </c>
      <c r="FC118" s="2">
        <v>8.5134661276242696E-6</v>
      </c>
      <c r="FD118" s="2">
        <v>2.07190851142514E-8</v>
      </c>
      <c r="FE118" s="2">
        <v>1.2418134076597201E-7</v>
      </c>
      <c r="FF118" s="2">
        <v>3.2008429684538E-8</v>
      </c>
      <c r="FG118">
        <v>72.393035888671903</v>
      </c>
      <c r="FH118">
        <v>-53.941211700439503</v>
      </c>
      <c r="FI118">
        <v>0.18567885458469399</v>
      </c>
      <c r="FJ118" s="2">
        <v>3.4028230607370999E+38</v>
      </c>
      <c r="FK118">
        <v>-63.5807075500488</v>
      </c>
      <c r="FL118">
        <v>2.0381502807140399E-2</v>
      </c>
      <c r="FM118">
        <v>0</v>
      </c>
      <c r="FN118">
        <v>0</v>
      </c>
      <c r="FO118">
        <v>0</v>
      </c>
      <c r="FP118">
        <v>7.5376301538199197E-4</v>
      </c>
      <c r="FQ118">
        <v>1.5375097282230899E-2</v>
      </c>
      <c r="FR118" s="2">
        <v>7.7356125984806601E-6</v>
      </c>
      <c r="FS118" s="2">
        <v>2.2523594100931599E-9</v>
      </c>
      <c r="FT118" s="2">
        <v>1.18608504351414E-7</v>
      </c>
      <c r="FU118" s="2">
        <v>2.7956717829624699E-8</v>
      </c>
      <c r="FV118">
        <v>72.182365417480497</v>
      </c>
      <c r="FW118">
        <v>-77.736564636230497</v>
      </c>
      <c r="FX118">
        <v>5.9515651315450703E-2</v>
      </c>
      <c r="FY118" s="2">
        <v>3.4028230607370999E+38</v>
      </c>
      <c r="FZ118">
        <v>-79.412918090820298</v>
      </c>
      <c r="GA118">
        <v>228.67225646972699</v>
      </c>
      <c r="GB118" s="2">
        <v>-3.26901283820291E-10</v>
      </c>
      <c r="GC118">
        <v>1.7999114934355001E-3</v>
      </c>
      <c r="GD118" s="2">
        <v>1.3188320435730799E-9</v>
      </c>
      <c r="GE118">
        <v>-8.1743759801611304E-4</v>
      </c>
      <c r="GF118" s="2">
        <v>3.4028230607370999E+38</v>
      </c>
      <c r="GG118" s="2">
        <v>3.4028230607370999E+38</v>
      </c>
      <c r="GH118">
        <v>5749.96044921875</v>
      </c>
      <c r="GI118">
        <v>11500.451171875</v>
      </c>
      <c r="GJ118">
        <v>9959.8486328125</v>
      </c>
      <c r="GK118" s="2">
        <v>3.4028230607370999E+38</v>
      </c>
      <c r="GL118" s="2">
        <v>3.4028230607370999E+38</v>
      </c>
      <c r="GM118" s="2">
        <v>3.4028230607370999E+38</v>
      </c>
      <c r="GN118" s="2">
        <v>3.4028230607370999E+38</v>
      </c>
      <c r="GO118" s="2">
        <v>3.4028230607370999E+38</v>
      </c>
      <c r="GP118" s="2">
        <v>3.4028230607370999E+38</v>
      </c>
      <c r="GQ118">
        <v>5749.806640625</v>
      </c>
      <c r="GR118">
        <v>5749.783203125</v>
      </c>
      <c r="GS118">
        <v>9960.140625</v>
      </c>
      <c r="GT118">
        <v>-1.24388886615634E-2</v>
      </c>
      <c r="GX118">
        <f t="shared" si="8"/>
        <v>230.00451660156236</v>
      </c>
      <c r="GY118">
        <f t="shared" si="9"/>
        <v>50.000867462158205</v>
      </c>
      <c r="GZ118">
        <f t="shared" si="10"/>
        <v>5749.9367187500002</v>
      </c>
      <c r="HA118">
        <f t="shared" si="11"/>
        <v>11500.423046874999</v>
      </c>
      <c r="HB118">
        <f t="shared" si="12"/>
        <v>9959.8308593750007</v>
      </c>
      <c r="HC118">
        <f t="shared" si="13"/>
        <v>49.999953460693384</v>
      </c>
      <c r="HD118">
        <f t="shared" si="14"/>
        <v>-60.001631164550801</v>
      </c>
      <c r="HW118" s="10">
        <f>(GX118/Data!$S118-1)*1000000</f>
        <v>33.685697395036129</v>
      </c>
      <c r="HX118" s="10">
        <f>(GY118/Data!$T118-1)*1000000</f>
        <v>33.166967772668698</v>
      </c>
      <c r="HY118" s="10">
        <f>(GZ118/Data!$BW118-1)*1000000</f>
        <v>-37.645823149912161</v>
      </c>
      <c r="HZ118" s="10">
        <f>(HA118/(Data!$S118*Data!$T118)-1)*1000000</f>
        <v>66.653479265488258</v>
      </c>
      <c r="IA118" s="7">
        <f>(HB118/IF(HD118&gt;0, -Data!$BX118,Data!$BX118)-1)*1000000</f>
        <v>102.78995818069347</v>
      </c>
      <c r="IB118" s="10"/>
      <c r="IC118" s="9">
        <f>(HD118-Data!$U118)</f>
        <v>-3.5002545508007188E-3</v>
      </c>
    </row>
    <row r="119" spans="1:237" x14ac:dyDescent="0.2">
      <c r="A119">
        <v>119</v>
      </c>
      <c r="B119">
        <v>230.004470825195</v>
      </c>
      <c r="C119">
        <v>50.0009155273438</v>
      </c>
      <c r="D119">
        <v>5749.93408203125</v>
      </c>
      <c r="E119">
        <v>11500.4287109375</v>
      </c>
      <c r="F119">
        <v>9959.8134765625</v>
      </c>
      <c r="G119">
        <v>49.9999809265137</v>
      </c>
      <c r="H119">
        <v>-60.001583099365199</v>
      </c>
      <c r="I119">
        <v>1.7536893486976599E-2</v>
      </c>
      <c r="J119" s="2">
        <v>8.19284923636587E-6</v>
      </c>
      <c r="K119" s="2">
        <v>6.7560890215645499E-8</v>
      </c>
      <c r="L119" s="2">
        <v>1.42718761253491E-7</v>
      </c>
      <c r="M119" s="2">
        <v>5.5633432083368501E-8</v>
      </c>
      <c r="N119">
        <v>72.389503479003906</v>
      </c>
      <c r="O119">
        <v>-38.015232086181598</v>
      </c>
      <c r="P119">
        <v>1.8891055136919001E-2</v>
      </c>
      <c r="Q119" s="2">
        <v>7.9112414823612198E-6</v>
      </c>
      <c r="R119" s="2">
        <v>1.32585376011463E-9</v>
      </c>
      <c r="S119" s="2">
        <v>1.5206923364985401E-7</v>
      </c>
      <c r="T119" s="2">
        <v>6.8963210253514302E-8</v>
      </c>
      <c r="U119">
        <v>71.716758728027301</v>
      </c>
      <c r="V119">
        <v>-90.146469116210895</v>
      </c>
      <c r="W119" s="2">
        <v>3.4028230607370999E+38</v>
      </c>
      <c r="X119" s="2">
        <v>3.4028230607370999E+38</v>
      </c>
      <c r="Y119">
        <v>5749.93408203125</v>
      </c>
      <c r="Z119">
        <v>11500.4287109375</v>
      </c>
      <c r="AA119">
        <v>9959.8134765625</v>
      </c>
      <c r="AB119" s="2">
        <v>3.4028230607370999E+38</v>
      </c>
      <c r="AC119" s="2">
        <v>3.4028230607370999E+38</v>
      </c>
      <c r="AD119">
        <v>230.004638671875</v>
      </c>
      <c r="AE119">
        <v>50.000881195068402</v>
      </c>
      <c r="AF119">
        <v>5749.9267578125</v>
      </c>
      <c r="AG119">
        <v>11500.4306640625</v>
      </c>
      <c r="AH119">
        <v>9959.8662109375</v>
      </c>
      <c r="AI119">
        <v>49.999969482421903</v>
      </c>
      <c r="AJ119">
        <v>-60.001594543457003</v>
      </c>
      <c r="AK119">
        <v>1.6030240803956999E-2</v>
      </c>
      <c r="AL119" s="2">
        <v>8.3205895862192796E-6</v>
      </c>
      <c r="AM119" s="2">
        <v>2.5940641634747401E-8</v>
      </c>
      <c r="AN119" s="2">
        <v>1.3593850667348301E-7</v>
      </c>
      <c r="AO119" s="2">
        <v>5.9862124146547999E-8</v>
      </c>
      <c r="AP119">
        <v>72.887939453125</v>
      </c>
      <c r="AQ119">
        <v>-64.262443542480497</v>
      </c>
      <c r="AR119">
        <v>1.7690058797597899E-2</v>
      </c>
      <c r="AS119" s="2">
        <v>7.9076717156567594E-6</v>
      </c>
      <c r="AT119" s="2">
        <v>-3.9552656261321297E-8</v>
      </c>
      <c r="AU119" s="2">
        <v>1.4009464166519999E-7</v>
      </c>
      <c r="AV119" s="2">
        <v>3.2143198325229598E-8</v>
      </c>
      <c r="AW119">
        <v>72.558128356933594</v>
      </c>
      <c r="AX119">
        <v>-140.30879211425801</v>
      </c>
      <c r="AY119" s="2">
        <v>3.4028230607370999E+38</v>
      </c>
      <c r="AZ119" s="2">
        <v>3.4028230607370999E+38</v>
      </c>
      <c r="BA119">
        <v>5749.92626953125</v>
      </c>
      <c r="BB119">
        <v>11500.4306640625</v>
      </c>
      <c r="BC119">
        <v>9959.8662109375</v>
      </c>
      <c r="BD119" s="2">
        <v>3.4028230607370999E+38</v>
      </c>
      <c r="BE119" s="2">
        <v>3.4028230607370999E+38</v>
      </c>
      <c r="BF119">
        <v>230.00482177734401</v>
      </c>
      <c r="BG119">
        <v>50.001022338867202</v>
      </c>
      <c r="BH119">
        <v>5749.9140625</v>
      </c>
      <c r="BI119">
        <v>11500.416015625</v>
      </c>
      <c r="BJ119">
        <v>9959.85546875</v>
      </c>
      <c r="BK119">
        <v>49.9998779296875</v>
      </c>
      <c r="BL119">
        <v>-60.001621246337898</v>
      </c>
      <c r="BM119">
        <v>1.4859576709568501E-2</v>
      </c>
      <c r="BN119" s="2">
        <v>8.5170577222015692E-6</v>
      </c>
      <c r="BO119" s="2">
        <v>2.07370725036071E-8</v>
      </c>
      <c r="BP119" s="2">
        <v>1.2473454091832499E-7</v>
      </c>
      <c r="BQ119" s="2">
        <v>4.2700392555161697E-8</v>
      </c>
      <c r="BR119">
        <v>72.277328491210895</v>
      </c>
      <c r="BS119">
        <v>-66.726348876953097</v>
      </c>
      <c r="BT119">
        <v>1.6067301854491199E-2</v>
      </c>
      <c r="BU119" s="2">
        <v>7.8684888649149798E-6</v>
      </c>
      <c r="BV119" s="2">
        <v>-2.5868914121929301E-8</v>
      </c>
      <c r="BW119" s="2">
        <v>1.26512375686616E-7</v>
      </c>
      <c r="BX119" s="2">
        <v>1.7094842874598699E-8</v>
      </c>
      <c r="BY119">
        <v>73.309471130371094</v>
      </c>
      <c r="BZ119">
        <v>-155.18832397460901</v>
      </c>
      <c r="CA119" s="2">
        <v>3.4028230607370999E+38</v>
      </c>
      <c r="CB119" s="2">
        <v>3.4028230607370999E+38</v>
      </c>
      <c r="CC119">
        <v>5749.91357421875</v>
      </c>
      <c r="CD119">
        <v>11500.416015625</v>
      </c>
      <c r="CE119">
        <v>9959.85546875</v>
      </c>
      <c r="CF119" s="2">
        <v>3.4028230607370999E+38</v>
      </c>
      <c r="CG119" s="2">
        <v>3.4028230607370999E+38</v>
      </c>
      <c r="CH119">
        <v>230.00411987304699</v>
      </c>
      <c r="CI119">
        <v>50.000778198242202</v>
      </c>
      <c r="CJ119">
        <v>5749.935546875</v>
      </c>
      <c r="CK119">
        <v>11500.37890625</v>
      </c>
      <c r="CL119">
        <v>9959.8251953125</v>
      </c>
      <c r="CM119">
        <v>49.999923706054702</v>
      </c>
      <c r="CN119">
        <v>-60.001724243164098</v>
      </c>
      <c r="CO119">
        <v>1.7617011442780502E-2</v>
      </c>
      <c r="CP119" s="2">
        <v>8.0314766819355992E-6</v>
      </c>
      <c r="CQ119" s="2">
        <v>5.3244711750721802E-8</v>
      </c>
      <c r="CR119" s="2">
        <v>1.4222869992863699E-7</v>
      </c>
      <c r="CS119" s="2">
        <v>6.6111851992900497E-8</v>
      </c>
      <c r="CT119">
        <v>72.143173217773395</v>
      </c>
      <c r="CU119">
        <v>-51.829620361328097</v>
      </c>
      <c r="CV119">
        <v>1.9355509430170101E-2</v>
      </c>
      <c r="CW119" s="2">
        <v>8.0509580584475804E-6</v>
      </c>
      <c r="CX119" s="2">
        <v>-2.86688575101834E-8</v>
      </c>
      <c r="CY119" s="2">
        <v>1.5714576306891101E-7</v>
      </c>
      <c r="CZ119" s="2">
        <v>5.9198502100343797E-8</v>
      </c>
      <c r="DA119">
        <v>72.669822692871094</v>
      </c>
      <c r="DB119">
        <v>-111.249221801758</v>
      </c>
      <c r="DC119" s="2">
        <v>3.4028230607370999E+38</v>
      </c>
      <c r="DD119" s="2">
        <v>3.4028230607370999E+38</v>
      </c>
      <c r="DE119">
        <v>5749.93505859375</v>
      </c>
      <c r="DF119">
        <v>11500.37890625</v>
      </c>
      <c r="DG119">
        <v>9959.8251953125</v>
      </c>
      <c r="DH119" s="2">
        <v>3.4028230607370999E+38</v>
      </c>
      <c r="DI119" s="2">
        <v>3.4028230607370999E+38</v>
      </c>
      <c r="DJ119">
        <v>230.0048828125</v>
      </c>
      <c r="DK119">
        <v>50.001052856445298</v>
      </c>
      <c r="DL119">
        <v>5749.927734375</v>
      </c>
      <c r="DM119">
        <v>11500.4423828125</v>
      </c>
      <c r="DN119">
        <v>9959.8798828125</v>
      </c>
      <c r="DO119">
        <v>49.999904632568402</v>
      </c>
      <c r="DP119">
        <v>-60.001514434814503</v>
      </c>
      <c r="DQ119">
        <v>1.46228782832623E-2</v>
      </c>
      <c r="DR119" s="2">
        <v>8.6938061940600198E-6</v>
      </c>
      <c r="DS119" s="2">
        <v>3.1941421951842097E-8</v>
      </c>
      <c r="DT119" s="2">
        <v>1.2713124419860801E-7</v>
      </c>
      <c r="DU119" s="2">
        <v>2.74421161350347E-8</v>
      </c>
      <c r="DV119">
        <v>73.307472229003906</v>
      </c>
      <c r="DW119">
        <v>-44.618232727050803</v>
      </c>
      <c r="DX119">
        <v>1.5735387802123999E-2</v>
      </c>
      <c r="DY119" s="2">
        <v>7.7428694567060995E-6</v>
      </c>
      <c r="DZ119" s="2">
        <v>-4.5566345141523398E-10</v>
      </c>
      <c r="EA119" s="2">
        <v>1.2030425011744199E-7</v>
      </c>
      <c r="EB119" s="2">
        <v>2.4111432850304502E-8</v>
      </c>
      <c r="EC119">
        <v>72.092063903808594</v>
      </c>
      <c r="ED119">
        <v>-97.649894714355497</v>
      </c>
      <c r="EE119" s="2">
        <v>3.4028230607370999E+38</v>
      </c>
      <c r="EF119" s="2">
        <v>3.4028230607370999E+38</v>
      </c>
      <c r="EG119">
        <v>5749.92724609375</v>
      </c>
      <c r="EH119">
        <v>11500.4423828125</v>
      </c>
      <c r="EI119">
        <v>9959.8798828125</v>
      </c>
      <c r="EJ119" s="2">
        <v>3.4028230607370999E+38</v>
      </c>
      <c r="EK119" s="2">
        <v>3.4028230607370999E+38</v>
      </c>
      <c r="EL119">
        <v>123</v>
      </c>
      <c r="EM119">
        <v>230.00479125976599</v>
      </c>
      <c r="EN119">
        <v>50.001014709472699</v>
      </c>
      <c r="EO119">
        <v>5749.97265625</v>
      </c>
      <c r="EP119">
        <v>11500.4658203125</v>
      </c>
      <c r="EQ119">
        <v>9959.880859375</v>
      </c>
      <c r="ER119">
        <v>49.999908447265597</v>
      </c>
      <c r="ES119">
        <v>-60.0016899108887</v>
      </c>
      <c r="ET119">
        <v>0.49997568130493197</v>
      </c>
      <c r="EU119" s="2">
        <v>3.4028230607370999E+38</v>
      </c>
      <c r="EV119">
        <v>0</v>
      </c>
      <c r="EW119">
        <v>230.00552368164099</v>
      </c>
      <c r="EX119">
        <v>5749.783203125</v>
      </c>
      <c r="EY119">
        <v>11500.4873046875</v>
      </c>
      <c r="EZ119">
        <v>9959.9404296875</v>
      </c>
      <c r="FA119">
        <v>1.20846576464828E-4</v>
      </c>
      <c r="FB119">
        <v>1.43593605607748E-2</v>
      </c>
      <c r="FC119" s="2">
        <v>8.5620122263207998E-6</v>
      </c>
      <c r="FD119" s="2">
        <v>2.64613255751556E-8</v>
      </c>
      <c r="FE119" s="2">
        <v>1.2300402829623601E-7</v>
      </c>
      <c r="FF119" s="2">
        <v>2.9156129954799299E-8</v>
      </c>
      <c r="FG119">
        <v>72.923973083496094</v>
      </c>
      <c r="FH119">
        <v>-49.616226196289098</v>
      </c>
      <c r="FI119">
        <v>0.20024418830871599</v>
      </c>
      <c r="FJ119" s="2">
        <v>3.4028230607370999E+38</v>
      </c>
      <c r="FK119">
        <v>-84.781608581542997</v>
      </c>
      <c r="FL119">
        <v>2.00343336910009E-2</v>
      </c>
      <c r="FM119">
        <v>0</v>
      </c>
      <c r="FN119">
        <v>0</v>
      </c>
      <c r="FO119">
        <v>0</v>
      </c>
      <c r="FP119">
        <v>7.5722503243014195E-4</v>
      </c>
      <c r="FQ119">
        <v>1.5531988814473201E-2</v>
      </c>
      <c r="FR119" s="2">
        <v>7.8080747698550096E-6</v>
      </c>
      <c r="FS119" s="2">
        <v>-1.22728156526364E-8</v>
      </c>
      <c r="FT119" s="2">
        <v>1.1995176407708601E-7</v>
      </c>
      <c r="FU119" s="2">
        <v>1.7994381096286799E-8</v>
      </c>
      <c r="FV119">
        <v>71.339454650878906</v>
      </c>
      <c r="FW119">
        <v>-123.372428894043</v>
      </c>
      <c r="FX119">
        <v>-0.103232339024544</v>
      </c>
      <c r="FY119" s="2">
        <v>3.4028230607370999E+38</v>
      </c>
      <c r="FZ119">
        <v>-73.419784545898395</v>
      </c>
      <c r="GA119">
        <v>229.25347900390599</v>
      </c>
      <c r="GB119" s="2">
        <v>-2.8788329498041801E-9</v>
      </c>
      <c r="GC119">
        <v>1.8033212982118099E-3</v>
      </c>
      <c r="GD119" s="2">
        <v>-3.1691196333838401E-9</v>
      </c>
      <c r="GE119">
        <v>-8.2855456275865403E-4</v>
      </c>
      <c r="GF119" s="2">
        <v>3.4028230607370999E+38</v>
      </c>
      <c r="GG119" s="2">
        <v>3.4028230607370999E+38</v>
      </c>
      <c r="GH119">
        <v>5749.919921875</v>
      </c>
      <c r="GI119">
        <v>11500.4736328125</v>
      </c>
      <c r="GJ119">
        <v>9959.8662109375</v>
      </c>
      <c r="GK119" s="2">
        <v>3.4028230607370999E+38</v>
      </c>
      <c r="GL119" s="2">
        <v>3.4028230607370999E+38</v>
      </c>
      <c r="GM119" s="2">
        <v>3.4028230607370999E+38</v>
      </c>
      <c r="GN119" s="2">
        <v>3.4028230607370999E+38</v>
      </c>
      <c r="GO119" s="2">
        <v>3.4028230607370999E+38</v>
      </c>
      <c r="GP119" s="2">
        <v>3.4028230607370999E+38</v>
      </c>
      <c r="GQ119">
        <v>5749.7216796875</v>
      </c>
      <c r="GR119">
        <v>5749.7216796875</v>
      </c>
      <c r="GS119">
        <v>9959.8173828125</v>
      </c>
      <c r="GT119">
        <v>-4.6764416620135299E-3</v>
      </c>
      <c r="GX119">
        <f t="shared" si="8"/>
        <v>230.00458679199218</v>
      </c>
      <c r="GY119">
        <f t="shared" si="9"/>
        <v>50.000930023193384</v>
      </c>
      <c r="GZ119">
        <f t="shared" si="10"/>
        <v>5749.9276367187504</v>
      </c>
      <c r="HA119">
        <f t="shared" si="11"/>
        <v>11500.4193359375</v>
      </c>
      <c r="HB119">
        <f t="shared" si="12"/>
        <v>9959.8480468750004</v>
      </c>
      <c r="HC119">
        <f t="shared" si="13"/>
        <v>49.99993133544924</v>
      </c>
      <c r="HD119">
        <f t="shared" si="14"/>
        <v>-60.001607513427736</v>
      </c>
      <c r="HW119" s="10">
        <f>(GX119/Data!$S119-1)*1000000</f>
        <v>34.32132822966949</v>
      </c>
      <c r="HX119" s="10">
        <f>(GY119/Data!$T119-1)*1000000</f>
        <v>28.162133137055179</v>
      </c>
      <c r="HY119" s="10">
        <f>(GZ119/Data!$BW119-1)*1000000</f>
        <v>-43.943714308714021</v>
      </c>
      <c r="HZ119" s="10">
        <f>(HA119/(Data!$S119*Data!$T119)-1)*1000000</f>
        <v>60.404964024485253</v>
      </c>
      <c r="IA119" s="7">
        <f>(HB119/IF(HD119&gt;0, -Data!$BX119,Data!$BX119)-1)*1000000</f>
        <v>98.18712906062288</v>
      </c>
      <c r="IB119" s="10"/>
      <c r="IC119" s="9">
        <f>(HD119-Data!$U119)</f>
        <v>-3.4366734277355704E-3</v>
      </c>
    </row>
    <row r="120" spans="1:237" x14ac:dyDescent="0.2">
      <c r="A120">
        <v>120</v>
      </c>
      <c r="B120">
        <v>230.00134277343801</v>
      </c>
      <c r="C120">
        <v>50.000759124755902</v>
      </c>
      <c r="D120">
        <v>9196.8203125</v>
      </c>
      <c r="E120">
        <v>11500.208984375</v>
      </c>
      <c r="F120">
        <v>-6904.73583984375</v>
      </c>
      <c r="G120">
        <v>49.999893188476598</v>
      </c>
      <c r="H120">
        <v>36.898273468017599</v>
      </c>
      <c r="I120">
        <v>1.5152769163250901E-2</v>
      </c>
      <c r="J120" s="2">
        <v>8.0214158515445905E-6</v>
      </c>
      <c r="K120" s="2">
        <v>3.5876944082247097E-8</v>
      </c>
      <c r="L120" s="2">
        <v>1.2332714049989601E-7</v>
      </c>
      <c r="M120" s="2">
        <v>-5.3122901633173602E-9</v>
      </c>
      <c r="N120">
        <v>72.301918029785199</v>
      </c>
      <c r="O120">
        <v>8.4699211120605504</v>
      </c>
      <c r="P120">
        <v>1.63629241287708E-2</v>
      </c>
      <c r="Q120" s="2">
        <v>8.2893666331074201E-6</v>
      </c>
      <c r="R120" s="2">
        <v>3.9762486636618599E-8</v>
      </c>
      <c r="S120" s="2">
        <v>1.36316558041472E-7</v>
      </c>
      <c r="T120" s="2">
        <v>4.3548787687086601E-8</v>
      </c>
      <c r="U120">
        <v>71.685340881347699</v>
      </c>
      <c r="V120">
        <v>-45.803676605224602</v>
      </c>
      <c r="W120" s="2">
        <v>3.4028230607370999E+38</v>
      </c>
      <c r="X120" s="2">
        <v>3.4028230607370999E+38</v>
      </c>
      <c r="Y120">
        <v>9196.8203125</v>
      </c>
      <c r="Z120">
        <v>11500.208984375</v>
      </c>
      <c r="AA120">
        <v>-6904.736328125</v>
      </c>
      <c r="AB120" s="2">
        <v>3.4028230607370999E+38</v>
      </c>
      <c r="AC120" s="2">
        <v>3.4028230607370999E+38</v>
      </c>
      <c r="AD120">
        <v>230.00102233886699</v>
      </c>
      <c r="AE120">
        <v>50.000953674316399</v>
      </c>
      <c r="AF120">
        <v>9196.8486328125</v>
      </c>
      <c r="AG120">
        <v>11500.2626953125</v>
      </c>
      <c r="AH120">
        <v>-6904.7587890625</v>
      </c>
      <c r="AI120">
        <v>49.999885559082003</v>
      </c>
      <c r="AJ120">
        <v>36.898307800292997</v>
      </c>
      <c r="AK120">
        <v>1.7266858369112001E-2</v>
      </c>
      <c r="AL120" s="2">
        <v>8.6274776549544202E-6</v>
      </c>
      <c r="AM120" s="2">
        <v>2.2946830213754798E-8</v>
      </c>
      <c r="AN120" s="2">
        <v>1.47174560538588E-7</v>
      </c>
      <c r="AO120" s="2">
        <v>-5.2426173624553498E-8</v>
      </c>
      <c r="AP120">
        <v>71.932594299316406</v>
      </c>
      <c r="AQ120">
        <v>68.322952270507798</v>
      </c>
      <c r="AR120">
        <v>1.9110422581434201E-2</v>
      </c>
      <c r="AS120" s="2">
        <v>7.8895882325014099E-6</v>
      </c>
      <c r="AT120" s="2">
        <v>8.3023493857581303E-8</v>
      </c>
      <c r="AU120" s="2">
        <v>1.51460952224625E-7</v>
      </c>
      <c r="AV120" s="2">
        <v>2.47774440964577E-8</v>
      </c>
      <c r="AW120">
        <v>71.491432189941406</v>
      </c>
      <c r="AX120">
        <v>-17.263105392456101</v>
      </c>
      <c r="AY120" s="2">
        <v>3.4028230607370999E+38</v>
      </c>
      <c r="AZ120" s="2">
        <v>3.4028230607370999E+38</v>
      </c>
      <c r="BA120">
        <v>9196.8486328125</v>
      </c>
      <c r="BB120">
        <v>11500.2626953125</v>
      </c>
      <c r="BC120">
        <v>-6904.75927734375</v>
      </c>
      <c r="BD120" s="2">
        <v>3.4028230607370999E+38</v>
      </c>
      <c r="BE120" s="2">
        <v>3.4028230607370999E+38</v>
      </c>
      <c r="BF120">
        <v>230.00111389160199</v>
      </c>
      <c r="BG120">
        <v>50.000831604003899</v>
      </c>
      <c r="BH120">
        <v>9196.82421875</v>
      </c>
      <c r="BI120">
        <v>11500.240234375</v>
      </c>
      <c r="BJ120">
        <v>-6904.7861328125</v>
      </c>
      <c r="BK120">
        <v>49.999988555908203</v>
      </c>
      <c r="BL120">
        <v>36.898567199707003</v>
      </c>
      <c r="BM120">
        <v>1.7435749992728199E-2</v>
      </c>
      <c r="BN120" s="2">
        <v>8.3398044807836396E-6</v>
      </c>
      <c r="BO120" s="2">
        <v>4.3629633239561398E-8</v>
      </c>
      <c r="BP120" s="2">
        <v>1.4460462693932601E-7</v>
      </c>
      <c r="BQ120" s="2">
        <v>-2.71080029534687E-8</v>
      </c>
      <c r="BR120">
        <v>72.930351257324205</v>
      </c>
      <c r="BS120">
        <v>29.2835483551025</v>
      </c>
      <c r="BT120">
        <v>1.9451305270195E-2</v>
      </c>
      <c r="BU120" s="2">
        <v>8.0830895967665095E-6</v>
      </c>
      <c r="BV120" s="2">
        <v>8.51155022019157E-8</v>
      </c>
      <c r="BW120" s="2">
        <v>1.5853831314416301E-7</v>
      </c>
      <c r="BX120" s="2">
        <v>6.3334532285352894E-8</v>
      </c>
      <c r="BY120">
        <v>72.056571960449205</v>
      </c>
      <c r="BZ120">
        <v>-36.9095268249512</v>
      </c>
      <c r="CA120" s="2">
        <v>3.4028230607370999E+38</v>
      </c>
      <c r="CB120" s="2">
        <v>3.4028230607370999E+38</v>
      </c>
      <c r="CC120">
        <v>9196.82421875</v>
      </c>
      <c r="CD120">
        <v>11500.240234375</v>
      </c>
      <c r="CE120">
        <v>-6904.78662109375</v>
      </c>
      <c r="CF120" s="2">
        <v>3.4028230607370999E+38</v>
      </c>
      <c r="CG120" s="2">
        <v>3.4028230607370999E+38</v>
      </c>
      <c r="CH120">
        <v>230.000732421875</v>
      </c>
      <c r="CI120">
        <v>50.000892639160199</v>
      </c>
      <c r="CJ120">
        <v>9196.85546875</v>
      </c>
      <c r="CK120">
        <v>11500.24609375</v>
      </c>
      <c r="CL120">
        <v>-6904.759765625</v>
      </c>
      <c r="CM120">
        <v>49.999988555908203</v>
      </c>
      <c r="CN120">
        <v>36.898239135742202</v>
      </c>
      <c r="CO120">
        <v>1.4900575391948201E-2</v>
      </c>
      <c r="CP120" s="2">
        <v>8.5135234257904796E-6</v>
      </c>
      <c r="CQ120" s="2">
        <v>6.4301595159577102E-9</v>
      </c>
      <c r="CR120" s="2">
        <v>1.29305988139095E-7</v>
      </c>
      <c r="CS120" s="2">
        <v>-3.7522010387647202E-8</v>
      </c>
      <c r="CT120">
        <v>71.864128112792997</v>
      </c>
      <c r="CU120">
        <v>84.035301208496094</v>
      </c>
      <c r="CV120">
        <v>1.6544982790946999E-2</v>
      </c>
      <c r="CW120" s="2">
        <v>8.0751433415571194E-6</v>
      </c>
      <c r="CX120" s="2">
        <v>4.6474756487668902E-8</v>
      </c>
      <c r="CY120" s="2">
        <v>1.33814069158689E-7</v>
      </c>
      <c r="CZ120" s="2">
        <v>5.0832542619616602E-9</v>
      </c>
      <c r="DA120">
        <v>71.293106079101605</v>
      </c>
      <c r="DB120">
        <v>-3.6480772495269802</v>
      </c>
      <c r="DC120" s="2">
        <v>3.4028230607370999E+38</v>
      </c>
      <c r="DD120" s="2">
        <v>3.4028230607370999E+38</v>
      </c>
      <c r="DE120">
        <v>9196.85546875</v>
      </c>
      <c r="DF120">
        <v>11500.24609375</v>
      </c>
      <c r="DG120">
        <v>-6904.76025390625</v>
      </c>
      <c r="DH120" s="2">
        <v>3.4028230607370999E+38</v>
      </c>
      <c r="DI120" s="2">
        <v>3.4028230607370999E+38</v>
      </c>
      <c r="DJ120">
        <v>230.00134277343801</v>
      </c>
      <c r="DK120">
        <v>50.000869750976598</v>
      </c>
      <c r="DL120">
        <v>9196.8525390625</v>
      </c>
      <c r="DM120">
        <v>11500.2548828125</v>
      </c>
      <c r="DN120">
        <v>-6904.77685546875</v>
      </c>
      <c r="DO120">
        <v>49.999935150146499</v>
      </c>
      <c r="DP120">
        <v>36.898345947265597</v>
      </c>
      <c r="DQ120">
        <v>1.57157052308321E-2</v>
      </c>
      <c r="DR120" s="2">
        <v>8.5373330875881897E-6</v>
      </c>
      <c r="DS120" s="2">
        <v>4.4474171012609498E-9</v>
      </c>
      <c r="DT120" s="2">
        <v>1.37143715051025E-7</v>
      </c>
      <c r="DU120" s="2">
        <v>-5.1922345534194398E-8</v>
      </c>
      <c r="DV120">
        <v>72.709358215332003</v>
      </c>
      <c r="DW120">
        <v>81.412857055664105</v>
      </c>
      <c r="DX120">
        <v>1.7521740868687598E-2</v>
      </c>
      <c r="DY120" s="2">
        <v>7.9352230386575701E-6</v>
      </c>
      <c r="DZ120" s="2">
        <v>6.2686851265425503E-8</v>
      </c>
      <c r="EA120" s="2">
        <v>1.40592476327583E-7</v>
      </c>
      <c r="EB120" s="2">
        <v>9.88396120504831E-9</v>
      </c>
      <c r="EC120">
        <v>71.6690673828125</v>
      </c>
      <c r="ED120">
        <v>-8.9030609130859393</v>
      </c>
      <c r="EE120" s="2">
        <v>3.4028230607370999E+38</v>
      </c>
      <c r="EF120" s="2">
        <v>3.4028230607370999E+38</v>
      </c>
      <c r="EG120">
        <v>9196.8525390625</v>
      </c>
      <c r="EH120">
        <v>11500.2548828125</v>
      </c>
      <c r="EI120">
        <v>-6904.77734375</v>
      </c>
      <c r="EJ120" s="2">
        <v>3.4028230607370999E+38</v>
      </c>
      <c r="EK120" s="2">
        <v>3.4028230607370999E+38</v>
      </c>
      <c r="EL120">
        <v>123</v>
      </c>
      <c r="EM120">
        <v>230.00123596191401</v>
      </c>
      <c r="EN120">
        <v>50.000877380371101</v>
      </c>
      <c r="EO120">
        <v>9196.841796875</v>
      </c>
      <c r="EP120">
        <v>11500.2568359375</v>
      </c>
      <c r="EQ120">
        <v>-6904.7822265625</v>
      </c>
      <c r="ER120">
        <v>49.999958038330099</v>
      </c>
      <c r="ES120">
        <v>36.898384094238303</v>
      </c>
      <c r="ET120">
        <v>0.79970818758010898</v>
      </c>
      <c r="EU120" s="2">
        <v>3.4028230607370999E+38</v>
      </c>
      <c r="EV120">
        <v>0</v>
      </c>
      <c r="EW120">
        <v>230.00588989257801</v>
      </c>
      <c r="EX120">
        <v>9197.2685546875</v>
      </c>
      <c r="EY120">
        <v>11500.484375</v>
      </c>
      <c r="EZ120">
        <v>-6904.439453125</v>
      </c>
      <c r="FA120">
        <v>4.09574955701828E-2</v>
      </c>
      <c r="FB120">
        <v>1.68729387223721E-2</v>
      </c>
      <c r="FC120" s="2">
        <v>8.6381678556790592E-6</v>
      </c>
      <c r="FD120" s="2">
        <v>1.6437031291616199E-8</v>
      </c>
      <c r="FE120" s="2">
        <v>1.4485104316008801E-7</v>
      </c>
      <c r="FF120" s="2">
        <v>-5.1951833057728403E-8</v>
      </c>
      <c r="FG120">
        <v>72.178939819335895</v>
      </c>
      <c r="FH120">
        <v>72.443168640136705</v>
      </c>
      <c r="FI120">
        <v>8.4197781980037703E-2</v>
      </c>
      <c r="FJ120" s="2">
        <v>3.4028230607370999E+38</v>
      </c>
      <c r="FK120">
        <v>-69.950775146484403</v>
      </c>
      <c r="FL120">
        <v>2.08493638783693E-2</v>
      </c>
      <c r="FM120">
        <v>0</v>
      </c>
      <c r="FN120">
        <v>0</v>
      </c>
      <c r="FO120">
        <v>0</v>
      </c>
      <c r="FP120">
        <v>-7.26073165424168E-4</v>
      </c>
      <c r="FQ120">
        <v>1.8379257991910002E-2</v>
      </c>
      <c r="FR120" s="2">
        <v>7.9213195931515707E-6</v>
      </c>
      <c r="FS120" s="2">
        <v>7.3009367440590696E-8</v>
      </c>
      <c r="FT120" s="2">
        <v>1.4866392916701401E-7</v>
      </c>
      <c r="FU120" s="2">
        <v>2.0173329673411899E-8</v>
      </c>
      <c r="FV120">
        <v>73.041709899902301</v>
      </c>
      <c r="FW120">
        <v>-13.7963304519653</v>
      </c>
      <c r="FX120">
        <v>0.49593648314476002</v>
      </c>
      <c r="FY120" s="2">
        <v>3.4028230607370999E+38</v>
      </c>
      <c r="FZ120">
        <v>-80.653129577636705</v>
      </c>
      <c r="GA120">
        <v>229.10607910156199</v>
      </c>
      <c r="GB120" s="2">
        <v>1.5849037637849499E-8</v>
      </c>
      <c r="GC120">
        <v>1.81859743315727E-3</v>
      </c>
      <c r="GD120" s="2">
        <v>7.3231047892363701E-9</v>
      </c>
      <c r="GE120">
        <v>-2.9138181707821803E-4</v>
      </c>
      <c r="GF120" s="2">
        <v>3.4028230607370999E+38</v>
      </c>
      <c r="GG120" s="2">
        <v>3.4028230607370999E+38</v>
      </c>
      <c r="GH120">
        <v>9196.8818359375</v>
      </c>
      <c r="GI120">
        <v>11500.2861328125</v>
      </c>
      <c r="GJ120">
        <v>-6904.78955078125</v>
      </c>
      <c r="GK120" s="2">
        <v>3.4028230607370999E+38</v>
      </c>
      <c r="GL120" s="2">
        <v>3.4028230607370999E+38</v>
      </c>
      <c r="GM120" s="2">
        <v>3.4028230607370999E+38</v>
      </c>
      <c r="GN120" s="2">
        <v>3.4028230607370999E+38</v>
      </c>
      <c r="GO120" s="2">
        <v>3.4028230607370999E+38</v>
      </c>
      <c r="GP120" s="2">
        <v>3.4028230607370999E+38</v>
      </c>
      <c r="GQ120">
        <v>9197.2568359375</v>
      </c>
      <c r="GR120">
        <v>9197.2568359375</v>
      </c>
      <c r="GS120">
        <v>-6904.47802734375</v>
      </c>
      <c r="GT120">
        <v>2.9744932428002399E-2</v>
      </c>
      <c r="GX120">
        <f t="shared" si="8"/>
        <v>230.00111083984402</v>
      </c>
      <c r="GY120">
        <f t="shared" si="9"/>
        <v>50.000861358642595</v>
      </c>
      <c r="GZ120">
        <f t="shared" si="10"/>
        <v>9196.8402343750004</v>
      </c>
      <c r="HA120">
        <f t="shared" si="11"/>
        <v>11500.242578125</v>
      </c>
      <c r="HB120">
        <f t="shared" si="12"/>
        <v>-6904.7634765624998</v>
      </c>
      <c r="HC120">
        <f t="shared" si="13"/>
        <v>49.9999382019043</v>
      </c>
      <c r="HD120">
        <f t="shared" si="14"/>
        <v>36.898346710205082</v>
      </c>
      <c r="HW120" s="10">
        <f>(GX120/Data!$S120-1)*1000000</f>
        <v>19.369150497716703</v>
      </c>
      <c r="HX120" s="10">
        <f>(GY120/Data!$T120-1)*1000000</f>
        <v>34.226354652000524</v>
      </c>
      <c r="HY120" s="10">
        <f>(GZ120/Data!$BW120-1)*1000000</f>
        <v>60.480012622488033</v>
      </c>
      <c r="HZ120" s="10">
        <f>(HA120/(Data!$S120*Data!$T120)-1)*1000000</f>
        <v>52.632893198900632</v>
      </c>
      <c r="IA120" s="7">
        <f>(HB120/IF(HD120&gt;0, -Data!$BX120,Data!$BX120)-1)*1000000</f>
        <v>60.191283640431692</v>
      </c>
      <c r="IB120" s="10"/>
      <c r="IC120" s="9">
        <f>(HD120-Data!$U120)</f>
        <v>1.0080205079532334E-5</v>
      </c>
    </row>
    <row r="121" spans="1:237" x14ac:dyDescent="0.2">
      <c r="A121">
        <v>121</v>
      </c>
      <c r="B121">
        <v>230.00085449218801</v>
      </c>
      <c r="C121">
        <v>50.000934600830099</v>
      </c>
      <c r="D121">
        <v>9196.8310546875</v>
      </c>
      <c r="E121">
        <v>11500.2392578125</v>
      </c>
      <c r="F121">
        <v>-6904.78857421875</v>
      </c>
      <c r="G121">
        <v>49.999958038330099</v>
      </c>
      <c r="H121">
        <v>36.8984375</v>
      </c>
      <c r="I121">
        <v>1.7439784482121499E-2</v>
      </c>
      <c r="J121" s="2">
        <v>8.5055435192771307E-6</v>
      </c>
      <c r="K121" s="2">
        <v>3.3797771692434299E-8</v>
      </c>
      <c r="L121" s="2">
        <v>1.4656905023002801E-7</v>
      </c>
      <c r="M121" s="2">
        <v>-4.2964664714872898E-8</v>
      </c>
      <c r="N121">
        <v>71.155975341796903</v>
      </c>
      <c r="O121">
        <v>47.032966613769503</v>
      </c>
      <c r="P121">
        <v>1.95553377270699E-2</v>
      </c>
      <c r="Q121" s="2">
        <v>7.9869378168950806E-6</v>
      </c>
      <c r="R121" s="2">
        <v>8.9079982501516497E-8</v>
      </c>
      <c r="S121" s="2">
        <v>1.56489250002778E-7</v>
      </c>
      <c r="T121" s="2">
        <v>5.3230323260322601E-8</v>
      </c>
      <c r="U121">
        <v>72.026138305664105</v>
      </c>
      <c r="V121">
        <v>-30.224912643432599</v>
      </c>
      <c r="W121" s="2">
        <v>3.4028230607370999E+38</v>
      </c>
      <c r="X121" s="2">
        <v>3.4028230607370999E+38</v>
      </c>
      <c r="Y121">
        <v>9196.8310546875</v>
      </c>
      <c r="Z121">
        <v>11500.2392578125</v>
      </c>
      <c r="AA121">
        <v>-6904.7890625</v>
      </c>
      <c r="AB121" s="2">
        <v>3.4028230607370999E+38</v>
      </c>
      <c r="AC121" s="2">
        <v>3.4028230607370999E+38</v>
      </c>
      <c r="AD121">
        <v>230.00148010253901</v>
      </c>
      <c r="AE121">
        <v>50.000858306884801</v>
      </c>
      <c r="AF121">
        <v>9196.84765625</v>
      </c>
      <c r="AG121">
        <v>11500.2412109375</v>
      </c>
      <c r="AH121">
        <v>-6904.7412109375</v>
      </c>
      <c r="AI121">
        <v>49.999904632568402</v>
      </c>
      <c r="AJ121">
        <v>36.898345947265597</v>
      </c>
      <c r="AK121">
        <v>1.60608887672424E-2</v>
      </c>
      <c r="AL121" s="2">
        <v>8.5618676166632196E-6</v>
      </c>
      <c r="AM121" s="2">
        <v>5.1659982958085501E-9</v>
      </c>
      <c r="AN121" s="2">
        <v>1.38622112899611E-7</v>
      </c>
      <c r="AO121" s="2">
        <v>-5.1898677355666203E-8</v>
      </c>
      <c r="AP121">
        <v>72.220489501953097</v>
      </c>
      <c r="AQ121">
        <v>81.560501098632798</v>
      </c>
      <c r="AR121">
        <v>1.7572224140167202E-2</v>
      </c>
      <c r="AS121" s="2">
        <v>7.9741776062291996E-6</v>
      </c>
      <c r="AT121" s="2">
        <v>5.96743205960593E-8</v>
      </c>
      <c r="AU121" s="2">
        <v>1.38922843007094E-7</v>
      </c>
      <c r="AV121" s="2">
        <v>6.9025589688465102E-9</v>
      </c>
      <c r="AW121">
        <v>71.947837829589801</v>
      </c>
      <c r="AX121">
        <v>-6.5770773887634304</v>
      </c>
      <c r="AY121" s="2">
        <v>3.4028230607370999E+38</v>
      </c>
      <c r="AZ121" s="2">
        <v>3.4028230607370999E+38</v>
      </c>
      <c r="BA121">
        <v>9196.84765625</v>
      </c>
      <c r="BB121">
        <v>11500.2412109375</v>
      </c>
      <c r="BC121">
        <v>-6904.74169921875</v>
      </c>
      <c r="BD121" s="2">
        <v>3.4028230607370999E+38</v>
      </c>
      <c r="BE121" s="2">
        <v>3.4028230607370999E+38</v>
      </c>
      <c r="BF121">
        <v>230.00109863281199</v>
      </c>
      <c r="BG121">
        <v>50.000896453857401</v>
      </c>
      <c r="BH121">
        <v>9196.880859375</v>
      </c>
      <c r="BI121">
        <v>11500.291015625</v>
      </c>
      <c r="BJ121">
        <v>-6904.80029296875</v>
      </c>
      <c r="BK121">
        <v>50.000041961669901</v>
      </c>
      <c r="BL121">
        <v>36.898349761962898</v>
      </c>
      <c r="BM121">
        <v>1.7555292695760699E-2</v>
      </c>
      <c r="BN121" s="2">
        <v>8.5756610133103095E-6</v>
      </c>
      <c r="BO121" s="2">
        <v>3.0610955548127101E-8</v>
      </c>
      <c r="BP121" s="2">
        <v>1.51296973172066E-7</v>
      </c>
      <c r="BQ121" s="2">
        <v>-4.6163865619064401E-8</v>
      </c>
      <c r="BR121">
        <v>71.912948608398395</v>
      </c>
      <c r="BS121">
        <v>53.081192016601598</v>
      </c>
      <c r="BT121">
        <v>1.9664131104946098E-2</v>
      </c>
      <c r="BU121" s="2">
        <v>7.8782522905385105E-6</v>
      </c>
      <c r="BV121" s="2">
        <v>8.3046430177091706E-8</v>
      </c>
      <c r="BW121" s="2">
        <v>1.5562368105293E-7</v>
      </c>
      <c r="BX121" s="2">
        <v>4.0687886837531597E-8</v>
      </c>
      <c r="BY121">
        <v>72.666633605957003</v>
      </c>
      <c r="BZ121">
        <v>-27.710033416748001</v>
      </c>
      <c r="CA121" s="2">
        <v>3.4028230607370999E+38</v>
      </c>
      <c r="CB121" s="2">
        <v>3.4028230607370999E+38</v>
      </c>
      <c r="CC121">
        <v>9196.880859375</v>
      </c>
      <c r="CD121">
        <v>11500.291015625</v>
      </c>
      <c r="CE121">
        <v>-6904.80078125</v>
      </c>
      <c r="CF121" s="2">
        <v>3.4028230607370999E+38</v>
      </c>
      <c r="CG121" s="2">
        <v>3.4028230607370999E+38</v>
      </c>
      <c r="CH121">
        <v>230.00137329101599</v>
      </c>
      <c r="CI121">
        <v>50.000759124755902</v>
      </c>
      <c r="CJ121">
        <v>9196.833984375</v>
      </c>
      <c r="CK121">
        <v>11500.2314453125</v>
      </c>
      <c r="CL121">
        <v>-6904.75146484375</v>
      </c>
      <c r="CM121">
        <v>49.999935150146499</v>
      </c>
      <c r="CN121">
        <v>36.898300170898402</v>
      </c>
      <c r="CO121">
        <v>1.42087833955884E-2</v>
      </c>
      <c r="CP121" s="2">
        <v>8.1603657235973498E-6</v>
      </c>
      <c r="CQ121" s="2">
        <v>1.5200821934513399E-8</v>
      </c>
      <c r="CR121" s="2">
        <v>1.1792959497825E-7</v>
      </c>
      <c r="CS121" s="2">
        <v>-1.2998212284287501E-8</v>
      </c>
      <c r="CT121">
        <v>72.685997009277301</v>
      </c>
      <c r="CU121">
        <v>36.291961669921903</v>
      </c>
      <c r="CV121">
        <v>1.53667079284787E-2</v>
      </c>
      <c r="CW121" s="2">
        <v>8.2456699601607397E-6</v>
      </c>
      <c r="CX121" s="2">
        <v>3.1293620139649601E-8</v>
      </c>
      <c r="CY121" s="2">
        <v>1.2760028766933799E-7</v>
      </c>
      <c r="CZ121" s="2">
        <v>1.8392611877970901E-8</v>
      </c>
      <c r="DA121">
        <v>71.046577453613295</v>
      </c>
      <c r="DB121">
        <v>-30.744684219360401</v>
      </c>
      <c r="DC121" s="2">
        <v>3.4028230607370999E+38</v>
      </c>
      <c r="DD121" s="2">
        <v>3.4028230607370999E+38</v>
      </c>
      <c r="DE121">
        <v>9196.833984375</v>
      </c>
      <c r="DF121">
        <v>11500.2314453125</v>
      </c>
      <c r="DG121">
        <v>-6904.751953125</v>
      </c>
      <c r="DH121" s="2">
        <v>3.4028230607370999E+38</v>
      </c>
      <c r="DI121" s="2">
        <v>3.4028230607370999E+38</v>
      </c>
      <c r="DJ121">
        <v>230.00131225585901</v>
      </c>
      <c r="DK121">
        <v>50.000892639160199</v>
      </c>
      <c r="DL121">
        <v>9196.8759765625</v>
      </c>
      <c r="DM121">
        <v>11500.2841796875</v>
      </c>
      <c r="DN121">
        <v>-6904.80419921875</v>
      </c>
      <c r="DO121">
        <v>49.999912261962898</v>
      </c>
      <c r="DP121">
        <v>36.898323059082003</v>
      </c>
      <c r="DQ121">
        <v>1.62286944687366E-2</v>
      </c>
      <c r="DR121" s="2">
        <v>8.6664358605048602E-6</v>
      </c>
      <c r="DS121" s="2">
        <v>9.3155643199338605E-9</v>
      </c>
      <c r="DT121" s="2">
        <v>1.3682927146874101E-7</v>
      </c>
      <c r="DU121" s="2">
        <v>-5.0145747110264003E-8</v>
      </c>
      <c r="DV121">
        <v>71.633987426757798</v>
      </c>
      <c r="DW121">
        <v>85.373870849609403</v>
      </c>
      <c r="DX121">
        <v>1.7919424921274199E-2</v>
      </c>
      <c r="DY121" s="2">
        <v>8.0117151810554804E-6</v>
      </c>
      <c r="DZ121" s="2">
        <v>6.5807263638362201E-8</v>
      </c>
      <c r="EA121" s="2">
        <v>1.4084795907365301E-7</v>
      </c>
      <c r="EB121" s="2">
        <v>8.0255180279209493E-9</v>
      </c>
      <c r="EC121">
        <v>72.262413024902301</v>
      </c>
      <c r="ED121">
        <v>-7.9403743743896502</v>
      </c>
      <c r="EE121" s="2">
        <v>3.4028230607370999E+38</v>
      </c>
      <c r="EF121" s="2">
        <v>3.4028230607370999E+38</v>
      </c>
      <c r="EG121">
        <v>9196.8759765625</v>
      </c>
      <c r="EH121">
        <v>11500.2841796875</v>
      </c>
      <c r="EI121">
        <v>-6904.8046875</v>
      </c>
      <c r="EJ121" s="2">
        <v>3.4028230607370999E+38</v>
      </c>
      <c r="EK121" s="2">
        <v>3.4028230607370999E+38</v>
      </c>
      <c r="EL121">
        <v>123</v>
      </c>
      <c r="EM121">
        <v>230.00115966796901</v>
      </c>
      <c r="EN121">
        <v>50.000911712646499</v>
      </c>
      <c r="EO121">
        <v>9196.861328125</v>
      </c>
      <c r="EP121">
        <v>11500.2607421875</v>
      </c>
      <c r="EQ121">
        <v>-6904.76123046875</v>
      </c>
      <c r="ER121">
        <v>49.999923706054702</v>
      </c>
      <c r="ES121">
        <v>36.898284912109403</v>
      </c>
      <c r="ET121">
        <v>0.79970914125442505</v>
      </c>
      <c r="EU121" s="2">
        <v>3.4028230607370999E+38</v>
      </c>
      <c r="EV121">
        <v>0</v>
      </c>
      <c r="EW121">
        <v>230.00367736816401</v>
      </c>
      <c r="EX121">
        <v>9197.080078125</v>
      </c>
      <c r="EY121">
        <v>11500.3662109375</v>
      </c>
      <c r="EZ121">
        <v>-6904.6025390625</v>
      </c>
      <c r="FA121">
        <v>9.1074071824550594E-3</v>
      </c>
      <c r="FB121">
        <v>1.4486578293144699E-2</v>
      </c>
      <c r="FC121" s="2">
        <v>8.4282892203191295E-6</v>
      </c>
      <c r="FD121" s="2">
        <v>1.19475629389854E-8</v>
      </c>
      <c r="FE121" s="2">
        <v>1.19573186907473E-7</v>
      </c>
      <c r="FF121" s="2">
        <v>-1.7275734620625401E-8</v>
      </c>
      <c r="FG121">
        <v>73.636100769042997</v>
      </c>
      <c r="FH121">
        <v>55.333030700683601</v>
      </c>
      <c r="FI121">
        <v>0.125453591346741</v>
      </c>
      <c r="FJ121" s="2">
        <v>3.4028230607370999E+38</v>
      </c>
      <c r="FK121">
        <v>9.7044830322265607</v>
      </c>
      <c r="FL121">
        <v>2.00476348400116E-2</v>
      </c>
      <c r="FM121">
        <v>0</v>
      </c>
      <c r="FN121">
        <v>0</v>
      </c>
      <c r="FO121">
        <v>0</v>
      </c>
      <c r="FP121">
        <v>-6.5665721194818605E-4</v>
      </c>
      <c r="FQ121">
        <v>1.5801187604665801E-2</v>
      </c>
      <c r="FR121" s="2">
        <v>8.2851784100057608E-6</v>
      </c>
      <c r="FS121" s="2">
        <v>3.2584082987341403E-8</v>
      </c>
      <c r="FT121" s="2">
        <v>1.3313997726527299E-7</v>
      </c>
      <c r="FU121" s="2">
        <v>3.4818942395986603E-8</v>
      </c>
      <c r="FV121">
        <v>71.883544921875</v>
      </c>
      <c r="FW121">
        <v>-44.934059143066399</v>
      </c>
      <c r="FX121">
        <v>0.26212397217750499</v>
      </c>
      <c r="FY121" s="2">
        <v>3.4028230607370999E+38</v>
      </c>
      <c r="FZ121">
        <v>-56.252315521240199</v>
      </c>
      <c r="GA121">
        <v>229.96566772460901</v>
      </c>
      <c r="GB121" s="2">
        <v>8.1247319982935602E-10</v>
      </c>
      <c r="GC121">
        <v>1.8738642102107399E-3</v>
      </c>
      <c r="GD121" s="2">
        <v>5.6041717932942001E-9</v>
      </c>
      <c r="GE121">
        <v>-3.1215458875522001E-4</v>
      </c>
      <c r="GF121" s="2">
        <v>3.4028230607370999E+38</v>
      </c>
      <c r="GG121" s="2">
        <v>3.4028230607370999E+38</v>
      </c>
      <c r="GH121">
        <v>9196.7900390625</v>
      </c>
      <c r="GI121">
        <v>11500.20703125</v>
      </c>
      <c r="GJ121">
        <v>-6904.78173828125</v>
      </c>
      <c r="GK121" s="2">
        <v>3.4028230607370999E+38</v>
      </c>
      <c r="GL121" s="2">
        <v>3.4028230607370999E+38</v>
      </c>
      <c r="GM121" s="2">
        <v>3.4028230607370999E+38</v>
      </c>
      <c r="GN121" s="2">
        <v>3.4028230607370999E+38</v>
      </c>
      <c r="GO121" s="2">
        <v>3.4028230607370999E+38</v>
      </c>
      <c r="GP121" s="2">
        <v>3.4028230607370999E+38</v>
      </c>
      <c r="GQ121">
        <v>9197.015625</v>
      </c>
      <c r="GR121">
        <v>9197.015625</v>
      </c>
      <c r="GS121">
        <v>-6904.3759765625</v>
      </c>
      <c r="GT121">
        <v>1.1630461551248999E-2</v>
      </c>
      <c r="GX121">
        <f t="shared" si="8"/>
        <v>230.0012237548828</v>
      </c>
      <c r="GY121">
        <f t="shared" si="9"/>
        <v>50.000868225097676</v>
      </c>
      <c r="GZ121">
        <f t="shared" si="10"/>
        <v>9196.8539062500004</v>
      </c>
      <c r="HA121">
        <f t="shared" si="11"/>
        <v>11500.257421875</v>
      </c>
      <c r="HB121">
        <f t="shared" si="12"/>
        <v>-6904.7771484374998</v>
      </c>
      <c r="HC121">
        <f t="shared" si="13"/>
        <v>49.999950408935561</v>
      </c>
      <c r="HD121">
        <f t="shared" si="14"/>
        <v>36.898351287841777</v>
      </c>
      <c r="HW121" s="10">
        <f>(GX121/Data!$S121-1)*1000000</f>
        <v>18.839188946184748</v>
      </c>
      <c r="HX121" s="10">
        <f>(GY121/Data!$T121-1)*1000000</f>
        <v>31.539549014025781</v>
      </c>
      <c r="HY121" s="10">
        <f>(GZ121/Data!$BW121-1)*1000000</f>
        <v>59.742394369344254</v>
      </c>
      <c r="HZ121" s="10">
        <f>(HA121/(Data!$S121*Data!$T121)-1)*1000000</f>
        <v>50.078566932398871</v>
      </c>
      <c r="IA121" s="7">
        <f>(HB121/IF(HD121&gt;0, -Data!$BX121,Data!$BX121)-1)*1000000</f>
        <v>55.451270794204532</v>
      </c>
      <c r="IB121" s="10"/>
      <c r="IC121" s="9">
        <f>(HD121-Data!$U121)</f>
        <v>-1.0902215822028438E-4</v>
      </c>
    </row>
    <row r="122" spans="1:237" x14ac:dyDescent="0.2">
      <c r="A122">
        <v>122</v>
      </c>
      <c r="B122">
        <v>230.00163269043</v>
      </c>
      <c r="C122">
        <v>50.000930786132798</v>
      </c>
      <c r="D122">
        <v>9196.8671875</v>
      </c>
      <c r="E122">
        <v>11500.271484375</v>
      </c>
      <c r="F122">
        <v>-6904.7724609375</v>
      </c>
      <c r="G122">
        <v>49.999931335449197</v>
      </c>
      <c r="H122">
        <v>36.898471832275398</v>
      </c>
      <c r="I122">
        <v>1.6532789915800102E-2</v>
      </c>
      <c r="J122" s="2">
        <v>8.6581212599412504E-6</v>
      </c>
      <c r="K122" s="2">
        <v>9.6474730426621103E-9</v>
      </c>
      <c r="L122" s="2">
        <v>1.4207631693352601E-7</v>
      </c>
      <c r="M122" s="2">
        <v>-5.27852392906425E-8</v>
      </c>
      <c r="N122">
        <v>71.962448120117202</v>
      </c>
      <c r="O122">
        <v>79.595924377441406</v>
      </c>
      <c r="P122">
        <v>1.79966017603874E-2</v>
      </c>
      <c r="Q122" s="2">
        <v>7.9901328717824106E-6</v>
      </c>
      <c r="R122" s="2">
        <v>6.4631088037003805E-8</v>
      </c>
      <c r="S122" s="2">
        <v>1.4371237000432299E-7</v>
      </c>
      <c r="T122" s="2">
        <v>1.27862112009325E-8</v>
      </c>
      <c r="U122">
        <v>72.198539733886705</v>
      </c>
      <c r="V122">
        <v>-9.2954416275024396</v>
      </c>
      <c r="W122" s="2">
        <v>3.4028230607370999E+38</v>
      </c>
      <c r="X122" s="2">
        <v>3.4028230607370999E+38</v>
      </c>
      <c r="Y122">
        <v>9196.8671875</v>
      </c>
      <c r="Z122">
        <v>11500.271484375</v>
      </c>
      <c r="AA122">
        <v>-6904.77294921875</v>
      </c>
      <c r="AB122" s="2">
        <v>3.4028230607370999E+38</v>
      </c>
      <c r="AC122" s="2">
        <v>3.4028230607370999E+38</v>
      </c>
      <c r="AD122">
        <v>230.00094604492199</v>
      </c>
      <c r="AE122">
        <v>50.000881195068402</v>
      </c>
      <c r="AF122">
        <v>9196.833984375</v>
      </c>
      <c r="AG122">
        <v>11500.255859375</v>
      </c>
      <c r="AH122">
        <v>-6904.81103515625</v>
      </c>
      <c r="AI122">
        <v>49.9998970031738</v>
      </c>
      <c r="AJ122">
        <v>36.898555755615199</v>
      </c>
      <c r="AK122">
        <v>1.7652755603194199E-2</v>
      </c>
      <c r="AL122" s="2">
        <v>8.3655968410312198E-6</v>
      </c>
      <c r="AM122" s="2">
        <v>3.7900136362623003E-8</v>
      </c>
      <c r="AN122" s="2">
        <v>1.46182699722885E-7</v>
      </c>
      <c r="AO122" s="2">
        <v>-4.4178296576546901E-8</v>
      </c>
      <c r="AP122">
        <v>72.091514587402301</v>
      </c>
      <c r="AQ122">
        <v>49.763797760009801</v>
      </c>
      <c r="AR122">
        <v>1.9765025004744498E-2</v>
      </c>
      <c r="AS122" s="2">
        <v>8.0294112194678695E-6</v>
      </c>
      <c r="AT122" s="2">
        <v>8.1967719722797496E-8</v>
      </c>
      <c r="AU122" s="2">
        <v>1.5729445124179601E-7</v>
      </c>
      <c r="AV122" s="2">
        <v>4.8592674772862698E-8</v>
      </c>
      <c r="AW122">
        <v>72.269119262695298</v>
      </c>
      <c r="AX122">
        <v>-28.229343414306602</v>
      </c>
      <c r="AY122" s="2">
        <v>3.4028230607370999E+38</v>
      </c>
      <c r="AZ122" s="2">
        <v>3.4028230607370999E+38</v>
      </c>
      <c r="BA122">
        <v>9196.833984375</v>
      </c>
      <c r="BB122">
        <v>11500.255859375</v>
      </c>
      <c r="BC122">
        <v>-6904.8115234375</v>
      </c>
      <c r="BD122" s="2">
        <v>3.4028230607370999E+38</v>
      </c>
      <c r="BE122" s="2">
        <v>3.4028230607370999E+38</v>
      </c>
      <c r="BF122">
        <v>230.00091552734401</v>
      </c>
      <c r="BG122">
        <v>50.000984191894503</v>
      </c>
      <c r="BH122">
        <v>9196.84765625</v>
      </c>
      <c r="BI122">
        <v>11500.236328125</v>
      </c>
      <c r="BJ122">
        <v>-6904.74609375</v>
      </c>
      <c r="BK122">
        <v>49.999912261962898</v>
      </c>
      <c r="BL122">
        <v>36.898303985595703</v>
      </c>
      <c r="BM122">
        <v>1.6318753361702E-2</v>
      </c>
      <c r="BN122" s="2">
        <v>8.5939509517629597E-6</v>
      </c>
      <c r="BO122" s="2">
        <v>1.08444337953983E-8</v>
      </c>
      <c r="BP122" s="2">
        <v>1.4016684701800799E-7</v>
      </c>
      <c r="BQ122" s="2">
        <v>-4.9741345264919801E-8</v>
      </c>
      <c r="BR122">
        <v>72.154144287109403</v>
      </c>
      <c r="BS122">
        <v>77.449539184570298</v>
      </c>
      <c r="BT122">
        <v>1.8040476366877601E-2</v>
      </c>
      <c r="BU122" s="2">
        <v>7.9371711763087694E-6</v>
      </c>
      <c r="BV122" s="2">
        <v>6.1196431033749805E-8</v>
      </c>
      <c r="BW122" s="2">
        <v>1.40522971037171E-7</v>
      </c>
      <c r="BX122" s="2">
        <v>6.2985177073926496E-9</v>
      </c>
      <c r="BY122">
        <v>72.051979064941406</v>
      </c>
      <c r="BZ122">
        <v>-9.5406169891357404</v>
      </c>
      <c r="CA122" s="2">
        <v>3.4028230607370999E+38</v>
      </c>
      <c r="CB122" s="2">
        <v>3.4028230607370999E+38</v>
      </c>
      <c r="CC122">
        <v>9196.84765625</v>
      </c>
      <c r="CD122">
        <v>11500.236328125</v>
      </c>
      <c r="CE122">
        <v>-6904.74658203125</v>
      </c>
      <c r="CF122" s="2">
        <v>3.4028230607370999E+38</v>
      </c>
      <c r="CG122" s="2">
        <v>3.4028230607370999E+38</v>
      </c>
      <c r="CH122">
        <v>230.00177001953099</v>
      </c>
      <c r="CI122">
        <v>50.000686645507798</v>
      </c>
      <c r="CJ122">
        <v>9196.8271484375</v>
      </c>
      <c r="CK122">
        <v>11500.2060546875</v>
      </c>
      <c r="CL122">
        <v>-6904.75830078125</v>
      </c>
      <c r="CM122">
        <v>49.999855041503899</v>
      </c>
      <c r="CN122">
        <v>36.898441314697301</v>
      </c>
      <c r="CO122">
        <v>1.5804829075932499E-2</v>
      </c>
      <c r="CP122" s="2">
        <v>8.0278914538212104E-6</v>
      </c>
      <c r="CQ122" s="2">
        <v>4.2054974613847702E-8</v>
      </c>
      <c r="CR122" s="2">
        <v>1.25594439737142E-7</v>
      </c>
      <c r="CS122" s="2">
        <v>-4.0784611243793701E-9</v>
      </c>
      <c r="CT122">
        <v>72.4761962890625</v>
      </c>
      <c r="CU122">
        <v>5.7282414436340297</v>
      </c>
      <c r="CV122">
        <v>1.7035413533449201E-2</v>
      </c>
      <c r="CW122" s="2">
        <v>8.3650866145035303E-6</v>
      </c>
      <c r="CX122" s="2">
        <v>4.68081076121507E-8</v>
      </c>
      <c r="CY122" s="2">
        <v>1.3951706989701099E-7</v>
      </c>
      <c r="CZ122" s="2">
        <v>5.0298687881422699E-8</v>
      </c>
      <c r="DA122">
        <v>72.898590087890597</v>
      </c>
      <c r="DB122">
        <v>-47.5719604492188</v>
      </c>
      <c r="DC122" s="2">
        <v>3.4028230607370999E+38</v>
      </c>
      <c r="DD122" s="2">
        <v>3.4028230607370999E+38</v>
      </c>
      <c r="DE122">
        <v>9196.8271484375</v>
      </c>
      <c r="DF122">
        <v>11500.2060546875</v>
      </c>
      <c r="DG122">
        <v>-6904.7587890625</v>
      </c>
      <c r="DH122" s="2">
        <v>3.4028230607370999E+38</v>
      </c>
      <c r="DI122" s="2">
        <v>3.4028230607370999E+38</v>
      </c>
      <c r="DJ122">
        <v>230.00076293945301</v>
      </c>
      <c r="DK122">
        <v>50.000816345214801</v>
      </c>
      <c r="DL122">
        <v>9196.8046875</v>
      </c>
      <c r="DM122">
        <v>11500.220703125</v>
      </c>
      <c r="DN122">
        <v>-6904.80859375</v>
      </c>
      <c r="DO122">
        <v>49.999996185302699</v>
      </c>
      <c r="DP122">
        <v>36.898601531982401</v>
      </c>
      <c r="DQ122">
        <v>1.7637079581618299E-2</v>
      </c>
      <c r="DR122" s="2">
        <v>8.4384528236114403E-6</v>
      </c>
      <c r="DS122" s="2">
        <v>3.8825046289048299E-8</v>
      </c>
      <c r="DT122" s="2">
        <v>1.47050414511796E-7</v>
      </c>
      <c r="DU122" s="2">
        <v>-4.5125943870516501E-8</v>
      </c>
      <c r="DV122">
        <v>72.202804565429702</v>
      </c>
      <c r="DW122">
        <v>52.296127319335902</v>
      </c>
      <c r="DX122">
        <v>1.9739037379622501E-2</v>
      </c>
      <c r="DY122" s="2">
        <v>7.85556676419219E-6</v>
      </c>
      <c r="DZ122" s="2">
        <v>8.5000806393509305E-8</v>
      </c>
      <c r="EA122" s="2">
        <v>1.59619872874828E-7</v>
      </c>
      <c r="EB122" s="2">
        <v>4.6029715150552901E-8</v>
      </c>
      <c r="EC122">
        <v>72.853820800781193</v>
      </c>
      <c r="ED122">
        <v>-28.487363815307599</v>
      </c>
      <c r="EE122" s="2">
        <v>3.4028230607370999E+38</v>
      </c>
      <c r="EF122" s="2">
        <v>3.4028230607370999E+38</v>
      </c>
      <c r="EG122">
        <v>9196.8046875</v>
      </c>
      <c r="EH122">
        <v>11500.220703125</v>
      </c>
      <c r="EI122">
        <v>-6904.80908203125</v>
      </c>
      <c r="EJ122" s="2">
        <v>3.4028230607370999E+38</v>
      </c>
      <c r="EK122" s="2">
        <v>3.4028230607370999E+38</v>
      </c>
      <c r="EL122">
        <v>123</v>
      </c>
      <c r="EM122">
        <v>230.00125122070301</v>
      </c>
      <c r="EN122">
        <v>50.000961303710902</v>
      </c>
      <c r="EO122">
        <v>9196.8564453125</v>
      </c>
      <c r="EP122">
        <v>11500.2861328125</v>
      </c>
      <c r="EQ122">
        <v>-6904.82421875</v>
      </c>
      <c r="ER122">
        <v>49.999923706054702</v>
      </c>
      <c r="ES122">
        <v>36.898712158203097</v>
      </c>
      <c r="ET122">
        <v>0.79970520734786998</v>
      </c>
      <c r="EU122" s="2">
        <v>3.4028230607370999E+38</v>
      </c>
      <c r="EV122">
        <v>0</v>
      </c>
      <c r="EW122">
        <v>230.00306701660199</v>
      </c>
      <c r="EX122">
        <v>9197.220703125</v>
      </c>
      <c r="EY122">
        <v>11500.333984375</v>
      </c>
      <c r="EZ122">
        <v>-6904.28564453125</v>
      </c>
      <c r="FA122">
        <v>3.37984599173069E-2</v>
      </c>
      <c r="FB122">
        <v>1.7666576430201499E-2</v>
      </c>
      <c r="FC122" s="2">
        <v>8.3618670032592507E-6</v>
      </c>
      <c r="FD122" s="2">
        <v>3.9809634699850001E-8</v>
      </c>
      <c r="FE122" s="2">
        <v>1.4912858148363699E-7</v>
      </c>
      <c r="FF122" s="2">
        <v>-4.1199655242962802E-8</v>
      </c>
      <c r="FG122">
        <v>72.8372802734375</v>
      </c>
      <c r="FH122">
        <v>38.860862731933601</v>
      </c>
      <c r="FI122">
        <v>0.29654783010482799</v>
      </c>
      <c r="FJ122" s="2">
        <v>3.4028230607370999E+38</v>
      </c>
      <c r="FK122">
        <v>-38.746536254882798</v>
      </c>
      <c r="FL122">
        <v>2.1111255511641499E-2</v>
      </c>
      <c r="FM122">
        <v>0</v>
      </c>
      <c r="FN122">
        <v>0</v>
      </c>
      <c r="FO122">
        <v>0</v>
      </c>
      <c r="FP122">
        <v>-7.26538943126798E-4</v>
      </c>
      <c r="FQ122">
        <v>1.9323954358696899E-2</v>
      </c>
      <c r="FR122" s="2">
        <v>8.1644548117765192E-6</v>
      </c>
      <c r="FS122" s="2">
        <v>7.7769946926764506E-8</v>
      </c>
      <c r="FT122" s="2">
        <v>1.5761935401314999E-7</v>
      </c>
      <c r="FU122" s="2">
        <v>5.4047589514993901E-8</v>
      </c>
      <c r="FV122">
        <v>72.189102172851605</v>
      </c>
      <c r="FW122">
        <v>-36.3490600585938</v>
      </c>
      <c r="FX122">
        <v>0.54183846712112405</v>
      </c>
      <c r="FY122" s="2">
        <v>3.4028230607370999E+38</v>
      </c>
      <c r="FZ122">
        <v>-36.987354278564503</v>
      </c>
      <c r="GA122">
        <v>229.420333862305</v>
      </c>
      <c r="GB122" s="2">
        <v>9.5013090728457395E-9</v>
      </c>
      <c r="GC122">
        <v>1.85027916450053E-3</v>
      </c>
      <c r="GD122" s="2">
        <v>5.9568665555787001E-9</v>
      </c>
      <c r="GE122">
        <v>-3.3137988066300701E-4</v>
      </c>
      <c r="GF122" s="2">
        <v>3.4028230607370999E+38</v>
      </c>
      <c r="GG122" s="2">
        <v>3.4028230607370999E+38</v>
      </c>
      <c r="GH122">
        <v>9196.81640625</v>
      </c>
      <c r="GI122">
        <v>11500.25</v>
      </c>
      <c r="GJ122">
        <v>-6904.8037109375</v>
      </c>
      <c r="GK122" s="2">
        <v>3.4028230607370999E+38</v>
      </c>
      <c r="GL122" s="2">
        <v>3.4028230607370999E+38</v>
      </c>
      <c r="GM122" s="2">
        <v>3.4028230607370999E+38</v>
      </c>
      <c r="GN122" s="2">
        <v>3.4028230607370999E+38</v>
      </c>
      <c r="GO122" s="2">
        <v>3.4028230607370999E+38</v>
      </c>
      <c r="GP122" s="2">
        <v>3.4028230607370999E+38</v>
      </c>
      <c r="GQ122">
        <v>9197.1083984375</v>
      </c>
      <c r="GR122">
        <v>9197.1083984375</v>
      </c>
      <c r="GS122">
        <v>-6904.27294921875</v>
      </c>
      <c r="GT122">
        <v>2.0612368360161799E-2</v>
      </c>
      <c r="GX122">
        <f t="shared" si="8"/>
        <v>230.00120544433602</v>
      </c>
      <c r="GY122">
        <f t="shared" si="9"/>
        <v>50.000859832763659</v>
      </c>
      <c r="GZ122">
        <f t="shared" si="10"/>
        <v>9196.8361328124993</v>
      </c>
      <c r="HA122">
        <f t="shared" si="11"/>
        <v>11500.238085937501</v>
      </c>
      <c r="HB122">
        <f t="shared" si="12"/>
        <v>-6904.779296875</v>
      </c>
      <c r="HC122">
        <f t="shared" si="13"/>
        <v>49.9999183654785</v>
      </c>
      <c r="HD122">
        <f t="shared" si="14"/>
        <v>36.898474884033199</v>
      </c>
      <c r="HW122" s="10">
        <f>(GX122/Data!$S122-1)*1000000</f>
        <v>18.881754668464978</v>
      </c>
      <c r="HX122" s="10">
        <f>(GY122/Data!$T122-1)*1000000</f>
        <v>32.933973548532336</v>
      </c>
      <c r="HY122" s="10">
        <f>(GZ122/Data!$BW122-1)*1000000</f>
        <v>58.086480336116963</v>
      </c>
      <c r="HZ122" s="10">
        <f>(HA122/(Data!$S122*Data!$T122)-1)*1000000</f>
        <v>50.081616374431093</v>
      </c>
      <c r="IA122" s="7">
        <f>(HB122/IF(HD122&gt;0, -Data!$BX122,Data!$BX122)-1)*1000000</f>
        <v>59.945099974090255</v>
      </c>
      <c r="IB122" s="10"/>
      <c r="IC122" s="9">
        <f>(HD122-Data!$U122)</f>
        <v>1.2202403319605537E-4</v>
      </c>
    </row>
    <row r="123" spans="1:237" x14ac:dyDescent="0.2">
      <c r="A123">
        <v>123</v>
      </c>
      <c r="B123">
        <v>230.00428771972699</v>
      </c>
      <c r="C123">
        <v>100.001113891602</v>
      </c>
      <c r="D123">
        <v>23000.681640625</v>
      </c>
      <c r="E123">
        <v>23000.697265625</v>
      </c>
      <c r="F123">
        <v>1.09924292564392</v>
      </c>
      <c r="G123">
        <v>49.999946594238303</v>
      </c>
      <c r="H123">
        <v>-2.9707094654440902E-3</v>
      </c>
      <c r="I123">
        <v>1.79498642683029E-2</v>
      </c>
      <c r="J123" s="2">
        <v>1.47874234244227E-5</v>
      </c>
      <c r="K123" s="2">
        <v>1.29232731183038E-7</v>
      </c>
      <c r="L123" s="2">
        <v>2.6542574005361498E-7</v>
      </c>
      <c r="M123" s="2">
        <v>-9.3732467121299097E-8</v>
      </c>
      <c r="N123">
        <v>49.953220367431598</v>
      </c>
      <c r="O123">
        <v>36.5626220703125</v>
      </c>
      <c r="P123">
        <v>1.9791571423411401E-2</v>
      </c>
      <c r="Q123" s="2">
        <v>1.33307130454341E-5</v>
      </c>
      <c r="R123" s="2">
        <v>1.3176612867482599E-7</v>
      </c>
      <c r="S123" s="2">
        <v>2.6382843998362702E-7</v>
      </c>
      <c r="T123" s="2">
        <v>9.1273072655440007E-8</v>
      </c>
      <c r="U123">
        <v>50.052619934082003</v>
      </c>
      <c r="V123">
        <v>-35.163372039794901</v>
      </c>
      <c r="W123" s="2">
        <v>3.4028230607370999E+38</v>
      </c>
      <c r="X123" s="2">
        <v>3.4028230607370999E+38</v>
      </c>
      <c r="Y123">
        <v>23000.681640625</v>
      </c>
      <c r="Z123">
        <v>23000.697265625</v>
      </c>
      <c r="AA123">
        <v>1.09924280643463</v>
      </c>
      <c r="AB123" s="2">
        <v>3.4028230607370999E+38</v>
      </c>
      <c r="AC123" s="2">
        <v>3.4028230607370999E+38</v>
      </c>
      <c r="AD123">
        <v>230.00413513183599</v>
      </c>
      <c r="AE123">
        <v>100.001083374023</v>
      </c>
      <c r="AF123">
        <v>23000.634765625</v>
      </c>
      <c r="AG123">
        <v>23000.650390625</v>
      </c>
      <c r="AH123">
        <v>1.12221455574036</v>
      </c>
      <c r="AI123">
        <v>49.9999389648438</v>
      </c>
      <c r="AJ123">
        <v>-2.7954974211752402E-3</v>
      </c>
      <c r="AK123">
        <v>1.77197437733412E-2</v>
      </c>
      <c r="AL123" s="2">
        <v>1.46435540955281E-5</v>
      </c>
      <c r="AM123" s="2">
        <v>1.36514671567056E-7</v>
      </c>
      <c r="AN123" s="2">
        <v>2.5807099746089101E-7</v>
      </c>
      <c r="AO123" s="2">
        <v>-6.6102742835027999E-8</v>
      </c>
      <c r="AP123">
        <v>49.9403076171875</v>
      </c>
      <c r="AQ123">
        <v>25.8370571136475</v>
      </c>
      <c r="AR123">
        <v>1.92020852118731E-2</v>
      </c>
      <c r="AS123" s="2">
        <v>1.34076190079213E-5</v>
      </c>
      <c r="AT123" s="2">
        <v>1.12217321657226E-7</v>
      </c>
      <c r="AU123" s="2">
        <v>2.6426309318594598E-7</v>
      </c>
      <c r="AV123" s="2">
        <v>1.1017828427384301E-7</v>
      </c>
      <c r="AW123">
        <v>50.059761047363303</v>
      </c>
      <c r="AX123">
        <v>-44.567535400390597</v>
      </c>
      <c r="AY123" s="2">
        <v>3.4028230607370999E+38</v>
      </c>
      <c r="AZ123" s="2">
        <v>3.4028230607370999E+38</v>
      </c>
      <c r="BA123">
        <v>23000.634765625</v>
      </c>
      <c r="BB123">
        <v>23000.650390625</v>
      </c>
      <c r="BC123">
        <v>1.12221455574036</v>
      </c>
      <c r="BD123" s="2">
        <v>3.4028230607370999E+38</v>
      </c>
      <c r="BE123" s="2">
        <v>3.4028230607370999E+38</v>
      </c>
      <c r="BF123">
        <v>230.00405883789099</v>
      </c>
      <c r="BG123">
        <v>100.001274108887</v>
      </c>
      <c r="BH123">
        <v>23000.669921875</v>
      </c>
      <c r="BI123">
        <v>23000.685546875</v>
      </c>
      <c r="BJ123">
        <v>1.2114055156707799</v>
      </c>
      <c r="BK123">
        <v>49.999893188476598</v>
      </c>
      <c r="BL123">
        <v>-2.76087922975421E-3</v>
      </c>
      <c r="BM123">
        <v>1.7611268907785398E-2</v>
      </c>
      <c r="BN123" s="2">
        <v>1.5010396964498801E-5</v>
      </c>
      <c r="BO123" s="2">
        <v>1.12289718856573E-7</v>
      </c>
      <c r="BP123" s="2">
        <v>2.6434972255629001E-7</v>
      </c>
      <c r="BQ123" s="2">
        <v>-1.07063655718775E-7</v>
      </c>
      <c r="BR123">
        <v>50.109195709228501</v>
      </c>
      <c r="BS123">
        <v>42.1180419921875</v>
      </c>
      <c r="BT123">
        <v>1.9638717174530002E-2</v>
      </c>
      <c r="BU123" s="2">
        <v>1.3168494660931201E-5</v>
      </c>
      <c r="BV123" s="2">
        <v>1.4116908175765301E-7</v>
      </c>
      <c r="BW123" s="2">
        <v>2.5797456260079301E-7</v>
      </c>
      <c r="BX123" s="2">
        <v>7.1858437422633896E-8</v>
      </c>
      <c r="BY123">
        <v>49.996044158935497</v>
      </c>
      <c r="BZ123">
        <v>-27.581083297729499</v>
      </c>
      <c r="CA123" s="2">
        <v>3.4028230607370999E+38</v>
      </c>
      <c r="CB123" s="2">
        <v>3.4028230607370999E+38</v>
      </c>
      <c r="CC123">
        <v>23000.669921875</v>
      </c>
      <c r="CD123">
        <v>23000.685546875</v>
      </c>
      <c r="CE123">
        <v>1.2114053964614899</v>
      </c>
      <c r="CF123" s="2">
        <v>3.4028230607370999E+38</v>
      </c>
      <c r="CG123" s="2">
        <v>3.4028230607370999E+38</v>
      </c>
      <c r="CH123">
        <v>230.00451660156199</v>
      </c>
      <c r="CI123">
        <v>100.00121307373</v>
      </c>
      <c r="CJ123">
        <v>23000.703125</v>
      </c>
      <c r="CK123">
        <v>23000.630859375</v>
      </c>
      <c r="CL123">
        <v>1.16776406764984</v>
      </c>
      <c r="CM123">
        <v>49.999889373779297</v>
      </c>
      <c r="CN123">
        <v>-2.9089634772390101E-3</v>
      </c>
      <c r="CO123">
        <v>1.7427330836653699E-2</v>
      </c>
      <c r="CP123" s="2">
        <v>1.4549563275068099E-5</v>
      </c>
      <c r="CQ123" s="2">
        <v>1.30378381868468E-7</v>
      </c>
      <c r="CR123" s="2">
        <v>2.5217434540536498E-7</v>
      </c>
      <c r="CS123" s="2">
        <v>-5.1455213423423603E-8</v>
      </c>
      <c r="CT123">
        <v>49.913005828857401</v>
      </c>
      <c r="CU123">
        <v>17.3105163574219</v>
      </c>
      <c r="CV123">
        <v>1.89154371619225E-2</v>
      </c>
      <c r="CW123" s="2">
        <v>1.35933778437902E-5</v>
      </c>
      <c r="CX123" s="2">
        <v>9.4686903651108904E-8</v>
      </c>
      <c r="CY123" s="2">
        <v>2.5711725015753499E-7</v>
      </c>
      <c r="CZ123" s="2">
        <v>1.14782366722466E-7</v>
      </c>
      <c r="DA123">
        <v>49.992843627929702</v>
      </c>
      <c r="DB123">
        <v>-52.996772766113303</v>
      </c>
      <c r="DC123" s="2">
        <v>3.4028230607370999E+38</v>
      </c>
      <c r="DD123" s="2">
        <v>3.4028230607370999E+38</v>
      </c>
      <c r="DE123">
        <v>23000.703125</v>
      </c>
      <c r="DF123">
        <v>23000.630859375</v>
      </c>
      <c r="DG123">
        <v>1.16776406764984</v>
      </c>
      <c r="DH123" s="2">
        <v>3.4028230607370999E+38</v>
      </c>
      <c r="DI123" s="2">
        <v>3.4028230607370999E+38</v>
      </c>
      <c r="DJ123">
        <v>230.00410461425801</v>
      </c>
      <c r="DK123">
        <v>100.00115203857401</v>
      </c>
      <c r="DL123">
        <v>23000.6484375</v>
      </c>
      <c r="DM123">
        <v>23000.66015625</v>
      </c>
      <c r="DN123">
        <v>1.1109659671783401</v>
      </c>
      <c r="DO123">
        <v>49.999969482421903</v>
      </c>
      <c r="DP123">
        <v>-2.90716998279095E-3</v>
      </c>
      <c r="DQ123">
        <v>1.5893144533038101E-2</v>
      </c>
      <c r="DR123" s="2">
        <v>1.45243147926521E-5</v>
      </c>
      <c r="DS123" s="2">
        <v>1.08840929158305E-7</v>
      </c>
      <c r="DT123" s="2">
        <v>2.3081975086825E-7</v>
      </c>
      <c r="DU123" s="2">
        <v>-1.5712284806568301E-8</v>
      </c>
      <c r="DV123">
        <v>49.9904174804688</v>
      </c>
      <c r="DW123">
        <v>8.3020200729370099</v>
      </c>
      <c r="DX123">
        <v>1.6922617331147201E-2</v>
      </c>
      <c r="DY123" s="2">
        <v>1.37448914756533E-5</v>
      </c>
      <c r="DZ123" s="2">
        <v>5.1805773892965603E-8</v>
      </c>
      <c r="EA123" s="2">
        <v>2.2906418450929801E-7</v>
      </c>
      <c r="EB123" s="2">
        <v>9.21939857789766E-8</v>
      </c>
      <c r="EC123">
        <v>50.028694152832003</v>
      </c>
      <c r="ED123">
        <v>-61.450504302978501</v>
      </c>
      <c r="EE123" s="2">
        <v>3.4028230607370999E+38</v>
      </c>
      <c r="EF123" s="2">
        <v>3.4028230607370999E+38</v>
      </c>
      <c r="EG123">
        <v>23000.6484375</v>
      </c>
      <c r="EH123">
        <v>23000.66015625</v>
      </c>
      <c r="EI123">
        <v>1.1109659671783401</v>
      </c>
      <c r="EJ123" s="2">
        <v>3.4028230607370999E+38</v>
      </c>
      <c r="EK123" s="2">
        <v>3.4028230607370999E+38</v>
      </c>
      <c r="EL123">
        <v>123</v>
      </c>
      <c r="EM123">
        <v>230.00419616699199</v>
      </c>
      <c r="EN123">
        <v>100.001098632812</v>
      </c>
      <c r="EO123">
        <v>23000.65625</v>
      </c>
      <c r="EP123">
        <v>23000.671875</v>
      </c>
      <c r="EQ123">
        <v>1.1723335981369001</v>
      </c>
      <c r="ER123">
        <v>49.999885559082003</v>
      </c>
      <c r="ES123">
        <v>-2.82581988722086E-3</v>
      </c>
      <c r="ET123">
        <v>0.99999940395355202</v>
      </c>
      <c r="EU123" s="2">
        <v>3.4028230607370999E+38</v>
      </c>
      <c r="EV123">
        <v>0</v>
      </c>
      <c r="EW123">
        <v>230.00337219238301</v>
      </c>
      <c r="EX123">
        <v>23000.552734375</v>
      </c>
      <c r="EY123">
        <v>23000.564453125</v>
      </c>
      <c r="EZ123">
        <v>1.7012413740158101</v>
      </c>
      <c r="FA123">
        <v>6.7176357842981798E-3</v>
      </c>
      <c r="FB123">
        <v>1.49239962920547E-2</v>
      </c>
      <c r="FC123" s="2">
        <v>1.4742278835910801E-5</v>
      </c>
      <c r="FD123" s="2">
        <v>6.9823911985622505E-8</v>
      </c>
      <c r="FE123" s="2">
        <v>2.1551137763253799E-7</v>
      </c>
      <c r="FF123" s="2">
        <v>-2.0202715944606101E-8</v>
      </c>
      <c r="FG123">
        <v>50.041332244872997</v>
      </c>
      <c r="FH123">
        <v>17.288051605224599</v>
      </c>
      <c r="FI123">
        <v>0.28555360436439498</v>
      </c>
      <c r="FJ123" s="2">
        <v>3.4028230607370999E+38</v>
      </c>
      <c r="FK123">
        <v>157.84219360351599</v>
      </c>
      <c r="FL123">
        <v>2.0270124077796901E-2</v>
      </c>
      <c r="FM123">
        <v>0</v>
      </c>
      <c r="FN123">
        <v>0</v>
      </c>
      <c r="FO123">
        <v>0</v>
      </c>
      <c r="FP123">
        <v>-7.2638737037777901E-4</v>
      </c>
      <c r="FQ123">
        <v>1.53737096115947E-2</v>
      </c>
      <c r="FR123" s="2">
        <v>1.3475781088345699E-5</v>
      </c>
      <c r="FS123" s="2">
        <v>4.5634404699512703E-8</v>
      </c>
      <c r="FT123" s="2">
        <v>2.0719549809200499E-7</v>
      </c>
      <c r="FU123" s="2">
        <v>2.2369631480501101E-8</v>
      </c>
      <c r="FV123">
        <v>49.9743843078613</v>
      </c>
      <c r="FW123">
        <v>-22.960033416748001</v>
      </c>
      <c r="FX123">
        <v>0.254373699426651</v>
      </c>
      <c r="FY123" s="2">
        <v>3.4028230607370999E+38</v>
      </c>
      <c r="FZ123">
        <v>144.30377197265599</v>
      </c>
      <c r="GA123">
        <v>229.96466064453099</v>
      </c>
      <c r="GB123" s="2">
        <v>2.1685233608792499E-9</v>
      </c>
      <c r="GC123">
        <v>3.0767428688704998E-3</v>
      </c>
      <c r="GD123" s="2">
        <v>-2.0529693500748201E-9</v>
      </c>
      <c r="GE123">
        <v>-1.2015545507893001E-3</v>
      </c>
      <c r="GF123" s="2">
        <v>3.4028230607370999E+38</v>
      </c>
      <c r="GG123" s="2">
        <v>3.4028230607370999E+38</v>
      </c>
      <c r="GH123">
        <v>23000.716796875</v>
      </c>
      <c r="GI123">
        <v>23000.728515625</v>
      </c>
      <c r="GJ123">
        <v>1.12768483161926</v>
      </c>
      <c r="GK123" s="2">
        <v>3.4028230607370999E+38</v>
      </c>
      <c r="GL123" s="2">
        <v>3.4028230607370999E+38</v>
      </c>
      <c r="GM123" s="2">
        <v>3.4028230607370999E+38</v>
      </c>
      <c r="GN123" s="2">
        <v>3.4028230607370999E+38</v>
      </c>
      <c r="GO123" s="2">
        <v>3.4028230607370999E+38</v>
      </c>
      <c r="GP123" s="2">
        <v>3.4028230607370999E+38</v>
      </c>
      <c r="GQ123">
        <v>23001.111328125</v>
      </c>
      <c r="GR123">
        <v>23001.111328125</v>
      </c>
      <c r="GS123">
        <v>1.6603413820266699</v>
      </c>
      <c r="GT123">
        <v>2.8143068775534599E-2</v>
      </c>
      <c r="GX123">
        <f t="shared" si="8"/>
        <v>230.00422058105477</v>
      </c>
      <c r="GY123">
        <f t="shared" si="9"/>
        <v>100.0011672973632</v>
      </c>
      <c r="GZ123">
        <f t="shared" si="10"/>
        <v>23000.667578125001</v>
      </c>
      <c r="HA123">
        <f t="shared" si="11"/>
        <v>23000.664843750001</v>
      </c>
      <c r="HB123">
        <f t="shared" si="12"/>
        <v>1.1423186063766482</v>
      </c>
      <c r="HC123">
        <f t="shared" si="13"/>
        <v>49.999927520751982</v>
      </c>
      <c r="HD123">
        <f t="shared" si="14"/>
        <v>-2.8686439152807003E-3</v>
      </c>
      <c r="HW123" s="10">
        <f>(GX123/Data!$S123-1)*1000000</f>
        <v>33.773047178886628</v>
      </c>
      <c r="HX123" s="10">
        <f>(GY123/Data!$T123-1)*1000000</f>
        <v>-4.9689436748545646</v>
      </c>
      <c r="HY123" s="10">
        <f>(GZ123/Data!$BW123-1)*1000000</f>
        <v>27.799884417367693</v>
      </c>
      <c r="HZ123" s="10">
        <f>(HA123/(Data!$S123*Data!$T123)-1)*1000000</f>
        <v>27.686646803193327</v>
      </c>
      <c r="IA123" s="7">
        <f>(HB123/IF(HD123&gt;0, -Data!$BX123,Data!$BX123)-1)*1000000</f>
        <v>5517812.2544186097</v>
      </c>
      <c r="IB123" s="10"/>
      <c r="IC123" s="9">
        <f>(HD123-Data!$U123)</f>
        <v>-2.4320479152807003E-3</v>
      </c>
    </row>
    <row r="124" spans="1:237" x14ac:dyDescent="0.2">
      <c r="A124">
        <v>124</v>
      </c>
      <c r="B124">
        <v>230.00738525390599</v>
      </c>
      <c r="C124">
        <v>100.00128173828099</v>
      </c>
      <c r="D124">
        <v>11499.7783203125</v>
      </c>
      <c r="E124">
        <v>23001.0703125</v>
      </c>
      <c r="F124">
        <v>19919.9453125</v>
      </c>
      <c r="G124">
        <v>49.999908447265597</v>
      </c>
      <c r="H124">
        <v>-60.002033233642599</v>
      </c>
      <c r="I124">
        <v>1.4551139436662201E-2</v>
      </c>
      <c r="J124" s="2">
        <v>1.5222082765831101E-5</v>
      </c>
      <c r="K124" s="2">
        <v>5.9192949208863898E-8</v>
      </c>
      <c r="L124" s="2">
        <v>2.2112394049145199E-7</v>
      </c>
      <c r="M124" s="2">
        <v>4.9589328199317599E-8</v>
      </c>
      <c r="N124">
        <v>49.995548248291001</v>
      </c>
      <c r="O124">
        <v>-38.384944915771499</v>
      </c>
      <c r="P124">
        <v>1.5612805262208001E-2</v>
      </c>
      <c r="Q124" s="2">
        <v>1.31088536363677E-5</v>
      </c>
      <c r="R124" s="2">
        <v>-2.4794108099968101E-8</v>
      </c>
      <c r="S124" s="2">
        <v>2.06887776244002E-7</v>
      </c>
      <c r="T124" s="2">
        <v>5.7206584358482399E-8</v>
      </c>
      <c r="U124">
        <v>50.037670135497997</v>
      </c>
      <c r="V124">
        <v>-111.55718994140599</v>
      </c>
      <c r="W124" s="2">
        <v>3.4028230607370999E+38</v>
      </c>
      <c r="X124" s="2">
        <v>3.4028230607370999E+38</v>
      </c>
      <c r="Y124">
        <v>11499.77734375</v>
      </c>
      <c r="Z124">
        <v>23001.0703125</v>
      </c>
      <c r="AA124">
        <v>19919.9453125</v>
      </c>
      <c r="AB124" s="2">
        <v>3.4028230607370999E+38</v>
      </c>
      <c r="AC124" s="2">
        <v>3.4028230607370999E+38</v>
      </c>
      <c r="AD124">
        <v>230.00735473632801</v>
      </c>
      <c r="AE124">
        <v>100.001327514648</v>
      </c>
      <c r="AF124">
        <v>11499.830078125</v>
      </c>
      <c r="AG124">
        <v>23001.068359375</v>
      </c>
      <c r="AH124">
        <v>19919.970703125</v>
      </c>
      <c r="AI124">
        <v>49.9999809265137</v>
      </c>
      <c r="AJ124">
        <v>-60.002079010009801</v>
      </c>
      <c r="AK124">
        <v>1.7971150577068301E-2</v>
      </c>
      <c r="AL124" s="2">
        <v>1.4485633073491E-5</v>
      </c>
      <c r="AM124" s="2">
        <v>1.4131377668036299E-7</v>
      </c>
      <c r="AN124" s="2">
        <v>2.6038904366032501E-7</v>
      </c>
      <c r="AO124" s="2">
        <v>6.3042641329502697E-8</v>
      </c>
      <c r="AP124">
        <v>50.000026702880902</v>
      </c>
      <c r="AQ124">
        <v>-23.867832183837901</v>
      </c>
      <c r="AR124">
        <v>1.93089861422777E-2</v>
      </c>
      <c r="AS124" s="2">
        <v>1.358977988275E-5</v>
      </c>
      <c r="AT124" s="2">
        <v>-1.5675340137022401E-8</v>
      </c>
      <c r="AU124" s="2">
        <v>2.6451024837115298E-7</v>
      </c>
      <c r="AV124" s="2">
        <v>1.6092073451545701E-7</v>
      </c>
      <c r="AW124">
        <v>49.984146118164098</v>
      </c>
      <c r="AX124">
        <v>-95.672477722167997</v>
      </c>
      <c r="AY124" s="2">
        <v>3.4028230607370999E+38</v>
      </c>
      <c r="AZ124" s="2">
        <v>3.4028230607370999E+38</v>
      </c>
      <c r="BA124">
        <v>11499.8291015625</v>
      </c>
      <c r="BB124">
        <v>23001.068359375</v>
      </c>
      <c r="BC124">
        <v>19919.970703125</v>
      </c>
      <c r="BD124" s="2">
        <v>3.4028230607370999E+38</v>
      </c>
      <c r="BE124" s="2">
        <v>3.4028230607370999E+38</v>
      </c>
      <c r="BF124">
        <v>230.00790405273401</v>
      </c>
      <c r="BG124">
        <v>100.00136566162099</v>
      </c>
      <c r="BH124">
        <v>11499.8798828125</v>
      </c>
      <c r="BI124">
        <v>23000.990234375</v>
      </c>
      <c r="BJ124">
        <v>19919.904296875</v>
      </c>
      <c r="BK124">
        <v>49.999923706054702</v>
      </c>
      <c r="BL124">
        <v>-60.002067565917997</v>
      </c>
      <c r="BM124">
        <v>1.43900541588664E-2</v>
      </c>
      <c r="BN124" s="2">
        <v>1.53414403030183E-5</v>
      </c>
      <c r="BO124" s="2">
        <v>6.3598442068268897E-8</v>
      </c>
      <c r="BP124" s="2">
        <v>2.21829949964558E-7</v>
      </c>
      <c r="BQ124" s="2">
        <v>2.30965966352414E-8</v>
      </c>
      <c r="BR124">
        <v>49.897552490234403</v>
      </c>
      <c r="BS124">
        <v>-17.563877105712901</v>
      </c>
      <c r="BT124">
        <v>1.5414803288877E-2</v>
      </c>
      <c r="BU124" s="2">
        <v>1.29743430079543E-5</v>
      </c>
      <c r="BV124" s="2">
        <v>-1.0729171995294E-9</v>
      </c>
      <c r="BW124" s="2">
        <v>1.98288432784466E-7</v>
      </c>
      <c r="BX124" s="2">
        <v>5.1835769454555702E-8</v>
      </c>
      <c r="BY124">
        <v>49.991550445556598</v>
      </c>
      <c r="BZ124">
        <v>-86.161567687988295</v>
      </c>
      <c r="CA124" s="2">
        <v>3.4028230607370999E+38</v>
      </c>
      <c r="CB124" s="2">
        <v>3.4028230607370999E+38</v>
      </c>
      <c r="CC124">
        <v>11499.87890625</v>
      </c>
      <c r="CD124">
        <v>23000.990234375</v>
      </c>
      <c r="CE124">
        <v>19919.904296875</v>
      </c>
      <c r="CF124" s="2">
        <v>3.4028230607370999E+38</v>
      </c>
      <c r="CG124" s="2">
        <v>3.4028230607370999E+38</v>
      </c>
      <c r="CH124">
        <v>230.00738525390599</v>
      </c>
      <c r="CI124">
        <v>100.001190185547</v>
      </c>
      <c r="CJ124">
        <v>11499.8505859375</v>
      </c>
      <c r="CK124">
        <v>23000.984375</v>
      </c>
      <c r="CL124">
        <v>19919.892578125</v>
      </c>
      <c r="CM124">
        <v>49.999866485595703</v>
      </c>
      <c r="CN124">
        <v>-60.002033233642599</v>
      </c>
      <c r="CO124">
        <v>1.7890371382236502E-2</v>
      </c>
      <c r="CP124" s="2">
        <v>1.44486994031467E-5</v>
      </c>
      <c r="CQ124" s="2">
        <v>1.3374852869674201E-7</v>
      </c>
      <c r="CR124" s="2">
        <v>2.5696135708130901E-7</v>
      </c>
      <c r="CS124" s="2">
        <v>7.7197718439947494E-8</v>
      </c>
      <c r="CT124">
        <v>49.981067657470703</v>
      </c>
      <c r="CU124">
        <v>-30.9288539886475</v>
      </c>
      <c r="CV124">
        <v>1.9376682117581399E-2</v>
      </c>
      <c r="CW124" s="2">
        <v>1.36155658765347E-5</v>
      </c>
      <c r="CX124" s="2">
        <v>-2.9928923339639401E-8</v>
      </c>
      <c r="CY124" s="2">
        <v>2.6743541070573E-7</v>
      </c>
      <c r="CZ124" s="2">
        <v>1.5674372377816299E-7</v>
      </c>
      <c r="DA124">
        <v>50.028018951416001</v>
      </c>
      <c r="DB124">
        <v>-101.487419128418</v>
      </c>
      <c r="DC124" s="2">
        <v>3.4028230607370999E+38</v>
      </c>
      <c r="DD124" s="2">
        <v>3.4028230607370999E+38</v>
      </c>
      <c r="DE124">
        <v>11499.849609375</v>
      </c>
      <c r="DF124">
        <v>23000.984375</v>
      </c>
      <c r="DG124">
        <v>19919.892578125</v>
      </c>
      <c r="DH124" s="2">
        <v>3.4028230607370999E+38</v>
      </c>
      <c r="DI124" s="2">
        <v>3.4028230607370999E+38</v>
      </c>
      <c r="DJ124">
        <v>230.00765991210901</v>
      </c>
      <c r="DK124">
        <v>100.001304626465</v>
      </c>
      <c r="DL124">
        <v>11499.8369140625</v>
      </c>
      <c r="DM124">
        <v>23001.078125</v>
      </c>
      <c r="DN124">
        <v>19919.947265625</v>
      </c>
      <c r="DO124">
        <v>49.999954223632798</v>
      </c>
      <c r="DP124">
        <v>-60.001888275146499</v>
      </c>
      <c r="DQ124">
        <v>1.47073874250054E-2</v>
      </c>
      <c r="DR124" s="2">
        <v>1.52136781252921E-5</v>
      </c>
      <c r="DS124" s="2">
        <v>5.7089064142701298E-8</v>
      </c>
      <c r="DT124" s="2">
        <v>2.26237830247555E-7</v>
      </c>
      <c r="DU124" s="2">
        <v>5.0494197267880703E-8</v>
      </c>
      <c r="DV124">
        <v>50.012767791747997</v>
      </c>
      <c r="DW124">
        <v>-41.473636627197301</v>
      </c>
      <c r="DX124">
        <v>1.55578479170799E-2</v>
      </c>
      <c r="DY124" s="2">
        <v>1.3162089999241301E-5</v>
      </c>
      <c r="DZ124" s="2">
        <v>-2.7074175790176001E-8</v>
      </c>
      <c r="EA124" s="2">
        <v>2.06928802981565E-7</v>
      </c>
      <c r="EB124" s="2">
        <v>5.7542095532880902E-8</v>
      </c>
      <c r="EC124">
        <v>49.959186553955099</v>
      </c>
      <c r="ED124">
        <v>-115.625190734863</v>
      </c>
      <c r="EE124" s="2">
        <v>3.4028230607370999E+38</v>
      </c>
      <c r="EF124" s="2">
        <v>3.4028230607370999E+38</v>
      </c>
      <c r="EG124">
        <v>11499.8359375</v>
      </c>
      <c r="EH124">
        <v>23001.078125</v>
      </c>
      <c r="EI124">
        <v>19919.947265625</v>
      </c>
      <c r="EJ124" s="2">
        <v>3.4028230607370999E+38</v>
      </c>
      <c r="EK124" s="2">
        <v>3.4028230607370999E+38</v>
      </c>
      <c r="EL124">
        <v>123</v>
      </c>
      <c r="EM124">
        <v>230.00746154785199</v>
      </c>
      <c r="EN124">
        <v>100.00136566162099</v>
      </c>
      <c r="EO124">
        <v>11499.8662109375</v>
      </c>
      <c r="EP124">
        <v>23001.046875</v>
      </c>
      <c r="EQ124">
        <v>19919.884765625</v>
      </c>
      <c r="ER124">
        <v>49.999954223632798</v>
      </c>
      <c r="ES124">
        <v>-60.001876831054702</v>
      </c>
      <c r="ET124">
        <v>0.49997216463089</v>
      </c>
      <c r="EU124" s="2">
        <v>3.4028230607370999E+38</v>
      </c>
      <c r="EV124">
        <v>0</v>
      </c>
      <c r="EW124">
        <v>230.00717163085901</v>
      </c>
      <c r="EX124">
        <v>11499.3994140625</v>
      </c>
      <c r="EY124">
        <v>23000.994140625</v>
      </c>
      <c r="EZ124">
        <v>19920.119140625</v>
      </c>
      <c r="FA124">
        <v>-2.16673477552831E-3</v>
      </c>
      <c r="FB124">
        <v>1.47182652726769E-2</v>
      </c>
      <c r="FC124" s="2">
        <v>1.51761187225929E-5</v>
      </c>
      <c r="FD124" s="2">
        <v>5.65132403096413E-8</v>
      </c>
      <c r="FE124" s="2">
        <v>2.23447841563029E-7</v>
      </c>
      <c r="FF124" s="2">
        <v>5.0096506498675801E-8</v>
      </c>
      <c r="FG124">
        <v>49.968471527099602</v>
      </c>
      <c r="FH124">
        <v>-42.536636352539098</v>
      </c>
      <c r="FI124">
        <v>0.25262895226478599</v>
      </c>
      <c r="FJ124" s="2">
        <v>3.4028230607370999E+38</v>
      </c>
      <c r="FK124">
        <v>-154.195388793945</v>
      </c>
      <c r="FL124">
        <v>2.0208200439810801E-2</v>
      </c>
      <c r="FM124">
        <v>0</v>
      </c>
      <c r="FN124">
        <v>0</v>
      </c>
      <c r="FO124">
        <v>0</v>
      </c>
      <c r="FP124">
        <v>1.19770143646747E-3</v>
      </c>
      <c r="FQ124">
        <v>1.5623364597559E-2</v>
      </c>
      <c r="FR124" s="2">
        <v>1.3179834240872901E-5</v>
      </c>
      <c r="FS124" s="2">
        <v>-2.6813982145768E-8</v>
      </c>
      <c r="FT124" s="2">
        <v>2.0737354589073199E-7</v>
      </c>
      <c r="FU124" s="2">
        <v>5.8491455234843703E-8</v>
      </c>
      <c r="FV124">
        <v>49.983562469482401</v>
      </c>
      <c r="FW124">
        <v>-113.81365203857401</v>
      </c>
      <c r="FX124">
        <v>-0.122070677578449</v>
      </c>
      <c r="FY124" s="2">
        <v>3.4028230607370999E+38</v>
      </c>
      <c r="FZ124">
        <v>121.615524291992</v>
      </c>
      <c r="GA124">
        <v>230.003341674805</v>
      </c>
      <c r="GB124" s="2">
        <v>-5.6550426563717296E-9</v>
      </c>
      <c r="GC124">
        <v>3.0204656068235601E-3</v>
      </c>
      <c r="GD124" s="2">
        <v>-5.3193174309740202E-9</v>
      </c>
      <c r="GE124">
        <v>-1.64656282868236E-3</v>
      </c>
      <c r="GF124" s="2">
        <v>3.4028230607370999E+38</v>
      </c>
      <c r="GG124" s="2">
        <v>3.4028230607370999E+38</v>
      </c>
      <c r="GH124">
        <v>11499.8056640625</v>
      </c>
      <c r="GI124">
        <v>23001.033203125</v>
      </c>
      <c r="GJ124">
        <v>19919.9296875</v>
      </c>
      <c r="GK124" s="2">
        <v>3.4028230607370999E+38</v>
      </c>
      <c r="GL124" s="2">
        <v>3.4028230607370999E+38</v>
      </c>
      <c r="GM124" s="2">
        <v>3.4028230607370999E+38</v>
      </c>
      <c r="GN124" s="2">
        <v>3.4028230607370999E+38</v>
      </c>
      <c r="GO124" s="2">
        <v>3.4028230607370999E+38</v>
      </c>
      <c r="GP124" s="2">
        <v>3.4028230607370999E+38</v>
      </c>
      <c r="GQ124">
        <v>11499.4189453125</v>
      </c>
      <c r="GR124">
        <v>11499.4189453125</v>
      </c>
      <c r="GS124">
        <v>19920.11328125</v>
      </c>
      <c r="GT124">
        <v>2.05664616078138E-3</v>
      </c>
      <c r="GX124">
        <f t="shared" si="8"/>
        <v>230.00753784179659</v>
      </c>
      <c r="GY124">
        <f t="shared" si="9"/>
        <v>100.0012939453124</v>
      </c>
      <c r="GZ124">
        <f t="shared" si="10"/>
        <v>11499.835156249999</v>
      </c>
      <c r="HA124">
        <f t="shared" si="11"/>
        <v>23001.038281249999</v>
      </c>
      <c r="HB124">
        <f t="shared" si="12"/>
        <v>19919.932031249999</v>
      </c>
      <c r="HC124">
        <f t="shared" si="13"/>
        <v>49.999926757812503</v>
      </c>
      <c r="HD124">
        <f t="shared" si="14"/>
        <v>-60.002020263671895</v>
      </c>
      <c r="HW124" s="10">
        <f>(GX124/Data!$S124-1)*1000000</f>
        <v>47.569581199446986</v>
      </c>
      <c r="HX124" s="10">
        <f>(GY124/Data!$T124-1)*1000000</f>
        <v>34.996825035049639</v>
      </c>
      <c r="HY124" s="10">
        <f>(GZ124/Data!$BW124-1)*1000000</f>
        <v>-44.451161208325374</v>
      </c>
      <c r="HZ124" s="10">
        <f>(HA124/(Data!$S124*Data!$T124)-1)*1000000</f>
        <v>81.997610645423435</v>
      </c>
      <c r="IA124" s="7">
        <f>(HB124/IF(HD124&gt;0, -Data!$BX124,Data!$BX124)-1)*1000000</f>
        <v>126.83887069653288</v>
      </c>
      <c r="IB124" s="10"/>
      <c r="IC124" s="9">
        <f>(HD124-Data!$U124)</f>
        <v>-4.2355436718963801E-3</v>
      </c>
    </row>
    <row r="125" spans="1:237" x14ac:dyDescent="0.2">
      <c r="A125">
        <v>125</v>
      </c>
      <c r="B125">
        <v>230.000411987305</v>
      </c>
      <c r="C125">
        <v>100.001258850098</v>
      </c>
      <c r="D125">
        <v>18393.734375</v>
      </c>
      <c r="E125">
        <v>23000.296875</v>
      </c>
      <c r="F125">
        <v>-13809.16015625</v>
      </c>
      <c r="G125">
        <v>49.999958038330099</v>
      </c>
      <c r="H125">
        <v>36.897491455078097</v>
      </c>
      <c r="I125">
        <v>1.7062189057469399E-2</v>
      </c>
      <c r="J125" s="2">
        <v>1.53381042764522E-5</v>
      </c>
      <c r="K125" s="2">
        <v>-6.5106493529754103E-9</v>
      </c>
      <c r="L125" s="2">
        <v>2.5657223545749698E-7</v>
      </c>
      <c r="M125" s="2">
        <v>-1.3250281938326201E-7</v>
      </c>
      <c r="N125">
        <v>49.968498229980497</v>
      </c>
      <c r="O125">
        <v>93.682342529296903</v>
      </c>
      <c r="P125">
        <v>1.85099262744188E-2</v>
      </c>
      <c r="Q125" s="2">
        <v>1.3115698493493299E-5</v>
      </c>
      <c r="R125" s="2">
        <v>1.24314965432859E-7</v>
      </c>
      <c r="S125" s="2">
        <v>2.40364471437715E-7</v>
      </c>
      <c r="T125" s="2">
        <v>-5.9906582805524496E-8</v>
      </c>
      <c r="U125">
        <v>50.0088081359863</v>
      </c>
      <c r="V125">
        <v>27.037254333496101</v>
      </c>
      <c r="W125" s="2">
        <v>3.4028230607370999E+38</v>
      </c>
      <c r="X125" s="2">
        <v>3.4028230607370999E+38</v>
      </c>
      <c r="Y125">
        <v>18393.732421875</v>
      </c>
      <c r="Z125">
        <v>23000.296875</v>
      </c>
      <c r="AA125">
        <v>-13809.1611328125</v>
      </c>
      <c r="AB125" s="2">
        <v>3.4028230607370999E+38</v>
      </c>
      <c r="AC125" s="2">
        <v>3.4028230607370999E+38</v>
      </c>
      <c r="AD125">
        <v>230.00025939941401</v>
      </c>
      <c r="AE125">
        <v>100.001182556152</v>
      </c>
      <c r="AF125">
        <v>18393.669921875</v>
      </c>
      <c r="AG125">
        <v>23000.283203125</v>
      </c>
      <c r="AH125">
        <v>-13809.1845703125</v>
      </c>
      <c r="AI125">
        <v>49.999958038330099</v>
      </c>
      <c r="AJ125">
        <v>36.897621154785199</v>
      </c>
      <c r="AK125">
        <v>1.76353063434362E-2</v>
      </c>
      <c r="AL125" s="2">
        <v>1.4895833373884699E-5</v>
      </c>
      <c r="AM125" s="2">
        <v>6.7263364655900699E-8</v>
      </c>
      <c r="AN125" s="2">
        <v>2.6269646014043199E-7</v>
      </c>
      <c r="AO125" s="2">
        <v>-1.41664386887896E-7</v>
      </c>
      <c r="AP125">
        <v>50.024040222167997</v>
      </c>
      <c r="AQ125">
        <v>67.204757690429702</v>
      </c>
      <c r="AR125">
        <v>1.9305774942040398E-2</v>
      </c>
      <c r="AS125" s="2">
        <v>1.33829362312099E-5</v>
      </c>
      <c r="AT125" s="2">
        <v>1.4948150806048901E-7</v>
      </c>
      <c r="AU125" s="2">
        <v>2.5920920165845002E-7</v>
      </c>
      <c r="AV125" s="2">
        <v>1.49074690369844E-8</v>
      </c>
      <c r="AW125">
        <v>50.043365478515597</v>
      </c>
      <c r="AX125">
        <v>-1.5192631483078001</v>
      </c>
      <c r="AY125" s="2">
        <v>3.4028230607370999E+38</v>
      </c>
      <c r="AZ125" s="2">
        <v>3.4028230607370999E+38</v>
      </c>
      <c r="BA125">
        <v>18393.669921875</v>
      </c>
      <c r="BB125">
        <v>23000.283203125</v>
      </c>
      <c r="BC125">
        <v>-13809.185546875</v>
      </c>
      <c r="BD125" s="2">
        <v>3.4028230607370999E+38</v>
      </c>
      <c r="BE125" s="2">
        <v>3.4028230607370999E+38</v>
      </c>
      <c r="BF125">
        <v>230.00050354003901</v>
      </c>
      <c r="BG125">
        <v>100.001258850098</v>
      </c>
      <c r="BH125">
        <v>18393.728515625</v>
      </c>
      <c r="BI125">
        <v>23000.265625</v>
      </c>
      <c r="BJ125">
        <v>-13809.12109375</v>
      </c>
      <c r="BK125">
        <v>49.999946594238303</v>
      </c>
      <c r="BL125">
        <v>36.8974609375</v>
      </c>
      <c r="BM125">
        <v>1.4831373468041399E-2</v>
      </c>
      <c r="BN125" s="2">
        <v>1.5070607332745601E-5</v>
      </c>
      <c r="BO125" s="2">
        <v>-6.4664011922843697E-9</v>
      </c>
      <c r="BP125" s="2">
        <v>2.2644837827101601E-7</v>
      </c>
      <c r="BQ125" s="2">
        <v>-7.8377624390668603E-8</v>
      </c>
      <c r="BR125">
        <v>50.023235321044901</v>
      </c>
      <c r="BS125">
        <v>94.651695251464801</v>
      </c>
      <c r="BT125">
        <v>1.62633061408997E-2</v>
      </c>
      <c r="BU125" s="2">
        <v>1.35124410007847E-5</v>
      </c>
      <c r="BV125" s="2">
        <v>6.8996889979189304E-8</v>
      </c>
      <c r="BW125" s="2">
        <v>2.1972934405312101E-7</v>
      </c>
      <c r="BX125" s="2">
        <v>-4.4645830143963401E-8</v>
      </c>
      <c r="BY125">
        <v>49.997398376464801</v>
      </c>
      <c r="BZ125">
        <v>28.2946376800537</v>
      </c>
      <c r="CA125" s="2">
        <v>3.4028230607370999E+38</v>
      </c>
      <c r="CB125" s="2">
        <v>3.4028230607370999E+38</v>
      </c>
      <c r="CC125">
        <v>18393.7265625</v>
      </c>
      <c r="CD125">
        <v>23000.265625</v>
      </c>
      <c r="CE125">
        <v>-13809.1220703125</v>
      </c>
      <c r="CF125" s="2">
        <v>3.4028230607370999E+38</v>
      </c>
      <c r="CG125" s="2">
        <v>3.4028230607370999E+38</v>
      </c>
      <c r="CH125">
        <v>230.00033569335901</v>
      </c>
      <c r="CI125">
        <v>100.00128173828099</v>
      </c>
      <c r="CJ125">
        <v>18393.76953125</v>
      </c>
      <c r="CK125">
        <v>23000.31640625</v>
      </c>
      <c r="CL125">
        <v>-13809.126953125</v>
      </c>
      <c r="CM125">
        <v>49.999912261962898</v>
      </c>
      <c r="CN125">
        <v>36.897506713867202</v>
      </c>
      <c r="CO125">
        <v>1.76237057894468E-2</v>
      </c>
      <c r="CP125" s="2">
        <v>1.5315319615183402E-5</v>
      </c>
      <c r="CQ125" s="2">
        <v>1.7667298735091201E-8</v>
      </c>
      <c r="CR125" s="2">
        <v>2.6924519147541998E-7</v>
      </c>
      <c r="CS125" s="2">
        <v>-1.5262543229255201E-7</v>
      </c>
      <c r="CT125">
        <v>50.004768371582003</v>
      </c>
      <c r="CU125">
        <v>85.510284423828097</v>
      </c>
      <c r="CV125">
        <v>1.9579071551561401E-2</v>
      </c>
      <c r="CW125" s="2">
        <v>1.30693051687558E-5</v>
      </c>
      <c r="CX125" s="2">
        <v>1.5005744558038701E-7</v>
      </c>
      <c r="CY125" s="2">
        <v>2.5587607410670898E-7</v>
      </c>
      <c r="CZ125" s="2">
        <v>-4.2128863952939401E-8</v>
      </c>
      <c r="DA125">
        <v>50.029308319091797</v>
      </c>
      <c r="DB125">
        <v>16.109500885009801</v>
      </c>
      <c r="DC125" s="2">
        <v>3.4028230607370999E+38</v>
      </c>
      <c r="DD125" s="2">
        <v>3.4028230607370999E+38</v>
      </c>
      <c r="DE125">
        <v>18393.76953125</v>
      </c>
      <c r="DF125">
        <v>23000.31640625</v>
      </c>
      <c r="DG125">
        <v>-13809.1279296875</v>
      </c>
      <c r="DH125" s="2">
        <v>3.4028230607370999E+38</v>
      </c>
      <c r="DI125" s="2">
        <v>3.4028230607370999E+38</v>
      </c>
      <c r="DJ125">
        <v>230.00015258789099</v>
      </c>
      <c r="DK125">
        <v>100.00112915039099</v>
      </c>
      <c r="DL125">
        <v>18393.7109375</v>
      </c>
      <c r="DM125">
        <v>23000.283203125</v>
      </c>
      <c r="DN125">
        <v>-13809.1572265625</v>
      </c>
      <c r="DO125">
        <v>49.999954223632798</v>
      </c>
      <c r="DP125">
        <v>36.897655487060497</v>
      </c>
      <c r="DQ125">
        <v>1.7752597108483301E-2</v>
      </c>
      <c r="DR125" s="2">
        <v>1.53179353219457E-5</v>
      </c>
      <c r="DS125" s="2">
        <v>2.9704265713803599E-8</v>
      </c>
      <c r="DT125" s="2">
        <v>2.70470877694606E-7</v>
      </c>
      <c r="DU125" s="2">
        <v>-1.5546287102097299E-7</v>
      </c>
      <c r="DV125">
        <v>49.983928680419901</v>
      </c>
      <c r="DW125">
        <v>80.138496398925795</v>
      </c>
      <c r="DX125">
        <v>1.95462331175804E-2</v>
      </c>
      <c r="DY125" s="2">
        <v>1.3099944226269101E-5</v>
      </c>
      <c r="DZ125" s="2">
        <v>1.5366055095000801E-7</v>
      </c>
      <c r="EA125" s="2">
        <v>2.58274951647763E-7</v>
      </c>
      <c r="EB125" s="2">
        <v>-2.6786693752001199E-8</v>
      </c>
      <c r="EC125">
        <v>49.943592071533203</v>
      </c>
      <c r="ED125">
        <v>12.523644447326699</v>
      </c>
      <c r="EE125" s="2">
        <v>3.4028230607370999E+38</v>
      </c>
      <c r="EF125" s="2">
        <v>3.4028230607370999E+38</v>
      </c>
      <c r="EG125">
        <v>18393.7109375</v>
      </c>
      <c r="EH125">
        <v>23000.283203125</v>
      </c>
      <c r="EI125">
        <v>-13809.158203125</v>
      </c>
      <c r="EJ125" s="2">
        <v>3.4028230607370999E+38</v>
      </c>
      <c r="EK125" s="2">
        <v>3.4028230607370999E+38</v>
      </c>
      <c r="EL125">
        <v>123</v>
      </c>
      <c r="EM125">
        <v>230.00032043457</v>
      </c>
      <c r="EN125">
        <v>100.001136779785</v>
      </c>
      <c r="EO125">
        <v>18393.689453125</v>
      </c>
      <c r="EP125">
        <v>23000.328125</v>
      </c>
      <c r="EQ125">
        <v>-13809.1640625</v>
      </c>
      <c r="ER125">
        <v>49.999904632568402</v>
      </c>
      <c r="ES125">
        <v>36.897499084472699</v>
      </c>
      <c r="ET125">
        <v>0.79971683025360096</v>
      </c>
      <c r="EU125" s="2">
        <v>3.4028230607370999E+38</v>
      </c>
      <c r="EV125">
        <v>0</v>
      </c>
      <c r="EW125">
        <v>230.00425720214801</v>
      </c>
      <c r="EX125">
        <v>18394.55859375</v>
      </c>
      <c r="EY125">
        <v>23000.673828125</v>
      </c>
      <c r="EZ125">
        <v>-13808.689453125</v>
      </c>
      <c r="FA125">
        <v>0.106259688735008</v>
      </c>
      <c r="FB125">
        <v>1.7261385917663599E-2</v>
      </c>
      <c r="FC125" s="2">
        <v>1.5412246284540699E-5</v>
      </c>
      <c r="FD125" s="2">
        <v>8.9556611015950693E-9</v>
      </c>
      <c r="FE125" s="2">
        <v>2.6234155825477501E-7</v>
      </c>
      <c r="FF125" s="2">
        <v>-1.4672822601369299E-7</v>
      </c>
      <c r="FG125">
        <v>49.948394775390597</v>
      </c>
      <c r="FH125">
        <v>89.266830444335895</v>
      </c>
      <c r="FI125">
        <v>9.7496854141354596E-3</v>
      </c>
      <c r="FJ125" s="2">
        <v>3.4028230607370999E+38</v>
      </c>
      <c r="FK125">
        <v>-156.61212158203099</v>
      </c>
      <c r="FL125">
        <v>2.01227385550737E-2</v>
      </c>
      <c r="FM125">
        <v>0</v>
      </c>
      <c r="FN125">
        <v>0</v>
      </c>
      <c r="FO125">
        <v>0</v>
      </c>
      <c r="FP125">
        <v>-1.73435627948493E-3</v>
      </c>
      <c r="FQ125">
        <v>1.8823048099875499E-2</v>
      </c>
      <c r="FR125" s="2">
        <v>1.3119331015332101E-5</v>
      </c>
      <c r="FS125" s="2">
        <v>1.2963499784746099E-7</v>
      </c>
      <c r="FT125" s="2">
        <v>2.4578471879976902E-7</v>
      </c>
      <c r="FU125" s="2">
        <v>-5.5897125150750098E-8</v>
      </c>
      <c r="FV125">
        <v>50.032791137695298</v>
      </c>
      <c r="FW125">
        <v>23.575397491455099</v>
      </c>
      <c r="FX125">
        <v>0.50371158123016402</v>
      </c>
      <c r="FY125" s="2">
        <v>3.4028230607370999E+38</v>
      </c>
      <c r="FZ125">
        <v>92.227699279785199</v>
      </c>
      <c r="GA125">
        <v>230.14060974121099</v>
      </c>
      <c r="GB125" s="2">
        <v>1.4092681688282501E-8</v>
      </c>
      <c r="GC125">
        <v>3.0224267393350601E-3</v>
      </c>
      <c r="GD125" s="2">
        <v>-1.2304678165264699E-8</v>
      </c>
      <c r="GE125">
        <v>-2.4441018467769E-4</v>
      </c>
      <c r="GF125" s="2">
        <v>3.4028230607370999E+38</v>
      </c>
      <c r="GG125" s="2">
        <v>3.4028230607370999E+38</v>
      </c>
      <c r="GH125">
        <v>18393.76171875</v>
      </c>
      <c r="GI125">
        <v>23000.26171875</v>
      </c>
      <c r="GJ125">
        <v>-13809.0830078125</v>
      </c>
      <c r="GK125" s="2">
        <v>3.4028230607370999E+38</v>
      </c>
      <c r="GL125" s="2">
        <v>3.4028230607370999E+38</v>
      </c>
      <c r="GM125" s="2">
        <v>3.4028230607370999E+38</v>
      </c>
      <c r="GN125" s="2">
        <v>3.4028230607370999E+38</v>
      </c>
      <c r="GO125" s="2">
        <v>3.4028230607370999E+38</v>
      </c>
      <c r="GP125" s="2">
        <v>3.4028230607370999E+38</v>
      </c>
      <c r="GQ125">
        <v>18394.5234375</v>
      </c>
      <c r="GR125">
        <v>18394.546875</v>
      </c>
      <c r="GS125">
        <v>-13808.8896484375</v>
      </c>
      <c r="GT125">
        <v>8.1790320575237302E-2</v>
      </c>
      <c r="GX125">
        <f t="shared" si="8"/>
        <v>230.0003326416016</v>
      </c>
      <c r="GY125">
        <f t="shared" si="9"/>
        <v>100.001222229004</v>
      </c>
      <c r="GZ125">
        <f t="shared" si="10"/>
        <v>18393.72265625</v>
      </c>
      <c r="HA125">
        <f t="shared" si="11"/>
        <v>23000.2890625</v>
      </c>
      <c r="HB125">
        <f t="shared" si="12"/>
        <v>-13809.15</v>
      </c>
      <c r="HC125">
        <f t="shared" si="13"/>
        <v>49.999945831298838</v>
      </c>
      <c r="HD125">
        <f t="shared" si="14"/>
        <v>36.897547149658195</v>
      </c>
      <c r="HW125" s="10">
        <f>(GX125/Data!$S125-1)*1000000</f>
        <v>16.173897336768661</v>
      </c>
      <c r="HX125" s="10">
        <f>(GY125/Data!$T125-1)*1000000</f>
        <v>27.539511857188614</v>
      </c>
      <c r="HY125" s="10">
        <f>(GZ125/Data!$BW125-1)*1000000</f>
        <v>55.303242424420418</v>
      </c>
      <c r="HZ125" s="10">
        <f>(HA125/(Data!$S125*Data!$T125)-1)*1000000</f>
        <v>42.613180779360604</v>
      </c>
      <c r="IA125" s="7">
        <f>(HB125/IF(HD125&gt;0, -Data!$BX125,Data!$BX125)-1)*1000000</f>
        <v>42.002901097015766</v>
      </c>
      <c r="IB125" s="10"/>
      <c r="IC125" s="9">
        <f>(HD125-Data!$U125)</f>
        <v>-3.3338034180729892E-4</v>
      </c>
    </row>
    <row r="126" spans="1:237" x14ac:dyDescent="0.2">
      <c r="A126">
        <v>126</v>
      </c>
      <c r="B126">
        <v>230.003982543945</v>
      </c>
      <c r="C126">
        <v>100.00115203857401</v>
      </c>
      <c r="D126">
        <v>23000.6328125</v>
      </c>
      <c r="E126">
        <v>23000.681640625</v>
      </c>
      <c r="F126">
        <v>1.19766497612</v>
      </c>
      <c r="G126">
        <v>49.999946594238303</v>
      </c>
      <c r="H126">
        <v>-2.96556204557419E-3</v>
      </c>
      <c r="I126">
        <v>1.43841532990336E-2</v>
      </c>
      <c r="J126" s="2">
        <v>1.50021078297868E-5</v>
      </c>
      <c r="K126" s="2">
        <v>5.3961553447834403E-8</v>
      </c>
      <c r="L126" s="2">
        <v>2.1579377573743801E-7</v>
      </c>
      <c r="M126" s="2">
        <v>-3.03613170160588E-8</v>
      </c>
      <c r="N126">
        <v>50.00830078125</v>
      </c>
      <c r="O126">
        <v>29.487674713134801</v>
      </c>
      <c r="P126">
        <v>1.57422684133053E-2</v>
      </c>
      <c r="Q126" s="2">
        <v>1.3615912394016001E-5</v>
      </c>
      <c r="R126" s="2">
        <v>4.73023185065813E-8</v>
      </c>
      <c r="S126" s="2">
        <v>2.1435339192521499E-7</v>
      </c>
      <c r="T126" s="2">
        <v>3.0508800819006898E-8</v>
      </c>
      <c r="U126">
        <v>50.020717620849602</v>
      </c>
      <c r="V126">
        <v>-34.323558807372997</v>
      </c>
      <c r="W126" s="2">
        <v>3.4028230607370999E+38</v>
      </c>
      <c r="X126" s="2">
        <v>3.4028230607370999E+38</v>
      </c>
      <c r="Y126">
        <v>23000.6328125</v>
      </c>
      <c r="Z126">
        <v>23000.681640625</v>
      </c>
      <c r="AA126">
        <v>1.19766485691071</v>
      </c>
      <c r="AB126" s="2">
        <v>3.4028230607370999E+38</v>
      </c>
      <c r="AC126" s="2">
        <v>3.4028230607370999E+38</v>
      </c>
      <c r="AD126">
        <v>230.00369262695301</v>
      </c>
      <c r="AE126">
        <v>100.00114440918</v>
      </c>
      <c r="AF126">
        <v>23000.609375</v>
      </c>
      <c r="AG126">
        <v>23000.595703125</v>
      </c>
      <c r="AH126">
        <v>1.18891477584839</v>
      </c>
      <c r="AI126">
        <v>49.999946594238303</v>
      </c>
      <c r="AJ126">
        <v>-2.9616556130349601E-3</v>
      </c>
      <c r="AK126">
        <v>1.4880572445690601E-2</v>
      </c>
      <c r="AL126" s="2">
        <v>1.4696736798214299E-5</v>
      </c>
      <c r="AM126" s="2">
        <v>7.97337378344309E-8</v>
      </c>
      <c r="AN126" s="2">
        <v>2.1855746012988699E-7</v>
      </c>
      <c r="AO126" s="2">
        <v>-1.4085686395048899E-8</v>
      </c>
      <c r="AP126">
        <v>49.976150512695298</v>
      </c>
      <c r="AQ126">
        <v>7.9412689208984402</v>
      </c>
      <c r="AR126">
        <v>1.60636119544506E-2</v>
      </c>
      <c r="AS126" s="2">
        <v>1.37264842123841E-5</v>
      </c>
      <c r="AT126" s="2">
        <v>3.9620758229830198E-8</v>
      </c>
      <c r="AU126" s="2">
        <v>2.2052995518606601E-7</v>
      </c>
      <c r="AV126" s="2">
        <v>6.7823719973603094E-8</v>
      </c>
      <c r="AW126">
        <v>50.026737213134801</v>
      </c>
      <c r="AX126">
        <v>-59.9818305969238</v>
      </c>
      <c r="AY126" s="2">
        <v>3.4028230607370999E+38</v>
      </c>
      <c r="AZ126" s="2">
        <v>3.4028230607370999E+38</v>
      </c>
      <c r="BA126">
        <v>23000.609375</v>
      </c>
      <c r="BB126">
        <v>23000.595703125</v>
      </c>
      <c r="BC126">
        <v>1.18891477584839</v>
      </c>
      <c r="BD126" s="2">
        <v>3.4028230607370999E+38</v>
      </c>
      <c r="BE126" s="2">
        <v>3.4028230607370999E+38</v>
      </c>
      <c r="BF126">
        <v>230.00357055664099</v>
      </c>
      <c r="BG126">
        <v>100.00115966796901</v>
      </c>
      <c r="BH126">
        <v>23000.6015625</v>
      </c>
      <c r="BI126">
        <v>23000.61328125</v>
      </c>
      <c r="BJ126">
        <v>1.18506956100464</v>
      </c>
      <c r="BK126">
        <v>49.999923706054702</v>
      </c>
      <c r="BL126">
        <v>-2.9520723037421699E-3</v>
      </c>
      <c r="BM126">
        <v>1.7925089225173E-2</v>
      </c>
      <c r="BN126" s="2">
        <v>1.47430018841987E-5</v>
      </c>
      <c r="BO126" s="2">
        <v>1.3472646287482301E-7</v>
      </c>
      <c r="BP126" s="2">
        <v>2.6129700358978901E-7</v>
      </c>
      <c r="BQ126" s="2">
        <v>-7.4875202926705202E-8</v>
      </c>
      <c r="BR126">
        <v>51.0010986328125</v>
      </c>
      <c r="BS126">
        <v>30.859699249267599</v>
      </c>
      <c r="BT126">
        <v>1.9430946558713899E-2</v>
      </c>
      <c r="BU126" s="2">
        <v>1.3439108442980799E-5</v>
      </c>
      <c r="BV126" s="2">
        <v>1.19718720270612E-7</v>
      </c>
      <c r="BW126" s="2">
        <v>2.6542679165686401E-7</v>
      </c>
      <c r="BX126" s="2">
        <v>1.04754711571786E-7</v>
      </c>
      <c r="BY126">
        <v>49.994911193847699</v>
      </c>
      <c r="BZ126">
        <v>-40.177841186523402</v>
      </c>
      <c r="CA126" s="2">
        <v>3.4028230607370999E+38</v>
      </c>
      <c r="CB126" s="2">
        <v>3.4028230607370999E+38</v>
      </c>
      <c r="CC126">
        <v>23000.6015625</v>
      </c>
      <c r="CD126">
        <v>23000.61328125</v>
      </c>
      <c r="CE126">
        <v>1.18506956100464</v>
      </c>
      <c r="CF126" s="2">
        <v>3.4028230607370999E+38</v>
      </c>
      <c r="CG126" s="2">
        <v>3.4028230607370999E+38</v>
      </c>
      <c r="CH126">
        <v>230.00392150878901</v>
      </c>
      <c r="CI126">
        <v>100.000900268555</v>
      </c>
      <c r="CJ126">
        <v>23000.529296875</v>
      </c>
      <c r="CK126">
        <v>23000.546875</v>
      </c>
      <c r="CL126">
        <v>1.1674653291702299</v>
      </c>
      <c r="CM126">
        <v>49.999946594238303</v>
      </c>
      <c r="CN126">
        <v>-2.6521165855228901E-3</v>
      </c>
      <c r="CO126">
        <v>1.44728301092982E-2</v>
      </c>
      <c r="CP126" s="2">
        <v>1.4923987691872801E-5</v>
      </c>
      <c r="CQ126" s="2">
        <v>6.1106220528017703E-8</v>
      </c>
      <c r="CR126" s="2">
        <v>2.1632098423651801E-7</v>
      </c>
      <c r="CS126" s="2">
        <v>-2.48036666761209E-8</v>
      </c>
      <c r="CT126">
        <v>49.961872100830099</v>
      </c>
      <c r="CU126">
        <v>21.596458435058601</v>
      </c>
      <c r="CV126">
        <v>1.55657706782222E-2</v>
      </c>
      <c r="CW126" s="2">
        <v>1.36291610033368E-5</v>
      </c>
      <c r="CX126" s="2">
        <v>4.2511665299116397E-8</v>
      </c>
      <c r="CY126" s="2">
        <v>2.1212709100382199E-7</v>
      </c>
      <c r="CZ126" s="2">
        <v>3.9767783732713698E-8</v>
      </c>
      <c r="DA126">
        <v>50.028926849365199</v>
      </c>
      <c r="DB126">
        <v>-44.191246032714801</v>
      </c>
      <c r="DC126" s="2">
        <v>3.4028230607370999E+38</v>
      </c>
      <c r="DD126" s="2">
        <v>3.4028230607370999E+38</v>
      </c>
      <c r="DE126">
        <v>23000.529296875</v>
      </c>
      <c r="DF126">
        <v>23000.546875</v>
      </c>
      <c r="DG126">
        <v>1.1674653291702299</v>
      </c>
      <c r="DH126" s="2">
        <v>3.4028230607370999E+38</v>
      </c>
      <c r="DI126" s="2">
        <v>3.4028230607370999E+38</v>
      </c>
      <c r="DJ126">
        <v>230.004150390625</v>
      </c>
      <c r="DK126">
        <v>100.000938415527</v>
      </c>
      <c r="DL126">
        <v>23000.607421875</v>
      </c>
      <c r="DM126">
        <v>23000.5546875</v>
      </c>
      <c r="DN126">
        <v>1.1566969156265301</v>
      </c>
      <c r="DO126">
        <v>49.999885559082003</v>
      </c>
      <c r="DP126">
        <v>-2.8814042452722801E-3</v>
      </c>
      <c r="DQ126">
        <v>1.5660982578992799E-2</v>
      </c>
      <c r="DR126" s="2">
        <v>1.4587853911507401E-5</v>
      </c>
      <c r="DS126" s="2">
        <v>9.8698848205458502E-8</v>
      </c>
      <c r="DT126" s="2">
        <v>2.2842857561045099E-7</v>
      </c>
      <c r="DU126" s="2">
        <v>-1.5172615164260599E-8</v>
      </c>
      <c r="DV126">
        <v>50.014080047607401</v>
      </c>
      <c r="DW126">
        <v>8.4284334182739293</v>
      </c>
      <c r="DX126">
        <v>1.6528749838471399E-2</v>
      </c>
      <c r="DY126" s="2">
        <v>1.3767589734925401E-5</v>
      </c>
      <c r="DZ126" s="2">
        <v>4.8674351660338302E-8</v>
      </c>
      <c r="EA126" s="2">
        <v>2.2882066730289799E-7</v>
      </c>
      <c r="EB126" s="2">
        <v>8.9741526210218594E-8</v>
      </c>
      <c r="EC126">
        <v>50.0238227844238</v>
      </c>
      <c r="ED126">
        <v>-61.441051483154297</v>
      </c>
      <c r="EE126" s="2">
        <v>3.4028230607370999E+38</v>
      </c>
      <c r="EF126" s="2">
        <v>3.4028230607370999E+38</v>
      </c>
      <c r="EG126">
        <v>23000.607421875</v>
      </c>
      <c r="EH126">
        <v>23000.5546875</v>
      </c>
      <c r="EI126">
        <v>1.1566969156265301</v>
      </c>
      <c r="EJ126" s="2">
        <v>3.4028230607370999E+38</v>
      </c>
      <c r="EK126" s="2">
        <v>3.4028230607370999E+38</v>
      </c>
      <c r="EL126">
        <v>123</v>
      </c>
      <c r="EM126">
        <v>230.003982543945</v>
      </c>
      <c r="EN126">
        <v>100.000839233398</v>
      </c>
      <c r="EO126">
        <v>23000.55078125</v>
      </c>
      <c r="EP126">
        <v>23000.564453125</v>
      </c>
      <c r="EQ126">
        <v>1.2119675874710101</v>
      </c>
      <c r="ER126">
        <v>49.999954223632798</v>
      </c>
      <c r="ES126">
        <v>-2.6737789157777999E-3</v>
      </c>
      <c r="ET126">
        <v>0.99999928474426303</v>
      </c>
      <c r="EU126" s="2">
        <v>3.4028230607370999E+38</v>
      </c>
      <c r="EV126">
        <v>0</v>
      </c>
      <c r="EW126">
        <v>230.00189208984401</v>
      </c>
      <c r="EX126">
        <v>23000.412109375</v>
      </c>
      <c r="EY126">
        <v>23000.42578125</v>
      </c>
      <c r="EZ126">
        <v>2.0755600929260298</v>
      </c>
      <c r="FA126">
        <v>-1.18725085631013E-2</v>
      </c>
      <c r="FB126">
        <v>1.67145412415266E-2</v>
      </c>
      <c r="FC126" s="2">
        <v>1.4624827599618599E-5</v>
      </c>
      <c r="FD126" s="2">
        <v>1.2787506875611101E-7</v>
      </c>
      <c r="FE126" s="2">
        <v>2.4699403411432302E-7</v>
      </c>
      <c r="FF126" s="2">
        <v>-3.1562557012421199E-8</v>
      </c>
      <c r="FG126">
        <v>49.9359130859375</v>
      </c>
      <c r="FH126">
        <v>13.8443965911865</v>
      </c>
      <c r="FI126">
        <v>0.52777910232543901</v>
      </c>
      <c r="FJ126" s="2">
        <v>3.4028230607370999E+38</v>
      </c>
      <c r="FK126">
        <v>129.65556335449199</v>
      </c>
      <c r="FL126">
        <v>2.0015828311443301E-2</v>
      </c>
      <c r="FM126">
        <v>0</v>
      </c>
      <c r="FN126">
        <v>0</v>
      </c>
      <c r="FO126">
        <v>0</v>
      </c>
      <c r="FP126">
        <v>-7.8372418647632003E-4</v>
      </c>
      <c r="FQ126">
        <v>1.89692974090576E-2</v>
      </c>
      <c r="FR126" s="2">
        <v>1.36908111016965E-5</v>
      </c>
      <c r="FS126" s="2">
        <v>9.7870739068639496E-8</v>
      </c>
      <c r="FT126" s="2">
        <v>2.5968640215978698E-7</v>
      </c>
      <c r="FU126" s="2">
        <v>1.15209388695803E-7</v>
      </c>
      <c r="FV126">
        <v>49.942050933837898</v>
      </c>
      <c r="FW126">
        <v>-49.0804252624512</v>
      </c>
      <c r="FX126">
        <v>0.38516736030578602</v>
      </c>
      <c r="FY126" s="2">
        <v>3.4028230607370999E+38</v>
      </c>
      <c r="FZ126">
        <v>82.740158081054702</v>
      </c>
      <c r="GA126">
        <v>229.986328125</v>
      </c>
      <c r="GB126" s="2">
        <v>1.21506360528656E-8</v>
      </c>
      <c r="GC126">
        <v>3.11890454031527E-3</v>
      </c>
      <c r="GD126" s="2">
        <v>1.0293699226337999E-8</v>
      </c>
      <c r="GE126">
        <v>-1.28870597109199E-3</v>
      </c>
      <c r="GF126" s="2">
        <v>3.4028230607370999E+38</v>
      </c>
      <c r="GG126" s="2">
        <v>3.4028230607370999E+38</v>
      </c>
      <c r="GH126">
        <v>23000.57421875</v>
      </c>
      <c r="GI126">
        <v>23000.587890625</v>
      </c>
      <c r="GJ126">
        <v>1.1014943122863801</v>
      </c>
      <c r="GK126" s="2">
        <v>3.4028230607370999E+38</v>
      </c>
      <c r="GL126" s="2">
        <v>3.4028230607370999E+38</v>
      </c>
      <c r="GM126" s="2">
        <v>3.4028230607370999E+38</v>
      </c>
      <c r="GN126" s="2">
        <v>3.4028230607370999E+38</v>
      </c>
      <c r="GO126" s="2">
        <v>3.4028230607370999E+38</v>
      </c>
      <c r="GP126" s="2">
        <v>3.4028230607370999E+38</v>
      </c>
      <c r="GQ126">
        <v>23000.701171875</v>
      </c>
      <c r="GR126">
        <v>23000.701171875</v>
      </c>
      <c r="GS126">
        <v>2.1840486526489298</v>
      </c>
      <c r="GT126">
        <v>1.33792515844107E-2</v>
      </c>
      <c r="GX126">
        <f t="shared" si="8"/>
        <v>230.00386352539059</v>
      </c>
      <c r="GY126">
        <f t="shared" si="9"/>
        <v>100.001058959961</v>
      </c>
      <c r="GZ126">
        <f t="shared" si="10"/>
        <v>23000.596093749999</v>
      </c>
      <c r="HA126">
        <f t="shared" si="11"/>
        <v>23000.598437500001</v>
      </c>
      <c r="HB126">
        <f t="shared" si="12"/>
        <v>1.179162311553958</v>
      </c>
      <c r="HC126">
        <f t="shared" si="13"/>
        <v>49.999929809570325</v>
      </c>
      <c r="HD126">
        <f t="shared" si="14"/>
        <v>-2.882562158629298E-3</v>
      </c>
      <c r="HW126" s="10">
        <f>(GX126/Data!$S126-1)*1000000</f>
        <v>31.683625489664635</v>
      </c>
      <c r="HX126" s="10">
        <f>(GY126/Data!$T126-1)*1000000</f>
        <v>-5.6443087602664477</v>
      </c>
      <c r="HY126" s="10">
        <f>(GZ126/Data!$BW126-1)*1000000</f>
        <v>24.56317326537949</v>
      </c>
      <c r="HZ126" s="10">
        <f>(HA126/(Data!$S126*Data!$T126)-1)*1000000</f>
        <v>24.670447507979532</v>
      </c>
      <c r="IA126" s="7">
        <f>(HB126/IF(HD126&gt;0, -Data!$BX126,Data!$BX126)-1)*1000000</f>
        <v>6153862.0529565904</v>
      </c>
      <c r="IB126" s="10"/>
      <c r="IC126" s="9">
        <f>(HD126-Data!$U126)</f>
        <v>-2.4719541586292982E-3</v>
      </c>
    </row>
    <row r="127" spans="1:237" x14ac:dyDescent="0.2">
      <c r="A127">
        <v>127</v>
      </c>
      <c r="B127">
        <v>230.00399780273401</v>
      </c>
      <c r="C127">
        <v>100.000816345215</v>
      </c>
      <c r="D127">
        <v>23000.55859375</v>
      </c>
      <c r="E127">
        <v>23000.654296875</v>
      </c>
      <c r="F127">
        <v>1.1149108409881601</v>
      </c>
      <c r="G127">
        <v>49.999988555908203</v>
      </c>
      <c r="H127">
        <v>-2.7772998437285402E-3</v>
      </c>
      <c r="I127">
        <v>1.7339499667286901E-2</v>
      </c>
      <c r="J127" s="2">
        <v>1.45513949973974E-5</v>
      </c>
      <c r="K127" s="2">
        <v>1.35359272235291E-7</v>
      </c>
      <c r="L127" s="2">
        <v>2.5628622779549899E-7</v>
      </c>
      <c r="M127" s="2">
        <v>-5.1891273500359603E-8</v>
      </c>
      <c r="N127">
        <v>50.043888092041001</v>
      </c>
      <c r="O127">
        <v>22.930091857910199</v>
      </c>
      <c r="P127">
        <v>1.9168201833963401E-2</v>
      </c>
      <c r="Q127" s="2">
        <v>1.3651444533024899E-5</v>
      </c>
      <c r="R127" s="2">
        <v>9.8724555641638303E-8</v>
      </c>
      <c r="S127" s="2">
        <v>2.61712386873114E-7</v>
      </c>
      <c r="T127" s="2">
        <v>1.16810674910539E-7</v>
      </c>
      <c r="U127">
        <v>49.973388671875</v>
      </c>
      <c r="V127">
        <v>-49.153289794921903</v>
      </c>
      <c r="W127" s="2">
        <v>3.4028230607370999E+38</v>
      </c>
      <c r="X127" s="2">
        <v>3.4028230607370999E+38</v>
      </c>
      <c r="Y127">
        <v>23000.55859375</v>
      </c>
      <c r="Z127">
        <v>23000.654296875</v>
      </c>
      <c r="AA127">
        <v>1.1149108409881601</v>
      </c>
      <c r="AB127" s="2">
        <v>3.4028230607370999E+38</v>
      </c>
      <c r="AC127" s="2">
        <v>3.4028230607370999E+38</v>
      </c>
      <c r="AD127">
        <v>230.00370788574199</v>
      </c>
      <c r="AE127">
        <v>100.000938415527</v>
      </c>
      <c r="AF127">
        <v>23000.623046875</v>
      </c>
      <c r="AG127">
        <v>23000.63671875</v>
      </c>
      <c r="AH127">
        <v>1.1595869064331099</v>
      </c>
      <c r="AI127">
        <v>49.999988555908203</v>
      </c>
      <c r="AJ127">
        <v>-2.8682565316557902E-3</v>
      </c>
      <c r="AK127">
        <v>1.7989637330174401E-2</v>
      </c>
      <c r="AL127" s="2">
        <v>1.4859273505862801E-5</v>
      </c>
      <c r="AM127" s="2">
        <v>1.3279012023303901E-7</v>
      </c>
      <c r="AN127" s="2">
        <v>2.6723938617578798E-7</v>
      </c>
      <c r="AO127" s="2">
        <v>-9.1686345626840207E-8</v>
      </c>
      <c r="AP127">
        <v>49.983306884765597</v>
      </c>
      <c r="AQ127">
        <v>36.206085205078097</v>
      </c>
      <c r="AR127">
        <v>1.97701994329691E-2</v>
      </c>
      <c r="AS127" s="2">
        <v>1.33231660583988E-5</v>
      </c>
      <c r="AT127" s="2">
        <v>1.3136401832980501E-7</v>
      </c>
      <c r="AU127" s="2">
        <v>2.6328973490308298E-7</v>
      </c>
      <c r="AV127" s="2">
        <v>9.0331532476284298E-8</v>
      </c>
      <c r="AW127">
        <v>50.003734588622997</v>
      </c>
      <c r="AX127">
        <v>-34.651840209960902</v>
      </c>
      <c r="AY127" s="2">
        <v>3.4028230607370999E+38</v>
      </c>
      <c r="AZ127" s="2">
        <v>3.4028230607370999E+38</v>
      </c>
      <c r="BA127">
        <v>23000.623046875</v>
      </c>
      <c r="BB127">
        <v>23000.63671875</v>
      </c>
      <c r="BC127">
        <v>1.1595867872238199</v>
      </c>
      <c r="BD127" s="2">
        <v>3.4028230607370999E+38</v>
      </c>
      <c r="BE127" s="2">
        <v>3.4028230607370999E+38</v>
      </c>
      <c r="BF127">
        <v>230.00367736816401</v>
      </c>
      <c r="BG127">
        <v>100.00099182128901</v>
      </c>
      <c r="BH127">
        <v>23000.568359375</v>
      </c>
      <c r="BI127">
        <v>23000.58203125</v>
      </c>
      <c r="BJ127">
        <v>1.1430466175079299</v>
      </c>
      <c r="BK127">
        <v>50.000053405761697</v>
      </c>
      <c r="BL127">
        <v>-2.8473837301135098E-3</v>
      </c>
      <c r="BM127">
        <v>1.7854731529951099E-2</v>
      </c>
      <c r="BN127" s="2">
        <v>1.47275686686044E-5</v>
      </c>
      <c r="BO127" s="2">
        <v>1.3436138601719E-7</v>
      </c>
      <c r="BP127" s="2">
        <v>2.6247741402585202E-7</v>
      </c>
      <c r="BQ127" s="2">
        <v>-8.05364734901559E-8</v>
      </c>
      <c r="BR127">
        <v>49.966876983642599</v>
      </c>
      <c r="BS127">
        <v>31.124822616577099</v>
      </c>
      <c r="BT127">
        <v>1.9621139392256699E-2</v>
      </c>
      <c r="BU127" s="2">
        <v>1.34403389893123E-5</v>
      </c>
      <c r="BV127" s="2">
        <v>1.2052626630065801E-7</v>
      </c>
      <c r="BW127" s="2">
        <v>2.5876732934193601E-7</v>
      </c>
      <c r="BX127" s="2">
        <v>1.0273681283479201E-7</v>
      </c>
      <c r="BY127">
        <v>49.988327026367202</v>
      </c>
      <c r="BZ127">
        <v>-40.306118011474602</v>
      </c>
      <c r="CA127" s="2">
        <v>3.4028230607370999E+38</v>
      </c>
      <c r="CB127" s="2">
        <v>3.4028230607370999E+38</v>
      </c>
      <c r="CC127">
        <v>23000.568359375</v>
      </c>
      <c r="CD127">
        <v>23000.58203125</v>
      </c>
      <c r="CE127">
        <v>1.1430466175079299</v>
      </c>
      <c r="CF127" s="2">
        <v>3.4028230607370999E+38</v>
      </c>
      <c r="CG127" s="2">
        <v>3.4028230607370999E+38</v>
      </c>
      <c r="CH127">
        <v>230.00354003906199</v>
      </c>
      <c r="CI127">
        <v>100.0009765625</v>
      </c>
      <c r="CJ127">
        <v>23000.591796875</v>
      </c>
      <c r="CK127">
        <v>23000.60546875</v>
      </c>
      <c r="CL127">
        <v>1.1172679662704501</v>
      </c>
      <c r="CM127">
        <v>49.999931335449197</v>
      </c>
      <c r="CN127">
        <v>-2.7916519902646498E-3</v>
      </c>
      <c r="CO127">
        <v>1.7368037253618199E-2</v>
      </c>
      <c r="CP127" s="2">
        <v>1.45918020280078E-5</v>
      </c>
      <c r="CQ127" s="2">
        <v>1.35562231662334E-7</v>
      </c>
      <c r="CR127" s="2">
        <v>2.5334668407595002E-7</v>
      </c>
      <c r="CS127" s="2">
        <v>-5.0400405626760403E-8</v>
      </c>
      <c r="CT127">
        <v>49.972728729247997</v>
      </c>
      <c r="CU127">
        <v>20.770200729370099</v>
      </c>
      <c r="CV127">
        <v>1.8859753385186199E-2</v>
      </c>
      <c r="CW127" s="2">
        <v>1.36877679324243E-5</v>
      </c>
      <c r="CX127" s="2">
        <v>9.5629943075437001E-8</v>
      </c>
      <c r="CY127" s="2">
        <v>2.6066277314384902E-7</v>
      </c>
      <c r="CZ127" s="2">
        <v>1.18969637696864E-7</v>
      </c>
      <c r="DA127">
        <v>49.992946624755902</v>
      </c>
      <c r="DB127">
        <v>-50.500614166259801</v>
      </c>
      <c r="DC127" s="2">
        <v>3.4028230607370999E+38</v>
      </c>
      <c r="DD127" s="2">
        <v>3.4028230607370999E+38</v>
      </c>
      <c r="DE127">
        <v>23000.591796875</v>
      </c>
      <c r="DF127">
        <v>23000.60546875</v>
      </c>
      <c r="DG127">
        <v>1.1172679662704501</v>
      </c>
      <c r="DH127" s="2">
        <v>3.4028230607370999E+38</v>
      </c>
      <c r="DI127" s="2">
        <v>3.4028230607370999E+38</v>
      </c>
      <c r="DJ127">
        <v>230.00399780273401</v>
      </c>
      <c r="DK127">
        <v>100.000984191895</v>
      </c>
      <c r="DL127">
        <v>23000.56640625</v>
      </c>
      <c r="DM127">
        <v>23000.583984375</v>
      </c>
      <c r="DN127">
        <v>1.1871751546859699</v>
      </c>
      <c r="DO127">
        <v>49.999912261962898</v>
      </c>
      <c r="DP127">
        <v>-2.95732216909528E-3</v>
      </c>
      <c r="DQ127">
        <v>1.50193553417921E-2</v>
      </c>
      <c r="DR127" s="2">
        <v>1.4713663404109001E-5</v>
      </c>
      <c r="DS127" s="2">
        <v>8.0425714088505602E-8</v>
      </c>
      <c r="DT127" s="2">
        <v>2.2228100249321901E-7</v>
      </c>
      <c r="DU127" s="2">
        <v>-1.29465940190698E-8</v>
      </c>
      <c r="DV127">
        <v>50.008537292480497</v>
      </c>
      <c r="DW127">
        <v>10.090818405151399</v>
      </c>
      <c r="DX127">
        <v>1.58719439059496E-2</v>
      </c>
      <c r="DY127" s="2">
        <v>1.37617134896573E-5</v>
      </c>
      <c r="DZ127" s="2">
        <v>3.9144911312405397E-8</v>
      </c>
      <c r="EA127" s="2">
        <v>2.2061813353957399E-7</v>
      </c>
      <c r="EB127" s="2">
        <v>6.6903858453315505E-8</v>
      </c>
      <c r="EC127">
        <v>49.987751007080099</v>
      </c>
      <c r="ED127">
        <v>-59.585254669189503</v>
      </c>
      <c r="EE127" s="2">
        <v>3.4028230607370999E+38</v>
      </c>
      <c r="EF127" s="2">
        <v>3.4028230607370999E+38</v>
      </c>
      <c r="EG127">
        <v>23000.56640625</v>
      </c>
      <c r="EH127">
        <v>23000.583984375</v>
      </c>
      <c r="EI127">
        <v>1.1871751546859699</v>
      </c>
      <c r="EJ127" s="2">
        <v>3.4028230607370999E+38</v>
      </c>
      <c r="EK127" s="2">
        <v>3.4028230607370999E+38</v>
      </c>
      <c r="EL127">
        <v>123</v>
      </c>
      <c r="EM127">
        <v>230.00444030761699</v>
      </c>
      <c r="EN127">
        <v>100.00091552734401</v>
      </c>
      <c r="EO127">
        <v>23000.646484375</v>
      </c>
      <c r="EP127">
        <v>23000.658203125</v>
      </c>
      <c r="EQ127">
        <v>1.16480553150177</v>
      </c>
      <c r="ER127">
        <v>49.999988555908203</v>
      </c>
      <c r="ES127">
        <v>-2.9382051434367899E-3</v>
      </c>
      <c r="ET127">
        <v>0.99999940395355202</v>
      </c>
      <c r="EU127" s="2">
        <v>3.4028230607370999E+38</v>
      </c>
      <c r="EV127">
        <v>0</v>
      </c>
      <c r="EW127">
        <v>230.00323486328099</v>
      </c>
      <c r="EX127">
        <v>23000.52734375</v>
      </c>
      <c r="EY127">
        <v>23000.5390625</v>
      </c>
      <c r="EZ127">
        <v>1.71958875656128</v>
      </c>
      <c r="FA127">
        <v>-2.6778117753565298E-3</v>
      </c>
      <c r="FB127">
        <v>1.4686949551105499E-2</v>
      </c>
      <c r="FC127" s="2">
        <v>1.4721987099619599E-5</v>
      </c>
      <c r="FD127" s="2">
        <v>7.2761125124998203E-8</v>
      </c>
      <c r="FE127" s="2">
        <v>2.1469170974341999E-7</v>
      </c>
      <c r="FF127" s="2">
        <v>-1.4637836720510201E-8</v>
      </c>
      <c r="FG127">
        <v>50.006259918212898</v>
      </c>
      <c r="FH127">
        <v>13.233060836791999</v>
      </c>
      <c r="FI127">
        <v>0.33112099766731301</v>
      </c>
      <c r="FJ127" s="2">
        <v>3.4028230607370999E+38</v>
      </c>
      <c r="FK127">
        <v>121.18303680419901</v>
      </c>
      <c r="FL127">
        <v>2.02268995344639E-2</v>
      </c>
      <c r="FM127">
        <v>0</v>
      </c>
      <c r="FN127">
        <v>0</v>
      </c>
      <c r="FO127">
        <v>0</v>
      </c>
      <c r="FP127">
        <v>-7.2461366653442404E-4</v>
      </c>
      <c r="FQ127">
        <v>1.5607022680342199E-2</v>
      </c>
      <c r="FR127" s="2">
        <v>1.3644723367178801E-5</v>
      </c>
      <c r="FS127" s="2">
        <v>4.13390068843E-8</v>
      </c>
      <c r="FT127" s="2">
        <v>2.11957001283736E-7</v>
      </c>
      <c r="FU127" s="2">
        <v>4.3011588957142502E-8</v>
      </c>
      <c r="FV127">
        <v>50.100914001464801</v>
      </c>
      <c r="FW127">
        <v>-46.1681518554688</v>
      </c>
      <c r="FX127">
        <v>0.194815814495087</v>
      </c>
      <c r="FY127" s="2">
        <v>3.4028230607370999E+38</v>
      </c>
      <c r="FZ127">
        <v>-103.981155395508</v>
      </c>
      <c r="GA127">
        <v>230.12023925781199</v>
      </c>
      <c r="GB127" s="2">
        <v>-3.2445706121819698E-9</v>
      </c>
      <c r="GC127">
        <v>3.13497730530798E-3</v>
      </c>
      <c r="GD127" s="2">
        <v>-1.4064400755131601E-9</v>
      </c>
      <c r="GE127">
        <v>-1.23131996951997E-3</v>
      </c>
      <c r="GF127" s="2">
        <v>3.4028230607370999E+38</v>
      </c>
      <c r="GG127" s="2">
        <v>3.4028230607370999E+38</v>
      </c>
      <c r="GH127">
        <v>23000.6875</v>
      </c>
      <c r="GI127">
        <v>23000.703125</v>
      </c>
      <c r="GJ127">
        <v>1.16280877590179</v>
      </c>
      <c r="GK127" s="2">
        <v>3.4028230607370999E+38</v>
      </c>
      <c r="GL127" s="2">
        <v>3.4028230607370999E+38</v>
      </c>
      <c r="GM127" s="2">
        <v>3.4028230607370999E+38</v>
      </c>
      <c r="GN127" s="2">
        <v>3.4028230607370999E+38</v>
      </c>
      <c r="GO127" s="2">
        <v>3.4028230607370999E+38</v>
      </c>
      <c r="GP127" s="2">
        <v>3.4028230607370999E+38</v>
      </c>
      <c r="GQ127">
        <v>23000.671875</v>
      </c>
      <c r="GR127">
        <v>23000.671875</v>
      </c>
      <c r="GS127">
        <v>1.5477448701858501</v>
      </c>
      <c r="GT127">
        <v>2.1524917334318199E-2</v>
      </c>
      <c r="GX127">
        <f t="shared" si="8"/>
        <v>230.00378417968719</v>
      </c>
      <c r="GY127">
        <f t="shared" si="9"/>
        <v>100.0009414672852</v>
      </c>
      <c r="GZ127">
        <f t="shared" si="10"/>
        <v>23000.581640625001</v>
      </c>
      <c r="HA127">
        <f t="shared" si="11"/>
        <v>23000.612499999999</v>
      </c>
      <c r="HB127">
        <f t="shared" si="12"/>
        <v>1.144397497177124</v>
      </c>
      <c r="HC127">
        <f t="shared" si="13"/>
        <v>49.999974822998034</v>
      </c>
      <c r="HD127">
        <f t="shared" si="14"/>
        <v>-2.8483828529715541E-3</v>
      </c>
      <c r="HW127" s="10">
        <f>(GX127/Data!$S127-1)*1000000</f>
        <v>30.755134144078156</v>
      </c>
      <c r="HX127" s="10">
        <f>(GY127/Data!$T127-1)*1000000</f>
        <v>-5.4532460690426277</v>
      </c>
      <c r="HY127" s="10">
        <f>(GZ127/Data!$BW127-1)*1000000</f>
        <v>24.716969564186897</v>
      </c>
      <c r="HZ127" s="10">
        <f>(HA127/(Data!$S127*Data!$T127)-1)*1000000</f>
        <v>26.064371797529517</v>
      </c>
      <c r="IA127" s="7">
        <f>(HB127/IF(HD127&gt;0, -Data!$BX127,Data!$BX127)-1)*1000000</f>
        <v>7238049.4638732355</v>
      </c>
      <c r="IB127" s="10"/>
      <c r="IC127" s="9">
        <f>(HD127-Data!$U127)</f>
        <v>-2.5023258529715542E-3</v>
      </c>
    </row>
    <row r="128" spans="1:237" x14ac:dyDescent="0.2">
      <c r="A128">
        <v>128</v>
      </c>
      <c r="B128">
        <v>230.00430297851599</v>
      </c>
      <c r="C128">
        <v>100.001083374023</v>
      </c>
      <c r="D128">
        <v>23000.65234375</v>
      </c>
      <c r="E128">
        <v>23000.66796875</v>
      </c>
      <c r="F128">
        <v>1.1594765186309799</v>
      </c>
      <c r="G128">
        <v>49.999927520752003</v>
      </c>
      <c r="H128">
        <v>-2.8883218765258802E-3</v>
      </c>
      <c r="I128">
        <v>1.7770854756236101E-2</v>
      </c>
      <c r="J128" s="2">
        <v>1.5151777006394701E-5</v>
      </c>
      <c r="K128" s="2">
        <v>1.0652342297135E-7</v>
      </c>
      <c r="L128" s="2">
        <v>2.6767469307742399E-7</v>
      </c>
      <c r="M128" s="2">
        <v>-1.14015115570965E-7</v>
      </c>
      <c r="N128">
        <v>50.051601409912102</v>
      </c>
      <c r="O128">
        <v>46.398349761962898</v>
      </c>
      <c r="P128">
        <v>1.93101223558187E-2</v>
      </c>
      <c r="Q128" s="2">
        <v>1.3201951333030599E-5</v>
      </c>
      <c r="R128" s="2">
        <v>1.41765056582699E-7</v>
      </c>
      <c r="S128" s="2">
        <v>2.5395405600647802E-7</v>
      </c>
      <c r="T128" s="2">
        <v>6.2275979928472198E-8</v>
      </c>
      <c r="U128">
        <v>50.048652648925803</v>
      </c>
      <c r="V128">
        <v>-23.674516677856399</v>
      </c>
      <c r="W128" s="2">
        <v>3.4028230607370999E+38</v>
      </c>
      <c r="X128" s="2">
        <v>3.4028230607370999E+38</v>
      </c>
      <c r="Y128">
        <v>23000.65234375</v>
      </c>
      <c r="Z128">
        <v>23000.66796875</v>
      </c>
      <c r="AA128">
        <v>1.1594763994216899</v>
      </c>
      <c r="AB128" s="2">
        <v>3.4028230607370999E+38</v>
      </c>
      <c r="AC128" s="2">
        <v>3.4028230607370999E+38</v>
      </c>
      <c r="AD128">
        <v>230.00427246093801</v>
      </c>
      <c r="AE128">
        <v>100.00088500976599</v>
      </c>
      <c r="AF128">
        <v>23000.599609375</v>
      </c>
      <c r="AG128">
        <v>23000.615234375</v>
      </c>
      <c r="AH128">
        <v>1.12141108512878</v>
      </c>
      <c r="AI128">
        <v>49.999954223632798</v>
      </c>
      <c r="AJ128">
        <v>-2.76895426213741E-3</v>
      </c>
      <c r="AK128">
        <v>1.5837945044040701E-2</v>
      </c>
      <c r="AL128" s="2">
        <v>1.46237871376798E-5</v>
      </c>
      <c r="AM128" s="2">
        <v>9.7074519089801496E-8</v>
      </c>
      <c r="AN128" s="2">
        <v>2.2688634260248401E-7</v>
      </c>
      <c r="AO128" s="2">
        <v>-1.3079366034674E-8</v>
      </c>
      <c r="AP128">
        <v>49.984867095947301</v>
      </c>
      <c r="AQ128">
        <v>7.6711297035217303</v>
      </c>
      <c r="AR128">
        <v>1.6602184623479802E-2</v>
      </c>
      <c r="AS128" s="2">
        <v>1.3810427844873601E-5</v>
      </c>
      <c r="AT128" s="2">
        <v>4.5947619042863199E-8</v>
      </c>
      <c r="AU128" s="2">
        <v>2.2928902865260199E-7</v>
      </c>
      <c r="AV128" s="2">
        <v>8.2908350407251406E-8</v>
      </c>
      <c r="AW128">
        <v>50.0187797546387</v>
      </c>
      <c r="AX128">
        <v>-61.9513130187988</v>
      </c>
      <c r="AY128" s="2">
        <v>3.4028230607370999E+38</v>
      </c>
      <c r="AZ128" s="2">
        <v>3.4028230607370999E+38</v>
      </c>
      <c r="BA128">
        <v>23000.599609375</v>
      </c>
      <c r="BB128">
        <v>23000.615234375</v>
      </c>
      <c r="BC128">
        <v>1.12141108512878</v>
      </c>
      <c r="BD128" s="2">
        <v>3.4028230607370999E+38</v>
      </c>
      <c r="BE128" s="2">
        <v>3.4028230607370999E+38</v>
      </c>
      <c r="BF128">
        <v>230.00395202636699</v>
      </c>
      <c r="BG128">
        <v>100.00091552734401</v>
      </c>
      <c r="BH128">
        <v>23000.58203125</v>
      </c>
      <c r="BI128">
        <v>23000.59375</v>
      </c>
      <c r="BJ128">
        <v>1.17359638214111</v>
      </c>
      <c r="BK128">
        <v>49.999954223632798</v>
      </c>
      <c r="BL128">
        <v>-2.9234972316771698E-3</v>
      </c>
      <c r="BM128">
        <v>1.5471109189093101E-2</v>
      </c>
      <c r="BN128" s="2">
        <v>1.4648539035988499E-5</v>
      </c>
      <c r="BO128" s="2">
        <v>9.8831776540464502E-8</v>
      </c>
      <c r="BP128" s="2">
        <v>2.2286127432380499E-7</v>
      </c>
      <c r="BQ128" s="2">
        <v>-1.29978579010981E-8</v>
      </c>
      <c r="BR128">
        <v>50.021999359130902</v>
      </c>
      <c r="BS128">
        <v>8.0004062652587908</v>
      </c>
      <c r="BT128">
        <v>1.6490038484334901E-2</v>
      </c>
      <c r="BU128" s="2">
        <v>1.3745496289630001E-5</v>
      </c>
      <c r="BV128" s="2">
        <v>4.3714084796420099E-8</v>
      </c>
      <c r="BW128" s="2">
        <v>2.2770410623706999E-7</v>
      </c>
      <c r="BX128" s="2">
        <v>8.3052540844619203E-8</v>
      </c>
      <c r="BY128">
        <v>49.966663360595703</v>
      </c>
      <c r="BZ128">
        <v>-62.389614105224602</v>
      </c>
      <c r="CA128" s="2">
        <v>3.4028230607370999E+38</v>
      </c>
      <c r="CB128" s="2">
        <v>3.4028230607370999E+38</v>
      </c>
      <c r="CC128">
        <v>23000.58203125</v>
      </c>
      <c r="CD128">
        <v>23000.59375</v>
      </c>
      <c r="CE128">
        <v>1.17359638214111</v>
      </c>
      <c r="CF128" s="2">
        <v>3.4028230607370999E+38</v>
      </c>
      <c r="CG128" s="2">
        <v>3.4028230607370999E+38</v>
      </c>
      <c r="CH128">
        <v>230.00376892089801</v>
      </c>
      <c r="CI128">
        <v>100.000930786133</v>
      </c>
      <c r="CJ128">
        <v>23000.56640625</v>
      </c>
      <c r="CK128">
        <v>23000.55078125</v>
      </c>
      <c r="CL128">
        <v>1.1142925024032599</v>
      </c>
      <c r="CM128">
        <v>49.999923706054702</v>
      </c>
      <c r="CN128">
        <v>-2.7757724747061699E-3</v>
      </c>
      <c r="CO128">
        <v>1.7963001504540398E-2</v>
      </c>
      <c r="CP128" s="2">
        <v>1.484778476879E-5</v>
      </c>
      <c r="CQ128" s="2">
        <v>1.33025935156184E-7</v>
      </c>
      <c r="CR128" s="2">
        <v>2.6659790819394402E-7</v>
      </c>
      <c r="CS128" s="2">
        <v>-8.7620449562564304E-8</v>
      </c>
      <c r="CT128">
        <v>50.049667358398402</v>
      </c>
      <c r="CU128">
        <v>33.184303283691399</v>
      </c>
      <c r="CV128">
        <v>1.9552525132894499E-2</v>
      </c>
      <c r="CW128" s="2">
        <v>1.33552366605727E-5</v>
      </c>
      <c r="CX128" s="2">
        <v>1.2686243167081599E-7</v>
      </c>
      <c r="CY128" s="2">
        <v>2.6116569529222002E-7</v>
      </c>
      <c r="CZ128" s="2">
        <v>9.7102685003847E-8</v>
      </c>
      <c r="DA128">
        <v>50.038284301757798</v>
      </c>
      <c r="DB128">
        <v>-38.329849243164098</v>
      </c>
      <c r="DC128" s="2">
        <v>3.4028230607370999E+38</v>
      </c>
      <c r="DD128" s="2">
        <v>3.4028230607370999E+38</v>
      </c>
      <c r="DE128">
        <v>23000.56640625</v>
      </c>
      <c r="DF128">
        <v>23000.55078125</v>
      </c>
      <c r="DG128">
        <v>1.1142925024032599</v>
      </c>
      <c r="DH128" s="2">
        <v>3.4028230607370999E+38</v>
      </c>
      <c r="DI128" s="2">
        <v>3.4028230607370999E+38</v>
      </c>
      <c r="DJ128">
        <v>230.00372314453099</v>
      </c>
      <c r="DK128">
        <v>100.000900268555</v>
      </c>
      <c r="DL128">
        <v>23000.578125</v>
      </c>
      <c r="DM128">
        <v>23000.595703125</v>
      </c>
      <c r="DN128">
        <v>1.0872120857238801</v>
      </c>
      <c r="DO128">
        <v>49.999954223632798</v>
      </c>
      <c r="DP128">
        <v>-2.98469699919224E-3</v>
      </c>
      <c r="DQ128">
        <v>1.7401987686753301E-2</v>
      </c>
      <c r="DR128" s="2">
        <v>1.46630345625454E-5</v>
      </c>
      <c r="DS128" s="2">
        <v>1.35142101953534E-7</v>
      </c>
      <c r="DT128" s="2">
        <v>2.6312170575693001E-7</v>
      </c>
      <c r="DU128" s="2">
        <v>-8.2238258869438101E-8</v>
      </c>
      <c r="DV128">
        <v>50.005142211914098</v>
      </c>
      <c r="DW128">
        <v>38.025367736816399</v>
      </c>
      <c r="DX128">
        <v>1.95307321846485E-2</v>
      </c>
      <c r="DY128" s="2">
        <v>1.3519409549189699E-5</v>
      </c>
      <c r="DZ128" s="2">
        <v>1.16511124303997E-7</v>
      </c>
      <c r="EA128" s="2">
        <v>2.6409276188132898E-7</v>
      </c>
      <c r="EB128" s="2">
        <v>9.8736975928659403E-8</v>
      </c>
      <c r="EC128">
        <v>49.967983245849602</v>
      </c>
      <c r="ED128">
        <v>-38.0788764953613</v>
      </c>
      <c r="EE128" s="2">
        <v>3.4028230607370999E+38</v>
      </c>
      <c r="EF128" s="2">
        <v>3.4028230607370999E+38</v>
      </c>
      <c r="EG128">
        <v>23000.578125</v>
      </c>
      <c r="EH128">
        <v>23000.595703125</v>
      </c>
      <c r="EI128">
        <v>1.0872120857238801</v>
      </c>
      <c r="EJ128" s="2">
        <v>3.4028230607370999E+38</v>
      </c>
      <c r="EK128" s="2">
        <v>3.4028230607370999E+38</v>
      </c>
      <c r="EL128">
        <v>123</v>
      </c>
      <c r="EM128">
        <v>230.00381469726599</v>
      </c>
      <c r="EN128">
        <v>100.001029968262</v>
      </c>
      <c r="EO128">
        <v>23000.609375</v>
      </c>
      <c r="EP128">
        <v>23000.62109375</v>
      </c>
      <c r="EQ128">
        <v>1.1974130868911701</v>
      </c>
      <c r="ER128">
        <v>49.999904632568402</v>
      </c>
      <c r="ES128">
        <v>-2.9578933026641599E-3</v>
      </c>
      <c r="ET128">
        <v>0.99999934434890703</v>
      </c>
      <c r="EU128" s="2">
        <v>3.4028230607370999E+38</v>
      </c>
      <c r="EV128">
        <v>0</v>
      </c>
      <c r="EW128">
        <v>230.00865173339801</v>
      </c>
      <c r="EX128">
        <v>23001.099609375</v>
      </c>
      <c r="EY128">
        <v>23001.11328125</v>
      </c>
      <c r="EZ128">
        <v>1.8065824508667001</v>
      </c>
      <c r="FA128">
        <v>4.4319018721580498E-2</v>
      </c>
      <c r="FB128">
        <v>1.54071450233459E-2</v>
      </c>
      <c r="FC128" s="2">
        <v>1.5415262168971801E-5</v>
      </c>
      <c r="FD128" s="2">
        <v>4.7107210576768901E-8</v>
      </c>
      <c r="FE128" s="2">
        <v>2.3748181376959099E-7</v>
      </c>
      <c r="FF128" s="2">
        <v>-8.6313782787783606E-8</v>
      </c>
      <c r="FG128">
        <v>50.013675689697301</v>
      </c>
      <c r="FH128">
        <v>58.079063415527301</v>
      </c>
      <c r="FI128">
        <v>0.18357029557228099</v>
      </c>
      <c r="FJ128" s="2">
        <v>3.4028230607370999E+38</v>
      </c>
      <c r="FK128">
        <v>112.224601745605</v>
      </c>
      <c r="FL128">
        <v>1.9674224779009802E-2</v>
      </c>
      <c r="FM128">
        <v>0</v>
      </c>
      <c r="FN128">
        <v>0</v>
      </c>
      <c r="FO128">
        <v>0</v>
      </c>
      <c r="FP128">
        <v>-7.3390913894400001E-4</v>
      </c>
      <c r="FQ128">
        <v>1.5665804967284199E-2</v>
      </c>
      <c r="FR128" s="2">
        <v>1.3627312910102801E-5</v>
      </c>
      <c r="FS128" s="2">
        <v>4.2132853650400602E-8</v>
      </c>
      <c r="FT128" s="2">
        <v>2.1345317691157101E-7</v>
      </c>
      <c r="FU128" s="2">
        <v>4.25709316687062E-8</v>
      </c>
      <c r="FV128">
        <v>49.998752593994098</v>
      </c>
      <c r="FW128">
        <v>-57.055534362792997</v>
      </c>
      <c r="FX128">
        <v>0.18267463147640201</v>
      </c>
      <c r="FY128" s="2">
        <v>3.4028230607370999E+38</v>
      </c>
      <c r="FZ128">
        <v>132.15428161621099</v>
      </c>
      <c r="GA128">
        <v>230.03585815429699</v>
      </c>
      <c r="GB128" s="2">
        <v>-1.3499000806049801E-9</v>
      </c>
      <c r="GC128">
        <v>3.1699950341135298E-3</v>
      </c>
      <c r="GD128" s="2">
        <v>7.6740409582498598E-9</v>
      </c>
      <c r="GE128">
        <v>-1.2878192355856299E-3</v>
      </c>
      <c r="GF128" s="2">
        <v>3.4028230607370999E+38</v>
      </c>
      <c r="GG128" s="2">
        <v>3.4028230607370999E+38</v>
      </c>
      <c r="GH128">
        <v>23000.52734375</v>
      </c>
      <c r="GI128">
        <v>23000.54296875</v>
      </c>
      <c r="GJ128">
        <v>1.15921795368195</v>
      </c>
      <c r="GK128" s="2">
        <v>3.4028230607370999E+38</v>
      </c>
      <c r="GL128" s="2">
        <v>3.4028230607370999E+38</v>
      </c>
      <c r="GM128" s="2">
        <v>3.4028230607370999E+38</v>
      </c>
      <c r="GN128" s="2">
        <v>3.4028230607370999E+38</v>
      </c>
      <c r="GO128" s="2">
        <v>3.4028230607370999E+38</v>
      </c>
      <c r="GP128" s="2">
        <v>3.4028230607370999E+38</v>
      </c>
      <c r="GQ128">
        <v>23000.654296875</v>
      </c>
      <c r="GR128">
        <v>23000.654296875</v>
      </c>
      <c r="GS128">
        <v>2.19878482818604</v>
      </c>
      <c r="GT128">
        <v>4.2823642492294298E-2</v>
      </c>
      <c r="GX128">
        <f t="shared" si="8"/>
        <v>230.00400390625001</v>
      </c>
      <c r="GY128">
        <f t="shared" si="9"/>
        <v>100.0009429931642</v>
      </c>
      <c r="GZ128">
        <f t="shared" si="10"/>
        <v>23000.595703125</v>
      </c>
      <c r="HA128">
        <f t="shared" si="11"/>
        <v>23000.604687499999</v>
      </c>
      <c r="HB128">
        <f t="shared" si="12"/>
        <v>1.1311977148056021</v>
      </c>
      <c r="HC128">
        <f t="shared" si="13"/>
        <v>49.999942779541016</v>
      </c>
      <c r="HD128">
        <f t="shared" si="14"/>
        <v>-2.8682485688477739E-3</v>
      </c>
      <c r="HW128" s="10">
        <f>(GX128/Data!$S128-1)*1000000</f>
        <v>31.839182279336242</v>
      </c>
      <c r="HX128" s="10">
        <f>(GY128/Data!$T128-1)*1000000</f>
        <v>-5.3049901890256379</v>
      </c>
      <c r="HY128" s="10">
        <f>(GZ128/Data!$BW128-1)*1000000</f>
        <v>25.589258349389965</v>
      </c>
      <c r="HZ128" s="10">
        <f>(HA128/(Data!$S128*Data!$T128)-1)*1000000</f>
        <v>25.986400375543894</v>
      </c>
      <c r="IA128" s="7">
        <f>(HB128/IF(HD128&gt;0, -Data!$BX128,Data!$BX128)-1)*1000000</f>
        <v>4712521.5149468081</v>
      </c>
      <c r="IB128" s="10"/>
      <c r="IC128" s="9">
        <f>(HD128-Data!$U128)</f>
        <v>-2.3749555688477738E-3</v>
      </c>
    </row>
    <row r="129" spans="1:237" x14ac:dyDescent="0.2">
      <c r="A129">
        <v>129</v>
      </c>
      <c r="B129">
        <v>230.00682067871099</v>
      </c>
      <c r="C129">
        <v>100.00099945068401</v>
      </c>
      <c r="D129">
        <v>11499.8046875</v>
      </c>
      <c r="E129">
        <v>23000.935546875</v>
      </c>
      <c r="F129">
        <v>19919.798828125</v>
      </c>
      <c r="G129">
        <v>49.999954223632798</v>
      </c>
      <c r="H129">
        <v>-60.001911163330099</v>
      </c>
      <c r="I129">
        <v>1.6818365082144699E-2</v>
      </c>
      <c r="J129" s="2">
        <v>1.50346768350573E-5</v>
      </c>
      <c r="K129" s="2">
        <v>1.3023536382661399E-7</v>
      </c>
      <c r="L129" s="2">
        <v>2.4809816068227498E-7</v>
      </c>
      <c r="M129" s="2">
        <v>-2.8597177959000001E-9</v>
      </c>
      <c r="N129">
        <v>49.974456787109403</v>
      </c>
      <c r="O129">
        <v>3.3370301723480198</v>
      </c>
      <c r="P129">
        <v>1.8228366971015899E-2</v>
      </c>
      <c r="Q129" s="2">
        <v>1.30894095491385E-5</v>
      </c>
      <c r="R129" s="2">
        <v>4.0429050329748901E-8</v>
      </c>
      <c r="S129" s="2">
        <v>2.3144338001657201E-7</v>
      </c>
      <c r="T129" s="2">
        <v>1.12142366504031E-7</v>
      </c>
      <c r="U129">
        <v>49.953994750976598</v>
      </c>
      <c r="V129">
        <v>-69.700271606445298</v>
      </c>
      <c r="W129" s="2">
        <v>3.4028230607370999E+38</v>
      </c>
      <c r="X129" s="2">
        <v>3.4028230607370999E+38</v>
      </c>
      <c r="Y129">
        <v>11499.8046875</v>
      </c>
      <c r="Z129">
        <v>23000.935546875</v>
      </c>
      <c r="AA129">
        <v>19919.796875</v>
      </c>
      <c r="AB129" s="2">
        <v>3.4028230607370999E+38</v>
      </c>
      <c r="AC129" s="2">
        <v>3.4028230607370999E+38</v>
      </c>
      <c r="AD129">
        <v>230.00666809082</v>
      </c>
      <c r="AE129">
        <v>100.000900268555</v>
      </c>
      <c r="AF129">
        <v>11499.7646484375</v>
      </c>
      <c r="AG129">
        <v>23000.88671875</v>
      </c>
      <c r="AH129">
        <v>19919.755859375</v>
      </c>
      <c r="AI129">
        <v>49.999954223632798</v>
      </c>
      <c r="AJ129">
        <v>-60.001983642578097</v>
      </c>
      <c r="AK129">
        <v>1.6898605972528499E-2</v>
      </c>
      <c r="AL129" s="2">
        <v>1.4631020349043E-5</v>
      </c>
      <c r="AM129" s="2">
        <v>1.03085397995528E-7</v>
      </c>
      <c r="AN129" s="2">
        <v>2.4981403612400802E-7</v>
      </c>
      <c r="AO129" s="2">
        <v>9.3631427944273997E-8</v>
      </c>
      <c r="AP129">
        <v>50.007965087890597</v>
      </c>
      <c r="AQ129">
        <v>-40.123722076416001</v>
      </c>
      <c r="AR129">
        <v>1.82791892439127E-2</v>
      </c>
      <c r="AS129" s="2">
        <v>1.3640927136293601E-5</v>
      </c>
      <c r="AT129" s="2">
        <v>-5.4104418723000001E-8</v>
      </c>
      <c r="AU129" s="2">
        <v>2.5422650651307798E-7</v>
      </c>
      <c r="AV129" s="2">
        <v>1.3246700802937999E-7</v>
      </c>
      <c r="AW129">
        <v>49.951335906982401</v>
      </c>
      <c r="AX129">
        <v>-112.216911315918</v>
      </c>
      <c r="AY129" s="2">
        <v>3.4028230607370999E+38</v>
      </c>
      <c r="AZ129" s="2">
        <v>3.4028230607370999E+38</v>
      </c>
      <c r="BA129">
        <v>11499.763671875</v>
      </c>
      <c r="BB129">
        <v>23000.88671875</v>
      </c>
      <c r="BC129">
        <v>19919.755859375</v>
      </c>
      <c r="BD129" s="2">
        <v>3.4028230607370999E+38</v>
      </c>
      <c r="BE129" s="2">
        <v>3.4028230607370999E+38</v>
      </c>
      <c r="BF129">
        <v>230.00679016113301</v>
      </c>
      <c r="BG129">
        <v>100.000869750977</v>
      </c>
      <c r="BH129">
        <v>11499.806640625</v>
      </c>
      <c r="BI129">
        <v>23000.8671875</v>
      </c>
      <c r="BJ129">
        <v>19919.7109375</v>
      </c>
      <c r="BK129">
        <v>50.000007629394503</v>
      </c>
      <c r="BL129">
        <v>-60.001808166503899</v>
      </c>
      <c r="BM129">
        <v>1.7820628359913802E-2</v>
      </c>
      <c r="BN129" s="2">
        <v>1.4530293810821601E-5</v>
      </c>
      <c r="BO129" s="2">
        <v>1.2305626739816899E-7</v>
      </c>
      <c r="BP129" s="2">
        <v>2.5721845986481602E-7</v>
      </c>
      <c r="BQ129" s="2">
        <v>8.6409720267965895E-8</v>
      </c>
      <c r="BR129">
        <v>50.972652435302699</v>
      </c>
      <c r="BS129">
        <v>-33.954322814941399</v>
      </c>
      <c r="BT129">
        <v>1.9013807177543599E-2</v>
      </c>
      <c r="BU129" s="2">
        <v>1.36673606903059E-5</v>
      </c>
      <c r="BV129" s="2">
        <v>-4.0883975316319298E-8</v>
      </c>
      <c r="BW129" s="2">
        <v>2.59850565953457E-7</v>
      </c>
      <c r="BX129" s="2">
        <v>1.5154634525060799E-7</v>
      </c>
      <c r="BY129">
        <v>50.0844535827637</v>
      </c>
      <c r="BZ129">
        <v>-105.58803558349599</v>
      </c>
      <c r="CA129" s="2">
        <v>3.4028230607370999E+38</v>
      </c>
      <c r="CB129" s="2">
        <v>3.4028230607370999E+38</v>
      </c>
      <c r="CC129">
        <v>11499.8056640625</v>
      </c>
      <c r="CD129">
        <v>23000.8671875</v>
      </c>
      <c r="CE129">
        <v>19919.7109375</v>
      </c>
      <c r="CF129" s="2">
        <v>3.4028230607370999E+38</v>
      </c>
      <c r="CG129" s="2">
        <v>3.4028230607370999E+38</v>
      </c>
      <c r="CH129">
        <v>230.00704956054699</v>
      </c>
      <c r="CI129">
        <v>100.00096130371099</v>
      </c>
      <c r="CJ129">
        <v>11499.810546875</v>
      </c>
      <c r="CK129">
        <v>23000.93359375</v>
      </c>
      <c r="CL129">
        <v>19919.8046875</v>
      </c>
      <c r="CM129">
        <v>49.999923706054702</v>
      </c>
      <c r="CN129">
        <v>-60.001792907714801</v>
      </c>
      <c r="CO129">
        <v>1.6491055488586401E-2</v>
      </c>
      <c r="CP129" s="2">
        <v>1.51165813804255E-5</v>
      </c>
      <c r="CQ129" s="2">
        <v>1.2974518881492301E-7</v>
      </c>
      <c r="CR129" s="2">
        <v>2.4596116077191302E-7</v>
      </c>
      <c r="CS129" s="2">
        <v>-9.3062100248175706E-9</v>
      </c>
      <c r="CT129">
        <v>49.994247436523402</v>
      </c>
      <c r="CU129">
        <v>4.4873967170715297</v>
      </c>
      <c r="CV129">
        <v>1.74542665481567E-2</v>
      </c>
      <c r="CW129" s="2">
        <v>1.3029190085944699E-5</v>
      </c>
      <c r="CX129" s="2">
        <v>4.1679026452357E-8</v>
      </c>
      <c r="CY129" s="2">
        <v>2.27451721457328E-7</v>
      </c>
      <c r="CZ129" s="2">
        <v>9.7324331704840006E-8</v>
      </c>
      <c r="DA129">
        <v>50.038204193115199</v>
      </c>
      <c r="DB129">
        <v>-67.672538757324205</v>
      </c>
      <c r="DC129" s="2">
        <v>3.4028230607370999E+38</v>
      </c>
      <c r="DD129" s="2">
        <v>3.4028230607370999E+38</v>
      </c>
      <c r="DE129">
        <v>11499.810546875</v>
      </c>
      <c r="DF129">
        <v>23000.93359375</v>
      </c>
      <c r="DG129">
        <v>19919.802734375</v>
      </c>
      <c r="DH129" s="2">
        <v>3.4028230607370999E+38</v>
      </c>
      <c r="DI129" s="2">
        <v>3.4028230607370999E+38</v>
      </c>
      <c r="DJ129">
        <v>230.00743103027301</v>
      </c>
      <c r="DK129">
        <v>100.00090789794901</v>
      </c>
      <c r="DL129">
        <v>11499.818359375</v>
      </c>
      <c r="DM129">
        <v>23000.9140625</v>
      </c>
      <c r="DN129">
        <v>19919.796875</v>
      </c>
      <c r="DO129">
        <v>49.999927520752003</v>
      </c>
      <c r="DP129">
        <v>-60.001979827880902</v>
      </c>
      <c r="DQ129">
        <v>1.56902186572552E-2</v>
      </c>
      <c r="DR129" s="2">
        <v>1.49527322719223E-5</v>
      </c>
      <c r="DS129" s="2">
        <v>6.9882567288459501E-8</v>
      </c>
      <c r="DT129" s="2">
        <v>2.35840616369387E-7</v>
      </c>
      <c r="DU129" s="2">
        <v>8.5107700442677001E-8</v>
      </c>
      <c r="DV129">
        <v>49.939670562744098</v>
      </c>
      <c r="DW129">
        <v>-50.4091606140137</v>
      </c>
      <c r="DX129">
        <v>1.68431270867586E-2</v>
      </c>
      <c r="DY129" s="2">
        <v>1.35425334519823E-5</v>
      </c>
      <c r="DZ129" s="2">
        <v>-5.4931703630245498E-8</v>
      </c>
      <c r="EA129" s="2">
        <v>2.26275417958277E-7</v>
      </c>
      <c r="EB129" s="2">
        <v>8.7466077047793105E-8</v>
      </c>
      <c r="EC129">
        <v>49.967823028564503</v>
      </c>
      <c r="ED129">
        <v>-122.09481048584</v>
      </c>
      <c r="EE129" s="2">
        <v>3.4028230607370999E+38</v>
      </c>
      <c r="EF129" s="2">
        <v>3.4028230607370999E+38</v>
      </c>
      <c r="EG129">
        <v>11499.8173828125</v>
      </c>
      <c r="EH129">
        <v>23000.9140625</v>
      </c>
      <c r="EI129">
        <v>19919.796875</v>
      </c>
      <c r="EJ129" s="2">
        <v>3.4028230607370999E+38</v>
      </c>
      <c r="EK129" s="2">
        <v>3.4028230607370999E+38</v>
      </c>
      <c r="EL129">
        <v>123</v>
      </c>
      <c r="EM129">
        <v>230.00688171386699</v>
      </c>
      <c r="EN129">
        <v>100.000854492188</v>
      </c>
      <c r="EO129">
        <v>11499.814453125</v>
      </c>
      <c r="EP129">
        <v>23000.87109375</v>
      </c>
      <c r="EQ129">
        <v>19919.70703125</v>
      </c>
      <c r="ER129">
        <v>49.999988555908203</v>
      </c>
      <c r="ES129">
        <v>-60.001998901367202</v>
      </c>
      <c r="ET129">
        <v>0.49997037649154702</v>
      </c>
      <c r="EU129" s="2">
        <v>3.4028230607370999E+38</v>
      </c>
      <c r="EV129">
        <v>0</v>
      </c>
      <c r="EW129">
        <v>230.00514221191401</v>
      </c>
      <c r="EX129">
        <v>11499.0458984375</v>
      </c>
      <c r="EY129">
        <v>23000.71875</v>
      </c>
      <c r="EZ129">
        <v>19919.9765625</v>
      </c>
      <c r="FA129">
        <v>-2.9956871643662501E-2</v>
      </c>
      <c r="FB129">
        <v>1.5694715082645399E-2</v>
      </c>
      <c r="FC129" s="2">
        <v>1.5065057596075299E-5</v>
      </c>
      <c r="FD129" s="2">
        <v>6.96643809305897E-8</v>
      </c>
      <c r="FE129" s="2">
        <v>2.3473258181638799E-7</v>
      </c>
      <c r="FF129" s="2">
        <v>8.0353359521723204E-8</v>
      </c>
      <c r="FG129">
        <v>49.997379302978501</v>
      </c>
      <c r="FH129">
        <v>-49.075534820556598</v>
      </c>
      <c r="FI129">
        <v>0.27360749244689903</v>
      </c>
      <c r="FJ129" s="2">
        <v>3.4028230607370999E+38</v>
      </c>
      <c r="FK129">
        <v>-171.226318359375</v>
      </c>
      <c r="FL129">
        <v>2.0520580932497999E-2</v>
      </c>
      <c r="FM129">
        <v>0</v>
      </c>
      <c r="FN129">
        <v>0</v>
      </c>
      <c r="FO129">
        <v>0</v>
      </c>
      <c r="FP129">
        <v>1.1915097711607801E-3</v>
      </c>
      <c r="FQ129">
        <v>1.6216997057199499E-2</v>
      </c>
      <c r="FR129" s="2">
        <v>1.34088259073906E-5</v>
      </c>
      <c r="FS129" s="2">
        <v>-4.64268019584324E-8</v>
      </c>
      <c r="FT129" s="2">
        <v>2.1743066724866401E-7</v>
      </c>
      <c r="FU129" s="2">
        <v>6.8573235978419702E-8</v>
      </c>
      <c r="FV129">
        <v>50.018623352050803</v>
      </c>
      <c r="FW129">
        <v>-122.927894592285</v>
      </c>
      <c r="FX129">
        <v>-0.20508839190006301</v>
      </c>
      <c r="FY129" s="2">
        <v>3.4028230607370999E+38</v>
      </c>
      <c r="FZ129">
        <v>95.628128051757798</v>
      </c>
      <c r="GA129">
        <v>230.12260437011699</v>
      </c>
      <c r="GB129" s="2">
        <v>-7.7962338806969505E-9</v>
      </c>
      <c r="GC129">
        <v>3.0601657927036298E-3</v>
      </c>
      <c r="GD129" s="2">
        <v>-3.3075908678625898E-9</v>
      </c>
      <c r="GE129">
        <v>-1.6604457050561901E-3</v>
      </c>
      <c r="GF129" s="2">
        <v>3.4028230607370999E+38</v>
      </c>
      <c r="GG129" s="2">
        <v>3.4028230607370999E+38</v>
      </c>
      <c r="GH129">
        <v>11499.7958984375</v>
      </c>
      <c r="GI129">
        <v>23000.93359375</v>
      </c>
      <c r="GJ129">
        <v>19919.84765625</v>
      </c>
      <c r="GK129" s="2">
        <v>3.4028230607370999E+38</v>
      </c>
      <c r="GL129" s="2">
        <v>3.4028230607370999E+38</v>
      </c>
      <c r="GM129" s="2">
        <v>3.4028230607370999E+38</v>
      </c>
      <c r="GN129" s="2">
        <v>3.4028230607370999E+38</v>
      </c>
      <c r="GO129" s="2">
        <v>3.4028230607370999E+38</v>
      </c>
      <c r="GP129" s="2">
        <v>3.4028230607370999E+38</v>
      </c>
      <c r="GQ129">
        <v>11499.3447265625</v>
      </c>
      <c r="GR129">
        <v>11499.3447265625</v>
      </c>
      <c r="GS129">
        <v>19920</v>
      </c>
      <c r="GT129">
        <v>-5.7450693566352096E-4</v>
      </c>
      <c r="GX129">
        <f t="shared" si="8"/>
        <v>230.00695190429684</v>
      </c>
      <c r="GY129">
        <f t="shared" si="9"/>
        <v>100.00092773437521</v>
      </c>
      <c r="GZ129">
        <f t="shared" si="10"/>
        <v>11499.800976562499</v>
      </c>
      <c r="HA129">
        <f t="shared" si="11"/>
        <v>23000.907421874999</v>
      </c>
      <c r="HB129">
        <f t="shared" si="12"/>
        <v>19919.7734375</v>
      </c>
      <c r="HC129">
        <f t="shared" si="13"/>
        <v>49.999953460693362</v>
      </c>
      <c r="HD129">
        <f t="shared" si="14"/>
        <v>-60.001895141601565</v>
      </c>
      <c r="HW129" s="10">
        <f>(GX129/Data!$S129-1)*1000000</f>
        <v>44.804584898416877</v>
      </c>
      <c r="HX129" s="10">
        <f>(GY129/Data!$T129-1)*1000000</f>
        <v>24.682823993371628</v>
      </c>
      <c r="HY129" s="10">
        <f>(GZ129/Data!$BW129-1)*1000000</f>
        <v>-44.974706656430996</v>
      </c>
      <c r="HZ129" s="10">
        <f>(HA129/(Data!$S129*Data!$T129)-1)*1000000</f>
        <v>69.438343269334624</v>
      </c>
      <c r="IA129" s="7">
        <f>(HB129/IF(HD129&gt;0, -Data!$BX129,Data!$BX129)-1)*1000000</f>
        <v>108.89951694292854</v>
      </c>
      <c r="IB129" s="10"/>
      <c r="IC129" s="9">
        <f>(HD129-Data!$U129)</f>
        <v>-3.8021616015626591E-3</v>
      </c>
    </row>
    <row r="130" spans="1:237" x14ac:dyDescent="0.2">
      <c r="A130">
        <v>130</v>
      </c>
      <c r="B130">
        <v>230.00720214843801</v>
      </c>
      <c r="C130">
        <v>100.000839233398</v>
      </c>
      <c r="D130">
        <v>11499.75390625</v>
      </c>
      <c r="E130">
        <v>23000.859375</v>
      </c>
      <c r="F130">
        <v>19919.783203125</v>
      </c>
      <c r="G130">
        <v>49.999923706054702</v>
      </c>
      <c r="H130">
        <v>-60.002109527587898</v>
      </c>
      <c r="I130">
        <v>1.7817251384258301E-2</v>
      </c>
      <c r="J130" s="2">
        <v>1.47200244100532E-5</v>
      </c>
      <c r="K130" s="2">
        <v>1.5094801142367899E-7</v>
      </c>
      <c r="L130" s="2">
        <v>2.6316064349884998E-7</v>
      </c>
      <c r="M130" s="2">
        <v>4.0684138724600403E-8</v>
      </c>
      <c r="N130">
        <v>49.970474243164098</v>
      </c>
      <c r="O130">
        <v>-17.682115554809599</v>
      </c>
      <c r="P130">
        <v>1.9345793873071698E-2</v>
      </c>
      <c r="Q130" s="2">
        <v>1.34052825160325E-5</v>
      </c>
      <c r="R130" s="2">
        <v>9.0140224173751399E-9</v>
      </c>
      <c r="S130" s="2">
        <v>2.6227283456137197E-7</v>
      </c>
      <c r="T130" s="2">
        <v>1.5851010459755301E-7</v>
      </c>
      <c r="U130">
        <v>49.971393585205099</v>
      </c>
      <c r="V130">
        <v>-88.359840393066406</v>
      </c>
      <c r="W130" s="2">
        <v>3.4028230607370999E+38</v>
      </c>
      <c r="X130" s="2">
        <v>3.4028230607370999E+38</v>
      </c>
      <c r="Y130">
        <v>11499.75390625</v>
      </c>
      <c r="Z130">
        <v>23000.859375</v>
      </c>
      <c r="AA130">
        <v>19919.783203125</v>
      </c>
      <c r="AB130" s="2">
        <v>3.4028230607370999E+38</v>
      </c>
      <c r="AC130" s="2">
        <v>3.4028230607370999E+38</v>
      </c>
      <c r="AD130">
        <v>230.00712585449199</v>
      </c>
      <c r="AE130">
        <v>100.000854492188</v>
      </c>
      <c r="AF130">
        <v>11499.8115234375</v>
      </c>
      <c r="AG130">
        <v>23000.947265625</v>
      </c>
      <c r="AH130">
        <v>19919.80078125</v>
      </c>
      <c r="AI130">
        <v>49.999935150146499</v>
      </c>
      <c r="AJ130">
        <v>-60.001888275146499</v>
      </c>
      <c r="AK130">
        <v>1.5311901457607699E-2</v>
      </c>
      <c r="AL130" s="2">
        <v>1.50537061927025E-5</v>
      </c>
      <c r="AM130" s="2">
        <v>6.0379349520189902E-8</v>
      </c>
      <c r="AN130" s="2">
        <v>2.3062334264523101E-7</v>
      </c>
      <c r="AO130" s="2">
        <v>7.3328060068433803E-8</v>
      </c>
      <c r="AP130">
        <v>50.003810882568402</v>
      </c>
      <c r="AQ130">
        <v>-50.430980682372997</v>
      </c>
      <c r="AR130">
        <v>1.6490925103426E-2</v>
      </c>
      <c r="AS130" s="2">
        <v>1.34254396471079E-5</v>
      </c>
      <c r="AT130" s="2">
        <v>-4.5799907866239697E-8</v>
      </c>
      <c r="AU130" s="2">
        <v>2.19781725263601E-7</v>
      </c>
      <c r="AV130" s="2">
        <v>7.1904146636825304E-8</v>
      </c>
      <c r="AW130">
        <v>50.0052299499512</v>
      </c>
      <c r="AX130">
        <v>-122.84906005859401</v>
      </c>
      <c r="AY130" s="2">
        <v>3.4028230607370999E+38</v>
      </c>
      <c r="AZ130" s="2">
        <v>3.4028230607370999E+38</v>
      </c>
      <c r="BA130">
        <v>11499.810546875</v>
      </c>
      <c r="BB130">
        <v>23000.947265625</v>
      </c>
      <c r="BC130">
        <v>19919.80078125</v>
      </c>
      <c r="BD130" s="2">
        <v>3.4028230607370999E+38</v>
      </c>
      <c r="BE130" s="2">
        <v>3.4028230607370999E+38</v>
      </c>
      <c r="BF130">
        <v>230.00701904296901</v>
      </c>
      <c r="BG130">
        <v>100.000770568848</v>
      </c>
      <c r="BH130">
        <v>11499.7685546875</v>
      </c>
      <c r="BI130">
        <v>23000.884765625</v>
      </c>
      <c r="BJ130">
        <v>19919.794921875</v>
      </c>
      <c r="BK130">
        <v>49.999923706054702</v>
      </c>
      <c r="BL130">
        <v>-60.001914978027301</v>
      </c>
      <c r="BM130">
        <v>1.8006335943937302E-2</v>
      </c>
      <c r="BN130" s="2">
        <v>1.4578885384253201E-5</v>
      </c>
      <c r="BO130" s="2">
        <v>1.34235492055268E-7</v>
      </c>
      <c r="BP130" s="2">
        <v>2.60507221128137E-7</v>
      </c>
      <c r="BQ130" s="2">
        <v>7.9902491734174003E-8</v>
      </c>
      <c r="BR130">
        <v>49.993186950683601</v>
      </c>
      <c r="BS130">
        <v>-32.368938446044901</v>
      </c>
      <c r="BT130">
        <v>1.9608179107308402E-2</v>
      </c>
      <c r="BU130" s="2">
        <v>1.3575446246250101E-5</v>
      </c>
      <c r="BV130" s="2">
        <v>-3.2933623828057501E-8</v>
      </c>
      <c r="BW130" s="2">
        <v>2.6293503196939101E-7</v>
      </c>
      <c r="BX130" s="2">
        <v>1.54535285901147E-7</v>
      </c>
      <c r="BY130">
        <v>49.9828491210938</v>
      </c>
      <c r="BZ130">
        <v>-102.168342590332</v>
      </c>
      <c r="CA130" s="2">
        <v>3.4028230607370999E+38</v>
      </c>
      <c r="CB130" s="2">
        <v>3.4028230607370999E+38</v>
      </c>
      <c r="CC130">
        <v>11499.767578125</v>
      </c>
      <c r="CD130">
        <v>23000.884765625</v>
      </c>
      <c r="CE130">
        <v>19919.794921875</v>
      </c>
      <c r="CF130" s="2">
        <v>3.4028230607370999E+38</v>
      </c>
      <c r="CG130" s="2">
        <v>3.4028230607370999E+38</v>
      </c>
      <c r="CH130">
        <v>230.00729370117199</v>
      </c>
      <c r="CI130">
        <v>100.00080871582</v>
      </c>
      <c r="CJ130">
        <v>11499.822265625</v>
      </c>
      <c r="CK130">
        <v>23000.8984375</v>
      </c>
      <c r="CL130">
        <v>19919.83984375</v>
      </c>
      <c r="CM130">
        <v>49.999874114990199</v>
      </c>
      <c r="CN130">
        <v>-60.002059936523402</v>
      </c>
      <c r="CO130">
        <v>1.75110436975956E-2</v>
      </c>
      <c r="CP130" s="2">
        <v>1.4623461538576501E-5</v>
      </c>
      <c r="CQ130" s="2">
        <v>1.16839139252534E-7</v>
      </c>
      <c r="CR130" s="2">
        <v>2.56466222481322E-7</v>
      </c>
      <c r="CS130" s="2">
        <v>8.7331351039665606E-8</v>
      </c>
      <c r="CT130">
        <v>50.003150939941399</v>
      </c>
      <c r="CU130">
        <v>-35.8304252624512</v>
      </c>
      <c r="CV130">
        <v>1.9067270681261999E-2</v>
      </c>
      <c r="CW130" s="2">
        <v>1.3637969459523399E-5</v>
      </c>
      <c r="CX130" s="2">
        <v>-4.6518565000042098E-8</v>
      </c>
      <c r="CY130" s="2">
        <v>2.5802950176512198E-7</v>
      </c>
      <c r="CZ130" s="2">
        <v>1.4650628088475099E-7</v>
      </c>
      <c r="DA130">
        <v>49.9967651367188</v>
      </c>
      <c r="DB130">
        <v>-106.037078857422</v>
      </c>
      <c r="DC130" s="2">
        <v>3.4028230607370999E+38</v>
      </c>
      <c r="DD130" s="2">
        <v>3.4028230607370999E+38</v>
      </c>
      <c r="DE130">
        <v>11499.8212890625</v>
      </c>
      <c r="DF130">
        <v>23000.8984375</v>
      </c>
      <c r="DG130">
        <v>19919.83984375</v>
      </c>
      <c r="DH130" s="2">
        <v>3.4028230607370999E+38</v>
      </c>
      <c r="DI130" s="2">
        <v>3.4028230607370999E+38</v>
      </c>
      <c r="DJ130">
        <v>230.00726318359401</v>
      </c>
      <c r="DK130">
        <v>100.000869750977</v>
      </c>
      <c r="DL130">
        <v>11499.7451171875</v>
      </c>
      <c r="DM130">
        <v>23000.9140625</v>
      </c>
      <c r="DN130">
        <v>19919.822265625</v>
      </c>
      <c r="DO130">
        <v>49.999954223632798</v>
      </c>
      <c r="DP130">
        <v>-60.001945495605497</v>
      </c>
      <c r="DQ130">
        <v>1.5829345211386701E-2</v>
      </c>
      <c r="DR130" s="2">
        <v>1.50236710396712E-5</v>
      </c>
      <c r="DS130" s="2">
        <v>7.1702785930938302E-8</v>
      </c>
      <c r="DT130" s="2">
        <v>2.37881337739054E-7</v>
      </c>
      <c r="DU130" s="2">
        <v>8.1402063756286198E-8</v>
      </c>
      <c r="DV130">
        <v>49.981609344482401</v>
      </c>
      <c r="DW130">
        <v>-50.355884552002003</v>
      </c>
      <c r="DX130">
        <v>1.6914561390876801E-2</v>
      </c>
      <c r="DY130" s="2">
        <v>1.35166164909606E-5</v>
      </c>
      <c r="DZ130" s="2">
        <v>-5.5523901920651002E-8</v>
      </c>
      <c r="EA130" s="2">
        <v>2.2296318036296701E-7</v>
      </c>
      <c r="EB130" s="2">
        <v>8.6746716476682195E-8</v>
      </c>
      <c r="EC130">
        <v>50.022285461425803</v>
      </c>
      <c r="ED130">
        <v>-120.85912322998</v>
      </c>
      <c r="EE130" s="2">
        <v>3.4028230607370999E+38</v>
      </c>
      <c r="EF130" s="2">
        <v>3.4028230607370999E+38</v>
      </c>
      <c r="EG130">
        <v>11499.744140625</v>
      </c>
      <c r="EH130">
        <v>23000.9140625</v>
      </c>
      <c r="EI130">
        <v>19919.822265625</v>
      </c>
      <c r="EJ130" s="2">
        <v>3.4028230607370999E+38</v>
      </c>
      <c r="EK130" s="2">
        <v>3.4028230607370999E+38</v>
      </c>
      <c r="EL130">
        <v>123</v>
      </c>
      <c r="EM130">
        <v>230.00723266601599</v>
      </c>
      <c r="EN130">
        <v>100.001014709473</v>
      </c>
      <c r="EO130">
        <v>11499.7705078125</v>
      </c>
      <c r="EP130">
        <v>23000.935546875</v>
      </c>
      <c r="EQ130">
        <v>19919.85546875</v>
      </c>
      <c r="ER130">
        <v>49.9998970031738</v>
      </c>
      <c r="ES130">
        <v>-60.001888275146499</v>
      </c>
      <c r="ET130">
        <v>0.49997186660766602</v>
      </c>
      <c r="EU130" s="2">
        <v>3.4028230607370999E+38</v>
      </c>
      <c r="EV130">
        <v>0</v>
      </c>
      <c r="EW130">
        <v>230.00588989257801</v>
      </c>
      <c r="EX130">
        <v>11499.244140625</v>
      </c>
      <c r="EY130">
        <v>23000.81640625</v>
      </c>
      <c r="EZ130">
        <v>19920.0078125</v>
      </c>
      <c r="FA130">
        <v>-1.58299617469311E-2</v>
      </c>
      <c r="FB130">
        <v>1.50876054540277E-2</v>
      </c>
      <c r="FC130" s="2">
        <v>1.5202326721919199E-5</v>
      </c>
      <c r="FD130" s="2">
        <v>5.6874132070561199E-8</v>
      </c>
      <c r="FE130" s="2">
        <v>2.2497486895645101E-7</v>
      </c>
      <c r="FF130" s="2">
        <v>6.1534315420885806E-8</v>
      </c>
      <c r="FG130">
        <v>49.921810150146499</v>
      </c>
      <c r="FH130">
        <v>-45.4075927734375</v>
      </c>
      <c r="FI130">
        <v>0.25685885548591603</v>
      </c>
      <c r="FJ130" s="2">
        <v>3.4028230607370999E+38</v>
      </c>
      <c r="FK130">
        <v>-139.55520629882801</v>
      </c>
      <c r="FL130">
        <v>2.0260399207472801E-2</v>
      </c>
      <c r="FM130">
        <v>0</v>
      </c>
      <c r="FN130">
        <v>0</v>
      </c>
      <c r="FO130">
        <v>0</v>
      </c>
      <c r="FP130">
        <v>1.2003052979707701E-3</v>
      </c>
      <c r="FQ130">
        <v>1.55222536996007E-2</v>
      </c>
      <c r="FR130" s="2">
        <v>1.32053010020172E-5</v>
      </c>
      <c r="FS130" s="2">
        <v>-2.51523744054793E-8</v>
      </c>
      <c r="FT130" s="2">
        <v>2.0497790842455301E-7</v>
      </c>
      <c r="FU130" s="2">
        <v>5.6277048798847298E-8</v>
      </c>
      <c r="FV130">
        <v>49.938167572021499</v>
      </c>
      <c r="FW130">
        <v>-112.839233398438</v>
      </c>
      <c r="FX130">
        <v>-0.112811662256718</v>
      </c>
      <c r="FY130" s="2">
        <v>3.4028230607370999E+38</v>
      </c>
      <c r="FZ130">
        <v>126.19833374023401</v>
      </c>
      <c r="GA130">
        <v>230.05863952636699</v>
      </c>
      <c r="GB130" s="2">
        <v>-3.8492342646634403E-9</v>
      </c>
      <c r="GC130">
        <v>3.0180816538631899E-3</v>
      </c>
      <c r="GD130" s="2">
        <v>-6.3266578642640103E-9</v>
      </c>
      <c r="GE130">
        <v>-1.6345044132322099E-3</v>
      </c>
      <c r="GF130" s="2">
        <v>3.4028230607370999E+38</v>
      </c>
      <c r="GG130" s="2">
        <v>3.4028230607370999E+38</v>
      </c>
      <c r="GH130">
        <v>11499.7568359375</v>
      </c>
      <c r="GI130">
        <v>23000.931640625</v>
      </c>
      <c r="GJ130">
        <v>19919.818359375</v>
      </c>
      <c r="GK130" s="2">
        <v>3.4028230607370999E+38</v>
      </c>
      <c r="GL130" s="2">
        <v>3.4028230607370999E+38</v>
      </c>
      <c r="GM130" s="2">
        <v>3.4028230607370999E+38</v>
      </c>
      <c r="GN130" s="2">
        <v>3.4028230607370999E+38</v>
      </c>
      <c r="GO130" s="2">
        <v>3.4028230607370999E+38</v>
      </c>
      <c r="GP130" s="2">
        <v>3.4028230607370999E+38</v>
      </c>
      <c r="GQ130">
        <v>11499.44921875</v>
      </c>
      <c r="GR130">
        <v>11499.44921875</v>
      </c>
      <c r="GS130">
        <v>19920.09765625</v>
      </c>
      <c r="GT130">
        <v>1.5362082049250599E-2</v>
      </c>
      <c r="GX130">
        <f t="shared" si="8"/>
        <v>230.00718078613301</v>
      </c>
      <c r="GY130">
        <f t="shared" si="9"/>
        <v>100.0008285522462</v>
      </c>
      <c r="GZ130">
        <f t="shared" si="10"/>
        <v>11499.7802734375</v>
      </c>
      <c r="HA130">
        <f t="shared" si="11"/>
        <v>23000.900781249999</v>
      </c>
      <c r="HB130">
        <f t="shared" si="12"/>
        <v>19919.808203125001</v>
      </c>
      <c r="HC130">
        <f t="shared" si="13"/>
        <v>49.99992218017578</v>
      </c>
      <c r="HD130">
        <f t="shared" si="14"/>
        <v>-60.001983642578125</v>
      </c>
      <c r="HW130" s="10">
        <f>(GX130/Data!$S130-1)*1000000</f>
        <v>45.685817915641636</v>
      </c>
      <c r="HX130" s="10">
        <f>(GY130/Data!$T130-1)*1000000</f>
        <v>28.665006623240785</v>
      </c>
      <c r="HY130" s="10">
        <f>(GZ130/Data!$BW130-1)*1000000</f>
        <v>-50.823306451452943</v>
      </c>
      <c r="HZ130" s="10">
        <f>(HA130/(Data!$S130*Data!$T130)-1)*1000000</f>
        <v>74.009933957119856</v>
      </c>
      <c r="IA130" s="7">
        <f>(HB130/IF(HD130&gt;0, -Data!$BX130,Data!$BX130)-1)*1000000</f>
        <v>118.47617578841785</v>
      </c>
      <c r="IB130" s="10"/>
      <c r="IC130" s="9">
        <f>(HD130-Data!$U130)</f>
        <v>-4.1853825781217324E-3</v>
      </c>
    </row>
    <row r="131" spans="1:237" x14ac:dyDescent="0.2">
      <c r="A131">
        <v>131</v>
      </c>
      <c r="B131">
        <v>230.00726318359401</v>
      </c>
      <c r="C131">
        <v>100.000846862793</v>
      </c>
      <c r="D131">
        <v>11499.7802734375</v>
      </c>
      <c r="E131">
        <v>23000.923828125</v>
      </c>
      <c r="F131">
        <v>19919.814453125</v>
      </c>
      <c r="G131">
        <v>49.999893188476598</v>
      </c>
      <c r="H131">
        <v>-60.002006530761697</v>
      </c>
      <c r="I131">
        <v>1.52105949819088E-2</v>
      </c>
      <c r="J131" s="2">
        <v>1.51831545736059E-5</v>
      </c>
      <c r="K131" s="2">
        <v>5.9750277614512002E-8</v>
      </c>
      <c r="L131" s="2">
        <v>2.2860109538669301E-7</v>
      </c>
      <c r="M131" s="2">
        <v>6.1362001702036703E-8</v>
      </c>
      <c r="N131">
        <v>49.955509185791001</v>
      </c>
      <c r="O131">
        <v>-47.128452301025398</v>
      </c>
      <c r="P131">
        <v>1.61570999771357E-2</v>
      </c>
      <c r="Q131" s="2">
        <v>1.33640223793918E-5</v>
      </c>
      <c r="R131" s="2">
        <v>-4.2715395665027199E-8</v>
      </c>
      <c r="S131" s="2">
        <v>2.08782054755829E-7</v>
      </c>
      <c r="T131" s="2">
        <v>6.2870213923815794E-8</v>
      </c>
      <c r="U131">
        <v>50.039852142333999</v>
      </c>
      <c r="V131">
        <v>-120.516738891602</v>
      </c>
      <c r="W131" s="2">
        <v>3.4028230607370999E+38</v>
      </c>
      <c r="X131" s="2">
        <v>3.4028230607370999E+38</v>
      </c>
      <c r="Y131">
        <v>11499.779296875</v>
      </c>
      <c r="Z131">
        <v>23000.923828125</v>
      </c>
      <c r="AA131">
        <v>19919.814453125</v>
      </c>
      <c r="AB131" s="2">
        <v>3.4028230607370999E+38</v>
      </c>
      <c r="AC131" s="2">
        <v>3.4028230607370999E+38</v>
      </c>
      <c r="AD131">
        <v>230.007080078125</v>
      </c>
      <c r="AE131">
        <v>100.000762939453</v>
      </c>
      <c r="AF131">
        <v>11499.7529296875</v>
      </c>
      <c r="AG131">
        <v>23000.87109375</v>
      </c>
      <c r="AH131">
        <v>19919.783203125</v>
      </c>
      <c r="AI131">
        <v>49.999946594238303</v>
      </c>
      <c r="AJ131">
        <v>-60.001956939697301</v>
      </c>
      <c r="AK131">
        <v>1.77468471229076E-2</v>
      </c>
      <c r="AL131" s="2">
        <v>1.47105156429461E-5</v>
      </c>
      <c r="AM131" s="2">
        <v>1.50563309375684E-7</v>
      </c>
      <c r="AN131" s="2">
        <v>2.6089787752425801E-7</v>
      </c>
      <c r="AO131" s="2">
        <v>4.6461263281116798E-8</v>
      </c>
      <c r="AP131">
        <v>50.006427764892599</v>
      </c>
      <c r="AQ131">
        <v>-16.9259929656982</v>
      </c>
      <c r="AR131">
        <v>1.9528379663825E-2</v>
      </c>
      <c r="AS131" s="2">
        <v>1.3467772078001901E-5</v>
      </c>
      <c r="AT131" s="2">
        <v>4.4213526173564299E-9</v>
      </c>
      <c r="AU131" s="2">
        <v>2.6535022357165898E-7</v>
      </c>
      <c r="AV131" s="2">
        <v>1.5810476838851199E-7</v>
      </c>
      <c r="AW131">
        <v>50.038700103759801</v>
      </c>
      <c r="AX131">
        <v>-88.794738769531193</v>
      </c>
      <c r="AY131" s="2">
        <v>3.4028230607370999E+38</v>
      </c>
      <c r="AZ131" s="2">
        <v>3.4028230607370999E+38</v>
      </c>
      <c r="BA131">
        <v>11499.7529296875</v>
      </c>
      <c r="BB131">
        <v>23000.87109375</v>
      </c>
      <c r="BC131">
        <v>19919.783203125</v>
      </c>
      <c r="BD131" s="2">
        <v>3.4028230607370999E+38</v>
      </c>
      <c r="BE131" s="2">
        <v>3.4028230607370999E+38</v>
      </c>
      <c r="BF131">
        <v>230.00711059570301</v>
      </c>
      <c r="BG131">
        <v>100.00083160400401</v>
      </c>
      <c r="BH131">
        <v>11499.78125</v>
      </c>
      <c r="BI131">
        <v>23000.9140625</v>
      </c>
      <c r="BJ131">
        <v>19919.89453125</v>
      </c>
      <c r="BK131">
        <v>49.999885559082003</v>
      </c>
      <c r="BL131">
        <v>-60.002189636230497</v>
      </c>
      <c r="BM131">
        <v>1.54480412602425E-2</v>
      </c>
      <c r="BN131" s="2">
        <v>1.51483100125915E-5</v>
      </c>
      <c r="BO131" s="2">
        <v>6.1554722208256902E-8</v>
      </c>
      <c r="BP131" s="2">
        <v>2.29654347094765E-7</v>
      </c>
      <c r="BQ131" s="2">
        <v>7.4459272525473405E-8</v>
      </c>
      <c r="BR131">
        <v>50.012912750244098</v>
      </c>
      <c r="BS131">
        <v>-50.5597114562988</v>
      </c>
      <c r="BT131">
        <v>1.6471894457936301E-2</v>
      </c>
      <c r="BU131" s="2">
        <v>1.33669736896991E-5</v>
      </c>
      <c r="BV131" s="2">
        <v>-4.8227846605186602E-8</v>
      </c>
      <c r="BW131" s="2">
        <v>2.1887674961362799E-7</v>
      </c>
      <c r="BX131" s="2">
        <v>7.3081366736005306E-8</v>
      </c>
      <c r="BY131">
        <v>50.032314300537102</v>
      </c>
      <c r="BZ131">
        <v>-121.829963684082</v>
      </c>
      <c r="CA131" s="2">
        <v>3.4028230607370999E+38</v>
      </c>
      <c r="CB131" s="2">
        <v>3.4028230607370999E+38</v>
      </c>
      <c r="CC131">
        <v>11499.7802734375</v>
      </c>
      <c r="CD131">
        <v>23000.9140625</v>
      </c>
      <c r="CE131">
        <v>19919.89453125</v>
      </c>
      <c r="CF131" s="2">
        <v>3.4028230607370999E+38</v>
      </c>
      <c r="CG131" s="2">
        <v>3.4028230607370999E+38</v>
      </c>
      <c r="CH131">
        <v>230.00727844238301</v>
      </c>
      <c r="CI131">
        <v>100.000946044922</v>
      </c>
      <c r="CJ131">
        <v>11499.75</v>
      </c>
      <c r="CK131">
        <v>23000.939453125</v>
      </c>
      <c r="CL131">
        <v>19919.8046875</v>
      </c>
      <c r="CM131">
        <v>49.999946594238303</v>
      </c>
      <c r="CN131">
        <v>-60.001964569091797</v>
      </c>
      <c r="CO131">
        <v>1.4658987522125201E-2</v>
      </c>
      <c r="CP131" s="2">
        <v>1.53571945702424E-5</v>
      </c>
      <c r="CQ131" s="2">
        <v>5.9201465063552003E-8</v>
      </c>
      <c r="CR131" s="2">
        <v>2.25127052999596E-7</v>
      </c>
      <c r="CS131" s="2">
        <v>4.4723879710773002E-8</v>
      </c>
      <c r="CT131">
        <v>49.982452392578097</v>
      </c>
      <c r="CU131">
        <v>-38.355720520019503</v>
      </c>
      <c r="CV131">
        <v>1.55766373500228E-2</v>
      </c>
      <c r="CW131" s="2">
        <v>1.31562301248778E-5</v>
      </c>
      <c r="CX131" s="2">
        <v>-2.32116725840115E-8</v>
      </c>
      <c r="CY131" s="2">
        <v>2.0738042394441399E-7</v>
      </c>
      <c r="CZ131" s="2">
        <v>5.47844578591139E-8</v>
      </c>
      <c r="DA131">
        <v>49.983058929443402</v>
      </c>
      <c r="DB131">
        <v>-114.490592956543</v>
      </c>
      <c r="DC131" s="2">
        <v>3.4028230607370999E+38</v>
      </c>
      <c r="DD131" s="2">
        <v>3.4028230607370999E+38</v>
      </c>
      <c r="DE131">
        <v>11499.7490234375</v>
      </c>
      <c r="DF131">
        <v>23000.939453125</v>
      </c>
      <c r="DG131">
        <v>19919.8046875</v>
      </c>
      <c r="DH131" s="2">
        <v>3.4028230607370999E+38</v>
      </c>
      <c r="DI131" s="2">
        <v>3.4028230607370999E+38</v>
      </c>
      <c r="DJ131">
        <v>230.00741577148401</v>
      </c>
      <c r="DK131">
        <v>100.00090789794901</v>
      </c>
      <c r="DL131">
        <v>11499.755859375</v>
      </c>
      <c r="DM131">
        <v>23000.888671875</v>
      </c>
      <c r="DN131">
        <v>19919.798828125</v>
      </c>
      <c r="DO131">
        <v>49.999912261962898</v>
      </c>
      <c r="DP131">
        <v>-60.001983642578097</v>
      </c>
      <c r="DQ131">
        <v>1.6709528863429999E-2</v>
      </c>
      <c r="DR131" s="2">
        <v>1.51496151374886E-5</v>
      </c>
      <c r="DS131" s="2">
        <v>1.34708130872241E-7</v>
      </c>
      <c r="DT131" s="2">
        <v>2.5319783958366299E-7</v>
      </c>
      <c r="DU131" s="2">
        <v>-1.4363582545584601E-9</v>
      </c>
      <c r="DV131">
        <v>49.96728515625</v>
      </c>
      <c r="DW131">
        <v>-0.17448933422565499</v>
      </c>
      <c r="DX131">
        <v>1.77472699433565E-2</v>
      </c>
      <c r="DY131" s="2">
        <v>1.3070150089333801E-5</v>
      </c>
      <c r="DZ131" s="2">
        <v>3.8807186797384903E-8</v>
      </c>
      <c r="EA131" s="2">
        <v>2.31798097161118E-7</v>
      </c>
      <c r="EB131" s="2">
        <v>1.15017691371122E-7</v>
      </c>
      <c r="EC131">
        <v>50.014003753662102</v>
      </c>
      <c r="ED131">
        <v>-72.207298278808594</v>
      </c>
      <c r="EE131" s="2">
        <v>3.4028230607370999E+38</v>
      </c>
      <c r="EF131" s="2">
        <v>3.4028230607370999E+38</v>
      </c>
      <c r="EG131">
        <v>11499.755859375</v>
      </c>
      <c r="EH131">
        <v>23000.888671875</v>
      </c>
      <c r="EI131">
        <v>19919.796875</v>
      </c>
      <c r="EJ131" s="2">
        <v>3.4028230607370999E+38</v>
      </c>
      <c r="EK131" s="2">
        <v>3.4028230607370999E+38</v>
      </c>
      <c r="EL131">
        <v>123</v>
      </c>
      <c r="EM131">
        <v>230.00744628906199</v>
      </c>
      <c r="EN131">
        <v>100.000846862793</v>
      </c>
      <c r="EO131">
        <v>11499.8330078125</v>
      </c>
      <c r="EP131">
        <v>23000.9140625</v>
      </c>
      <c r="EQ131">
        <v>19919.7890625</v>
      </c>
      <c r="ER131">
        <v>49.999923706054702</v>
      </c>
      <c r="ES131">
        <v>-60.001876831054702</v>
      </c>
      <c r="ET131">
        <v>0.49997255206108099</v>
      </c>
      <c r="EU131" s="2">
        <v>3.4028230607370999E+38</v>
      </c>
      <c r="EV131">
        <v>0</v>
      </c>
      <c r="EW131">
        <v>230.012283325195</v>
      </c>
      <c r="EX131">
        <v>11499.283203125</v>
      </c>
      <c r="EY131">
        <v>23001.421875</v>
      </c>
      <c r="EZ131">
        <v>19920.708984375</v>
      </c>
      <c r="FA131">
        <v>-2.5164645165204998E-2</v>
      </c>
      <c r="FB131">
        <v>1.7600152641534798E-2</v>
      </c>
      <c r="FC131" s="2">
        <v>1.48524841279141E-5</v>
      </c>
      <c r="FD131" s="2">
        <v>1.5071331915805799E-7</v>
      </c>
      <c r="FE131" s="2">
        <v>2.6116762796846203E-7</v>
      </c>
      <c r="FF131" s="2">
        <v>2.7464574614555201E-8</v>
      </c>
      <c r="FG131">
        <v>50.0167846679688</v>
      </c>
      <c r="FH131">
        <v>-11.462567329406699</v>
      </c>
      <c r="FI131">
        <v>0.57777583599090598</v>
      </c>
      <c r="FJ131" s="2">
        <v>3.4028230607370999E+38</v>
      </c>
      <c r="FK131">
        <v>-157.19833374023401</v>
      </c>
      <c r="FL131">
        <v>2.10590865463018E-2</v>
      </c>
      <c r="FM131">
        <v>0</v>
      </c>
      <c r="FN131">
        <v>0</v>
      </c>
      <c r="FO131">
        <v>0</v>
      </c>
      <c r="FP131">
        <v>1.07625138480216E-3</v>
      </c>
      <c r="FQ131">
        <v>1.9341554492712E-2</v>
      </c>
      <c r="FR131" s="2">
        <v>1.3433357707981499E-5</v>
      </c>
      <c r="FS131" s="2">
        <v>5.5222413308797497E-9</v>
      </c>
      <c r="FT131" s="2">
        <v>2.64235978875149E-7</v>
      </c>
      <c r="FU131" s="2">
        <v>1.6089667553842401E-7</v>
      </c>
      <c r="FV131">
        <v>50.012832641601598</v>
      </c>
      <c r="FW131">
        <v>-90.743331909179702</v>
      </c>
      <c r="FX131">
        <v>-7.90012534707785E-3</v>
      </c>
      <c r="FY131" s="2">
        <v>3.4028230607370999E+38</v>
      </c>
      <c r="FZ131">
        <v>133.10127258300801</v>
      </c>
      <c r="GA131">
        <v>230.00527954101599</v>
      </c>
      <c r="GB131" s="2">
        <v>-2.0633248443147101E-9</v>
      </c>
      <c r="GC131">
        <v>3.1308545731008101E-3</v>
      </c>
      <c r="GD131" s="2">
        <v>1.62554183447128E-8</v>
      </c>
      <c r="GE131">
        <v>-1.68151303660125E-3</v>
      </c>
      <c r="GF131" s="2">
        <v>3.4028230607370999E+38</v>
      </c>
      <c r="GG131" s="2">
        <v>3.4028230607370999E+38</v>
      </c>
      <c r="GH131">
        <v>11499.7685546875</v>
      </c>
      <c r="GI131">
        <v>23000.85546875</v>
      </c>
      <c r="GJ131">
        <v>19919.779296875</v>
      </c>
      <c r="GK131" s="2">
        <v>3.4028230607370999E+38</v>
      </c>
      <c r="GL131" s="2">
        <v>3.4028230607370999E+38</v>
      </c>
      <c r="GM131" s="2">
        <v>3.4028230607370999E+38</v>
      </c>
      <c r="GN131" s="2">
        <v>3.4028230607370999E+38</v>
      </c>
      <c r="GO131" s="2">
        <v>3.4028230607370999E+38</v>
      </c>
      <c r="GP131" s="2">
        <v>3.4028230607370999E+38</v>
      </c>
      <c r="GQ131">
        <v>11498.8779296875</v>
      </c>
      <c r="GR131">
        <v>11498.8779296875</v>
      </c>
      <c r="GS131">
        <v>19920.44921875</v>
      </c>
      <c r="GT131">
        <v>-5.76600059866905E-2</v>
      </c>
      <c r="GX131">
        <f t="shared" si="8"/>
        <v>230.00722961425782</v>
      </c>
      <c r="GY131">
        <f t="shared" si="9"/>
        <v>100.0008590698242</v>
      </c>
      <c r="GZ131">
        <f t="shared" si="10"/>
        <v>11499.7640625</v>
      </c>
      <c r="HA131">
        <f t="shared" si="11"/>
        <v>23000.907421874999</v>
      </c>
      <c r="HB131">
        <f t="shared" si="12"/>
        <v>19919.819140625001</v>
      </c>
      <c r="HC131">
        <f t="shared" si="13"/>
        <v>49.999916839599621</v>
      </c>
      <c r="HD131">
        <f t="shared" si="14"/>
        <v>-60.002020263671874</v>
      </c>
      <c r="HW131" s="10">
        <f>(GX131/Data!$S131-1)*1000000</f>
        <v>46.149871570921874</v>
      </c>
      <c r="HX131" s="10">
        <f>(GY131/Data!$T131-1)*1000000</f>
        <v>26.841188093706947</v>
      </c>
      <c r="HY131" s="10">
        <f>(GZ131/Data!$BW131-1)*1000000</f>
        <v>-50.770420429446794</v>
      </c>
      <c r="HZ131" s="10">
        <f>(HA131/(Data!$S131*Data!$T131)-1)*1000000</f>
        <v>72.421330816307972</v>
      </c>
      <c r="IA131" s="7">
        <f>(HB131/IF(HD131&gt;0, -Data!$BX131,Data!$BX131)-1)*1000000</f>
        <v>116.03412542959823</v>
      </c>
      <c r="IB131" s="10"/>
      <c r="IC131" s="9">
        <f>(HD131-Data!$U131)</f>
        <v>-4.1115136718730128E-3</v>
      </c>
    </row>
    <row r="132" spans="1:237" x14ac:dyDescent="0.2">
      <c r="A132">
        <v>132</v>
      </c>
      <c r="B132">
        <v>229.99995422363301</v>
      </c>
      <c r="C132">
        <v>100.00067138671901</v>
      </c>
      <c r="D132">
        <v>18393.58984375</v>
      </c>
      <c r="E132">
        <v>23000.19140625</v>
      </c>
      <c r="F132">
        <v>-13809.1240234375</v>
      </c>
      <c r="G132">
        <v>49.999988555908203</v>
      </c>
      <c r="H132">
        <v>36.8976860046387</v>
      </c>
      <c r="I132">
        <v>1.67445000261068E-2</v>
      </c>
      <c r="J132" s="2">
        <v>1.4715626093675399E-5</v>
      </c>
      <c r="K132" s="2">
        <v>8.0081328235337397E-8</v>
      </c>
      <c r="L132" s="2">
        <v>2.4444648261123803E-7</v>
      </c>
      <c r="M132" s="2">
        <v>-9.9147108301167503E-8</v>
      </c>
      <c r="N132">
        <v>49.990665435791001</v>
      </c>
      <c r="O132">
        <v>50.5634765625</v>
      </c>
      <c r="P132">
        <v>1.8078306689858398E-2</v>
      </c>
      <c r="Q132" s="2">
        <v>1.3665350707015001E-5</v>
      </c>
      <c r="R132" s="2">
        <v>1.2617685740679E-7</v>
      </c>
      <c r="S132" s="2">
        <v>2.4622619321235101E-7</v>
      </c>
      <c r="T132" s="2">
        <v>4.8597964763530399E-8</v>
      </c>
      <c r="U132">
        <v>49.998699188232401</v>
      </c>
      <c r="V132">
        <v>-21.613267898559599</v>
      </c>
      <c r="W132" s="2">
        <v>3.4028230607370999E+38</v>
      </c>
      <c r="X132" s="2">
        <v>3.4028230607370999E+38</v>
      </c>
      <c r="Y132">
        <v>18393.58984375</v>
      </c>
      <c r="Z132">
        <v>23000.19140625</v>
      </c>
      <c r="AA132">
        <v>-13809.125</v>
      </c>
      <c r="AB132" s="2">
        <v>3.4028230607370999E+38</v>
      </c>
      <c r="AC132" s="2">
        <v>3.4028230607370999E+38</v>
      </c>
      <c r="AD132">
        <v>230.00022888183599</v>
      </c>
      <c r="AE132">
        <v>100.00066375732401</v>
      </c>
      <c r="AF132">
        <v>18393.591796875</v>
      </c>
      <c r="AG132">
        <v>23000.125</v>
      </c>
      <c r="AH132">
        <v>-13809.11328125</v>
      </c>
      <c r="AI132">
        <v>49.9998779296875</v>
      </c>
      <c r="AJ132">
        <v>36.897659301757798</v>
      </c>
      <c r="AK132">
        <v>1.5481290407478801E-2</v>
      </c>
      <c r="AL132" s="2">
        <v>1.4632258171332099E-5</v>
      </c>
      <c r="AM132" s="2">
        <v>7.2202055889647494E-8</v>
      </c>
      <c r="AN132" s="2">
        <v>2.29477819857493E-7</v>
      </c>
      <c r="AO132" s="2">
        <v>-7.1686081071220502E-8</v>
      </c>
      <c r="AP132">
        <v>49.920059204101598</v>
      </c>
      <c r="AQ132">
        <v>45.1114501953125</v>
      </c>
      <c r="AR132">
        <v>1.6698209568858102E-2</v>
      </c>
      <c r="AS132" s="2">
        <v>1.3805037269776199E-5</v>
      </c>
      <c r="AT132" s="2">
        <v>9.3859270577922897E-8</v>
      </c>
      <c r="AU132" s="2">
        <v>2.2820495360065299E-7</v>
      </c>
      <c r="AV132" s="2">
        <v>4.3526050319542297E-8</v>
      </c>
      <c r="AW132">
        <v>50.028526306152301</v>
      </c>
      <c r="AX132">
        <v>-26.359836578369102</v>
      </c>
      <c r="AY132" s="2">
        <v>3.4028230607370999E+38</v>
      </c>
      <c r="AZ132" s="2">
        <v>3.4028230607370999E+38</v>
      </c>
      <c r="BA132">
        <v>18393.591796875</v>
      </c>
      <c r="BB132">
        <v>23000.125</v>
      </c>
      <c r="BC132">
        <v>-13809.1142578125</v>
      </c>
      <c r="BD132" s="2">
        <v>3.4028230607370999E+38</v>
      </c>
      <c r="BE132" s="2">
        <v>3.4028230607370999E+38</v>
      </c>
      <c r="BF132">
        <v>230.00015258789099</v>
      </c>
      <c r="BG132">
        <v>100.00074768066401</v>
      </c>
      <c r="BH132">
        <v>18393.626953125</v>
      </c>
      <c r="BI132">
        <v>23000.171875</v>
      </c>
      <c r="BJ132">
        <v>-13809.1494140625</v>
      </c>
      <c r="BK132">
        <v>49.999973297119098</v>
      </c>
      <c r="BL132">
        <v>36.897373199462898</v>
      </c>
      <c r="BM132">
        <v>1.6801139339804601E-2</v>
      </c>
      <c r="BN132" s="2">
        <v>1.54964200191898E-5</v>
      </c>
      <c r="BO132" s="2">
        <v>2.4704875922765301E-9</v>
      </c>
      <c r="BP132" s="2">
        <v>2.6615308001964898E-7</v>
      </c>
      <c r="BQ132" s="2">
        <v>-1.4503690692890801E-7</v>
      </c>
      <c r="BR132">
        <v>49.888057708740199</v>
      </c>
      <c r="BS132">
        <v>86.627685546875</v>
      </c>
      <c r="BT132">
        <v>1.8526339903473899E-2</v>
      </c>
      <c r="BU132" s="2">
        <v>1.31713877635775E-5</v>
      </c>
      <c r="BV132" s="2">
        <v>1.29432606854607E-7</v>
      </c>
      <c r="BW132" s="2">
        <v>2.45428736889153E-7</v>
      </c>
      <c r="BX132" s="2">
        <v>-5.6077858801017997E-8</v>
      </c>
      <c r="BY132">
        <v>49.960140228271499</v>
      </c>
      <c r="BZ132">
        <v>19.828382492065401</v>
      </c>
      <c r="CA132" s="2">
        <v>3.4028230607370999E+38</v>
      </c>
      <c r="CB132" s="2">
        <v>3.4028230607370999E+38</v>
      </c>
      <c r="CC132">
        <v>18393.626953125</v>
      </c>
      <c r="CD132">
        <v>23000.171875</v>
      </c>
      <c r="CE132">
        <v>-13809.150390625</v>
      </c>
      <c r="CF132" s="2">
        <v>3.4028230607370999E+38</v>
      </c>
      <c r="CG132" s="2">
        <v>3.4028230607370999E+38</v>
      </c>
      <c r="CH132">
        <v>230.00047302246099</v>
      </c>
      <c r="CI132">
        <v>100.000816345215</v>
      </c>
      <c r="CJ132">
        <v>18393.6640625</v>
      </c>
      <c r="CK132">
        <v>23000.22265625</v>
      </c>
      <c r="CL132">
        <v>-13809.142578125</v>
      </c>
      <c r="CM132">
        <v>49.999973297119098</v>
      </c>
      <c r="CN132">
        <v>36.8975830078125</v>
      </c>
      <c r="CO132">
        <v>1.6729656606912599E-2</v>
      </c>
      <c r="CP132" s="2">
        <v>1.54524495883379E-5</v>
      </c>
      <c r="CQ132" s="2">
        <v>-8.1653395156422398E-9</v>
      </c>
      <c r="CR132" s="2">
        <v>2.57725304209089E-7</v>
      </c>
      <c r="CS132" s="2">
        <v>-1.35482252971997E-7</v>
      </c>
      <c r="CT132">
        <v>50.020248413085902</v>
      </c>
      <c r="CU132">
        <v>93.448974609375</v>
      </c>
      <c r="CV132">
        <v>1.84625498950481E-2</v>
      </c>
      <c r="CW132" s="2">
        <v>1.3126786143402599E-5</v>
      </c>
      <c r="CX132" s="2">
        <v>1.2380151304114401E-7</v>
      </c>
      <c r="CY132" s="2">
        <v>2.3844421548346899E-7</v>
      </c>
      <c r="CZ132" s="2">
        <v>-6.0863456496917894E-8</v>
      </c>
      <c r="DA132">
        <v>50.067394256591797</v>
      </c>
      <c r="DB132">
        <v>27.464309692382798</v>
      </c>
      <c r="DC132" s="2">
        <v>3.4028230607370999E+38</v>
      </c>
      <c r="DD132" s="2">
        <v>3.4028230607370999E+38</v>
      </c>
      <c r="DE132">
        <v>18393.662109375</v>
      </c>
      <c r="DF132">
        <v>23000.22265625</v>
      </c>
      <c r="DG132">
        <v>-13809.1435546875</v>
      </c>
      <c r="DH132" s="2">
        <v>3.4028230607370999E+38</v>
      </c>
      <c r="DI132" s="2">
        <v>3.4028230607370999E+38</v>
      </c>
      <c r="DJ132">
        <v>230.00068664550801</v>
      </c>
      <c r="DK132">
        <v>100.000694274902</v>
      </c>
      <c r="DL132">
        <v>18393.658203125</v>
      </c>
      <c r="DM132">
        <v>23000.216796875</v>
      </c>
      <c r="DN132">
        <v>-13809.1103515625</v>
      </c>
      <c r="DO132">
        <v>49.999954223632798</v>
      </c>
      <c r="DP132">
        <v>36.897541046142599</v>
      </c>
      <c r="DQ132">
        <v>1.4482213184237499E-2</v>
      </c>
      <c r="DR132" s="2">
        <v>1.50305795614258E-5</v>
      </c>
      <c r="DS132" s="2">
        <v>5.1263686628999502E-9</v>
      </c>
      <c r="DT132" s="2">
        <v>2.2177546554757999E-7</v>
      </c>
      <c r="DU132" s="2">
        <v>-6.6351738325920504E-8</v>
      </c>
      <c r="DV132">
        <v>50.0084037780762</v>
      </c>
      <c r="DW132">
        <v>87.892913818359403</v>
      </c>
      <c r="DX132">
        <v>1.5261322259902999E-2</v>
      </c>
      <c r="DY132" s="2">
        <v>1.3681103155249699E-5</v>
      </c>
      <c r="DZ132" s="2">
        <v>6.1217725999540602E-8</v>
      </c>
      <c r="EA132" s="2">
        <v>2.08732856776805E-7</v>
      </c>
      <c r="EB132" s="2">
        <v>-2.5252527180441602E-8</v>
      </c>
      <c r="EC132">
        <v>49.960453033447301</v>
      </c>
      <c r="ED132">
        <v>24.070011138916001</v>
      </c>
      <c r="EE132" s="2">
        <v>3.4028230607370999E+38</v>
      </c>
      <c r="EF132" s="2">
        <v>3.4028230607370999E+38</v>
      </c>
      <c r="EG132">
        <v>18393.658203125</v>
      </c>
      <c r="EH132">
        <v>23000.216796875</v>
      </c>
      <c r="EI132">
        <v>-13809.111328125</v>
      </c>
      <c r="EJ132" s="2">
        <v>3.4028230607370999E+38</v>
      </c>
      <c r="EK132" s="2">
        <v>3.4028230607370999E+38</v>
      </c>
      <c r="EL132">
        <v>123</v>
      </c>
      <c r="EM132">
        <v>230.00021362304699</v>
      </c>
      <c r="EN132">
        <v>100.000694274902</v>
      </c>
      <c r="EO132">
        <v>18393.62890625</v>
      </c>
      <c r="EP132">
        <v>23000.166015625</v>
      </c>
      <c r="EQ132">
        <v>-13809.09765625</v>
      </c>
      <c r="ER132">
        <v>49.999954223632798</v>
      </c>
      <c r="ES132">
        <v>36.897510528564503</v>
      </c>
      <c r="ET132">
        <v>0.79971653223037698</v>
      </c>
      <c r="EU132" s="2">
        <v>3.4028230607370999E+38</v>
      </c>
      <c r="EV132">
        <v>0</v>
      </c>
      <c r="EW132">
        <v>230.00180053710901</v>
      </c>
      <c r="EX132">
        <v>18394.0078125</v>
      </c>
      <c r="EY132">
        <v>23000.36328125</v>
      </c>
      <c r="EZ132">
        <v>-13808.9072265625</v>
      </c>
      <c r="FA132">
        <v>2.31929831206799E-2</v>
      </c>
      <c r="FB132">
        <v>1.4345442876219699E-2</v>
      </c>
      <c r="FC132" s="2">
        <v>1.4886187273077701E-5</v>
      </c>
      <c r="FD132" s="2">
        <v>1.66429430237258E-8</v>
      </c>
      <c r="FE132" s="2">
        <v>2.1207084444085901E-7</v>
      </c>
      <c r="FF132" s="2">
        <v>-5.83862593828144E-8</v>
      </c>
      <c r="FG132">
        <v>49.9699516296387</v>
      </c>
      <c r="FH132">
        <v>70.073867797851605</v>
      </c>
      <c r="FI132">
        <v>9.3332745134830503E-2</v>
      </c>
      <c r="FJ132" s="2">
        <v>3.4028230607370999E+38</v>
      </c>
      <c r="FK132">
        <v>138.41094970703099</v>
      </c>
      <c r="FL132">
        <v>2.01247688382864E-2</v>
      </c>
      <c r="FM132">
        <v>0</v>
      </c>
      <c r="FN132">
        <v>0</v>
      </c>
      <c r="FO132">
        <v>0</v>
      </c>
      <c r="FP132">
        <v>-1.6403775662183801E-3</v>
      </c>
      <c r="FQ132">
        <v>1.5672573819756501E-2</v>
      </c>
      <c r="FR132" s="2">
        <v>1.38178484121454E-5</v>
      </c>
      <c r="FS132" s="2">
        <v>5.79518797394485E-8</v>
      </c>
      <c r="FT132" s="2">
        <v>2.1653954718203699E-7</v>
      </c>
      <c r="FU132" s="2">
        <v>-9.4598595623551794E-10</v>
      </c>
      <c r="FV132">
        <v>50.023357391357401</v>
      </c>
      <c r="FW132">
        <v>-3.85322141647339</v>
      </c>
      <c r="FX132">
        <v>0.27348566055297902</v>
      </c>
      <c r="FY132" s="2">
        <v>3.4028230607370999E+38</v>
      </c>
      <c r="FZ132">
        <v>-153.07635498046901</v>
      </c>
      <c r="GA132">
        <v>229.97839355468801</v>
      </c>
      <c r="GB132" s="2">
        <v>3.4479914479135199E-9</v>
      </c>
      <c r="GC132">
        <v>3.1920857727527601E-3</v>
      </c>
      <c r="GD132" s="2">
        <v>-3.9236471849335397E-9</v>
      </c>
      <c r="GE132">
        <v>-2.6916377828456499E-4</v>
      </c>
      <c r="GF132" s="2">
        <v>3.4028230607370999E+38</v>
      </c>
      <c r="GG132" s="2">
        <v>3.4028230607370999E+38</v>
      </c>
      <c r="GH132">
        <v>18393.6171875</v>
      </c>
      <c r="GI132">
        <v>23000.177734375</v>
      </c>
      <c r="GJ132">
        <v>-13809.115234375</v>
      </c>
      <c r="GK132" s="2">
        <v>3.4028230607370999E+38</v>
      </c>
      <c r="GL132" s="2">
        <v>3.4028230607370999E+38</v>
      </c>
      <c r="GM132" s="2">
        <v>3.4028230607370999E+38</v>
      </c>
      <c r="GN132" s="2">
        <v>3.4028230607370999E+38</v>
      </c>
      <c r="GO132" s="2">
        <v>3.4028230607370999E+38</v>
      </c>
      <c r="GP132" s="2">
        <v>3.4028230607370999E+38</v>
      </c>
      <c r="GQ132">
        <v>18393.875</v>
      </c>
      <c r="GR132">
        <v>18393.875</v>
      </c>
      <c r="GS132">
        <v>-13808.7275390625</v>
      </c>
      <c r="GT132">
        <v>1.11732706427574E-2</v>
      </c>
      <c r="GX132">
        <f t="shared" si="8"/>
        <v>230.00029907226582</v>
      </c>
      <c r="GY132">
        <f t="shared" si="9"/>
        <v>100.00071868896481</v>
      </c>
      <c r="GZ132">
        <f t="shared" si="10"/>
        <v>18393.626171874999</v>
      </c>
      <c r="HA132">
        <f t="shared" si="11"/>
        <v>23000.185546875</v>
      </c>
      <c r="HB132">
        <f t="shared" si="12"/>
        <v>-13809.1279296875</v>
      </c>
      <c r="HC132">
        <f t="shared" si="13"/>
        <v>49.999953460693334</v>
      </c>
      <c r="HD132">
        <f t="shared" si="14"/>
        <v>36.897568511962902</v>
      </c>
      <c r="HW132" s="10">
        <f>(GX132/Data!$S132-1)*1000000</f>
        <v>15.14356731058264</v>
      </c>
      <c r="HX132" s="10">
        <f>(GY132/Data!$T132-1)*1000000</f>
        <v>19.283322902907685</v>
      </c>
      <c r="HY132" s="10">
        <f>(GZ132/Data!$BW132-1)*1000000</f>
        <v>49.711640292882109</v>
      </c>
      <c r="HZ132" s="10">
        <f>(HA132/(Data!$S132*Data!$T132)-1)*1000000</f>
        <v>34.007213580489193</v>
      </c>
      <c r="IA132" s="7">
        <f>(HB132/IF(HD132&gt;0, -Data!$BX132,Data!$BX132)-1)*1000000</f>
        <v>29.630532297320045</v>
      </c>
      <c r="IB132" s="10"/>
      <c r="IC132" s="9">
        <f>(HD132-Data!$U132)</f>
        <v>-5.9887803709557375E-4</v>
      </c>
    </row>
    <row r="133" spans="1:237" x14ac:dyDescent="0.2">
      <c r="A133">
        <v>133</v>
      </c>
      <c r="B133">
        <v>230.00064086914099</v>
      </c>
      <c r="C133">
        <v>100.00071716308599</v>
      </c>
      <c r="D133">
        <v>18393.6796875</v>
      </c>
      <c r="E133">
        <v>23000.205078125</v>
      </c>
      <c r="F133">
        <v>-13809.1103515625</v>
      </c>
      <c r="G133">
        <v>49.9999809265137</v>
      </c>
      <c r="H133">
        <v>36.8974609375</v>
      </c>
      <c r="I133">
        <v>1.4980177395045801E-2</v>
      </c>
      <c r="J133" s="2">
        <v>1.52161828737007E-5</v>
      </c>
      <c r="K133" s="2">
        <v>-9.7625569850379196E-9</v>
      </c>
      <c r="L133" s="2">
        <v>2.2793838638790499E-7</v>
      </c>
      <c r="M133" s="2">
        <v>-8.4589444782068299E-8</v>
      </c>
      <c r="N133">
        <v>49.990036010742202</v>
      </c>
      <c r="O133">
        <v>97.263412475585895</v>
      </c>
      <c r="P133">
        <v>1.6453819349408101E-2</v>
      </c>
      <c r="Q133" s="2">
        <v>1.34264710140997E-5</v>
      </c>
      <c r="R133" s="2">
        <v>7.2766106029575894E-8</v>
      </c>
      <c r="S133" s="2">
        <v>2.1559067420184901E-7</v>
      </c>
      <c r="T133" s="2">
        <v>-4.7281787374231499E-8</v>
      </c>
      <c r="U133">
        <v>50.020286560058601</v>
      </c>
      <c r="V133">
        <v>33.225887298583999</v>
      </c>
      <c r="W133" s="2">
        <v>3.4028230607370999E+38</v>
      </c>
      <c r="X133" s="2">
        <v>3.4028230607370999E+38</v>
      </c>
      <c r="Y133">
        <v>18393.677734375</v>
      </c>
      <c r="Z133">
        <v>23000.205078125</v>
      </c>
      <c r="AA133">
        <v>-13809.111328125</v>
      </c>
      <c r="AB133" s="2">
        <v>3.4028230607370999E+38</v>
      </c>
      <c r="AC133" s="2">
        <v>3.4028230607370999E+38</v>
      </c>
      <c r="AD133">
        <v>230.00018310546901</v>
      </c>
      <c r="AE133">
        <v>100.00080108642599</v>
      </c>
      <c r="AF133">
        <v>18393.65625</v>
      </c>
      <c r="AG133">
        <v>23000.220703125</v>
      </c>
      <c r="AH133">
        <v>-13809.0654296875</v>
      </c>
      <c r="AI133">
        <v>49.9998970031738</v>
      </c>
      <c r="AJ133">
        <v>36.897361755371101</v>
      </c>
      <c r="AK133">
        <v>1.67852863669395E-2</v>
      </c>
      <c r="AL133" s="2">
        <v>1.5473033272428401E-5</v>
      </c>
      <c r="AM133" s="2">
        <v>-6.1480229796018201E-9</v>
      </c>
      <c r="AN133" s="2">
        <v>2.54793008025445E-7</v>
      </c>
      <c r="AO133" s="2">
        <v>-1.3165163181838601E-7</v>
      </c>
      <c r="AP133">
        <v>50.038761138916001</v>
      </c>
      <c r="AQ133">
        <v>93.898345947265597</v>
      </c>
      <c r="AR133">
        <v>1.8369713798165301E-2</v>
      </c>
      <c r="AS133" s="2">
        <v>1.3140989722160199E-5</v>
      </c>
      <c r="AT133" s="2">
        <v>1.1745705563726E-7</v>
      </c>
      <c r="AU133" s="2">
        <v>2.41430456071612E-7</v>
      </c>
      <c r="AV133" s="2">
        <v>-5.8012915360450299E-8</v>
      </c>
      <c r="AW133">
        <v>50.019630432128899</v>
      </c>
      <c r="AX133">
        <v>26.986761093139599</v>
      </c>
      <c r="AY133" s="2">
        <v>3.4028230607370999E+38</v>
      </c>
      <c r="AZ133" s="2">
        <v>3.4028230607370999E+38</v>
      </c>
      <c r="BA133">
        <v>18393.654296875</v>
      </c>
      <c r="BB133">
        <v>23000.220703125</v>
      </c>
      <c r="BC133">
        <v>-13809.06640625</v>
      </c>
      <c r="BD133" s="2">
        <v>3.4028230607370999E+38</v>
      </c>
      <c r="BE133" s="2">
        <v>3.4028230607370999E+38</v>
      </c>
      <c r="BF133">
        <v>230.00030517578099</v>
      </c>
      <c r="BG133">
        <v>100.00074005127</v>
      </c>
      <c r="BH133">
        <v>18393.666015625</v>
      </c>
      <c r="BI133">
        <v>23000.216796875</v>
      </c>
      <c r="BJ133">
        <v>-13809.1064453125</v>
      </c>
      <c r="BK133">
        <v>49.999904632568402</v>
      </c>
      <c r="BL133">
        <v>36.897590637207003</v>
      </c>
      <c r="BM133">
        <v>1.5871424227952999E-2</v>
      </c>
      <c r="BN133" s="2">
        <v>1.4656163330073501E-5</v>
      </c>
      <c r="BO133" s="2">
        <v>7.6405882509789094E-8</v>
      </c>
      <c r="BP133" s="2">
        <v>2.32026053481604E-7</v>
      </c>
      <c r="BQ133" s="2">
        <v>-7.4685985396172301E-8</v>
      </c>
      <c r="BR133">
        <v>49.937488555908203</v>
      </c>
      <c r="BS133">
        <v>44.399917602539098</v>
      </c>
      <c r="BT133">
        <v>1.7239278182387401E-2</v>
      </c>
      <c r="BU133" s="2">
        <v>1.37857959998655E-5</v>
      </c>
      <c r="BV133" s="2">
        <v>1.03344461876986E-7</v>
      </c>
      <c r="BW133" s="2">
        <v>2.3481223365706701E-7</v>
      </c>
      <c r="BX133" s="2">
        <v>4.7267004532614003E-8</v>
      </c>
      <c r="BY133">
        <v>49.975139617919901</v>
      </c>
      <c r="BZ133">
        <v>-25.165836334228501</v>
      </c>
      <c r="CA133" s="2">
        <v>3.4028230607370999E+38</v>
      </c>
      <c r="CB133" s="2">
        <v>3.4028230607370999E+38</v>
      </c>
      <c r="CC133">
        <v>18393.666015625</v>
      </c>
      <c r="CD133">
        <v>23000.216796875</v>
      </c>
      <c r="CE133">
        <v>-13809.107421875</v>
      </c>
      <c r="CF133" s="2">
        <v>3.4028230607370999E+38</v>
      </c>
      <c r="CG133" s="2">
        <v>3.4028230607370999E+38</v>
      </c>
      <c r="CH133">
        <v>230.00065612793</v>
      </c>
      <c r="CI133">
        <v>100.00067138671901</v>
      </c>
      <c r="CJ133">
        <v>18393.603515625</v>
      </c>
      <c r="CK133">
        <v>23000.140625</v>
      </c>
      <c r="CL133">
        <v>-13809.07421875</v>
      </c>
      <c r="CM133">
        <v>49.9999389648438</v>
      </c>
      <c r="CN133">
        <v>36.897735595703097</v>
      </c>
      <c r="CO133">
        <v>1.4830376952886601E-2</v>
      </c>
      <c r="CP133" s="2">
        <v>1.46679149111151E-5</v>
      </c>
      <c r="CQ133" s="2">
        <v>5.2114522475221701E-8</v>
      </c>
      <c r="CR133" s="2">
        <v>2.1750355472249799E-7</v>
      </c>
      <c r="CS133" s="2">
        <v>-5.5046939451130999E-8</v>
      </c>
      <c r="CT133">
        <v>50.005355834960902</v>
      </c>
      <c r="CU133">
        <v>46.682228088378899</v>
      </c>
      <c r="CV133">
        <v>1.56149361282587E-2</v>
      </c>
      <c r="CW133" s="2">
        <v>1.3796480743621899E-5</v>
      </c>
      <c r="CX133" s="2">
        <v>7.0771790205981193E-8</v>
      </c>
      <c r="CY133" s="2">
        <v>2.1983156273108801E-7</v>
      </c>
      <c r="CZ133" s="2">
        <v>2.55270631299709E-8</v>
      </c>
      <c r="DA133">
        <v>49.975925445556598</v>
      </c>
      <c r="DB133">
        <v>-20.9652805328369</v>
      </c>
      <c r="DC133" s="2">
        <v>3.4028230607370999E+38</v>
      </c>
      <c r="DD133" s="2">
        <v>3.4028230607370999E+38</v>
      </c>
      <c r="DE133">
        <v>18393.603515625</v>
      </c>
      <c r="DF133">
        <v>23000.140625</v>
      </c>
      <c r="DG133">
        <v>-13809.0751953125</v>
      </c>
      <c r="DH133" s="2">
        <v>3.4028230607370999E+38</v>
      </c>
      <c r="DI133" s="2">
        <v>3.4028230607370999E+38</v>
      </c>
      <c r="DJ133">
        <v>230.00032043457</v>
      </c>
      <c r="DK133">
        <v>100.000595092773</v>
      </c>
      <c r="DL133">
        <v>18393.59375</v>
      </c>
      <c r="DM133">
        <v>23000.169921875</v>
      </c>
      <c r="DN133">
        <v>-13809.1259765625</v>
      </c>
      <c r="DO133">
        <v>49.999923706054702</v>
      </c>
      <c r="DP133">
        <v>36.8976440429688</v>
      </c>
      <c r="DQ133">
        <v>1.5711963176727298E-2</v>
      </c>
      <c r="DR133" s="2">
        <v>1.4665772141597699E-5</v>
      </c>
      <c r="DS133" s="2">
        <v>7.4329555843633002E-8</v>
      </c>
      <c r="DT133" s="2">
        <v>2.31622223623162E-7</v>
      </c>
      <c r="DU133" s="2">
        <v>-7.4086223378344598E-8</v>
      </c>
      <c r="DV133">
        <v>49.962162017822301</v>
      </c>
      <c r="DW133">
        <v>46.628635406494098</v>
      </c>
      <c r="DX133">
        <v>1.7257310450077099E-2</v>
      </c>
      <c r="DY133" s="2">
        <v>1.38032864924753E-5</v>
      </c>
      <c r="DZ133" s="2">
        <v>9.8681667282107797E-8</v>
      </c>
      <c r="EA133" s="2">
        <v>2.3112797009616799E-7</v>
      </c>
      <c r="EB133" s="2">
        <v>4.93029581605242E-8</v>
      </c>
      <c r="EC133">
        <v>50.004623413085902</v>
      </c>
      <c r="ED133">
        <v>-25.4578342437744</v>
      </c>
      <c r="EE133" s="2">
        <v>3.4028230607370999E+38</v>
      </c>
      <c r="EF133" s="2">
        <v>3.4028230607370999E+38</v>
      </c>
      <c r="EG133">
        <v>18393.59375</v>
      </c>
      <c r="EH133">
        <v>23000.169921875</v>
      </c>
      <c r="EI133">
        <v>-13809.126953125</v>
      </c>
      <c r="EJ133" s="2">
        <v>3.4028230607370999E+38</v>
      </c>
      <c r="EK133" s="2">
        <v>3.4028230607370999E+38</v>
      </c>
      <c r="EL133">
        <v>123</v>
      </c>
      <c r="EM133">
        <v>230.00044250488301</v>
      </c>
      <c r="EN133">
        <v>100.000679016113</v>
      </c>
      <c r="EO133">
        <v>18393.6171875</v>
      </c>
      <c r="EP133">
        <v>23000.18359375</v>
      </c>
      <c r="EQ133">
        <v>-13809.1376953125</v>
      </c>
      <c r="ER133">
        <v>49.999973297119098</v>
      </c>
      <c r="ES133">
        <v>36.897636413574197</v>
      </c>
      <c r="ET133">
        <v>0.79971551895141602</v>
      </c>
      <c r="EU133" s="2">
        <v>3.4028230607370999E+38</v>
      </c>
      <c r="EV133">
        <v>0</v>
      </c>
      <c r="EW133">
        <v>229.99815368652301</v>
      </c>
      <c r="EX133">
        <v>18393.78125</v>
      </c>
      <c r="EY133">
        <v>22999.943359375</v>
      </c>
      <c r="EZ133">
        <v>-13808.5517578125</v>
      </c>
      <c r="FA133">
        <v>8.1628393381833995E-3</v>
      </c>
      <c r="FB133">
        <v>1.5282942913472699E-2</v>
      </c>
      <c r="FC133" s="2">
        <v>1.46917063830188E-5</v>
      </c>
      <c r="FD133" s="2">
        <v>6.2631528408019195E-8</v>
      </c>
      <c r="FE133" s="2">
        <v>2.27094915317139E-7</v>
      </c>
      <c r="FF133" s="2">
        <v>-6.3515351200749098E-8</v>
      </c>
      <c r="FG133">
        <v>50.002765655517599</v>
      </c>
      <c r="FH133">
        <v>45.045078277587898</v>
      </c>
      <c r="FI133">
        <v>0.27578145265579201</v>
      </c>
      <c r="FJ133" s="2">
        <v>3.4028230607370999E+38</v>
      </c>
      <c r="FK133">
        <v>84.780876159667997</v>
      </c>
      <c r="FL133">
        <v>1.9697850570082699E-2</v>
      </c>
      <c r="FM133">
        <v>0</v>
      </c>
      <c r="FN133">
        <v>0</v>
      </c>
      <c r="FO133">
        <v>0</v>
      </c>
      <c r="FP133">
        <v>-1.64835527539253E-3</v>
      </c>
      <c r="FQ133">
        <v>1.6341812908649399E-2</v>
      </c>
      <c r="FR133" s="2">
        <v>1.3816355021845101E-5</v>
      </c>
      <c r="FS133" s="2">
        <v>8.2412448421109703E-8</v>
      </c>
      <c r="FT133" s="2">
        <v>2.2742767669115001E-7</v>
      </c>
      <c r="FU133" s="2">
        <v>3.84564167177359E-8</v>
      </c>
      <c r="FV133">
        <v>49.990730285644503</v>
      </c>
      <c r="FW133">
        <v>-25.074338912963899</v>
      </c>
      <c r="FX133">
        <v>0.359150260686874</v>
      </c>
      <c r="FY133" s="2">
        <v>3.4028230607370999E+38</v>
      </c>
      <c r="FZ133">
        <v>90.988929748535199</v>
      </c>
      <c r="GA133">
        <v>229.98405456543</v>
      </c>
      <c r="GB133" s="2">
        <v>6.0750906527573501E-9</v>
      </c>
      <c r="GC133">
        <v>3.1746320892125398E-3</v>
      </c>
      <c r="GD133" s="2">
        <v>3.7653866691300697E-9</v>
      </c>
      <c r="GE133">
        <v>-3.01832362310961E-4</v>
      </c>
      <c r="GF133" s="2">
        <v>3.4028230607370999E+38</v>
      </c>
      <c r="GG133" s="2">
        <v>3.4028230607370999E+38</v>
      </c>
      <c r="GH133">
        <v>18393.576171875</v>
      </c>
      <c r="GI133">
        <v>23000.150390625</v>
      </c>
      <c r="GJ133">
        <v>-13809.126953125</v>
      </c>
      <c r="GK133" s="2">
        <v>3.4028230607370999E+38</v>
      </c>
      <c r="GL133" s="2">
        <v>3.4028230607370999E+38</v>
      </c>
      <c r="GM133" s="2">
        <v>3.4028230607370999E+38</v>
      </c>
      <c r="GN133" s="2">
        <v>3.4028230607370999E+38</v>
      </c>
      <c r="GO133" s="2">
        <v>3.4028230607370999E+38</v>
      </c>
      <c r="GP133" s="2">
        <v>3.4028230607370999E+38</v>
      </c>
      <c r="GQ133">
        <v>18393.7421875</v>
      </c>
      <c r="GR133">
        <v>18393.7421875</v>
      </c>
      <c r="GS133">
        <v>-13808.587890625</v>
      </c>
      <c r="GT133">
        <v>-2.7933707460761101E-3</v>
      </c>
      <c r="GX133">
        <f t="shared" si="8"/>
        <v>230.0004211425782</v>
      </c>
      <c r="GY133">
        <f t="shared" si="9"/>
        <v>100.0007049560548</v>
      </c>
      <c r="GZ133">
        <f t="shared" si="10"/>
        <v>18393.639843749999</v>
      </c>
      <c r="HA133">
        <f t="shared" si="11"/>
        <v>23000.190624999999</v>
      </c>
      <c r="HB133">
        <f t="shared" si="12"/>
        <v>-13809.096484375001</v>
      </c>
      <c r="HC133">
        <f t="shared" si="13"/>
        <v>49.999929046630882</v>
      </c>
      <c r="HD133">
        <f t="shared" si="14"/>
        <v>36.897558593749999</v>
      </c>
      <c r="HW133" s="10">
        <f>(GX133/Data!$S133-1)*1000000</f>
        <v>15.761274242409584</v>
      </c>
      <c r="HX133" s="10">
        <f>(GY133/Data!$T133-1)*1000000</f>
        <v>22.086992672365469</v>
      </c>
      <c r="HY133" s="10">
        <f>(GZ133/Data!$BW133-1)*1000000</f>
        <v>50.59525145778565</v>
      </c>
      <c r="HZ133" s="10">
        <f>(HA133/(Data!$S133*Data!$T133)-1)*1000000</f>
        <v>37.256013202036087</v>
      </c>
      <c r="IA133" s="7">
        <f>(HB133/IF(HD133&gt;0, -Data!$BX133,Data!$BX133)-1)*1000000</f>
        <v>35.504262138497111</v>
      </c>
      <c r="IB133" s="10"/>
      <c r="IC133" s="9">
        <f>(HD133-Data!$U133)</f>
        <v>-3.8843624999884696E-4</v>
      </c>
    </row>
    <row r="134" spans="1:237" x14ac:dyDescent="0.2">
      <c r="A134">
        <v>134</v>
      </c>
      <c r="B134">
        <v>230.00018310546901</v>
      </c>
      <c r="C134">
        <v>100.000869750977</v>
      </c>
      <c r="D134">
        <v>18393.63671875</v>
      </c>
      <c r="E134">
        <v>23000.189453125</v>
      </c>
      <c r="F134">
        <v>-13809.123046875</v>
      </c>
      <c r="G134">
        <v>49.999904632568402</v>
      </c>
      <c r="H134">
        <v>36.897541046142599</v>
      </c>
      <c r="I134">
        <v>1.7856659367680501E-2</v>
      </c>
      <c r="J134" s="2">
        <v>1.5413159417221299E-5</v>
      </c>
      <c r="K134" s="2">
        <v>2.4282122979002501E-8</v>
      </c>
      <c r="L134" s="2">
        <v>2.7524268375600498E-7</v>
      </c>
      <c r="M134" s="2">
        <v>-1.59070012273332E-7</v>
      </c>
      <c r="N134">
        <v>50.0155639648438</v>
      </c>
      <c r="O134">
        <v>82.067596435546903</v>
      </c>
      <c r="P134">
        <v>1.9590917974710499E-2</v>
      </c>
      <c r="Q134" s="2">
        <v>1.30730632008635E-5</v>
      </c>
      <c r="R134" s="2">
        <v>1.57391184529843E-7</v>
      </c>
      <c r="S134" s="2">
        <v>2.5573510242793402E-7</v>
      </c>
      <c r="T134" s="2">
        <v>-3.0898270608759002E-8</v>
      </c>
      <c r="U134">
        <v>50.008537292480497</v>
      </c>
      <c r="V134">
        <v>11.4831352233887</v>
      </c>
      <c r="W134" s="2">
        <v>3.4028230607370999E+38</v>
      </c>
      <c r="X134" s="2">
        <v>3.4028230607370999E+38</v>
      </c>
      <c r="Y134">
        <v>18393.63671875</v>
      </c>
      <c r="Z134">
        <v>23000.189453125</v>
      </c>
      <c r="AA134">
        <v>-13809.1240234375</v>
      </c>
      <c r="AB134" s="2">
        <v>3.4028230607370999E+38</v>
      </c>
      <c r="AC134" s="2">
        <v>3.4028230607370999E+38</v>
      </c>
      <c r="AD134">
        <v>230.00022888183599</v>
      </c>
      <c r="AE134">
        <v>100.00080108642599</v>
      </c>
      <c r="AF134">
        <v>18393.646484375</v>
      </c>
      <c r="AG134">
        <v>23000.15625</v>
      </c>
      <c r="AH134">
        <v>-13809.0966796875</v>
      </c>
      <c r="AI134">
        <v>49.999923706054702</v>
      </c>
      <c r="AJ134">
        <v>36.897571563720703</v>
      </c>
      <c r="AK134">
        <v>1.4708086848259E-2</v>
      </c>
      <c r="AL134" s="2">
        <v>1.50966252476792E-5</v>
      </c>
      <c r="AM134" s="2">
        <v>4.3893604306788298E-9</v>
      </c>
      <c r="AN134" s="2">
        <v>2.18188858980284E-7</v>
      </c>
      <c r="AO134" s="2">
        <v>-6.3249274262489105E-8</v>
      </c>
      <c r="AP134">
        <v>49.978466033935497</v>
      </c>
      <c r="AQ134">
        <v>75.655342102050795</v>
      </c>
      <c r="AR134">
        <v>1.55137367546558E-2</v>
      </c>
      <c r="AS134" s="2">
        <v>1.36671978907543E-5</v>
      </c>
      <c r="AT134" s="2">
        <v>6.1603039114288496E-8</v>
      </c>
      <c r="AU134" s="2">
        <v>2.1202677658038701E-7</v>
      </c>
      <c r="AV134" s="2">
        <v>-2.0875907225104099E-8</v>
      </c>
      <c r="AW134">
        <v>49.993312835693402</v>
      </c>
      <c r="AX134">
        <v>19.945188522338899</v>
      </c>
      <c r="AY134" s="2">
        <v>3.4028230607370999E+38</v>
      </c>
      <c r="AZ134" s="2">
        <v>3.4028230607370999E+38</v>
      </c>
      <c r="BA134">
        <v>18393.646484375</v>
      </c>
      <c r="BB134">
        <v>23000.15625</v>
      </c>
      <c r="BC134">
        <v>-13809.09765625</v>
      </c>
      <c r="BD134" s="2">
        <v>3.4028230607370999E+38</v>
      </c>
      <c r="BE134" s="2">
        <v>3.4028230607370999E+38</v>
      </c>
      <c r="BF134">
        <v>230.00027465820301</v>
      </c>
      <c r="BG134">
        <v>100.000846862793</v>
      </c>
      <c r="BH134">
        <v>18393.640625</v>
      </c>
      <c r="BI134">
        <v>23000.197265625</v>
      </c>
      <c r="BJ134">
        <v>-13809.1318359375</v>
      </c>
      <c r="BK134">
        <v>49.999973297119098</v>
      </c>
      <c r="BL134">
        <v>36.897384643554702</v>
      </c>
      <c r="BM134">
        <v>1.7323661595583E-2</v>
      </c>
      <c r="BN134" s="2">
        <v>1.55000307131559E-5</v>
      </c>
      <c r="BO134" s="2">
        <v>1.09135314119158E-8</v>
      </c>
      <c r="BP134" s="2">
        <v>2.7011026304535298E-7</v>
      </c>
      <c r="BQ134" s="2">
        <v>-1.5385077745122499E-7</v>
      </c>
      <c r="BR134">
        <v>50.065284729003899</v>
      </c>
      <c r="BS134">
        <v>87.599739074707003</v>
      </c>
      <c r="BT134">
        <v>1.9483512267470401E-2</v>
      </c>
      <c r="BU134" s="2">
        <v>1.3091887922200799E-5</v>
      </c>
      <c r="BV134" s="2">
        <v>1.4422522554014E-7</v>
      </c>
      <c r="BW134" s="2">
        <v>2.52334359629458E-7</v>
      </c>
      <c r="BX134" s="2">
        <v>-4.3798138449346899E-8</v>
      </c>
      <c r="BY134">
        <v>49.998817443847699</v>
      </c>
      <c r="BZ134">
        <v>18.522789001464801</v>
      </c>
      <c r="CA134" s="2">
        <v>3.4028230607370999E+38</v>
      </c>
      <c r="CB134" s="2">
        <v>3.4028230607370999E+38</v>
      </c>
      <c r="CC134">
        <v>18393.640625</v>
      </c>
      <c r="CD134">
        <v>23000.197265625</v>
      </c>
      <c r="CE134">
        <v>-13809.1328125</v>
      </c>
      <c r="CF134" s="2">
        <v>3.4028230607370999E+38</v>
      </c>
      <c r="CG134" s="2">
        <v>3.4028230607370999E+38</v>
      </c>
      <c r="CH134">
        <v>230.00082397460901</v>
      </c>
      <c r="CI134">
        <v>100.000679016113</v>
      </c>
      <c r="CJ134">
        <v>18393.654296875</v>
      </c>
      <c r="CK134">
        <v>23000.193359375</v>
      </c>
      <c r="CL134">
        <v>-13809.0849609375</v>
      </c>
      <c r="CM134">
        <v>49.9998970031738</v>
      </c>
      <c r="CN134">
        <v>36.897453308105497</v>
      </c>
      <c r="CO134">
        <v>1.4955279417335999E-2</v>
      </c>
      <c r="CP134" s="2">
        <v>1.51398535308545E-5</v>
      </c>
      <c r="CQ134" s="2">
        <v>-6.41215702756881E-9</v>
      </c>
      <c r="CR134" s="2">
        <v>2.2607370908645E-7</v>
      </c>
      <c r="CS134" s="2">
        <v>-8.3684959406582506E-8</v>
      </c>
      <c r="CT134">
        <v>50.002643585205099</v>
      </c>
      <c r="CU134">
        <v>97.761863708496094</v>
      </c>
      <c r="CV134">
        <v>1.5800414606928801E-2</v>
      </c>
      <c r="CW134" s="2">
        <v>1.3540036889025901E-5</v>
      </c>
      <c r="CX134" s="2">
        <v>6.7435991013553602E-8</v>
      </c>
      <c r="CY134" s="2">
        <v>2.1757985280146399E-7</v>
      </c>
      <c r="CZ134" s="2">
        <v>-4.4621163652891502E-8</v>
      </c>
      <c r="DA134">
        <v>50.023471832275398</v>
      </c>
      <c r="DB134">
        <v>31.3881435394287</v>
      </c>
      <c r="DC134" s="2">
        <v>3.4028230607370999E+38</v>
      </c>
      <c r="DD134" s="2">
        <v>3.4028230607370999E+38</v>
      </c>
      <c r="DE134">
        <v>18393.65234375</v>
      </c>
      <c r="DF134">
        <v>23000.193359375</v>
      </c>
      <c r="DG134">
        <v>-13809.0859375</v>
      </c>
      <c r="DH134" s="2">
        <v>3.4028230607370999E+38</v>
      </c>
      <c r="DI134" s="2">
        <v>3.4028230607370999E+38</v>
      </c>
      <c r="DJ134">
        <v>230.00035095214801</v>
      </c>
      <c r="DK134">
        <v>100.000602722168</v>
      </c>
      <c r="DL134">
        <v>18393.599609375</v>
      </c>
      <c r="DM134">
        <v>23000.16015625</v>
      </c>
      <c r="DN134">
        <v>-13809.068359375</v>
      </c>
      <c r="DO134">
        <v>49.999927520752003</v>
      </c>
      <c r="DP134">
        <v>36.897571563720703</v>
      </c>
      <c r="DQ134">
        <v>1.6206331551074999E-2</v>
      </c>
      <c r="DR134" s="2">
        <v>1.4715831639478E-5</v>
      </c>
      <c r="DS134" s="2">
        <v>7.9990783774519501E-8</v>
      </c>
      <c r="DT134" s="2">
        <v>2.3849878516557499E-7</v>
      </c>
      <c r="DU134" s="2">
        <v>-9.1087038356363297E-8</v>
      </c>
      <c r="DV134">
        <v>49.957897186279297</v>
      </c>
      <c r="DW134">
        <v>48.709796905517599</v>
      </c>
      <c r="DX134">
        <v>1.7248494550585702E-2</v>
      </c>
      <c r="DY134" s="2">
        <v>1.36799653773778E-5</v>
      </c>
      <c r="DZ134" s="2">
        <v>1.04984096083172E-7</v>
      </c>
      <c r="EA134" s="2">
        <v>2.3596015807925099E-7</v>
      </c>
      <c r="EB134" s="2">
        <v>4.9377245403547898E-8</v>
      </c>
      <c r="EC134">
        <v>50.006431579589801</v>
      </c>
      <c r="ED134">
        <v>-23.208419799804702</v>
      </c>
      <c r="EE134" s="2">
        <v>3.4028230607370999E+38</v>
      </c>
      <c r="EF134" s="2">
        <v>3.4028230607370999E+38</v>
      </c>
      <c r="EG134">
        <v>18393.599609375</v>
      </c>
      <c r="EH134">
        <v>23000.16015625</v>
      </c>
      <c r="EI134">
        <v>-13809.0693359375</v>
      </c>
      <c r="EJ134" s="2">
        <v>3.4028230607370999E+38</v>
      </c>
      <c r="EK134" s="2">
        <v>3.4028230607370999E+38</v>
      </c>
      <c r="EL134">
        <v>123</v>
      </c>
      <c r="EM134">
        <v>230.00045776367199</v>
      </c>
      <c r="EN134">
        <v>100.00072479248</v>
      </c>
      <c r="EO134">
        <v>18393.63671875</v>
      </c>
      <c r="EP134">
        <v>23000.201171875</v>
      </c>
      <c r="EQ134">
        <v>-13809.1005859375</v>
      </c>
      <c r="ER134">
        <v>49.999969482421903</v>
      </c>
      <c r="ES134">
        <v>36.897586822509801</v>
      </c>
      <c r="ET134">
        <v>0.79971617460250899</v>
      </c>
      <c r="EU134" s="2">
        <v>3.4028230607370999E+38</v>
      </c>
      <c r="EV134">
        <v>0</v>
      </c>
      <c r="EW134">
        <v>229.999099731445</v>
      </c>
      <c r="EX134">
        <v>18394.11328125</v>
      </c>
      <c r="EY134">
        <v>23000.103515625</v>
      </c>
      <c r="EZ134">
        <v>-13808.2529296875</v>
      </c>
      <c r="FA134">
        <v>6.8366080522537204E-2</v>
      </c>
      <c r="FB134">
        <v>1.74230635166168E-2</v>
      </c>
      <c r="FC134" s="2">
        <v>1.5040851394587699E-5</v>
      </c>
      <c r="FD134" s="2">
        <v>6.6001426546336006E-8</v>
      </c>
      <c r="FE134" s="2">
        <v>2.6682855036597202E-7</v>
      </c>
      <c r="FF134" s="2">
        <v>-1.4090235822550299E-7</v>
      </c>
      <c r="FG134">
        <v>49.954334259033203</v>
      </c>
      <c r="FH134">
        <v>64.900703430175795</v>
      </c>
      <c r="FI134">
        <v>0.225675344467163</v>
      </c>
      <c r="FJ134" s="2">
        <v>3.4028230607370999E+38</v>
      </c>
      <c r="FK134">
        <v>139.73454284668</v>
      </c>
      <c r="FL134">
        <v>2.1133137866854699E-2</v>
      </c>
      <c r="FM134">
        <v>0</v>
      </c>
      <c r="FN134">
        <v>0</v>
      </c>
      <c r="FO134">
        <v>0</v>
      </c>
      <c r="FP134">
        <v>-1.74530374351889E-3</v>
      </c>
      <c r="FQ134">
        <v>1.99370570480824E-2</v>
      </c>
      <c r="FR134" s="2">
        <v>1.3153066902305E-5</v>
      </c>
      <c r="FS134" s="2">
        <v>1.63266662411843E-7</v>
      </c>
      <c r="FT134" s="2">
        <v>2.6238924988319902E-7</v>
      </c>
      <c r="FU134" s="2">
        <v>-9.9852588419935306E-9</v>
      </c>
      <c r="FV134">
        <v>50.026123046875</v>
      </c>
      <c r="FW134">
        <v>3.5905232429504399</v>
      </c>
      <c r="FX134">
        <v>0.610834360122681</v>
      </c>
      <c r="FY134" s="2">
        <v>3.4028230607370999E+38</v>
      </c>
      <c r="FZ134">
        <v>80.060516357421903</v>
      </c>
      <c r="GA134">
        <v>229.921463012695</v>
      </c>
      <c r="GB134" s="2">
        <v>2.09189909838869E-8</v>
      </c>
      <c r="GC134">
        <v>3.0139880254864701E-3</v>
      </c>
      <c r="GD134" s="2">
        <v>-1.0504797920418699E-8</v>
      </c>
      <c r="GE134">
        <v>-2.8540135826915503E-4</v>
      </c>
      <c r="GF134" s="2">
        <v>3.4028230607370999E+38</v>
      </c>
      <c r="GG134" s="2">
        <v>3.4028230607370999E+38</v>
      </c>
      <c r="GH134">
        <v>18393.658203125</v>
      </c>
      <c r="GI134">
        <v>23000.22265625</v>
      </c>
      <c r="GJ134">
        <v>-13809.103515625</v>
      </c>
      <c r="GK134" s="2">
        <v>3.4028230607370999E+38</v>
      </c>
      <c r="GL134" s="2">
        <v>3.4028230607370999E+38</v>
      </c>
      <c r="GM134" s="2">
        <v>3.4028230607370999E+38</v>
      </c>
      <c r="GN134" s="2">
        <v>3.4028230607370999E+38</v>
      </c>
      <c r="GO134" s="2">
        <v>3.4028230607370999E+38</v>
      </c>
      <c r="GP134" s="2">
        <v>3.4028230607370999E+38</v>
      </c>
      <c r="GQ134">
        <v>18394.517578125</v>
      </c>
      <c r="GR134">
        <v>18394.517578125</v>
      </c>
      <c r="GS134">
        <v>-13808.6494140625</v>
      </c>
      <c r="GT134">
        <v>9.2994712293147999E-2</v>
      </c>
      <c r="GX134">
        <f t="shared" si="8"/>
        <v>230.00037231445305</v>
      </c>
      <c r="GY134">
        <f t="shared" si="9"/>
        <v>100.00075988769541</v>
      </c>
      <c r="GZ134">
        <f t="shared" si="10"/>
        <v>18393.635546875001</v>
      </c>
      <c r="HA134">
        <f t="shared" si="11"/>
        <v>23000.179296875001</v>
      </c>
      <c r="HB134">
        <f t="shared" si="12"/>
        <v>-13809.1009765625</v>
      </c>
      <c r="HC134">
        <f t="shared" si="13"/>
        <v>49.999925231933602</v>
      </c>
      <c r="HD134">
        <f t="shared" si="14"/>
        <v>36.897504425048837</v>
      </c>
      <c r="HW134" s="10">
        <f>(GX134/Data!$S134-1)*1000000</f>
        <v>15.977248766452234</v>
      </c>
      <c r="HX134" s="10">
        <f>(GY134/Data!$T134-1)*1000000</f>
        <v>24.969010658182356</v>
      </c>
      <c r="HY134" s="10">
        <f>(GZ134/Data!$BW134-1)*1000000</f>
        <v>50.978213151697815</v>
      </c>
      <c r="HZ134" s="10">
        <f>(HA134/(Data!$S134*Data!$T134)-1)*1000000</f>
        <v>39.524481796560096</v>
      </c>
      <c r="IA134" s="7">
        <f>(HB134/IF(HD134&gt;0, -Data!$BX134,Data!$BX134)-1)*1000000</f>
        <v>42.395329168831708</v>
      </c>
      <c r="IB134" s="10"/>
      <c r="IC134" s="9">
        <f>(HD134-Data!$U134)</f>
        <v>-2.7895495116325719E-4</v>
      </c>
    </row>
    <row r="135" spans="1:237" x14ac:dyDescent="0.2">
      <c r="A135">
        <v>135</v>
      </c>
      <c r="B135">
        <v>230.00144958496099</v>
      </c>
      <c r="C135">
        <v>0.50002169609069802</v>
      </c>
      <c r="D135">
        <v>115.00569152832</v>
      </c>
      <c r="E135">
        <v>115.00563049316401</v>
      </c>
      <c r="F135">
        <v>8.5727488622069394E-3</v>
      </c>
      <c r="G135">
        <v>49.9999809265137</v>
      </c>
      <c r="H135">
        <v>-4.2709424160420903E-3</v>
      </c>
      <c r="I135">
        <v>1.66576690971851E-2</v>
      </c>
      <c r="J135" s="2">
        <v>3.3863416319945802E-6</v>
      </c>
      <c r="K135" s="2">
        <v>1.4779669710307499E-9</v>
      </c>
      <c r="L135" s="2">
        <v>5.71453320219462E-8</v>
      </c>
      <c r="M135" s="2">
        <v>-2.2458284121285E-9</v>
      </c>
      <c r="N135">
        <v>74.815505981445298</v>
      </c>
      <c r="O135">
        <v>71.414199829101605</v>
      </c>
      <c r="P135">
        <v>1.85139551758766E-2</v>
      </c>
      <c r="Q135" s="2">
        <v>3.02481726066617E-6</v>
      </c>
      <c r="R135" s="2">
        <v>2.7624673659687501E-9</v>
      </c>
      <c r="S135" s="2">
        <v>5.6089543676307598E-8</v>
      </c>
      <c r="T135" s="2">
        <v>7.2643785431480999E-10</v>
      </c>
      <c r="U135">
        <v>74.762290954589801</v>
      </c>
      <c r="V135">
        <v>-5.7542018890380904</v>
      </c>
      <c r="W135" s="2">
        <v>3.4028230607370999E+38</v>
      </c>
      <c r="X135" s="2">
        <v>3.4028230607370999E+38</v>
      </c>
      <c r="Y135">
        <v>115.00569152832</v>
      </c>
      <c r="Z135">
        <v>115.00563049316401</v>
      </c>
      <c r="AA135">
        <v>8.5727469995617901E-3</v>
      </c>
      <c r="AB135" s="2">
        <v>3.4028230607370999E+38</v>
      </c>
      <c r="AC135" s="2">
        <v>3.4028230607370999E+38</v>
      </c>
      <c r="AD135">
        <v>230.00175476074199</v>
      </c>
      <c r="AE135">
        <v>0.50002175569534302</v>
      </c>
      <c r="AF135">
        <v>115.005897521973</v>
      </c>
      <c r="AG135">
        <v>115.005813598633</v>
      </c>
      <c r="AH135">
        <v>9.1784633696079306E-3</v>
      </c>
      <c r="AI135">
        <v>49.999912261962898</v>
      </c>
      <c r="AJ135">
        <v>-4.5726979151368098E-3</v>
      </c>
      <c r="AK135">
        <v>1.53474193066359E-2</v>
      </c>
      <c r="AL135" s="2">
        <v>3.3805788461904702E-6</v>
      </c>
      <c r="AM135" s="2">
        <v>-4.9158885295774698E-11</v>
      </c>
      <c r="AN135" s="2">
        <v>5.3401599586777599E-8</v>
      </c>
      <c r="AO135" s="2">
        <v>-1.9636032799752502E-9</v>
      </c>
      <c r="AP135">
        <v>74.758247375488295</v>
      </c>
      <c r="AQ135">
        <v>103.510467529297</v>
      </c>
      <c r="AR135">
        <v>1.6647759824991198E-2</v>
      </c>
      <c r="AS135" s="2">
        <v>3.1002787181932898E-6</v>
      </c>
      <c r="AT135" s="2">
        <v>1.34952882202555E-9</v>
      </c>
      <c r="AU135" s="2">
        <v>5.1561190872462202E-8</v>
      </c>
      <c r="AV135" s="2">
        <v>2.41807657230808E-10</v>
      </c>
      <c r="AW135">
        <v>74.715316772460895</v>
      </c>
      <c r="AX135">
        <v>-3.5285451412200901</v>
      </c>
      <c r="AY135" s="2">
        <v>3.4028230607370999E+38</v>
      </c>
      <c r="AZ135" s="2">
        <v>3.4028230607370999E+38</v>
      </c>
      <c r="BA135">
        <v>115.005889892578</v>
      </c>
      <c r="BB135">
        <v>115.005813598633</v>
      </c>
      <c r="BC135">
        <v>9.1784615069627797E-3</v>
      </c>
      <c r="BD135" s="2">
        <v>3.4028230607370999E+38</v>
      </c>
      <c r="BE135" s="2">
        <v>3.4028230607370999E+38</v>
      </c>
      <c r="BF135">
        <v>230.00204467773401</v>
      </c>
      <c r="BG135">
        <v>0.50002533197402999</v>
      </c>
      <c r="BH135">
        <v>115.0068359375</v>
      </c>
      <c r="BI135">
        <v>115.00677490234401</v>
      </c>
      <c r="BJ135">
        <v>8.4360400214791298E-3</v>
      </c>
      <c r="BK135">
        <v>49.999927520752003</v>
      </c>
      <c r="BL135">
        <v>-4.5613613910973098E-3</v>
      </c>
      <c r="BM135">
        <v>1.60652995109558E-2</v>
      </c>
      <c r="BN135" s="2">
        <v>3.3211049412784598E-6</v>
      </c>
      <c r="BO135" s="2">
        <v>-6.3274879780195203E-10</v>
      </c>
      <c r="BP135" s="2">
        <v>5.3879297468029102E-8</v>
      </c>
      <c r="BQ135" s="2">
        <v>-2.7311002348540102E-9</v>
      </c>
      <c r="BR135">
        <v>74.703277587890597</v>
      </c>
      <c r="BS135">
        <v>113.48744964599599</v>
      </c>
      <c r="BT135">
        <v>1.75348296761513E-2</v>
      </c>
      <c r="BU135" s="2">
        <v>3.0243609216995499E-6</v>
      </c>
      <c r="BV135" s="2">
        <v>1.25940158302029E-9</v>
      </c>
      <c r="BW135" s="2">
        <v>5.3773678843072002E-8</v>
      </c>
      <c r="BX135" s="2">
        <v>-8.37454217084144E-10</v>
      </c>
      <c r="BY135">
        <v>74.747596740722699</v>
      </c>
      <c r="BZ135">
        <v>33.622394561767599</v>
      </c>
      <c r="CA135" s="2">
        <v>3.4028230607370999E+38</v>
      </c>
      <c r="CB135" s="2">
        <v>3.4028230607370999E+38</v>
      </c>
      <c r="CC135">
        <v>115.006828308105</v>
      </c>
      <c r="CD135">
        <v>115.00677490234401</v>
      </c>
      <c r="CE135">
        <v>8.4360362961888296E-3</v>
      </c>
      <c r="CF135" s="2">
        <v>3.4028230607370999E+38</v>
      </c>
      <c r="CG135" s="2">
        <v>3.4028230607370999E+38</v>
      </c>
      <c r="CH135">
        <v>230.00196838378901</v>
      </c>
      <c r="CI135">
        <v>0.50002038478851296</v>
      </c>
      <c r="CJ135">
        <v>115.005653381348</v>
      </c>
      <c r="CK135">
        <v>115.00569152832</v>
      </c>
      <c r="CL135">
        <v>8.9763216674327902E-3</v>
      </c>
      <c r="CM135">
        <v>49.999885559082003</v>
      </c>
      <c r="CN135">
        <v>-4.4719967991113697E-3</v>
      </c>
      <c r="CO135">
        <v>1.52331171557307E-2</v>
      </c>
      <c r="CP135" s="2">
        <v>3.3189148780365902E-6</v>
      </c>
      <c r="CQ135" s="2">
        <v>8.2886747465593699E-10</v>
      </c>
      <c r="CR135" s="2">
        <v>5.0534225692899801E-8</v>
      </c>
      <c r="CS135" s="2">
        <v>-1.53452461848502E-9</v>
      </c>
      <c r="CT135">
        <v>74.763885498046903</v>
      </c>
      <c r="CU135">
        <v>50.8812446594238</v>
      </c>
      <c r="CV135">
        <v>1.64650548249483E-2</v>
      </c>
      <c r="CW135" s="2">
        <v>3.0121709642116899E-6</v>
      </c>
      <c r="CX135" s="2">
        <v>1.3361812767342901E-9</v>
      </c>
      <c r="CY135" s="2">
        <v>4.9503515953119898E-8</v>
      </c>
      <c r="CZ135" s="2">
        <v>8.2819265334599405E-11</v>
      </c>
      <c r="DA135">
        <v>74.821647644042997</v>
      </c>
      <c r="DB135">
        <v>9.5772609710693395</v>
      </c>
      <c r="DC135" s="2">
        <v>3.4028230607370999E+38</v>
      </c>
      <c r="DD135" s="2">
        <v>3.4028230607370999E+38</v>
      </c>
      <c r="DE135">
        <v>115.005653381348</v>
      </c>
      <c r="DF135">
        <v>115.00569152832</v>
      </c>
      <c r="DG135">
        <v>8.9763198047876393E-3</v>
      </c>
      <c r="DH135" s="2">
        <v>3.4028230607370999E+38</v>
      </c>
      <c r="DI135" s="2">
        <v>3.4028230607370999E+38</v>
      </c>
      <c r="DJ135">
        <v>230.001541137695</v>
      </c>
      <c r="DK135">
        <v>0.50002336502075195</v>
      </c>
      <c r="DL135">
        <v>115.006233215332</v>
      </c>
      <c r="DM135">
        <v>115.00617218017599</v>
      </c>
      <c r="DN135">
        <v>8.1843072548508592E-3</v>
      </c>
      <c r="DO135">
        <v>49.999946594238303</v>
      </c>
      <c r="DP135">
        <v>-4.3964474461972696E-3</v>
      </c>
      <c r="DQ135">
        <v>1.6220660880208002E-2</v>
      </c>
      <c r="DR135" s="2">
        <v>3.4290230814804099E-6</v>
      </c>
      <c r="DS135" s="2">
        <v>-9.55992951467977E-10</v>
      </c>
      <c r="DT135" s="2">
        <v>5.4721024156378897E-8</v>
      </c>
      <c r="DU135" s="2">
        <v>-2.5153947813549799E-9</v>
      </c>
      <c r="DV135">
        <v>74.662742614746094</v>
      </c>
      <c r="DW135">
        <v>100.618438720703</v>
      </c>
      <c r="DX135">
        <v>1.7711026594042799E-2</v>
      </c>
      <c r="DY135" s="2">
        <v>3.0738235636817998E-6</v>
      </c>
      <c r="DZ135" s="2">
        <v>1.0812607476040601E-9</v>
      </c>
      <c r="EA135" s="2">
        <v>5.4296986462531998E-8</v>
      </c>
      <c r="EB135" s="2">
        <v>-1.26503429953573E-9</v>
      </c>
      <c r="EC135">
        <v>74.808784484863295</v>
      </c>
      <c r="ED135">
        <v>51.381614685058601</v>
      </c>
      <c r="EE135" s="2">
        <v>3.4028230607370999E+38</v>
      </c>
      <c r="EF135" s="2">
        <v>3.4028230607370999E+38</v>
      </c>
      <c r="EG135">
        <v>115.006225585938</v>
      </c>
      <c r="EH135">
        <v>115.00617218017599</v>
      </c>
      <c r="EI135">
        <v>8.1843025982379896E-3</v>
      </c>
      <c r="EJ135" s="2">
        <v>3.4028230607370999E+38</v>
      </c>
      <c r="EK135" s="2">
        <v>3.4028230607370999E+38</v>
      </c>
      <c r="EL135">
        <v>123</v>
      </c>
      <c r="EM135">
        <v>230.00160217285199</v>
      </c>
      <c r="EN135">
        <v>0.500022172927856</v>
      </c>
      <c r="EO135">
        <v>115.00588226318401</v>
      </c>
      <c r="EP135">
        <v>115.005805969238</v>
      </c>
      <c r="EQ135">
        <v>8.4090391173958796E-3</v>
      </c>
      <c r="ER135">
        <v>49.999912261962898</v>
      </c>
      <c r="ES135">
        <v>-4.1893646121025103E-3</v>
      </c>
      <c r="ET135">
        <v>1</v>
      </c>
      <c r="EU135" s="2">
        <v>3.4028230607370999E+38</v>
      </c>
      <c r="EV135">
        <v>0</v>
      </c>
      <c r="EW135">
        <v>230.00656127929699</v>
      </c>
      <c r="EX135">
        <v>115.008895874023</v>
      </c>
      <c r="EY135">
        <v>115.008834838867</v>
      </c>
      <c r="EZ135">
        <v>1.19212698191404E-2</v>
      </c>
      <c r="FA135" s="2">
        <v>8.5904444858897504E-5</v>
      </c>
      <c r="FB135">
        <v>1.55175672844052E-2</v>
      </c>
      <c r="FC135" s="2">
        <v>3.3676153634587502E-6</v>
      </c>
      <c r="FD135" s="2">
        <v>-9.6484498168791809E-10</v>
      </c>
      <c r="FE135" s="2">
        <v>5.2198242173062701E-8</v>
      </c>
      <c r="FF135" s="2">
        <v>-2.5382060897527502E-9</v>
      </c>
      <c r="FG135">
        <v>74.723251342773395</v>
      </c>
      <c r="FH135">
        <v>113.0673828125</v>
      </c>
      <c r="FI135">
        <v>-1.9515249878168099E-2</v>
      </c>
      <c r="FJ135" s="2">
        <v>3.4028230607370999E+38</v>
      </c>
      <c r="FK135">
        <v>-18.276805877685501</v>
      </c>
      <c r="FL135">
        <v>1.9786888733506199E-2</v>
      </c>
      <c r="FM135">
        <v>0</v>
      </c>
      <c r="FN135">
        <v>0</v>
      </c>
      <c r="FO135">
        <v>0</v>
      </c>
      <c r="FP135" s="2">
        <v>-3.9753464079694802E-5</v>
      </c>
      <c r="FQ135">
        <v>1.6266917809844E-2</v>
      </c>
      <c r="FR135" s="2">
        <v>3.0513706406054599E-6</v>
      </c>
      <c r="FS135" s="2">
        <v>-4.8812637265527304E-10</v>
      </c>
      <c r="FT135" s="2">
        <v>4.8611070724291501E-8</v>
      </c>
      <c r="FU135" s="2">
        <v>-1.2786902647832201E-9</v>
      </c>
      <c r="FV135">
        <v>74.820426940917997</v>
      </c>
      <c r="FW135">
        <v>108.073570251465</v>
      </c>
      <c r="FX135">
        <v>-1.0233218781650099E-2</v>
      </c>
      <c r="FY135" s="2">
        <v>3.4028230607370999E+38</v>
      </c>
      <c r="FZ135">
        <v>-11.118289947509799</v>
      </c>
      <c r="GA135">
        <v>229.40383911132801</v>
      </c>
      <c r="GB135" s="2">
        <v>-7.25011273239318E-10</v>
      </c>
      <c r="GC135">
        <v>7.1734469383955002E-4</v>
      </c>
      <c r="GD135" s="2">
        <v>1.4163045736204101E-10</v>
      </c>
      <c r="GE135" s="2">
        <v>2.4191220290958898E-5</v>
      </c>
      <c r="GF135" s="2">
        <v>3.4028230607370999E+38</v>
      </c>
      <c r="GG135" s="2">
        <v>3.4028230607370999E+38</v>
      </c>
      <c r="GH135">
        <v>115.00594329834</v>
      </c>
      <c r="GI135">
        <v>115.00628662109401</v>
      </c>
      <c r="GJ135">
        <v>9.1929147019982303E-3</v>
      </c>
      <c r="GK135" s="2">
        <v>3.4028230607370999E+38</v>
      </c>
      <c r="GL135" s="2">
        <v>3.4028230607370999E+38</v>
      </c>
      <c r="GM135" s="2">
        <v>3.4028230607370999E+38</v>
      </c>
      <c r="GN135" s="2">
        <v>3.4028230607370999E+38</v>
      </c>
      <c r="GO135" s="2">
        <v>3.4028230607370999E+38</v>
      </c>
      <c r="GP135" s="2">
        <v>3.4028230607370999E+38</v>
      </c>
      <c r="GQ135">
        <v>115.006729125977</v>
      </c>
      <c r="GR135">
        <v>115.006729125977</v>
      </c>
      <c r="GS135">
        <v>1.08013562858105E-2</v>
      </c>
      <c r="GT135" s="2">
        <v>-8.8281347416341305E-5</v>
      </c>
      <c r="GX135">
        <f t="shared" si="8"/>
        <v>230.00175170898424</v>
      </c>
      <c r="GY135">
        <f t="shared" si="9"/>
        <v>0.50002250671386717</v>
      </c>
      <c r="GZ135">
        <f t="shared" si="10"/>
        <v>115.0060623168946</v>
      </c>
      <c r="HA135">
        <f t="shared" si="11"/>
        <v>115.00601654052738</v>
      </c>
      <c r="HB135">
        <f t="shared" si="12"/>
        <v>8.6695762351155295E-3</v>
      </c>
      <c r="HC135">
        <f t="shared" si="13"/>
        <v>49.999930572509783</v>
      </c>
      <c r="HD135">
        <f t="shared" si="14"/>
        <v>-4.4546891935169693E-3</v>
      </c>
      <c r="HW135" s="10">
        <f>(GX135/Data!$S135-1)*1000000</f>
        <v>23.269098936129495</v>
      </c>
      <c r="HX135" s="10">
        <f>(GY135/Data!$T135-1)*1000000</f>
        <v>7.7351393839020233</v>
      </c>
      <c r="HY135" s="10">
        <f>(GZ135/Data!$BW135-1)*1000000</f>
        <v>31.085561498889192</v>
      </c>
      <c r="HZ135" s="10">
        <f>(HA135/(Data!$S135*Data!$T135)-1)*1000000</f>
        <v>30.692272195542714</v>
      </c>
      <c r="IA135" s="7">
        <f>(HB135/IF(HD135&gt;0, -Data!$BX135,Data!$BX135)-1)*1000000</f>
        <v>1458998.7259425498</v>
      </c>
      <c r="IB135" s="10"/>
      <c r="IC135" s="9">
        <f>(HD135-Data!$U135)</f>
        <v>-2.6981611935169691E-3</v>
      </c>
    </row>
    <row r="136" spans="1:237" x14ac:dyDescent="0.2">
      <c r="A136">
        <v>136</v>
      </c>
      <c r="B136">
        <v>230.00189208984401</v>
      </c>
      <c r="C136">
        <v>0.50002235174179099</v>
      </c>
      <c r="D136">
        <v>115.00609588623</v>
      </c>
      <c r="E136">
        <v>115.00603485107401</v>
      </c>
      <c r="F136">
        <v>9.3195419758558308E-3</v>
      </c>
      <c r="G136">
        <v>49.999946594238303</v>
      </c>
      <c r="H136">
        <v>-4.3541975319385503E-3</v>
      </c>
      <c r="I136">
        <v>1.4599881134927301E-2</v>
      </c>
      <c r="J136" s="2">
        <v>3.4346714983257698E-6</v>
      </c>
      <c r="K136" s="2">
        <v>-9.1017599013198905E-10</v>
      </c>
      <c r="L136" s="2">
        <v>5.0186130806650902E-8</v>
      </c>
      <c r="M136" s="2">
        <v>-1.34589250855299E-9</v>
      </c>
      <c r="N136">
        <v>74.672088623046903</v>
      </c>
      <c r="O136">
        <v>87.197883605957003</v>
      </c>
      <c r="P136">
        <v>1.5905139967799201E-2</v>
      </c>
      <c r="Q136" s="2">
        <v>3.1297174700739599E-6</v>
      </c>
      <c r="R136" s="2">
        <v>2.6098068151014802E-10</v>
      </c>
      <c r="S136" s="2">
        <v>4.9626120102175297E-8</v>
      </c>
      <c r="T136" s="2">
        <v>-1.2519324465998199E-9</v>
      </c>
      <c r="U136">
        <v>74.840637207031193</v>
      </c>
      <c r="V136">
        <v>65.392601013183594</v>
      </c>
      <c r="W136" s="2">
        <v>3.4028230607370999E+38</v>
      </c>
      <c r="X136" s="2">
        <v>3.4028230607370999E+38</v>
      </c>
      <c r="Y136">
        <v>115.00608825683599</v>
      </c>
      <c r="Z136">
        <v>115.00603485107401</v>
      </c>
      <c r="AA136">
        <v>9.3195391818881E-3</v>
      </c>
      <c r="AB136" s="2">
        <v>3.4028230607370999E+38</v>
      </c>
      <c r="AC136" s="2">
        <v>3.4028230607370999E+38</v>
      </c>
      <c r="AD136">
        <v>230.00140380859401</v>
      </c>
      <c r="AE136">
        <v>0.50001972913742099</v>
      </c>
      <c r="AF136">
        <v>115.00543975830099</v>
      </c>
      <c r="AG136">
        <v>115.005378723145</v>
      </c>
      <c r="AH136">
        <v>8.2648517563939095E-3</v>
      </c>
      <c r="AI136">
        <v>50</v>
      </c>
      <c r="AJ136">
        <v>-4.1175540536642101E-3</v>
      </c>
      <c r="AK136">
        <v>1.5877902507782E-2</v>
      </c>
      <c r="AL136" s="2">
        <v>3.3596734283491999E-6</v>
      </c>
      <c r="AM136" s="2">
        <v>6.5062555343331496E-10</v>
      </c>
      <c r="AN136" s="2">
        <v>5.3177593883901903E-8</v>
      </c>
      <c r="AO136" s="2">
        <v>-1.9694890163179901E-9</v>
      </c>
      <c r="AP136">
        <v>74.755256652832003</v>
      </c>
      <c r="AQ136">
        <v>71.718910217285199</v>
      </c>
      <c r="AR136">
        <v>1.7394868656992898E-2</v>
      </c>
      <c r="AS136" s="2">
        <v>3.0341029741975898E-6</v>
      </c>
      <c r="AT136" s="2">
        <v>2.88047830032667E-9</v>
      </c>
      <c r="AU136" s="2">
        <v>5.3305686975591002E-8</v>
      </c>
      <c r="AV136" s="2">
        <v>1.09658837565973E-9</v>
      </c>
      <c r="AW136">
        <v>74.808517456054702</v>
      </c>
      <c r="AX136">
        <v>-20.841659545898398</v>
      </c>
      <c r="AY136" s="2">
        <v>3.4028230607370999E+38</v>
      </c>
      <c r="AZ136" s="2">
        <v>3.4028230607370999E+38</v>
      </c>
      <c r="BA136">
        <v>115.00543975830099</v>
      </c>
      <c r="BB136">
        <v>115.005378723145</v>
      </c>
      <c r="BC136">
        <v>8.2648508250713296E-3</v>
      </c>
      <c r="BD136" s="2">
        <v>3.4028230607370999E+38</v>
      </c>
      <c r="BE136" s="2">
        <v>3.4028230607370999E+38</v>
      </c>
      <c r="BF136">
        <v>230.00215148925801</v>
      </c>
      <c r="BG136">
        <v>0.50002264976501498</v>
      </c>
      <c r="BH136">
        <v>115.006271362305</v>
      </c>
      <c r="BI136">
        <v>115.006210327148</v>
      </c>
      <c r="BJ136">
        <v>8.4832822903990694E-3</v>
      </c>
      <c r="BK136">
        <v>49.999931335449197</v>
      </c>
      <c r="BL136">
        <v>-4.2061149142682596E-3</v>
      </c>
      <c r="BM136">
        <v>1.7736352980136899E-2</v>
      </c>
      <c r="BN136" s="2">
        <v>3.3358737709932E-6</v>
      </c>
      <c r="BO136" s="2">
        <v>7.7100048567757498E-10</v>
      </c>
      <c r="BP136" s="2">
        <v>5.9140074171182297E-8</v>
      </c>
      <c r="BQ136" s="2">
        <v>-3.32768879118817E-9</v>
      </c>
      <c r="BR136">
        <v>74.659553527832003</v>
      </c>
      <c r="BS136">
        <v>78.362281799316406</v>
      </c>
      <c r="BT136">
        <v>1.9603660330176399E-2</v>
      </c>
      <c r="BU136" s="2">
        <v>2.9797813567711299E-6</v>
      </c>
      <c r="BV136" s="2">
        <v>3.6652145762872099E-9</v>
      </c>
      <c r="BW136" s="2">
        <v>5.8433514027456099E-8</v>
      </c>
      <c r="BX136" s="2">
        <v>2.5362453803801099E-10</v>
      </c>
      <c r="BY136">
        <v>74.765098571777301</v>
      </c>
      <c r="BZ136">
        <v>3.2390379905700701</v>
      </c>
      <c r="CA136" s="2">
        <v>3.4028230607370999E+38</v>
      </c>
      <c r="CB136" s="2">
        <v>3.4028230607370999E+38</v>
      </c>
      <c r="CC136">
        <v>115.006271362305</v>
      </c>
      <c r="CD136">
        <v>115.006210327148</v>
      </c>
      <c r="CE136">
        <v>8.4832785651087796E-3</v>
      </c>
      <c r="CF136" s="2">
        <v>3.4028230607370999E+38</v>
      </c>
      <c r="CG136" s="2">
        <v>3.4028230607370999E+38</v>
      </c>
      <c r="CH136">
        <v>230.00218200683599</v>
      </c>
      <c r="CI136">
        <v>0.50002163648605302</v>
      </c>
      <c r="CJ136">
        <v>115.006072998047</v>
      </c>
      <c r="CK136">
        <v>115.00567626953099</v>
      </c>
      <c r="CL136">
        <v>8.7338415905833192E-3</v>
      </c>
      <c r="CM136">
        <v>49.999935150146499</v>
      </c>
      <c r="CN136">
        <v>-4.3511944822967096E-3</v>
      </c>
      <c r="CO136">
        <v>1.4987407252192501E-2</v>
      </c>
      <c r="CP136" s="2">
        <v>3.34493233822286E-6</v>
      </c>
      <c r="CQ136" s="2">
        <v>-1.4444139218028301E-9</v>
      </c>
      <c r="CR136" s="2">
        <v>4.93486851382841E-8</v>
      </c>
      <c r="CS136" s="2">
        <v>-1.6813127556858401E-9</v>
      </c>
      <c r="CT136">
        <v>74.749122619628906</v>
      </c>
      <c r="CU136">
        <v>106.061027526855</v>
      </c>
      <c r="CV136">
        <v>1.6041100025176998E-2</v>
      </c>
      <c r="CW136" s="2">
        <v>3.0707142286701098E-6</v>
      </c>
      <c r="CX136" s="2">
        <v>8.8266186026864104E-11</v>
      </c>
      <c r="CY136" s="2">
        <v>4.8195673230111398E-8</v>
      </c>
      <c r="CZ136" s="2">
        <v>-1.3791655595341E-9</v>
      </c>
      <c r="DA136">
        <v>74.779609680175795</v>
      </c>
      <c r="DB136">
        <v>84.024650573730497</v>
      </c>
      <c r="DC136" s="2">
        <v>3.4028230607370999E+38</v>
      </c>
      <c r="DD136" s="2">
        <v>3.4028230607370999E+38</v>
      </c>
      <c r="DE136">
        <v>115.006065368652</v>
      </c>
      <c r="DF136">
        <v>115.00567626953099</v>
      </c>
      <c r="DG136">
        <v>8.7338378652930294E-3</v>
      </c>
      <c r="DH136" s="2">
        <v>3.4028230607370999E+38</v>
      </c>
      <c r="DI136" s="2">
        <v>3.4028230607370999E+38</v>
      </c>
      <c r="DJ136">
        <v>230.00193786621099</v>
      </c>
      <c r="DK136">
        <v>0.50002157688140902</v>
      </c>
      <c r="DL136">
        <v>115.005973815918</v>
      </c>
      <c r="DM136">
        <v>115.00587463378901</v>
      </c>
      <c r="DN136">
        <v>8.2251559942960704E-3</v>
      </c>
      <c r="DO136">
        <v>49.999931335449197</v>
      </c>
      <c r="DP136">
        <v>-4.2659174650907499E-3</v>
      </c>
      <c r="DQ136">
        <v>1.7846774309873598E-2</v>
      </c>
      <c r="DR136" s="2">
        <v>3.36870130013267E-6</v>
      </c>
      <c r="DS136" s="2">
        <v>5.5229448792104604E-10</v>
      </c>
      <c r="DT136" s="2">
        <v>5.9062461588155202E-8</v>
      </c>
      <c r="DU136" s="2">
        <v>-4.2337910954870503E-9</v>
      </c>
      <c r="DV136">
        <v>74.743347167968807</v>
      </c>
      <c r="DW136">
        <v>66.969062805175795</v>
      </c>
      <c r="DX136">
        <v>2.00347639620304E-2</v>
      </c>
      <c r="DY136" s="2">
        <v>3.1902700357022699E-6</v>
      </c>
      <c r="DZ136" s="2">
        <v>2.69076938508306E-9</v>
      </c>
      <c r="EA136" s="2">
        <v>6.2570315151333502E-8</v>
      </c>
      <c r="EB136" s="2">
        <v>1.9047852184428401E-10</v>
      </c>
      <c r="EC136">
        <v>74.796669006347699</v>
      </c>
      <c r="ED136">
        <v>29.694786071777301</v>
      </c>
      <c r="EE136" s="2">
        <v>3.4028230607370999E+38</v>
      </c>
      <c r="EF136" s="2">
        <v>3.4028230607370999E+38</v>
      </c>
      <c r="EG136">
        <v>115.005973815918</v>
      </c>
      <c r="EH136">
        <v>115.00587463378901</v>
      </c>
      <c r="EI136">
        <v>8.2251513376832008E-3</v>
      </c>
      <c r="EJ136" s="2">
        <v>3.4028230607370999E+38</v>
      </c>
      <c r="EK136" s="2">
        <v>3.4028230607370999E+38</v>
      </c>
      <c r="EL136">
        <v>123</v>
      </c>
      <c r="EM136">
        <v>230.00193786621099</v>
      </c>
      <c r="EN136">
        <v>0.50002163648605302</v>
      </c>
      <c r="EO136">
        <v>115.005935668945</v>
      </c>
      <c r="EP136">
        <v>115.005966186523</v>
      </c>
      <c r="EQ136">
        <v>8.36016144603491E-3</v>
      </c>
      <c r="ER136">
        <v>49.9998970031738</v>
      </c>
      <c r="ES136">
        <v>-4.1650156490504698E-3</v>
      </c>
      <c r="ET136">
        <v>1</v>
      </c>
      <c r="EU136" s="2">
        <v>3.4028230607370999E+38</v>
      </c>
      <c r="EV136">
        <v>0</v>
      </c>
      <c r="EW136">
        <v>230.00483703613301</v>
      </c>
      <c r="EX136">
        <v>115.00742340087901</v>
      </c>
      <c r="EY136">
        <v>115.007362365723</v>
      </c>
      <c r="EZ136">
        <v>1.3701436109840899E-2</v>
      </c>
      <c r="FA136">
        <v>1.24699945445172E-4</v>
      </c>
      <c r="FB136">
        <v>1.7805518582463299E-2</v>
      </c>
      <c r="FC136" s="2">
        <v>3.3697647268127201E-6</v>
      </c>
      <c r="FD136" s="2">
        <v>-6.7925320923478704E-10</v>
      </c>
      <c r="FE136" s="2">
        <v>6.0080516561811197E-8</v>
      </c>
      <c r="FF136" s="2">
        <v>-4.2701278069046103E-9</v>
      </c>
      <c r="FG136">
        <v>74.738952636718807</v>
      </c>
      <c r="FH136">
        <v>100.38468170166</v>
      </c>
      <c r="FI136">
        <v>-1.1296610347926599E-2</v>
      </c>
      <c r="FJ136" s="2">
        <v>3.4028230607370999E+38</v>
      </c>
      <c r="FK136">
        <v>-43.693916320800803</v>
      </c>
      <c r="FL136">
        <v>2.06238236278296E-2</v>
      </c>
      <c r="FM136">
        <v>0</v>
      </c>
      <c r="FN136">
        <v>0</v>
      </c>
      <c r="FO136">
        <v>0</v>
      </c>
      <c r="FP136" s="2">
        <v>-5.3824252972845002E-5</v>
      </c>
      <c r="FQ136">
        <v>1.9704297184944201E-2</v>
      </c>
      <c r="FR136" s="2">
        <v>2.9809198167640699E-6</v>
      </c>
      <c r="FS136" s="2">
        <v>2.6964492860770402E-9</v>
      </c>
      <c r="FT136" s="2">
        <v>5.87378501393232E-8</v>
      </c>
      <c r="FU136" s="2">
        <v>-1.1873786398553001E-9</v>
      </c>
      <c r="FV136">
        <v>74.762023925781193</v>
      </c>
      <c r="FW136">
        <v>21.345708847045898</v>
      </c>
      <c r="FX136">
        <v>5.0516791641712203E-2</v>
      </c>
      <c r="FY136" s="2">
        <v>3.4028230607370999E+38</v>
      </c>
      <c r="FZ136">
        <v>-29.616218566894499</v>
      </c>
      <c r="GA136">
        <v>229.23728942871099</v>
      </c>
      <c r="GB136" s="2">
        <v>3.9109640526113801E-10</v>
      </c>
      <c r="GC136">
        <v>6.8617798388004303E-4</v>
      </c>
      <c r="GD136" s="2">
        <v>1.80387607628951E-10</v>
      </c>
      <c r="GE136" s="2">
        <v>5.1614711082947898E-6</v>
      </c>
      <c r="GF136" s="2">
        <v>3.4028230607370999E+38</v>
      </c>
      <c r="GG136" s="2">
        <v>3.4028230607370999E+38</v>
      </c>
      <c r="GH136">
        <v>115.00600433349599</v>
      </c>
      <c r="GI136">
        <v>115.005989074707</v>
      </c>
      <c r="GJ136">
        <v>8.6823832243681006E-3</v>
      </c>
      <c r="GK136" s="2">
        <v>3.4028230607370999E+38</v>
      </c>
      <c r="GL136" s="2">
        <v>3.4028230607370999E+38</v>
      </c>
      <c r="GM136" s="2">
        <v>3.4028230607370999E+38</v>
      </c>
      <c r="GN136" s="2">
        <v>3.4028230607370999E+38</v>
      </c>
      <c r="GO136" s="2">
        <v>3.4028230607370999E+38</v>
      </c>
      <c r="GP136" s="2">
        <v>3.4028230607370999E+38</v>
      </c>
      <c r="GQ136">
        <v>115.008338928223</v>
      </c>
      <c r="GR136">
        <v>115.008338928223</v>
      </c>
      <c r="GS136">
        <v>1.32763972505927E-2</v>
      </c>
      <c r="GT136">
        <v>1.41057927976362E-4</v>
      </c>
      <c r="GX136">
        <f t="shared" si="8"/>
        <v>230.00191345214859</v>
      </c>
      <c r="GY136">
        <f t="shared" si="9"/>
        <v>0.50002158880233782</v>
      </c>
      <c r="GZ136">
        <f t="shared" si="10"/>
        <v>115.0059707641602</v>
      </c>
      <c r="HA136">
        <f t="shared" si="11"/>
        <v>115.00583496093741</v>
      </c>
      <c r="HB136">
        <f t="shared" si="12"/>
        <v>8.6053347215056392E-3</v>
      </c>
      <c r="HC136">
        <f t="shared" si="13"/>
        <v>49.999948883056632</v>
      </c>
      <c r="HD136">
        <f t="shared" si="14"/>
        <v>-4.258995689451696E-3</v>
      </c>
      <c r="HW136" s="10">
        <f>(GX136/Data!$S136-1)*1000000</f>
        <v>22.851863168193987</v>
      </c>
      <c r="HX136" s="10">
        <f>(GY136/Data!$T136-1)*1000000</f>
        <v>6.349370840874613</v>
      </c>
      <c r="HY136" s="10">
        <f>(GZ136/Data!$BW136-1)*1000000</f>
        <v>29.61902784526238</v>
      </c>
      <c r="HZ136" s="10">
        <f>(HA136/(Data!$S136*Data!$T136)-1)*1000000</f>
        <v>28.44286572201149</v>
      </c>
      <c r="IA136" s="7">
        <f>(HB136/IF(HD136&gt;0, -Data!$BX136,Data!$BX136)-1)*1000000</f>
        <v>1233383.7319196749</v>
      </c>
      <c r="IB136" s="10"/>
      <c r="IC136" s="9">
        <f>(HD136-Data!$U136)</f>
        <v>-2.3393566894516962E-3</v>
      </c>
    </row>
    <row r="137" spans="1:237" x14ac:dyDescent="0.2">
      <c r="A137">
        <v>137</v>
      </c>
      <c r="B137">
        <v>230.00181579589801</v>
      </c>
      <c r="C137">
        <v>1.0000357627868699</v>
      </c>
      <c r="D137">
        <v>114.991989135742</v>
      </c>
      <c r="E137">
        <v>230.00991821289099</v>
      </c>
      <c r="F137">
        <v>199.20240783691401</v>
      </c>
      <c r="G137">
        <v>49.999923706054702</v>
      </c>
      <c r="H137">
        <v>-60.003841400146499</v>
      </c>
      <c r="I137">
        <v>1.7397545278072399E-2</v>
      </c>
      <c r="J137" s="2">
        <v>3.4335828331677501E-6</v>
      </c>
      <c r="K137" s="2">
        <v>5.2063429123450103E-9</v>
      </c>
      <c r="L137" s="2">
        <v>5.9747421232714299E-8</v>
      </c>
      <c r="M137" s="2">
        <v>-1.85391069162932E-9</v>
      </c>
      <c r="N137">
        <v>74.7271728515625</v>
      </c>
      <c r="O137">
        <v>19.600147247314499</v>
      </c>
      <c r="P137">
        <v>1.9400253891944899E-2</v>
      </c>
      <c r="Q137" s="2">
        <v>3.1892445804260201E-6</v>
      </c>
      <c r="R137" s="2">
        <v>5.49554179940515E-9</v>
      </c>
      <c r="S137" s="2">
        <v>6.0922417333131294E-8</v>
      </c>
      <c r="T137" s="2">
        <v>-2.0132025213559501E-10</v>
      </c>
      <c r="U137">
        <v>74.757659912109403</v>
      </c>
      <c r="V137">
        <v>-1.7253227233886701</v>
      </c>
      <c r="W137" s="2">
        <v>3.4028230607370999E+38</v>
      </c>
      <c r="X137" s="2">
        <v>3.4028230607370999E+38</v>
      </c>
      <c r="Y137">
        <v>114.991989135742</v>
      </c>
      <c r="Z137">
        <v>230.00991821289099</v>
      </c>
      <c r="AA137">
        <v>199.202392578125</v>
      </c>
      <c r="AB137" s="2">
        <v>3.4028230607370999E+38</v>
      </c>
      <c r="AC137" s="2">
        <v>3.4028230607370999E+38</v>
      </c>
      <c r="AD137">
        <v>230.001708984375</v>
      </c>
      <c r="AE137">
        <v>1.0000374317169201</v>
      </c>
      <c r="AF137">
        <v>114.991912841797</v>
      </c>
      <c r="AG137">
        <v>230.010665893555</v>
      </c>
      <c r="AH137">
        <v>199.20291137695301</v>
      </c>
      <c r="AI137">
        <v>49.9999389648438</v>
      </c>
      <c r="AJ137">
        <v>-60.003795623779297</v>
      </c>
      <c r="AK137">
        <v>1.4939290471375001E-2</v>
      </c>
      <c r="AL137" s="2">
        <v>3.4075471830874402E-6</v>
      </c>
      <c r="AM137" s="2">
        <v>2.31543628714803E-9</v>
      </c>
      <c r="AN137" s="2">
        <v>5.2369905745308603E-8</v>
      </c>
      <c r="AO137" s="2">
        <v>-1.8929946499213202E-9</v>
      </c>
      <c r="AP137">
        <v>74.758544921875</v>
      </c>
      <c r="AQ137">
        <v>28.444881439208999</v>
      </c>
      <c r="AR137">
        <v>1.6385106369852999E-2</v>
      </c>
      <c r="AS137" s="2">
        <v>2.9870593607483902E-6</v>
      </c>
      <c r="AT137" s="2">
        <v>7.3394440525120796E-10</v>
      </c>
      <c r="AU137" s="2">
        <v>4.8923947559842398E-8</v>
      </c>
      <c r="AV137" s="2">
        <v>-7.2264205730476802E-10</v>
      </c>
      <c r="AW137">
        <v>74.807327270507798</v>
      </c>
      <c r="AX137">
        <v>23.3932189941406</v>
      </c>
      <c r="AY137" s="2">
        <v>3.4028230607370999E+38</v>
      </c>
      <c r="AZ137" s="2">
        <v>3.4028230607370999E+38</v>
      </c>
      <c r="BA137">
        <v>114.991912841797</v>
      </c>
      <c r="BB137">
        <v>230.010665893555</v>
      </c>
      <c r="BC137">
        <v>199.20289611816401</v>
      </c>
      <c r="BD137" s="2">
        <v>3.4028230607370999E+38</v>
      </c>
      <c r="BE137" s="2">
        <v>3.4028230607370999E+38</v>
      </c>
      <c r="BF137">
        <v>230.00141906738301</v>
      </c>
      <c r="BG137">
        <v>1.0000352859497099</v>
      </c>
      <c r="BH137">
        <v>114.99106597900401</v>
      </c>
      <c r="BI137">
        <v>230.00965881347699</v>
      </c>
      <c r="BJ137">
        <v>199.20251464843801</v>
      </c>
      <c r="BK137">
        <v>49.9999809265137</v>
      </c>
      <c r="BL137">
        <v>-60.003829956054702</v>
      </c>
      <c r="BM137">
        <v>1.6201758757233599E-2</v>
      </c>
      <c r="BN137" s="2">
        <v>3.4408342344249802E-6</v>
      </c>
      <c r="BO137" s="2">
        <v>6.4195257998278496E-9</v>
      </c>
      <c r="BP137" s="2">
        <v>5.5665697828999301E-8</v>
      </c>
      <c r="BQ137" s="2">
        <v>2.06373851341368E-9</v>
      </c>
      <c r="BR137">
        <v>74.744171142578097</v>
      </c>
      <c r="BS137">
        <v>-22.643348693847699</v>
      </c>
      <c r="BT137">
        <v>1.7702514305710799E-2</v>
      </c>
      <c r="BU137" s="2">
        <v>3.1455117550649401E-6</v>
      </c>
      <c r="BV137" s="2">
        <v>5.6279398918945803E-9</v>
      </c>
      <c r="BW137" s="2">
        <v>5.3994341442375999E-8</v>
      </c>
      <c r="BX137" s="2">
        <v>2.0075072715286499E-9</v>
      </c>
      <c r="BY137">
        <v>74.728736877441406</v>
      </c>
      <c r="BZ137">
        <v>-20.8661003112793</v>
      </c>
      <c r="CA137" s="2">
        <v>3.4028230607370999E+38</v>
      </c>
      <c r="CB137" s="2">
        <v>3.4028230607370999E+38</v>
      </c>
      <c r="CC137">
        <v>114.99106597900401</v>
      </c>
      <c r="CD137">
        <v>230.00965881347699</v>
      </c>
      <c r="CE137">
        <v>199.20251464843801</v>
      </c>
      <c r="CF137" s="2">
        <v>3.4028230607370999E+38</v>
      </c>
      <c r="CG137" s="2">
        <v>3.4028230607370999E+38</v>
      </c>
      <c r="CH137">
        <v>230.001708984375</v>
      </c>
      <c r="CI137">
        <v>1.00003957748413</v>
      </c>
      <c r="CJ137">
        <v>114.99241638183599</v>
      </c>
      <c r="CK137">
        <v>230.01068115234401</v>
      </c>
      <c r="CL137">
        <v>199.20333862304699</v>
      </c>
      <c r="CM137">
        <v>49.999908447265597</v>
      </c>
      <c r="CN137">
        <v>-60.003952026367202</v>
      </c>
      <c r="CO137">
        <v>1.4728778041899201E-2</v>
      </c>
      <c r="CP137" s="2">
        <v>3.4497350043238801E-6</v>
      </c>
      <c r="CQ137" s="2">
        <v>2.93936674999884E-9</v>
      </c>
      <c r="CR137" s="2">
        <v>5.0798018236264397E-8</v>
      </c>
      <c r="CS137" s="2">
        <v>-1.42810741010635E-9</v>
      </c>
      <c r="CT137">
        <v>74.686126708984403</v>
      </c>
      <c r="CU137">
        <v>23.946332931518601</v>
      </c>
      <c r="CV137">
        <v>1.6144469380378699E-2</v>
      </c>
      <c r="CW137" s="2">
        <v>3.0532044092978998E-6</v>
      </c>
      <c r="CX137" s="2">
        <v>9.3813790069674496E-10</v>
      </c>
      <c r="CY137" s="2">
        <v>5.0398334394685702E-8</v>
      </c>
      <c r="CZ137" s="2">
        <v>-1.1279199796376801E-9</v>
      </c>
      <c r="DA137">
        <v>74.749092102050795</v>
      </c>
      <c r="DB137">
        <v>50.248306274414098</v>
      </c>
      <c r="DC137" s="2">
        <v>3.4028230607370999E+38</v>
      </c>
      <c r="DD137" s="2">
        <v>3.4028230607370999E+38</v>
      </c>
      <c r="DE137">
        <v>114.99241638183599</v>
      </c>
      <c r="DF137">
        <v>230.01068115234401</v>
      </c>
      <c r="DG137">
        <v>199.20332336425801</v>
      </c>
      <c r="DH137" s="2">
        <v>3.4028230607370999E+38</v>
      </c>
      <c r="DI137" s="2">
        <v>3.4028230607370999E+38</v>
      </c>
      <c r="DJ137">
        <v>230.00163269043</v>
      </c>
      <c r="DK137">
        <v>1.00003826618195</v>
      </c>
      <c r="DL137">
        <v>114.992179870605</v>
      </c>
      <c r="DM137">
        <v>230.01071166992199</v>
      </c>
      <c r="DN137">
        <v>199.20307922363301</v>
      </c>
      <c r="DO137">
        <v>49.999969482421903</v>
      </c>
      <c r="DP137">
        <v>-60.003875732421903</v>
      </c>
      <c r="DQ137">
        <v>1.44253764301538E-2</v>
      </c>
      <c r="DR137" s="2">
        <v>3.4365266401437098E-6</v>
      </c>
      <c r="DS137" s="2">
        <v>1.5492243043979701E-9</v>
      </c>
      <c r="DT137" s="2">
        <v>5.0996437295225399E-8</v>
      </c>
      <c r="DU137" s="2">
        <v>-2.2045150427363299E-10</v>
      </c>
      <c r="DV137">
        <v>74.717437744140597</v>
      </c>
      <c r="DW137">
        <v>4.5070061683654803</v>
      </c>
      <c r="DX137">
        <v>1.5728427097201299E-2</v>
      </c>
      <c r="DY137" s="2">
        <v>3.0374430934898602E-6</v>
      </c>
      <c r="DZ137" s="2">
        <v>2.3076265343036101E-9</v>
      </c>
      <c r="EA137" s="2">
        <v>4.8363091309511199E-8</v>
      </c>
      <c r="EB137" s="2">
        <v>-1.17813514499687E-9</v>
      </c>
      <c r="EC137">
        <v>74.7696533203125</v>
      </c>
      <c r="ED137">
        <v>47.274948120117202</v>
      </c>
      <c r="EE137" s="2">
        <v>3.4028230607370999E+38</v>
      </c>
      <c r="EF137" s="2">
        <v>3.4028230607370999E+38</v>
      </c>
      <c r="EG137">
        <v>114.992179870605</v>
      </c>
      <c r="EH137">
        <v>230.01071166992199</v>
      </c>
      <c r="EI137">
        <v>199.20306396484401</v>
      </c>
      <c r="EJ137" s="2">
        <v>3.4028230607370999E+38</v>
      </c>
      <c r="EK137" s="2">
        <v>3.4028230607370999E+38</v>
      </c>
      <c r="EL137">
        <v>123</v>
      </c>
      <c r="EM137">
        <v>230.00140380859401</v>
      </c>
      <c r="EN137">
        <v>1.00003898143768</v>
      </c>
      <c r="EO137">
        <v>114.99210357666</v>
      </c>
      <c r="EP137">
        <v>230.010498046875</v>
      </c>
      <c r="EQ137">
        <v>199.20251464843801</v>
      </c>
      <c r="ER137">
        <v>49.999973297119098</v>
      </c>
      <c r="ES137">
        <v>-60.003768920898402</v>
      </c>
      <c r="ET137">
        <v>0.49994415044784501</v>
      </c>
      <c r="EU137" s="2">
        <v>3.4028230607370999E+38</v>
      </c>
      <c r="EV137">
        <v>0</v>
      </c>
      <c r="EW137">
        <v>230.00624084472699</v>
      </c>
      <c r="EX137">
        <v>114.989387512207</v>
      </c>
      <c r="EY137">
        <v>230.01480102539099</v>
      </c>
      <c r="EZ137">
        <v>199.20735168457</v>
      </c>
      <c r="FA137">
        <v>-2.1293845202308099E-4</v>
      </c>
      <c r="FB137">
        <v>1.57110448926687E-2</v>
      </c>
      <c r="FC137" s="2">
        <v>3.47459081240231E-6</v>
      </c>
      <c r="FD137" s="2">
        <v>4.2797023702689801E-9</v>
      </c>
      <c r="FE137" s="2">
        <v>5.5098769990991099E-8</v>
      </c>
      <c r="FF137" s="2">
        <v>-2.14824713573591E-9</v>
      </c>
      <c r="FG137">
        <v>74.731246948242202</v>
      </c>
      <c r="FH137">
        <v>32.116973876953097</v>
      </c>
      <c r="FI137">
        <v>7.8641504049301106E-2</v>
      </c>
      <c r="FJ137" s="2">
        <v>3.4028230607370999E+38</v>
      </c>
      <c r="FK137">
        <v>25.8782062530518</v>
      </c>
      <c r="FL137">
        <v>2.0191907882690398E-2</v>
      </c>
      <c r="FM137">
        <v>0</v>
      </c>
      <c r="FN137">
        <v>0</v>
      </c>
      <c r="FO137">
        <v>0</v>
      </c>
      <c r="FP137" s="2">
        <v>-2.3182350560091399E-5</v>
      </c>
      <c r="FQ137">
        <v>1.7632769420742999E-2</v>
      </c>
      <c r="FR137" s="2">
        <v>3.0109540603007198E-6</v>
      </c>
      <c r="FS137" s="2">
        <v>2.07068651114639E-9</v>
      </c>
      <c r="FT137" s="2">
        <v>5.3041599556991099E-8</v>
      </c>
      <c r="FU137" s="2">
        <v>-9.1007290592415302E-10</v>
      </c>
      <c r="FV137">
        <v>74.7545166015625</v>
      </c>
      <c r="FW137">
        <v>22.137531280517599</v>
      </c>
      <c r="FX137">
        <v>4.0003180503845201E-2</v>
      </c>
      <c r="FY137" s="2">
        <v>3.4028230607370999E+38</v>
      </c>
      <c r="FZ137">
        <v>54.113746643066399</v>
      </c>
      <c r="GA137">
        <v>229.11863708496099</v>
      </c>
      <c r="GB137" s="2">
        <v>-3.4395969406020299E-10</v>
      </c>
      <c r="GC137">
        <v>6.8845774512738E-4</v>
      </c>
      <c r="GD137" s="2">
        <v>-4.5264522685606303E-10</v>
      </c>
      <c r="GE137" s="2">
        <v>4.35227457273868E-6</v>
      </c>
      <c r="GF137" s="2">
        <v>3.4028230607370999E+38</v>
      </c>
      <c r="GG137" s="2">
        <v>3.4028230607370999E+38</v>
      </c>
      <c r="GH137">
        <v>114.991973876953</v>
      </c>
      <c r="GI137">
        <v>230.01002502441401</v>
      </c>
      <c r="GJ137">
        <v>199.20223999023401</v>
      </c>
      <c r="GK137" s="2">
        <v>3.4028230607370999E+38</v>
      </c>
      <c r="GL137" s="2">
        <v>3.4028230607370999E+38</v>
      </c>
      <c r="GM137" s="2">
        <v>3.4028230607370999E+38</v>
      </c>
      <c r="GN137" s="2">
        <v>3.4028230607370999E+38</v>
      </c>
      <c r="GO137" s="2">
        <v>3.4028230607370999E+38</v>
      </c>
      <c r="GP137" s="2">
        <v>3.4028230607370999E+38</v>
      </c>
      <c r="GQ137">
        <v>114.98825836181599</v>
      </c>
      <c r="GR137">
        <v>114.98825836181599</v>
      </c>
      <c r="GS137">
        <v>199.20799255371099</v>
      </c>
      <c r="GT137">
        <v>-3.7048250669613502E-4</v>
      </c>
      <c r="GX137">
        <f t="shared" si="8"/>
        <v>230.00165710449218</v>
      </c>
      <c r="GY137">
        <f t="shared" si="9"/>
        <v>1.000037264823916</v>
      </c>
      <c r="GZ137">
        <f t="shared" si="10"/>
        <v>114.9919128417968</v>
      </c>
      <c r="HA137">
        <f t="shared" si="11"/>
        <v>230.01032714843777</v>
      </c>
      <c r="HB137">
        <f t="shared" si="12"/>
        <v>199.20285034179702</v>
      </c>
      <c r="HC137">
        <f t="shared" si="13"/>
        <v>49.999944305419938</v>
      </c>
      <c r="HD137">
        <f t="shared" si="14"/>
        <v>-60.003858947753926</v>
      </c>
      <c r="HW137" s="10">
        <f>(GX137/Data!$S137-1)*1000000</f>
        <v>21.778162992314165</v>
      </c>
      <c r="HX137" s="10">
        <f>(GY137/Data!$T137-1)*1000000</f>
        <v>46.27724096639696</v>
      </c>
      <c r="HY137" s="10">
        <f>(GZ137/Data!$BW137-1)*1000000</f>
        <v>-90.930805983324703</v>
      </c>
      <c r="HZ137" s="10">
        <f>(HA137/(Data!$S137*Data!$T137)-1)*1000000</f>
        <v>68.48717279162031</v>
      </c>
      <c r="IA137" s="7">
        <f>(HB137/IF(HD137&gt;0, -Data!$BX137,Data!$BX137)-1)*1000000</f>
        <v>123.69847842541581</v>
      </c>
      <c r="IB137" s="10"/>
      <c r="IC137" s="9">
        <f>(HD137-Data!$U137)</f>
        <v>-5.3207277539257802E-3</v>
      </c>
    </row>
    <row r="138" spans="1:237" x14ac:dyDescent="0.2">
      <c r="A138">
        <v>138</v>
      </c>
      <c r="B138">
        <v>230.00180053710901</v>
      </c>
      <c r="C138">
        <v>1.0000348091125499</v>
      </c>
      <c r="D138">
        <v>114.991088867188</v>
      </c>
      <c r="E138">
        <v>230.00981140136699</v>
      </c>
      <c r="F138">
        <v>199.20234680175801</v>
      </c>
      <c r="G138">
        <v>49.999958038330099</v>
      </c>
      <c r="H138">
        <v>-60.003807067871101</v>
      </c>
      <c r="I138">
        <v>1.55368866398931E-2</v>
      </c>
      <c r="J138" s="2">
        <v>3.4551735552668102E-6</v>
      </c>
      <c r="K138" s="2">
        <v>4.9280681757579697E-9</v>
      </c>
      <c r="L138" s="2">
        <v>5.3719805492846697E-8</v>
      </c>
      <c r="M138" s="2">
        <v>1.91717242081779E-9</v>
      </c>
      <c r="N138">
        <v>74.642730712890597</v>
      </c>
      <c r="O138">
        <v>-21.2575874328613</v>
      </c>
      <c r="P138">
        <v>1.6831552609801299E-2</v>
      </c>
      <c r="Q138" s="2">
        <v>3.1452100301976299E-6</v>
      </c>
      <c r="R138" s="2">
        <v>4.5646690871592496E-9</v>
      </c>
      <c r="S138" s="2">
        <v>5.2914845838358802E-8</v>
      </c>
      <c r="T138" s="2">
        <v>2.3470791976620802E-9</v>
      </c>
      <c r="U138">
        <v>74.760650634765597</v>
      </c>
      <c r="V138">
        <v>-33.580970764160199</v>
      </c>
      <c r="W138" s="2">
        <v>3.4028230607370999E+38</v>
      </c>
      <c r="X138" s="2">
        <v>3.4028230607370999E+38</v>
      </c>
      <c r="Y138">
        <v>114.991088867188</v>
      </c>
      <c r="Z138">
        <v>230.00981140136699</v>
      </c>
      <c r="AA138">
        <v>199.20234680175801</v>
      </c>
      <c r="AB138" s="2">
        <v>3.4028230607370999E+38</v>
      </c>
      <c r="AC138" s="2">
        <v>3.4028230607370999E+38</v>
      </c>
      <c r="AD138">
        <v>230.00183105468801</v>
      </c>
      <c r="AE138">
        <v>1.00003778934479</v>
      </c>
      <c r="AF138">
        <v>114.992317199707</v>
      </c>
      <c r="AG138">
        <v>230.01042175293</v>
      </c>
      <c r="AH138">
        <v>199.20266723632801</v>
      </c>
      <c r="AI138">
        <v>49.9998970031738</v>
      </c>
      <c r="AJ138">
        <v>-60.003910064697301</v>
      </c>
      <c r="AK138">
        <v>1.4408349059522201E-2</v>
      </c>
      <c r="AL138" s="2">
        <v>3.4174465781688902E-6</v>
      </c>
      <c r="AM138" s="2">
        <v>1.78887171742304E-9</v>
      </c>
      <c r="AN138" s="2">
        <v>4.9350294517580597E-8</v>
      </c>
      <c r="AO138" s="2">
        <v>-6.0214538910585702E-10</v>
      </c>
      <c r="AP138">
        <v>74.7318115234375</v>
      </c>
      <c r="AQ138">
        <v>-2.9519088566303298E-2</v>
      </c>
      <c r="AR138">
        <v>1.5515412203967601E-2</v>
      </c>
      <c r="AS138" s="2">
        <v>3.0371552384167402E-6</v>
      </c>
      <c r="AT138" s="2">
        <v>1.56006918494711E-9</v>
      </c>
      <c r="AU138" s="2">
        <v>4.7175298334423099E-8</v>
      </c>
      <c r="AV138" s="2">
        <v>-4.7273973624584197E-10</v>
      </c>
      <c r="AW138">
        <v>74.760734558105497</v>
      </c>
      <c r="AX138">
        <v>13.9961853027344</v>
      </c>
      <c r="AY138" s="2">
        <v>3.4028230607370999E+38</v>
      </c>
      <c r="AZ138" s="2">
        <v>3.4028230607370999E+38</v>
      </c>
      <c r="BA138">
        <v>114.992317199707</v>
      </c>
      <c r="BB138">
        <v>230.01042175293</v>
      </c>
      <c r="BC138">
        <v>199.20265197753901</v>
      </c>
      <c r="BD138" s="2">
        <v>3.4028230607370999E+38</v>
      </c>
      <c r="BE138" s="2">
        <v>3.4028230607370999E+38</v>
      </c>
      <c r="BF138">
        <v>230.00183105468801</v>
      </c>
      <c r="BG138">
        <v>1.00003826618195</v>
      </c>
      <c r="BH138">
        <v>114.991821289062</v>
      </c>
      <c r="BI138">
        <v>230.01034545898401</v>
      </c>
      <c r="BJ138">
        <v>199.20300292968801</v>
      </c>
      <c r="BK138">
        <v>49.999923706054702</v>
      </c>
      <c r="BL138">
        <v>-60.0039253234863</v>
      </c>
      <c r="BM138">
        <v>1.43295489251614E-2</v>
      </c>
      <c r="BN138" s="2">
        <v>3.4819174743461198E-6</v>
      </c>
      <c r="BO138" s="2">
        <v>3.4907701174091699E-9</v>
      </c>
      <c r="BP138" s="2">
        <v>4.9910738653125002E-8</v>
      </c>
      <c r="BQ138" s="2">
        <v>-1.49257783910173E-9</v>
      </c>
      <c r="BR138">
        <v>74.693275451660199</v>
      </c>
      <c r="BS138">
        <v>26.3777866363525</v>
      </c>
      <c r="BT138">
        <v>1.5775477513670901E-2</v>
      </c>
      <c r="BU138" s="2">
        <v>3.1139031761995301E-6</v>
      </c>
      <c r="BV138" s="2">
        <v>1.48802570265616E-9</v>
      </c>
      <c r="BW138" s="2">
        <v>4.7642465972330703E-8</v>
      </c>
      <c r="BX138" s="2">
        <v>-3.2784661097018402E-10</v>
      </c>
      <c r="BY138">
        <v>74.726699829101605</v>
      </c>
      <c r="BZ138">
        <v>12.4250812530518</v>
      </c>
      <c r="CA138" s="2">
        <v>3.4028230607370999E+38</v>
      </c>
      <c r="CB138" s="2">
        <v>3.4028230607370999E+38</v>
      </c>
      <c r="CC138">
        <v>114.991821289062</v>
      </c>
      <c r="CD138">
        <v>230.01034545898401</v>
      </c>
      <c r="CE138">
        <v>199.20298767089801</v>
      </c>
      <c r="CF138" s="2">
        <v>3.4028230607370999E+38</v>
      </c>
      <c r="CG138" s="2">
        <v>3.4028230607370999E+38</v>
      </c>
      <c r="CH138">
        <v>230.00155639648401</v>
      </c>
      <c r="CI138">
        <v>1.00003802776337</v>
      </c>
      <c r="CJ138">
        <v>114.99237060546901</v>
      </c>
      <c r="CK138">
        <v>230.01022338867199</v>
      </c>
      <c r="CL138">
        <v>199.20263671875</v>
      </c>
      <c r="CM138">
        <v>49.999908447265597</v>
      </c>
      <c r="CN138">
        <v>-60.003742218017599</v>
      </c>
      <c r="CO138">
        <v>1.5955993905663501E-2</v>
      </c>
      <c r="CP138" s="2">
        <v>3.4572699405544001E-6</v>
      </c>
      <c r="CQ138" s="2">
        <v>5.1772195419630399E-9</v>
      </c>
      <c r="CR138" s="2">
        <v>5.5357926243004801E-8</v>
      </c>
      <c r="CS138" s="2">
        <v>-1.7685615194551501E-9</v>
      </c>
      <c r="CT138">
        <v>74.700912475585895</v>
      </c>
      <c r="CU138">
        <v>21.885963439941399</v>
      </c>
      <c r="CV138">
        <v>1.7601979896426201E-2</v>
      </c>
      <c r="CW138" s="2">
        <v>3.1510430744674501E-6</v>
      </c>
      <c r="CX138" s="2">
        <v>2.4520898644908601E-9</v>
      </c>
      <c r="CY138" s="2">
        <v>5.4984276687264401E-8</v>
      </c>
      <c r="CZ138" s="2">
        <v>-5.1321957794670001E-10</v>
      </c>
      <c r="DA138">
        <v>74.636672973632798</v>
      </c>
      <c r="DB138">
        <v>43.2743949890137</v>
      </c>
      <c r="DC138" s="2">
        <v>3.4028230607370999E+38</v>
      </c>
      <c r="DD138" s="2">
        <v>3.4028230607370999E+38</v>
      </c>
      <c r="DE138">
        <v>114.99237060546901</v>
      </c>
      <c r="DF138">
        <v>230.01022338867199</v>
      </c>
      <c r="DG138">
        <v>199.20262145996099</v>
      </c>
      <c r="DH138" s="2">
        <v>3.4028230607370999E+38</v>
      </c>
      <c r="DI138" s="2">
        <v>3.4028230607370999E+38</v>
      </c>
      <c r="DJ138">
        <v>230.00094604492199</v>
      </c>
      <c r="DK138">
        <v>1.00003778934479</v>
      </c>
      <c r="DL138">
        <v>114.99211883544901</v>
      </c>
      <c r="DM138">
        <v>230.00953674316401</v>
      </c>
      <c r="DN138">
        <v>199.20283508300801</v>
      </c>
      <c r="DO138">
        <v>49.999923706054702</v>
      </c>
      <c r="DP138">
        <v>-60.003856658935497</v>
      </c>
      <c r="DQ138">
        <v>1.6230808570981001E-2</v>
      </c>
      <c r="DR138" s="2">
        <v>3.4064200917782698E-6</v>
      </c>
      <c r="DS138" s="2">
        <v>4.6968735567531902E-9</v>
      </c>
      <c r="DT138" s="2">
        <v>5.6426912919960199E-8</v>
      </c>
      <c r="DU138" s="2">
        <v>-3.0552678165207701E-9</v>
      </c>
      <c r="DV138">
        <v>74.689361572265597</v>
      </c>
      <c r="DW138">
        <v>25.507410049438501</v>
      </c>
      <c r="DX138">
        <v>1.7994102090597201E-2</v>
      </c>
      <c r="DY138" s="2">
        <v>3.0041846912354201E-6</v>
      </c>
      <c r="DZ138" s="2">
        <v>3.4710023744111099E-9</v>
      </c>
      <c r="EA138" s="2">
        <v>5.77650069999436E-8</v>
      </c>
      <c r="EB138" s="2">
        <v>-7.0467597035328605E-11</v>
      </c>
      <c r="EC138">
        <v>74.729736328125</v>
      </c>
      <c r="ED138">
        <v>0.89159291982650801</v>
      </c>
      <c r="EE138" s="2">
        <v>3.4028230607370999E+38</v>
      </c>
      <c r="EF138" s="2">
        <v>3.4028230607370999E+38</v>
      </c>
      <c r="EG138">
        <v>114.99211883544901</v>
      </c>
      <c r="EH138">
        <v>230.00953674316401</v>
      </c>
      <c r="EI138">
        <v>199.20281982421901</v>
      </c>
      <c r="EJ138" s="2">
        <v>3.4028230607370999E+38</v>
      </c>
      <c r="EK138" s="2">
        <v>3.4028230607370999E+38</v>
      </c>
      <c r="EL138">
        <v>123</v>
      </c>
      <c r="EM138">
        <v>230.00149536132801</v>
      </c>
      <c r="EN138">
        <v>1.0000368356704701</v>
      </c>
      <c r="EO138">
        <v>114.99187469482401</v>
      </c>
      <c r="EP138">
        <v>230.009765625</v>
      </c>
      <c r="EQ138">
        <v>199.20240783691401</v>
      </c>
      <c r="ER138">
        <v>49.999874114990199</v>
      </c>
      <c r="ES138">
        <v>-60.003829956054702</v>
      </c>
      <c r="ET138">
        <v>0.49994567036628701</v>
      </c>
      <c r="EU138" s="2">
        <v>3.4028230607370999E+38</v>
      </c>
      <c r="EV138">
        <v>0</v>
      </c>
      <c r="EW138">
        <v>230.00573730468801</v>
      </c>
      <c r="EX138">
        <v>114.986190795898</v>
      </c>
      <c r="EY138">
        <v>230.01324462890599</v>
      </c>
      <c r="EZ138">
        <v>199.20567321777301</v>
      </c>
      <c r="FA138">
        <v>-5.77559694647789E-4</v>
      </c>
      <c r="FB138">
        <v>1.7552977427840202E-2</v>
      </c>
      <c r="FC138" s="2">
        <v>3.4854447221732698E-6</v>
      </c>
      <c r="FD138" s="2">
        <v>6.3534404404208503E-9</v>
      </c>
      <c r="FE138" s="2">
        <v>6.1175924770395795E-8</v>
      </c>
      <c r="FF138" s="2">
        <v>-1.30590405156283E-9</v>
      </c>
      <c r="FG138">
        <v>74.703086853027301</v>
      </c>
      <c r="FH138">
        <v>11.1745281219482</v>
      </c>
      <c r="FI138">
        <v>0.107026934623718</v>
      </c>
      <c r="FJ138" s="2">
        <v>3.4028230607370999E+38</v>
      </c>
      <c r="FK138">
        <v>63.732246398925803</v>
      </c>
      <c r="FL138">
        <v>2.11101751774549E-2</v>
      </c>
      <c r="FM138">
        <v>0</v>
      </c>
      <c r="FN138">
        <v>0</v>
      </c>
      <c r="FO138">
        <v>0</v>
      </c>
      <c r="FP138" s="2">
        <v>-3.3746538974810398E-5</v>
      </c>
      <c r="FQ138">
        <v>1.9795494154095601E-2</v>
      </c>
      <c r="FR138" s="2">
        <v>3.1308100005844599E-6</v>
      </c>
      <c r="FS138" s="2">
        <v>5.4003010951930702E-9</v>
      </c>
      <c r="FT138" s="2">
        <v>6.0269343293839497E-8</v>
      </c>
      <c r="FU138" s="2">
        <v>1.4339084364323199E-9</v>
      </c>
      <c r="FV138">
        <v>74.681266784667997</v>
      </c>
      <c r="FW138">
        <v>-14.870265007019</v>
      </c>
      <c r="FX138">
        <v>8.9293919503688798E-2</v>
      </c>
      <c r="FY138" s="2">
        <v>3.4028230607370999E+38</v>
      </c>
      <c r="FZ138">
        <v>-53.567039489746101</v>
      </c>
      <c r="GA138">
        <v>229.17138671875</v>
      </c>
      <c r="GB138" s="2">
        <v>5.2583054577226604E-10</v>
      </c>
      <c r="GC138">
        <v>6.9738249294459798E-4</v>
      </c>
      <c r="GD138" s="2">
        <v>8.1782458583035102E-10</v>
      </c>
      <c r="GE138" s="2">
        <v>6.2223625718615898E-6</v>
      </c>
      <c r="GF138" s="2">
        <v>3.4028230607370999E+38</v>
      </c>
      <c r="GG138" s="2">
        <v>3.4028230607370999E+38</v>
      </c>
      <c r="GH138">
        <v>114.991622924805</v>
      </c>
      <c r="GI138">
        <v>230.00901794433599</v>
      </c>
      <c r="GJ138">
        <v>199.20182800293</v>
      </c>
      <c r="GK138" s="2">
        <v>3.4028230607370999E+38</v>
      </c>
      <c r="GL138" s="2">
        <v>3.4028230607370999E+38</v>
      </c>
      <c r="GM138" s="2">
        <v>3.4028230607370999E+38</v>
      </c>
      <c r="GN138" s="2">
        <v>3.4028230607370999E+38</v>
      </c>
      <c r="GO138" s="2">
        <v>3.4028230607370999E+38</v>
      </c>
      <c r="GP138" s="2">
        <v>3.4028230607370999E+38</v>
      </c>
      <c r="GQ138">
        <v>114.98284912109401</v>
      </c>
      <c r="GR138">
        <v>114.983268737793</v>
      </c>
      <c r="GS138">
        <v>199.20138549804699</v>
      </c>
      <c r="GT138">
        <v>-8.5830484749749303E-4</v>
      </c>
      <c r="GX138">
        <f t="shared" si="8"/>
        <v>230.00159301757822</v>
      </c>
      <c r="GY138">
        <f t="shared" si="9"/>
        <v>1.0000373363494901</v>
      </c>
      <c r="GZ138">
        <f t="shared" si="10"/>
        <v>114.991943359375</v>
      </c>
      <c r="HA138">
        <f t="shared" si="11"/>
        <v>230.01006774902339</v>
      </c>
      <c r="HB138">
        <f t="shared" si="12"/>
        <v>199.20269775390642</v>
      </c>
      <c r="HC138">
        <f t="shared" si="13"/>
        <v>49.99992218017578</v>
      </c>
      <c r="HD138">
        <f t="shared" si="14"/>
        <v>-60.003848266601565</v>
      </c>
      <c r="HW138" s="10">
        <f>(GX138/Data!$S138-1)*1000000</f>
        <v>20.75905923115684</v>
      </c>
      <c r="HX138" s="10">
        <f>(GY138/Data!$T138-1)*1000000</f>
        <v>44.468666640762322</v>
      </c>
      <c r="HY138" s="10">
        <f>(GZ138/Data!$BW138-1)*1000000</f>
        <v>-90.153324022845823</v>
      </c>
      <c r="HZ138" s="10">
        <f>(HA138/(Data!$S138*Data!$T138)-1)*1000000</f>
        <v>64.73868909728786</v>
      </c>
      <c r="IA138" s="7">
        <f>(HB138/IF(HD138&gt;0, -Data!$BX138,Data!$BX138)-1)*1000000</f>
        <v>119.26689454266892</v>
      </c>
      <c r="IB138" s="10"/>
      <c r="IC138" s="9">
        <f>(HD138-Data!$U138)</f>
        <v>-5.206406601566016E-3</v>
      </c>
    </row>
    <row r="139" spans="1:237" x14ac:dyDescent="0.2">
      <c r="A139">
        <v>139</v>
      </c>
      <c r="B139">
        <v>230.00125122070301</v>
      </c>
      <c r="C139">
        <v>1.00003814697266</v>
      </c>
      <c r="D139">
        <v>-1.6221893951296799E-2</v>
      </c>
      <c r="E139">
        <v>230.01039123535199</v>
      </c>
      <c r="F139">
        <v>230.01011657714801</v>
      </c>
      <c r="G139">
        <v>50</v>
      </c>
      <c r="H139">
        <v>-90.003936767578097</v>
      </c>
      <c r="I139">
        <v>1.7513362690806399E-2</v>
      </c>
      <c r="J139" s="2">
        <v>3.4064592000504498E-6</v>
      </c>
      <c r="K139" s="2">
        <v>6.5805867421886399E-9</v>
      </c>
      <c r="L139" s="2">
        <v>6.0239301546971494E-8</v>
      </c>
      <c r="M139" s="2">
        <v>2.1077308787198498E-9</v>
      </c>
      <c r="N139">
        <v>74.721725463867202</v>
      </c>
      <c r="O139">
        <v>-15.6730356216431</v>
      </c>
      <c r="P139">
        <v>1.9473044201731699E-2</v>
      </c>
      <c r="Q139" s="2">
        <v>3.1161637252807901E-6</v>
      </c>
      <c r="R139" s="2">
        <v>6.6967942302653699E-9</v>
      </c>
      <c r="S139" s="2">
        <v>5.9293025600482003E-8</v>
      </c>
      <c r="T139" s="2">
        <v>2.24518514890804E-9</v>
      </c>
      <c r="U139">
        <v>74.758689880371094</v>
      </c>
      <c r="V139">
        <v>-21.082534790039102</v>
      </c>
      <c r="W139" s="2">
        <v>3.4028230607370999E+38</v>
      </c>
      <c r="X139" s="2">
        <v>3.4028230607370999E+38</v>
      </c>
      <c r="Y139">
        <v>-1.62218809127808E-2</v>
      </c>
      <c r="Z139">
        <v>230.01039123535199</v>
      </c>
      <c r="AA139">
        <v>230.01011657714801</v>
      </c>
      <c r="AB139" s="2">
        <v>3.4028230607370999E+38</v>
      </c>
      <c r="AC139" s="2">
        <v>3.4028230607370999E+38</v>
      </c>
      <c r="AD139">
        <v>230.00126647949199</v>
      </c>
      <c r="AE139">
        <v>1.0000376701355</v>
      </c>
      <c r="AF139">
        <v>-1.5788994729518901E-2</v>
      </c>
      <c r="AG139">
        <v>230.00973510742199</v>
      </c>
      <c r="AH139">
        <v>230.00997924804699</v>
      </c>
      <c r="AI139">
        <v>49.999996185302699</v>
      </c>
      <c r="AJ139">
        <v>-90.003852844238295</v>
      </c>
      <c r="AK139">
        <v>1.7899854108691202E-2</v>
      </c>
      <c r="AL139" s="2">
        <v>3.4154663808294602E-6</v>
      </c>
      <c r="AM139" s="2">
        <v>6.7267929004799498E-9</v>
      </c>
      <c r="AN139" s="2">
        <v>6.07159975629656E-8</v>
      </c>
      <c r="AO139" s="2">
        <v>3.4463687459407298E-9</v>
      </c>
      <c r="AP139">
        <v>74.742706298828097</v>
      </c>
      <c r="AQ139">
        <v>-19.381538391113299</v>
      </c>
      <c r="AR139">
        <v>1.9406024366617199E-2</v>
      </c>
      <c r="AS139" s="2">
        <v>3.1564215987600602E-6</v>
      </c>
      <c r="AT139" s="2">
        <v>6.3846896658503696E-9</v>
      </c>
      <c r="AU139" s="2">
        <v>6.2286311219850203E-8</v>
      </c>
      <c r="AV139" s="2">
        <v>4.40248060229464E-9</v>
      </c>
      <c r="AW139">
        <v>74.727333068847699</v>
      </c>
      <c r="AX139">
        <v>-34.279304504394503</v>
      </c>
      <c r="AY139" s="2">
        <v>3.4028230607370999E+38</v>
      </c>
      <c r="AZ139" s="2">
        <v>3.4028230607370999E+38</v>
      </c>
      <c r="BA139">
        <v>-1.5788981691002801E-2</v>
      </c>
      <c r="BB139">
        <v>230.00973510742199</v>
      </c>
      <c r="BC139">
        <v>230.00997924804699</v>
      </c>
      <c r="BD139" s="2">
        <v>3.4028230607370999E+38</v>
      </c>
      <c r="BE139" s="2">
        <v>3.4028230607370999E+38</v>
      </c>
      <c r="BF139">
        <v>230.00141906738301</v>
      </c>
      <c r="BG139">
        <v>1.0000412464141799</v>
      </c>
      <c r="BH139">
        <v>-1.57095994800329E-2</v>
      </c>
      <c r="BI139">
        <v>230.010009765625</v>
      </c>
      <c r="BJ139">
        <v>230.01020812988301</v>
      </c>
      <c r="BK139">
        <v>49.999912261962898</v>
      </c>
      <c r="BL139">
        <v>-90.003921508789105</v>
      </c>
      <c r="BM139">
        <v>1.5785753726959201E-2</v>
      </c>
      <c r="BN139" s="2">
        <v>3.5159398521500398E-6</v>
      </c>
      <c r="BO139" s="2">
        <v>5.4538209504073604E-9</v>
      </c>
      <c r="BP139" s="2">
        <v>5.5531128140273702E-8</v>
      </c>
      <c r="BQ139" s="2">
        <v>1.06713482495024E-9</v>
      </c>
      <c r="BR139">
        <v>74.582733154296903</v>
      </c>
      <c r="BS139">
        <v>-10.6501197814941</v>
      </c>
      <c r="BT139">
        <v>1.68846063315868E-2</v>
      </c>
      <c r="BU139" s="2">
        <v>3.0352612157003002E-6</v>
      </c>
      <c r="BV139" s="2">
        <v>3.40171135704281E-9</v>
      </c>
      <c r="BW139" s="2">
        <v>5.1225278241418002E-8</v>
      </c>
      <c r="BX139" s="2">
        <v>-1.01387703788092E-10</v>
      </c>
      <c r="BY139">
        <v>74.695709228515597</v>
      </c>
      <c r="BZ139">
        <v>2.18920946121216</v>
      </c>
      <c r="CA139" s="2">
        <v>3.4028230607370999E+38</v>
      </c>
      <c r="CB139" s="2">
        <v>3.4028230607370999E+38</v>
      </c>
      <c r="CC139">
        <v>-1.57095920294523E-2</v>
      </c>
      <c r="CD139">
        <v>230.010009765625</v>
      </c>
      <c r="CE139">
        <v>230.01019287109401</v>
      </c>
      <c r="CF139" s="2">
        <v>3.4028230607370999E+38</v>
      </c>
      <c r="CG139" s="2">
        <v>3.4028230607370999E+38</v>
      </c>
      <c r="CH139">
        <v>230.00204467773401</v>
      </c>
      <c r="CI139">
        <v>1.00003814697266</v>
      </c>
      <c r="CJ139">
        <v>-1.5896843746304502E-2</v>
      </c>
      <c r="CK139">
        <v>230.010009765625</v>
      </c>
      <c r="CL139">
        <v>230.00999450683599</v>
      </c>
      <c r="CM139">
        <v>49.999969482421903</v>
      </c>
      <c r="CN139">
        <v>-90.004127502441406</v>
      </c>
      <c r="CO139">
        <v>1.5521421097219001E-2</v>
      </c>
      <c r="CP139" s="2">
        <v>3.3770347727113399E-6</v>
      </c>
      <c r="CQ139" s="2">
        <v>3.3702904911336902E-9</v>
      </c>
      <c r="CR139" s="2">
        <v>5.2916576009920397E-8</v>
      </c>
      <c r="CS139" s="2">
        <v>3.99972099884849E-9</v>
      </c>
      <c r="CT139">
        <v>74.717567443847699</v>
      </c>
      <c r="CU139">
        <v>-53.839424133300803</v>
      </c>
      <c r="CV139">
        <v>1.6671286895871201E-2</v>
      </c>
      <c r="CW139" s="2">
        <v>3.1683923680248001E-6</v>
      </c>
      <c r="CX139" s="2">
        <v>5.03640151805484E-9</v>
      </c>
      <c r="CY139" s="2">
        <v>5.0004203444586899E-8</v>
      </c>
      <c r="CZ139" s="2">
        <v>3.00340285974698E-9</v>
      </c>
      <c r="DA139">
        <v>74.670928955078097</v>
      </c>
      <c r="DB139">
        <v>-37.938934326171903</v>
      </c>
      <c r="DC139" s="2">
        <v>3.4028230607370999E+38</v>
      </c>
      <c r="DD139" s="2">
        <v>3.4028230607370999E+38</v>
      </c>
      <c r="DE139">
        <v>-1.5896836295723901E-2</v>
      </c>
      <c r="DF139">
        <v>230.010009765625</v>
      </c>
      <c r="DG139">
        <v>230.00999450683599</v>
      </c>
      <c r="DH139" s="2">
        <v>3.4028230607370999E+38</v>
      </c>
      <c r="DI139" s="2">
        <v>3.4028230607370999E+38</v>
      </c>
      <c r="DJ139">
        <v>230.00178527832</v>
      </c>
      <c r="DK139">
        <v>1.00003886222839</v>
      </c>
      <c r="DL139">
        <v>-1.5621995553374299E-2</v>
      </c>
      <c r="DM139">
        <v>230.01052856445301</v>
      </c>
      <c r="DN139">
        <v>230.01014709472699</v>
      </c>
      <c r="DO139">
        <v>50</v>
      </c>
      <c r="DP139">
        <v>-90.0040283203125</v>
      </c>
      <c r="DQ139">
        <v>1.4212928712367999E-2</v>
      </c>
      <c r="DR139" s="2">
        <v>3.50454001818434E-6</v>
      </c>
      <c r="DS139" s="2">
        <v>3.6514891110783802E-9</v>
      </c>
      <c r="DT139" s="2">
        <v>4.8999776680602703E-8</v>
      </c>
      <c r="DU139" s="2">
        <v>7.8757228516579403E-10</v>
      </c>
      <c r="DV139">
        <v>74.719772338867202</v>
      </c>
      <c r="DW139">
        <v>-2.60995650291443</v>
      </c>
      <c r="DX139">
        <v>1.52726387605071E-2</v>
      </c>
      <c r="DY139" s="2">
        <v>3.1149099868343902E-6</v>
      </c>
      <c r="DZ139" s="2">
        <v>1.1204094318983901E-9</v>
      </c>
      <c r="EA139" s="2">
        <v>4.7690384974430298E-8</v>
      </c>
      <c r="EB139" s="2">
        <v>-3.0558294783489301E-10</v>
      </c>
      <c r="EC139">
        <v>74.750572204589801</v>
      </c>
      <c r="ED139">
        <v>1.1200246810913099</v>
      </c>
      <c r="EE139" s="2">
        <v>3.4028230607370999E+38</v>
      </c>
      <c r="EF139" s="2">
        <v>3.4028230607370999E+38</v>
      </c>
      <c r="EG139">
        <v>-1.56219908967614E-2</v>
      </c>
      <c r="EH139">
        <v>230.01052856445301</v>
      </c>
      <c r="EI139">
        <v>230.01013183593801</v>
      </c>
      <c r="EJ139" s="2">
        <v>3.4028230607370999E+38</v>
      </c>
      <c r="EK139" s="2">
        <v>3.4028230607370999E+38</v>
      </c>
      <c r="EL139">
        <v>123</v>
      </c>
      <c r="EM139">
        <v>230.00201416015599</v>
      </c>
      <c r="EN139">
        <v>1.00003838539124</v>
      </c>
      <c r="EO139">
        <v>-1.56031250953674E-2</v>
      </c>
      <c r="EP139">
        <v>230.01063537597699</v>
      </c>
      <c r="EQ139">
        <v>230.01071166992199</v>
      </c>
      <c r="ER139">
        <v>49.999923706054702</v>
      </c>
      <c r="ES139">
        <v>-90.003898620605497</v>
      </c>
      <c r="ET139" s="2">
        <v>-6.7130698880646405E-5</v>
      </c>
      <c r="EU139" s="2">
        <v>3.4028230607370999E+38</v>
      </c>
      <c r="EV139">
        <v>0</v>
      </c>
      <c r="EW139">
        <v>230.00549316406199</v>
      </c>
      <c r="EX139">
        <v>-2.0417593419551801E-2</v>
      </c>
      <c r="EY139">
        <v>230.01510620117199</v>
      </c>
      <c r="EZ139">
        <v>230.01162719726599</v>
      </c>
      <c r="FA139">
        <v>-3.5023700911551698E-4</v>
      </c>
      <c r="FB139">
        <v>1.5840847045183199E-2</v>
      </c>
      <c r="FC139" s="2">
        <v>3.4485437936382402E-6</v>
      </c>
      <c r="FD139" s="2">
        <v>4.8072630320916704E-9</v>
      </c>
      <c r="FE139" s="2">
        <v>5.4594934795204602E-8</v>
      </c>
      <c r="FF139" s="2">
        <v>-2.7668239921396801E-10</v>
      </c>
      <c r="FG139">
        <v>74.7137451171875</v>
      </c>
      <c r="FH139">
        <v>-0.79214257001876798</v>
      </c>
      <c r="FI139">
        <v>8.6271934211254106E-2</v>
      </c>
      <c r="FJ139" s="2">
        <v>3.4028230607370999E+38</v>
      </c>
      <c r="FK139">
        <v>40.856159210205099</v>
      </c>
      <c r="FL139">
        <v>2.02516410499811E-2</v>
      </c>
      <c r="FM139">
        <v>0</v>
      </c>
      <c r="FN139">
        <v>0</v>
      </c>
      <c r="FO139">
        <v>0</v>
      </c>
      <c r="FP139" s="2">
        <v>2.42807127506239E-5</v>
      </c>
      <c r="FQ139">
        <v>1.8122013658285099E-2</v>
      </c>
      <c r="FR139" s="2">
        <v>3.0211440389393799E-6</v>
      </c>
      <c r="FS139" s="2">
        <v>4.2752068551976696E-9</v>
      </c>
      <c r="FT139" s="2">
        <v>5.4697910201184601E-8</v>
      </c>
      <c r="FU139" s="2">
        <v>6.8733846392277097E-10</v>
      </c>
      <c r="FV139">
        <v>74.744842529296903</v>
      </c>
      <c r="FW139">
        <v>-3.8758311271667498</v>
      </c>
      <c r="FX139">
        <v>6.9061122834682506E-2</v>
      </c>
      <c r="FY139" s="2">
        <v>3.4028230607370999E+38</v>
      </c>
      <c r="FZ139">
        <v>-68.686981201171903</v>
      </c>
      <c r="GA139">
        <v>229.171875</v>
      </c>
      <c r="GB139" s="2">
        <v>-3.4993155595408599E-10</v>
      </c>
      <c r="GC139">
        <v>7.0272461744025295E-4</v>
      </c>
      <c r="GD139" s="2">
        <v>2.0830030755814001E-10</v>
      </c>
      <c r="GE139" s="2">
        <v>-1.8781913240673E-5</v>
      </c>
      <c r="GF139" s="2">
        <v>3.4028230607370999E+38</v>
      </c>
      <c r="GG139" s="2">
        <v>3.4028230607370999E+38</v>
      </c>
      <c r="GH139">
        <v>-1.52058675885201E-2</v>
      </c>
      <c r="GI139">
        <v>230.01029968261699</v>
      </c>
      <c r="GJ139">
        <v>230.01031494140599</v>
      </c>
      <c r="GK139" s="2">
        <v>3.4028230607370999E+38</v>
      </c>
      <c r="GL139" s="2">
        <v>3.4028230607370999E+38</v>
      </c>
      <c r="GM139" s="2">
        <v>3.4028230607370999E+38</v>
      </c>
      <c r="GN139" s="2">
        <v>3.4028230607370999E+38</v>
      </c>
      <c r="GO139" s="2">
        <v>3.4028230607370999E+38</v>
      </c>
      <c r="GP139" s="2">
        <v>3.4028230607370999E+38</v>
      </c>
      <c r="GQ139">
        <v>-2.52244863659143E-2</v>
      </c>
      <c r="GR139">
        <v>-2.5984274223446801E-2</v>
      </c>
      <c r="GS139">
        <v>230.00770568847699</v>
      </c>
      <c r="GT139">
        <v>-9.1538508422672705E-4</v>
      </c>
      <c r="GX139">
        <f t="shared" si="8"/>
        <v>230.00155334472643</v>
      </c>
      <c r="GY139">
        <f t="shared" si="9"/>
        <v>1.0000388145446779</v>
      </c>
      <c r="GZ139">
        <f t="shared" si="10"/>
        <v>-1.5847865492105481E-2</v>
      </c>
      <c r="HA139">
        <f t="shared" si="11"/>
        <v>230.01013488769541</v>
      </c>
      <c r="HB139">
        <f t="shared" si="12"/>
        <v>230.01008911132823</v>
      </c>
      <c r="HC139">
        <f t="shared" si="13"/>
        <v>49.999975585937499</v>
      </c>
      <c r="HD139">
        <f t="shared" si="14"/>
        <v>-90.003973388671881</v>
      </c>
      <c r="HW139" s="10">
        <f>(GX139/Data!$S139-1)*1000000</f>
        <v>21.052234603580189</v>
      </c>
      <c r="HX139" s="10">
        <f>(GY139/Data!$T139-1)*1000000</f>
        <v>78.037605312886171</v>
      </c>
      <c r="HY139" s="10">
        <f>(GZ139/Data!$BW139-1)*1000000</f>
        <v>-317378969.08661932</v>
      </c>
      <c r="HZ139" s="10">
        <f>(HA139/(Data!$S139*Data!$T139)-1)*1000000</f>
        <v>97.587651868957792</v>
      </c>
      <c r="IA139" s="7">
        <f>(HB139/IF(HD139&gt;0, -Data!$BX139,Data!$BX139)-1)*1000000</f>
        <v>97.382651672583975</v>
      </c>
      <c r="IB139" s="10"/>
      <c r="IC139" s="9">
        <f>(HD139-Data!$U139)</f>
        <v>-3.9858686718758918E-3</v>
      </c>
    </row>
    <row r="140" spans="1:237" x14ac:dyDescent="0.2">
      <c r="A140">
        <v>140</v>
      </c>
      <c r="B140">
        <v>230.00126647949199</v>
      </c>
      <c r="C140">
        <v>1.00003886222839</v>
      </c>
      <c r="D140">
        <v>-1.5650613233447099E-2</v>
      </c>
      <c r="E140">
        <v>230.01063537597699</v>
      </c>
      <c r="F140">
        <v>230.01060485839801</v>
      </c>
      <c r="G140">
        <v>49.999969482421903</v>
      </c>
      <c r="H140">
        <v>-90.00390625</v>
      </c>
      <c r="I140">
        <v>1.45891532301903E-2</v>
      </c>
      <c r="J140" s="2">
        <v>3.42937414643529E-6</v>
      </c>
      <c r="K140" s="2">
        <v>3.4990830233283499E-9</v>
      </c>
      <c r="L140" s="2">
        <v>4.8885148373756198E-8</v>
      </c>
      <c r="M140" s="2">
        <v>1.49593504250589E-9</v>
      </c>
      <c r="N140">
        <v>74.712287902832003</v>
      </c>
      <c r="O140">
        <v>-26.496952056884801</v>
      </c>
      <c r="P140">
        <v>1.5654269605875001E-2</v>
      </c>
      <c r="Q140" s="2">
        <v>3.0966857593739401E-6</v>
      </c>
      <c r="R140" s="2">
        <v>1.9930945782675698E-9</v>
      </c>
      <c r="S140" s="2">
        <v>4.7251202062170699E-8</v>
      </c>
      <c r="T140" s="2">
        <v>9.6810870431340804E-10</v>
      </c>
      <c r="U140">
        <v>74.736137390136705</v>
      </c>
      <c r="V140">
        <v>-25.907302856445298</v>
      </c>
      <c r="W140" s="2">
        <v>3.4028230607370999E+38</v>
      </c>
      <c r="X140" s="2">
        <v>3.4028230607370999E+38</v>
      </c>
      <c r="Y140">
        <v>-1.5650609508156801E-2</v>
      </c>
      <c r="Z140">
        <v>230.01063537597699</v>
      </c>
      <c r="AA140">
        <v>230.01060485839801</v>
      </c>
      <c r="AB140" s="2">
        <v>3.4028230607370999E+38</v>
      </c>
      <c r="AC140" s="2">
        <v>3.4028230607370999E+38</v>
      </c>
      <c r="AD140">
        <v>230.00149536132801</v>
      </c>
      <c r="AE140">
        <v>1.0000358819961499</v>
      </c>
      <c r="AF140">
        <v>-1.5920192003250101E-2</v>
      </c>
      <c r="AG140">
        <v>230.00959777832</v>
      </c>
      <c r="AH140">
        <v>230.00939941406199</v>
      </c>
      <c r="AI140">
        <v>49.999904632568402</v>
      </c>
      <c r="AJ140">
        <v>-90.00390625</v>
      </c>
      <c r="AK140">
        <v>1.7100095748901398E-2</v>
      </c>
      <c r="AL140" s="2">
        <v>3.4315553421038199E-6</v>
      </c>
      <c r="AM140" s="2">
        <v>6.1179576960057602E-9</v>
      </c>
      <c r="AN140" s="2">
        <v>5.9474963620687003E-8</v>
      </c>
      <c r="AO140" s="2">
        <v>8.4245865838994405E-10</v>
      </c>
      <c r="AP140">
        <v>74.721244812011705</v>
      </c>
      <c r="AQ140">
        <v>-15.442059516906699</v>
      </c>
      <c r="AR140">
        <v>1.9017141312360802E-2</v>
      </c>
      <c r="AS140" s="2">
        <v>3.1609001780452702E-6</v>
      </c>
      <c r="AT140" s="2">
        <v>5.4781374991819104E-9</v>
      </c>
      <c r="AU140" s="2">
        <v>6.0198495077656804E-8</v>
      </c>
      <c r="AV140" s="2">
        <v>2.0992136917641301E-9</v>
      </c>
      <c r="AW140">
        <v>74.749114990234403</v>
      </c>
      <c r="AX140">
        <v>-20.5094890594482</v>
      </c>
      <c r="AY140" s="2">
        <v>3.4028230607370999E+38</v>
      </c>
      <c r="AZ140" s="2">
        <v>3.4028230607370999E+38</v>
      </c>
      <c r="BA140">
        <v>-1.5920180827379199E-2</v>
      </c>
      <c r="BB140">
        <v>230.00959777832</v>
      </c>
      <c r="BC140">
        <v>230.00939941406199</v>
      </c>
      <c r="BD140" s="2">
        <v>3.4028230607370999E+38</v>
      </c>
      <c r="BE140" s="2">
        <v>3.4028230607370999E+38</v>
      </c>
      <c r="BF140">
        <v>230.00183105468801</v>
      </c>
      <c r="BG140">
        <v>1.0000376701355</v>
      </c>
      <c r="BH140">
        <v>-1.64503343403339E-2</v>
      </c>
      <c r="BI140">
        <v>230.01014709472699</v>
      </c>
      <c r="BJ140">
        <v>230.01058959960901</v>
      </c>
      <c r="BK140">
        <v>49.999851226806598</v>
      </c>
      <c r="BL140">
        <v>-90.004096984863295</v>
      </c>
      <c r="BM140">
        <v>1.4451201073825399E-2</v>
      </c>
      <c r="BN140" s="2">
        <v>3.4261056498507999E-6</v>
      </c>
      <c r="BO140" s="2">
        <v>2.2274939670552402E-9</v>
      </c>
      <c r="BP140" s="2">
        <v>4.9503679377949097E-8</v>
      </c>
      <c r="BQ140" s="2">
        <v>1.97986693706298E-9</v>
      </c>
      <c r="BR140">
        <v>74.679786682128906</v>
      </c>
      <c r="BS140">
        <v>-38.8512992858887</v>
      </c>
      <c r="BT140">
        <v>1.5740569680929201E-2</v>
      </c>
      <c r="BU140" s="2">
        <v>3.0728708679816902E-6</v>
      </c>
      <c r="BV140" s="2">
        <v>1.8916699318083399E-9</v>
      </c>
      <c r="BW140" s="2">
        <v>4.80766786381537E-8</v>
      </c>
      <c r="BX140" s="2">
        <v>4.7647091827585097E-10</v>
      </c>
      <c r="BY140">
        <v>74.773551940917997</v>
      </c>
      <c r="BZ140">
        <v>-12.7880039215088</v>
      </c>
      <c r="CA140" s="2">
        <v>3.4028230607370999E+38</v>
      </c>
      <c r="CB140" s="2">
        <v>3.4028230607370999E+38</v>
      </c>
      <c r="CC140">
        <v>-1.6450330615043599E-2</v>
      </c>
      <c r="CD140">
        <v>230.01014709472699</v>
      </c>
      <c r="CE140">
        <v>230.01058959960901</v>
      </c>
      <c r="CF140" s="2">
        <v>3.4028230607370999E+38</v>
      </c>
      <c r="CG140" s="2">
        <v>3.4028230607370999E+38</v>
      </c>
      <c r="CH140">
        <v>230.00140380859401</v>
      </c>
      <c r="CI140">
        <v>1.00003969669342</v>
      </c>
      <c r="CJ140">
        <v>-1.55634405091405E-2</v>
      </c>
      <c r="CK140">
        <v>230.01031494140599</v>
      </c>
      <c r="CL140">
        <v>230.01046752929699</v>
      </c>
      <c r="CM140">
        <v>49.999908447265597</v>
      </c>
      <c r="CN140">
        <v>-90.003898620605497</v>
      </c>
      <c r="CO140">
        <v>1.5712885186076199E-2</v>
      </c>
      <c r="CP140" s="2">
        <v>3.4610579859872802E-6</v>
      </c>
      <c r="CQ140" s="2">
        <v>6.5165104423670098E-9</v>
      </c>
      <c r="CR140" s="2">
        <v>5.54520731554931E-8</v>
      </c>
      <c r="CS140" s="2">
        <v>1.5998998792454699E-9</v>
      </c>
      <c r="CT140">
        <v>74.694778442382798</v>
      </c>
      <c r="CU140">
        <v>-14.7150316238403</v>
      </c>
      <c r="CV140">
        <v>1.69785004109144E-2</v>
      </c>
      <c r="CW140" s="2">
        <v>3.1122217478696299E-6</v>
      </c>
      <c r="CX140" s="2">
        <v>2.05184313983864E-9</v>
      </c>
      <c r="CY140" s="2">
        <v>5.1683812785086001E-8</v>
      </c>
      <c r="CZ140" s="2">
        <v>3.69806713029774E-10</v>
      </c>
      <c r="DA140">
        <v>74.790969848632798</v>
      </c>
      <c r="DB140">
        <v>-10.216819763183601</v>
      </c>
      <c r="DC140" s="2">
        <v>3.4028230607370999E+38</v>
      </c>
      <c r="DD140" s="2">
        <v>3.4028230607370999E+38</v>
      </c>
      <c r="DE140">
        <v>-1.5563432127237301E-2</v>
      </c>
      <c r="DF140">
        <v>230.01031494140599</v>
      </c>
      <c r="DG140">
        <v>230.01046752929699</v>
      </c>
      <c r="DH140" s="2">
        <v>3.4028230607370999E+38</v>
      </c>
      <c r="DI140" s="2">
        <v>3.4028230607370999E+38</v>
      </c>
      <c r="DJ140">
        <v>230.00164794921901</v>
      </c>
      <c r="DK140">
        <v>1.0000363588333101</v>
      </c>
      <c r="DL140">
        <v>-1.6075037419796E-2</v>
      </c>
      <c r="DM140">
        <v>230.00987243652301</v>
      </c>
      <c r="DN140">
        <v>230.00973510742199</v>
      </c>
      <c r="DO140">
        <v>49.999973297119098</v>
      </c>
      <c r="DP140">
        <v>-90.003974914550795</v>
      </c>
      <c r="DQ140">
        <v>1.5652401372790298E-2</v>
      </c>
      <c r="DR140" s="2">
        <v>3.4357431104581299E-6</v>
      </c>
      <c r="DS140" s="2">
        <v>5.1475130824485396E-9</v>
      </c>
      <c r="DT140" s="2">
        <v>5.3446449044258797E-8</v>
      </c>
      <c r="DU140" s="2">
        <v>4.6536512421369E-9</v>
      </c>
      <c r="DV140">
        <v>74.708656311035199</v>
      </c>
      <c r="DW140">
        <v>-39.272144317627003</v>
      </c>
      <c r="DX140">
        <v>1.6881827265024199E-2</v>
      </c>
      <c r="DY140" s="2">
        <v>3.1420788673130999E-6</v>
      </c>
      <c r="DZ140" s="2">
        <v>3.40647332564004E-9</v>
      </c>
      <c r="EA140" s="2">
        <v>5.2911531156496501E-8</v>
      </c>
      <c r="EB140" s="2">
        <v>3.20465431968842E-9</v>
      </c>
      <c r="EC140">
        <v>74.758193969726605</v>
      </c>
      <c r="ED140">
        <v>-35.005905151367202</v>
      </c>
      <c r="EE140" s="2">
        <v>3.4028230607370999E+38</v>
      </c>
      <c r="EF140" s="2">
        <v>3.4028230607370999E+38</v>
      </c>
      <c r="EG140">
        <v>-1.60750299692154E-2</v>
      </c>
      <c r="EH140">
        <v>230.00987243652301</v>
      </c>
      <c r="EI140">
        <v>230.00973510742199</v>
      </c>
      <c r="EJ140" s="2">
        <v>3.4028230607370999E+38</v>
      </c>
      <c r="EK140" s="2">
        <v>3.4028230607370999E+38</v>
      </c>
      <c r="EL140">
        <v>123</v>
      </c>
      <c r="EM140">
        <v>230.00158691406199</v>
      </c>
      <c r="EN140">
        <v>1.00003778934479</v>
      </c>
      <c r="EO140">
        <v>-1.61601677536964E-2</v>
      </c>
      <c r="EP140">
        <v>230.00949096679699</v>
      </c>
      <c r="EQ140">
        <v>230.00944519043</v>
      </c>
      <c r="ER140">
        <v>49.999954223632798</v>
      </c>
      <c r="ES140">
        <v>-90.004211425781193</v>
      </c>
      <c r="ET140" s="2">
        <v>-7.3210518166888505E-5</v>
      </c>
      <c r="EU140" s="2">
        <v>3.4028230607370999E+38</v>
      </c>
      <c r="EV140">
        <v>0</v>
      </c>
      <c r="EW140">
        <v>230.00030517578099</v>
      </c>
      <c r="EX140">
        <v>-2.2742627188563298E-2</v>
      </c>
      <c r="EY140">
        <v>230.00885009765599</v>
      </c>
      <c r="EZ140">
        <v>230.00607299804699</v>
      </c>
      <c r="FA140">
        <v>-3.2213490339927402E-4</v>
      </c>
      <c r="FB140">
        <v>1.5058021992445001E-2</v>
      </c>
      <c r="FC140" s="2">
        <v>3.4430490813974799E-6</v>
      </c>
      <c r="FD140" s="2">
        <v>2.8801270257616798E-9</v>
      </c>
      <c r="FE140" s="2">
        <v>5.1869704975615598E-8</v>
      </c>
      <c r="FF140" s="2">
        <v>3.5574361234580498E-9</v>
      </c>
      <c r="FG140">
        <v>74.776023864746094</v>
      </c>
      <c r="FH140">
        <v>-36.038288116455099</v>
      </c>
      <c r="FI140">
        <v>7.5077161192893996E-2</v>
      </c>
      <c r="FJ140" s="2">
        <v>3.4028230607370999E+38</v>
      </c>
      <c r="FK140">
        <v>11.0085458755493</v>
      </c>
      <c r="FL140">
        <v>2.0468011498451202E-2</v>
      </c>
      <c r="FM140">
        <v>0</v>
      </c>
      <c r="FN140">
        <v>0</v>
      </c>
      <c r="FO140">
        <v>0</v>
      </c>
      <c r="FP140" s="2">
        <v>2.6906993298325701E-5</v>
      </c>
      <c r="FQ140">
        <v>1.6039241105318101E-2</v>
      </c>
      <c r="FR140" s="2">
        <v>3.0898586373950799E-6</v>
      </c>
      <c r="FS140" s="2">
        <v>4.0986827265499001E-9</v>
      </c>
      <c r="FT140" s="2">
        <v>4.9546400759936699E-8</v>
      </c>
      <c r="FU140" s="2">
        <v>1.66832914150206E-9</v>
      </c>
      <c r="FV140">
        <v>74.711677551269503</v>
      </c>
      <c r="FW140">
        <v>-28.014398574829102</v>
      </c>
      <c r="FX140">
        <v>6.1251837760210003E-2</v>
      </c>
      <c r="FY140" s="2">
        <v>3.4028230607370999E+38</v>
      </c>
      <c r="FZ140">
        <v>-23.082195281982401</v>
      </c>
      <c r="GA140">
        <v>229.32946777343801</v>
      </c>
      <c r="GB140" s="2">
        <v>-7.9842549238762196E-10</v>
      </c>
      <c r="GC140">
        <v>7.1421050233766404E-4</v>
      </c>
      <c r="GD140" s="2">
        <v>6.6063665649096503E-10</v>
      </c>
      <c r="GE140" s="2">
        <v>1.61052611247214E-7</v>
      </c>
      <c r="GF140" s="2">
        <v>3.4028230607370999E+38</v>
      </c>
      <c r="GG140" s="2">
        <v>3.4028230607370999E+38</v>
      </c>
      <c r="GH140">
        <v>-1.59127246588469E-2</v>
      </c>
      <c r="GI140">
        <v>230.01062011718801</v>
      </c>
      <c r="GJ140">
        <v>230.01089477539099</v>
      </c>
      <c r="GK140" s="2">
        <v>3.4028230607370999E+38</v>
      </c>
      <c r="GL140" s="2">
        <v>3.4028230607370999E+38</v>
      </c>
      <c r="GM140" s="2">
        <v>3.4028230607370999E+38</v>
      </c>
      <c r="GN140" s="2">
        <v>3.4028230607370999E+38</v>
      </c>
      <c r="GO140" s="2">
        <v>3.4028230607370999E+38</v>
      </c>
      <c r="GP140" s="2">
        <v>3.4028230607370999E+38</v>
      </c>
      <c r="GQ140">
        <v>-2.08331495523453E-2</v>
      </c>
      <c r="GR140">
        <v>-2.08331495523453E-2</v>
      </c>
      <c r="GS140">
        <v>230.00834655761699</v>
      </c>
      <c r="GT140" s="2">
        <v>-5.3593426855513799E-5</v>
      </c>
      <c r="GX140">
        <f t="shared" si="8"/>
        <v>230.00152893066419</v>
      </c>
      <c r="GY140">
        <f t="shared" si="9"/>
        <v>1.0000376939773541</v>
      </c>
      <c r="GZ140">
        <f t="shared" si="10"/>
        <v>-1.5931923501193521E-2</v>
      </c>
      <c r="HA140">
        <f t="shared" si="11"/>
        <v>230.01011352539064</v>
      </c>
      <c r="HB140">
        <f t="shared" si="12"/>
        <v>230.01015930175762</v>
      </c>
      <c r="HC140">
        <f t="shared" si="13"/>
        <v>49.999921417236315</v>
      </c>
      <c r="HD140">
        <f t="shared" si="14"/>
        <v>-90.003956604003903</v>
      </c>
      <c r="HW140" s="10">
        <f>(GX140/Data!$S140-1)*1000000</f>
        <v>21.47045157063765</v>
      </c>
      <c r="HX140" s="10">
        <f>(GY140/Data!$T140-1)*1000000</f>
        <v>87.130284378345024</v>
      </c>
      <c r="HY140" s="10">
        <f>(GZ140/Data!$BW140-1)*1000000</f>
        <v>-27347127.387275066</v>
      </c>
      <c r="HZ140" s="10">
        <f>(HA140/(Data!$S140*Data!$T140)-1)*1000000</f>
        <v>108.23267987802865</v>
      </c>
      <c r="IA140" s="7">
        <f>(HB140/IF(HD140&gt;0, -Data!$BX140,Data!$BX140)-1)*1000000</f>
        <v>108.42566940771903</v>
      </c>
      <c r="IB140" s="10"/>
      <c r="IC140" s="9">
        <f>(HD140-Data!$U140)</f>
        <v>-4.1072540038982197E-3</v>
      </c>
    </row>
    <row r="141" spans="1:237" x14ac:dyDescent="0.2">
      <c r="A141">
        <v>141</v>
      </c>
      <c r="B141">
        <v>230.00166320800801</v>
      </c>
      <c r="C141">
        <v>1.00003969669342</v>
      </c>
      <c r="D141">
        <v>199.18685913085901</v>
      </c>
      <c r="E141">
        <v>230.010177612305</v>
      </c>
      <c r="F141">
        <v>115.019081115723</v>
      </c>
      <c r="G141">
        <v>49.999912261962898</v>
      </c>
      <c r="H141">
        <v>-30.0038242340088</v>
      </c>
      <c r="I141">
        <v>1.7525894567370401E-2</v>
      </c>
      <c r="J141" s="2">
        <v>3.4775951007759402E-6</v>
      </c>
      <c r="K141" s="2">
        <v>3.9646788074776404E-9</v>
      </c>
      <c r="L141" s="2">
        <v>6.0748568841972896E-8</v>
      </c>
      <c r="M141" s="2">
        <v>-4.6476058557232103E-9</v>
      </c>
      <c r="N141">
        <v>74.815238952636705</v>
      </c>
      <c r="O141">
        <v>72.953163146972699</v>
      </c>
      <c r="P141">
        <v>1.92244872450829E-2</v>
      </c>
      <c r="Q141" s="2">
        <v>2.97175893138046E-6</v>
      </c>
      <c r="R141" s="2">
        <v>4.0010639246190699E-9</v>
      </c>
      <c r="S141" s="2">
        <v>5.70605251937195E-8</v>
      </c>
      <c r="T141" s="2">
        <v>-1.28242427788194E-9</v>
      </c>
      <c r="U141">
        <v>74.707313537597699</v>
      </c>
      <c r="V141">
        <v>23.000003814697301</v>
      </c>
      <c r="W141" s="2">
        <v>3.4028230607370999E+38</v>
      </c>
      <c r="X141" s="2">
        <v>3.4028230607370999E+38</v>
      </c>
      <c r="Y141">
        <v>199.18685913085901</v>
      </c>
      <c r="Z141">
        <v>230.010177612305</v>
      </c>
      <c r="AA141">
        <v>115.019073486328</v>
      </c>
      <c r="AB141" s="2">
        <v>3.4028230607370999E+38</v>
      </c>
      <c r="AC141" s="2">
        <v>3.4028230607370999E+38</v>
      </c>
      <c r="AD141">
        <v>230.00164794921901</v>
      </c>
      <c r="AE141">
        <v>1.0000349283218399</v>
      </c>
      <c r="AF141">
        <v>199.18649291992199</v>
      </c>
      <c r="AG141">
        <v>230.00985717773401</v>
      </c>
      <c r="AH141">
        <v>115.018272399902</v>
      </c>
      <c r="AI141">
        <v>49.999927520752003</v>
      </c>
      <c r="AJ141">
        <v>-30.0038166046143</v>
      </c>
      <c r="AK141">
        <v>1.5574486926198E-2</v>
      </c>
      <c r="AL141" s="2">
        <v>3.4077750115102398E-6</v>
      </c>
      <c r="AM141" s="2">
        <v>3.898357192611E-9</v>
      </c>
      <c r="AN141" s="2">
        <v>5.3843709935108603E-8</v>
      </c>
      <c r="AO141" s="2">
        <v>-4.22482382411715E-10</v>
      </c>
      <c r="AP141">
        <v>74.622116088867202</v>
      </c>
      <c r="AQ141">
        <v>5.33408498764038</v>
      </c>
      <c r="AR141">
        <v>1.73314437270164E-2</v>
      </c>
      <c r="AS141" s="2">
        <v>2.9964432997076099E-6</v>
      </c>
      <c r="AT141" s="2">
        <v>5.0112505256549899E-9</v>
      </c>
      <c r="AU141" s="2">
        <v>5.0828521835910598E-8</v>
      </c>
      <c r="AV141" s="2">
        <v>1.58229418456557E-9</v>
      </c>
      <c r="AW141">
        <v>74.758453369140597</v>
      </c>
      <c r="AX141">
        <v>-9.9844999313354492</v>
      </c>
      <c r="AY141" s="2">
        <v>3.4028230607370999E+38</v>
      </c>
      <c r="AZ141" s="2">
        <v>3.4028230607370999E+38</v>
      </c>
      <c r="BA141">
        <v>199.18649291992199</v>
      </c>
      <c r="BB141">
        <v>230.00985717773401</v>
      </c>
      <c r="BC141">
        <v>115.018264770508</v>
      </c>
      <c r="BD141" s="2">
        <v>3.4028230607370999E+38</v>
      </c>
      <c r="BE141" s="2">
        <v>3.4028230607370999E+38</v>
      </c>
      <c r="BF141">
        <v>230.00099182128901</v>
      </c>
      <c r="BG141">
        <v>1.00003826618195</v>
      </c>
      <c r="BH141">
        <v>199.18685913085901</v>
      </c>
      <c r="BI141">
        <v>230.01020812988301</v>
      </c>
      <c r="BJ141">
        <v>115.01864624023401</v>
      </c>
      <c r="BK141">
        <v>49.999935150146499</v>
      </c>
      <c r="BL141">
        <v>-30.003755569458001</v>
      </c>
      <c r="BM141">
        <v>1.7140947282314301E-2</v>
      </c>
      <c r="BN141" s="2">
        <v>3.4326060358580401E-6</v>
      </c>
      <c r="BO141" s="2">
        <v>1.84636850253383E-9</v>
      </c>
      <c r="BP141" s="2">
        <v>5.8528140556290997E-8</v>
      </c>
      <c r="BQ141" s="2">
        <v>-5.46828315961534E-9</v>
      </c>
      <c r="BR141">
        <v>74.749549865722699</v>
      </c>
      <c r="BS141">
        <v>80.194412231445298</v>
      </c>
      <c r="BT141">
        <v>1.8842471763491599E-2</v>
      </c>
      <c r="BU141" s="2">
        <v>3.1132497042562999E-6</v>
      </c>
      <c r="BV141" s="2">
        <v>2.7141935365904101E-9</v>
      </c>
      <c r="BW141" s="2">
        <v>5.8497239052712797E-8</v>
      </c>
      <c r="BX141" s="2">
        <v>-1.75490100229325E-9</v>
      </c>
      <c r="BY141">
        <v>74.818786621093807</v>
      </c>
      <c r="BZ141">
        <v>43.734806060791001</v>
      </c>
      <c r="CA141" s="2">
        <v>3.4028230607370999E+38</v>
      </c>
      <c r="CB141" s="2">
        <v>3.4028230607370999E+38</v>
      </c>
      <c r="CC141">
        <v>199.18685913085901</v>
      </c>
      <c r="CD141">
        <v>230.01020812988301</v>
      </c>
      <c r="CE141">
        <v>115.01863861084</v>
      </c>
      <c r="CF141" s="2">
        <v>3.4028230607370999E+38</v>
      </c>
      <c r="CG141" s="2">
        <v>3.4028230607370999E+38</v>
      </c>
      <c r="CH141">
        <v>230.00207519531199</v>
      </c>
      <c r="CI141">
        <v>1.00003945827484</v>
      </c>
      <c r="CJ141">
        <v>199.18792724609401</v>
      </c>
      <c r="CK141">
        <v>230.01100158691401</v>
      </c>
      <c r="CL141">
        <v>115.01869964599599</v>
      </c>
      <c r="CM141">
        <v>49.999912261962898</v>
      </c>
      <c r="CN141">
        <v>-30.003837585449201</v>
      </c>
      <c r="CO141">
        <v>1.66890807449818E-2</v>
      </c>
      <c r="CP141" s="2">
        <v>3.48083472090366E-6</v>
      </c>
      <c r="CQ141" s="2">
        <v>6.2294547298336097E-10</v>
      </c>
      <c r="CR141" s="2">
        <v>5.8091846000252203E-8</v>
      </c>
      <c r="CS141" s="2">
        <v>-5.3479203288020496E-9</v>
      </c>
      <c r="CT141">
        <v>74.748107910156193</v>
      </c>
      <c r="CU141">
        <v>90.494613647460895</v>
      </c>
      <c r="CV141">
        <v>1.8441610038280501E-2</v>
      </c>
      <c r="CW141" s="2">
        <v>3.07988102576928E-6</v>
      </c>
      <c r="CX141" s="2">
        <v>1.1653172871106701E-9</v>
      </c>
      <c r="CY141" s="2">
        <v>5.80026053853544E-8</v>
      </c>
      <c r="CZ141" s="2">
        <v>-2.1377841719072401E-9</v>
      </c>
      <c r="DA141">
        <v>74.814353942871094</v>
      </c>
      <c r="DB141">
        <v>54.168621063232401</v>
      </c>
      <c r="DC141" s="2">
        <v>3.4028230607370999E+38</v>
      </c>
      <c r="DD141" s="2">
        <v>3.4028230607370999E+38</v>
      </c>
      <c r="DE141">
        <v>199.18792724609401</v>
      </c>
      <c r="DF141">
        <v>230.01100158691401</v>
      </c>
      <c r="DG141">
        <v>115.018692016602</v>
      </c>
      <c r="DH141" s="2">
        <v>3.4028230607370999E+38</v>
      </c>
      <c r="DI141" s="2">
        <v>3.4028230607370999E+38</v>
      </c>
      <c r="DJ141">
        <v>230.001541137695</v>
      </c>
      <c r="DK141">
        <v>1.0000374317169201</v>
      </c>
      <c r="DL141">
        <v>199.18719482421901</v>
      </c>
      <c r="DM141">
        <v>230.01026916503901</v>
      </c>
      <c r="DN141">
        <v>115.01878356933599</v>
      </c>
      <c r="DO141">
        <v>49.999927520752003</v>
      </c>
      <c r="DP141">
        <v>-30.003799438476602</v>
      </c>
      <c r="DQ141">
        <v>1.7528759315609901E-2</v>
      </c>
      <c r="DR141" s="2">
        <v>3.4685608625295602E-6</v>
      </c>
      <c r="DS141" s="2">
        <v>2.2581054803794099E-9</v>
      </c>
      <c r="DT141" s="2">
        <v>5.9519432937804602E-8</v>
      </c>
      <c r="DU141" s="2">
        <v>-6.0102154364471996E-9</v>
      </c>
      <c r="DV141">
        <v>74.696968078613295</v>
      </c>
      <c r="DW141">
        <v>73.069099426269503</v>
      </c>
      <c r="DX141">
        <v>1.93566456437111E-2</v>
      </c>
      <c r="DY141" s="2">
        <v>3.1565039080305698E-6</v>
      </c>
      <c r="DZ141" s="2">
        <v>1.6939843971996999E-9</v>
      </c>
      <c r="EA141" s="2">
        <v>6.0774119958750803E-8</v>
      </c>
      <c r="EB141" s="2">
        <v>-8.6801377197076601E-10</v>
      </c>
      <c r="EC141">
        <v>74.776062011718807</v>
      </c>
      <c r="ED141">
        <v>13.920355796814</v>
      </c>
      <c r="EE141" s="2">
        <v>3.4028230607370999E+38</v>
      </c>
      <c r="EF141" s="2">
        <v>3.4028230607370999E+38</v>
      </c>
      <c r="EG141">
        <v>199.18719482421901</v>
      </c>
      <c r="EH141">
        <v>230.01026916503901</v>
      </c>
      <c r="EI141">
        <v>115.01877593994099</v>
      </c>
      <c r="EJ141" s="2">
        <v>3.4028230607370999E+38</v>
      </c>
      <c r="EK141" s="2">
        <v>3.4028230607370999E+38</v>
      </c>
      <c r="EL141">
        <v>123</v>
      </c>
      <c r="EM141">
        <v>230.00128173828099</v>
      </c>
      <c r="EN141">
        <v>1.00003910064697</v>
      </c>
      <c r="EO141">
        <v>199.18716430664099</v>
      </c>
      <c r="EP141">
        <v>230.01011657714801</v>
      </c>
      <c r="EQ141">
        <v>115.01846313476599</v>
      </c>
      <c r="ER141">
        <v>49.999958038330099</v>
      </c>
      <c r="ES141">
        <v>-30.0038166046143</v>
      </c>
      <c r="ET141">
        <v>0.86599254608154297</v>
      </c>
      <c r="EU141" s="2">
        <v>3.4028230607370999E+38</v>
      </c>
      <c r="EV141">
        <v>0</v>
      </c>
      <c r="EW141">
        <v>230.00622558593801</v>
      </c>
      <c r="EX141">
        <v>199.18782043457</v>
      </c>
      <c r="EY141">
        <v>230.01499938964801</v>
      </c>
      <c r="EZ141">
        <v>115.026565551758</v>
      </c>
      <c r="FA141">
        <v>1.09666194475722E-4</v>
      </c>
      <c r="FB141">
        <v>1.6160426661372199E-2</v>
      </c>
      <c r="FC141" s="2">
        <v>3.4661079553188798E-6</v>
      </c>
      <c r="FD141" s="2">
        <v>2.1861154553270999E-10</v>
      </c>
      <c r="FE141" s="2">
        <v>5.5715830171720901E-8</v>
      </c>
      <c r="FF141" s="2">
        <v>-4.39990399669909E-9</v>
      </c>
      <c r="FG141">
        <v>74.776817321777301</v>
      </c>
      <c r="FH141">
        <v>89.351303100585895</v>
      </c>
      <c r="FI141">
        <v>9.8102982155978701E-4</v>
      </c>
      <c r="FJ141" s="2">
        <v>3.4028230607370999E+38</v>
      </c>
      <c r="FK141">
        <v>12.373741149902299</v>
      </c>
      <c r="FL141">
        <v>2.01205257326365E-2</v>
      </c>
      <c r="FM141">
        <v>0</v>
      </c>
      <c r="FN141">
        <v>0</v>
      </c>
      <c r="FO141">
        <v>0</v>
      </c>
      <c r="FP141" s="2">
        <v>-6.2648468883708106E-5</v>
      </c>
      <c r="FQ141">
        <v>1.6476998105645201E-2</v>
      </c>
      <c r="FR141" s="2">
        <v>3.07141408484313E-6</v>
      </c>
      <c r="FS141" s="2">
        <v>1.2027467910513699E-9</v>
      </c>
      <c r="FT141" s="2">
        <v>5.0593936151699401E-8</v>
      </c>
      <c r="FU141" s="2">
        <v>-1.9064092526832602E-9</v>
      </c>
      <c r="FV141">
        <v>74.802215576171903</v>
      </c>
      <c r="FW141">
        <v>96.7716064453125</v>
      </c>
      <c r="FX141">
        <v>-4.4379290193319303E-3</v>
      </c>
      <c r="FY141" s="2">
        <v>3.4028230607370999E+38</v>
      </c>
      <c r="FZ141">
        <v>54.478855133056598</v>
      </c>
      <c r="GA141">
        <v>229.04113769531199</v>
      </c>
      <c r="GB141" s="2">
        <v>-4.7356413235277697E-10</v>
      </c>
      <c r="GC141">
        <v>6.9421774242073298E-4</v>
      </c>
      <c r="GD141" s="2">
        <v>4.3231457302894698E-10</v>
      </c>
      <c r="GE141" s="2">
        <v>3.5963188565801802E-5</v>
      </c>
      <c r="GF141" s="2">
        <v>3.4028230607370999E+38</v>
      </c>
      <c r="GG141" s="2">
        <v>3.4028230607370999E+38</v>
      </c>
      <c r="GH141">
        <v>199.187423706055</v>
      </c>
      <c r="GI141">
        <v>230.01075744628901</v>
      </c>
      <c r="GJ141">
        <v>115.01951599121099</v>
      </c>
      <c r="GK141" s="2">
        <v>3.4028230607370999E+38</v>
      </c>
      <c r="GL141" s="2">
        <v>3.4028230607370999E+38</v>
      </c>
      <c r="GM141" s="2">
        <v>3.4028230607370999E+38</v>
      </c>
      <c r="GN141" s="2">
        <v>3.4028230607370999E+38</v>
      </c>
      <c r="GO141" s="2">
        <v>3.4028230607370999E+38</v>
      </c>
      <c r="GP141" s="2">
        <v>3.4028230607370999E+38</v>
      </c>
      <c r="GQ141">
        <v>199.18605041503901</v>
      </c>
      <c r="GR141">
        <v>199.18605041503901</v>
      </c>
      <c r="GS141">
        <v>115.02163696289099</v>
      </c>
      <c r="GT141">
        <v>-2.4080427829176201E-4</v>
      </c>
      <c r="GX141">
        <f t="shared" ref="GX141:GX166" si="15">AVERAGE(B141,AD141,BF141,CH141,DJ141)</f>
        <v>230.00158386230464</v>
      </c>
      <c r="GY141">
        <f t="shared" ref="GY141:GY166" si="16">AVERAGE(C141,AE141,BG141,CI141,DK141)</f>
        <v>1.0000379562377939</v>
      </c>
      <c r="GZ141">
        <f t="shared" ref="GZ141:GZ166" si="17">AVERAGE(D141,AF141,BH141,CJ141,DL141)</f>
        <v>199.18706665039059</v>
      </c>
      <c r="HA141">
        <f t="shared" ref="HA141:HA166" si="18">AVERAGE(E141,AG141,BI141,CK141,DM141)</f>
        <v>230.01030273437499</v>
      </c>
      <c r="HB141">
        <f t="shared" ref="HB141:HB166" si="19">AVERAGE(F141,AH141,BJ141,CL141,DN141)</f>
        <v>115.01869659423819</v>
      </c>
      <c r="HC141">
        <f t="shared" ref="HC141:HC166" si="20">AVERAGE(G141,AI141,BK141,CM141,DO141)</f>
        <v>49.999922943115259</v>
      </c>
      <c r="HD141">
        <f t="shared" ref="HD141:HD166" si="21">AVERAGE(H141,AJ141,BL141,CN141,DP141)</f>
        <v>-30.003806686401383</v>
      </c>
      <c r="HW141" s="10">
        <f>(GX141/Data!$S141-1)*1000000</f>
        <v>21.72537587474821</v>
      </c>
      <c r="HX141" s="10">
        <f>(GY141/Data!$T141-1)*1000000</f>
        <v>7.4290110083641281</v>
      </c>
      <c r="HY141" s="10">
        <f>(GZ141/Data!$BW141-1)*1000000</f>
        <v>-12.216254418162542</v>
      </c>
      <c r="HZ141" s="10">
        <f>(HA141/(Data!$S141*Data!$T141)-1)*1000000</f>
        <v>29.106189302074981</v>
      </c>
      <c r="IA141" s="7">
        <f>(HB141/IF(HD141&gt;0, -Data!$BX141,Data!$BX141)-1)*1000000</f>
        <v>154.88484531789305</v>
      </c>
      <c r="IB141" s="10"/>
      <c r="IC141" s="9">
        <f>(HD141-Data!$U141)</f>
        <v>-4.0713364013811315E-3</v>
      </c>
    </row>
    <row r="142" spans="1:237" x14ac:dyDescent="0.2">
      <c r="A142">
        <v>142</v>
      </c>
      <c r="B142">
        <v>230.00177001953099</v>
      </c>
      <c r="C142">
        <v>1.00003778934479</v>
      </c>
      <c r="D142">
        <v>199.18685913085901</v>
      </c>
      <c r="E142">
        <v>230.00997924804699</v>
      </c>
      <c r="F142">
        <v>115.018074035645</v>
      </c>
      <c r="G142">
        <v>49.999958038330099</v>
      </c>
      <c r="H142">
        <v>-30.0037727355957</v>
      </c>
      <c r="I142">
        <v>1.54937375336885E-2</v>
      </c>
      <c r="J142" s="2">
        <v>3.4251172564836498E-6</v>
      </c>
      <c r="K142" s="2">
        <v>3.31874394632337E-9</v>
      </c>
      <c r="L142" s="2">
        <v>5.1212065699246503E-8</v>
      </c>
      <c r="M142" s="2">
        <v>-2.4831195433172602E-10</v>
      </c>
      <c r="N142">
        <v>74.739173889160199</v>
      </c>
      <c r="O142">
        <v>-4.93520212173462</v>
      </c>
      <c r="P142">
        <v>1.6596663743257498E-2</v>
      </c>
      <c r="Q142" s="2">
        <v>2.9960458505229301E-6</v>
      </c>
      <c r="R142" s="2">
        <v>5.0350625890871503E-9</v>
      </c>
      <c r="S142" s="2">
        <v>5.1979942128355099E-8</v>
      </c>
      <c r="T142" s="2">
        <v>5.7695298538718E-10</v>
      </c>
      <c r="U142">
        <v>74.684890747070298</v>
      </c>
      <c r="V142">
        <v>-8.8373641967773402</v>
      </c>
      <c r="W142" s="2">
        <v>3.4028230607370999E+38</v>
      </c>
      <c r="X142" s="2">
        <v>3.4028230607370999E+38</v>
      </c>
      <c r="Y142">
        <v>199.18685913085901</v>
      </c>
      <c r="Z142">
        <v>230.00997924804699</v>
      </c>
      <c r="AA142">
        <v>115.01806640625</v>
      </c>
      <c r="AB142" s="2">
        <v>3.4028230607370999E+38</v>
      </c>
      <c r="AC142" s="2">
        <v>3.4028230607370999E+38</v>
      </c>
      <c r="AD142">
        <v>230.00120544433599</v>
      </c>
      <c r="AE142">
        <v>1.0000362396240201</v>
      </c>
      <c r="AF142">
        <v>199.18670654296901</v>
      </c>
      <c r="AG142">
        <v>230.00953674316401</v>
      </c>
      <c r="AH142">
        <v>115.017852783203</v>
      </c>
      <c r="AI142">
        <v>49.999935150146499</v>
      </c>
      <c r="AJ142">
        <v>-30.003677368164102</v>
      </c>
      <c r="AK142">
        <v>1.7877185717225099E-2</v>
      </c>
      <c r="AL142" s="2">
        <v>3.41807276527106E-6</v>
      </c>
      <c r="AM142" s="2">
        <v>3.42887740423237E-9</v>
      </c>
      <c r="AN142" s="2">
        <v>6.0829805192952296E-8</v>
      </c>
      <c r="AO142" s="2">
        <v>-3.10129033564976E-9</v>
      </c>
      <c r="AP142">
        <v>74.81640625</v>
      </c>
      <c r="AQ142">
        <v>42.295448303222699</v>
      </c>
      <c r="AR142">
        <v>1.9701220095157599E-2</v>
      </c>
      <c r="AS142" s="2">
        <v>3.1446845696336801E-6</v>
      </c>
      <c r="AT142" s="2">
        <v>5.2149302653958801E-9</v>
      </c>
      <c r="AU142" s="2">
        <v>6.0718498673395502E-8</v>
      </c>
      <c r="AV142" s="2">
        <v>-4.2335865368947602E-10</v>
      </c>
      <c r="AW142">
        <v>74.780616760253906</v>
      </c>
      <c r="AX142">
        <v>5.8286776542663601</v>
      </c>
      <c r="AY142" s="2">
        <v>3.4028230607370999E+38</v>
      </c>
      <c r="AZ142" s="2">
        <v>3.4028230607370999E+38</v>
      </c>
      <c r="BA142">
        <v>199.18670654296901</v>
      </c>
      <c r="BB142">
        <v>230.00953674316401</v>
      </c>
      <c r="BC142">
        <v>115.01784515380901</v>
      </c>
      <c r="BD142" s="2">
        <v>3.4028230607370999E+38</v>
      </c>
      <c r="BE142" s="2">
        <v>3.4028230607370999E+38</v>
      </c>
      <c r="BF142">
        <v>230.00158691406199</v>
      </c>
      <c r="BG142">
        <v>1.0000362396240201</v>
      </c>
      <c r="BH142">
        <v>199.18637084960901</v>
      </c>
      <c r="BI142">
        <v>230.00979614257801</v>
      </c>
      <c r="BJ142">
        <v>115.019317626953</v>
      </c>
      <c r="BK142">
        <v>49.999927520752003</v>
      </c>
      <c r="BL142">
        <v>-30.004137039184599</v>
      </c>
      <c r="BM142">
        <v>1.5136013738811E-2</v>
      </c>
      <c r="BN142" s="2">
        <v>3.4557540402602201E-6</v>
      </c>
      <c r="BO142" s="2">
        <v>4.2555678980704703E-9</v>
      </c>
      <c r="BP142" s="2">
        <v>5.2357357560595099E-8</v>
      </c>
      <c r="BQ142" s="2">
        <v>-3.9281097818921802E-10</v>
      </c>
      <c r="BR142">
        <v>74.768867492675795</v>
      </c>
      <c r="BS142">
        <v>5.93768358230591</v>
      </c>
      <c r="BT142">
        <v>1.615334674716E-2</v>
      </c>
      <c r="BU142" s="2">
        <v>3.1328247587225599E-6</v>
      </c>
      <c r="BV142" s="2">
        <v>5.2485429336002198E-9</v>
      </c>
      <c r="BW142" s="2">
        <v>5.2145118445423597E-8</v>
      </c>
      <c r="BX142" s="2">
        <v>9.5616381479146598E-10</v>
      </c>
      <c r="BY142">
        <v>74.886672973632798</v>
      </c>
      <c r="BZ142">
        <v>-13.9743642807007</v>
      </c>
      <c r="CA142" s="2">
        <v>3.4028230607370999E+38</v>
      </c>
      <c r="CB142" s="2">
        <v>3.4028230607370999E+38</v>
      </c>
      <c r="CC142">
        <v>199.18637084960901</v>
      </c>
      <c r="CD142">
        <v>230.00979614257801</v>
      </c>
      <c r="CE142">
        <v>115.01930999755901</v>
      </c>
      <c r="CF142" s="2">
        <v>3.4028230607370999E+38</v>
      </c>
      <c r="CG142" s="2">
        <v>3.4028230607370999E+38</v>
      </c>
      <c r="CH142">
        <v>230.00151062011699</v>
      </c>
      <c r="CI142">
        <v>1.0000368356704701</v>
      </c>
      <c r="CJ142">
        <v>199.18653869628901</v>
      </c>
      <c r="CK142">
        <v>230.00942993164099</v>
      </c>
      <c r="CL142">
        <v>115.01823425293</v>
      </c>
      <c r="CM142">
        <v>49.999954223632798</v>
      </c>
      <c r="CN142">
        <v>-30.003837585449201</v>
      </c>
      <c r="CO142">
        <v>1.58625636249781E-2</v>
      </c>
      <c r="CP142" s="2">
        <v>3.4444915399944901E-6</v>
      </c>
      <c r="CQ142" s="2">
        <v>3.5224307914916199E-9</v>
      </c>
      <c r="CR142" s="2">
        <v>5.3241326014585899E-8</v>
      </c>
      <c r="CS142" s="2">
        <v>-7.6100165058434796E-10</v>
      </c>
      <c r="CT142">
        <v>74.737533569335895</v>
      </c>
      <c r="CU142">
        <v>12.191065788269</v>
      </c>
      <c r="CV142">
        <v>1.6761988401412999E-2</v>
      </c>
      <c r="CW142" s="2">
        <v>3.05682078760583E-6</v>
      </c>
      <c r="CX142" s="2">
        <v>4.1424970120829097E-9</v>
      </c>
      <c r="CY142" s="2">
        <v>5.2565955144245897E-8</v>
      </c>
      <c r="CZ142" s="2">
        <v>1.8692938308362301E-9</v>
      </c>
      <c r="DA142">
        <v>74.7633056640625</v>
      </c>
      <c r="DB142">
        <v>-26.515295028686499</v>
      </c>
      <c r="DC142" s="2">
        <v>3.4028230607370999E+38</v>
      </c>
      <c r="DD142" s="2">
        <v>3.4028230607370999E+38</v>
      </c>
      <c r="DE142">
        <v>199.18653869628901</v>
      </c>
      <c r="DF142">
        <v>230.00942993164099</v>
      </c>
      <c r="DG142">
        <v>115.018226623535</v>
      </c>
      <c r="DH142" s="2">
        <v>3.4028230607370999E+38</v>
      </c>
      <c r="DI142" s="2">
        <v>3.4028230607370999E+38</v>
      </c>
      <c r="DJ142">
        <v>230.00160217285199</v>
      </c>
      <c r="DK142">
        <v>1.00003910064697</v>
      </c>
      <c r="DL142">
        <v>199.18724060058599</v>
      </c>
      <c r="DM142">
        <v>230.01046752929699</v>
      </c>
      <c r="DN142">
        <v>115.01936340332</v>
      </c>
      <c r="DO142">
        <v>49.999973297119098</v>
      </c>
      <c r="DP142">
        <v>-30.0036315917969</v>
      </c>
      <c r="DQ142">
        <v>1.67214553803205E-2</v>
      </c>
      <c r="DR142" s="2">
        <v>3.4158406378992401E-6</v>
      </c>
      <c r="DS142" s="2">
        <v>1.2769241219956501E-9</v>
      </c>
      <c r="DT142" s="2">
        <v>5.6425601968612702E-8</v>
      </c>
      <c r="DU142" s="2">
        <v>-4.7013908321957801E-9</v>
      </c>
      <c r="DV142">
        <v>74.710998535156193</v>
      </c>
      <c r="DW142">
        <v>75.493721008300795</v>
      </c>
      <c r="DX142">
        <v>1.83305274695158E-2</v>
      </c>
      <c r="DY142" s="2">
        <v>3.1480776669923199E-6</v>
      </c>
      <c r="DZ142" s="2">
        <v>1.8188033301669299E-9</v>
      </c>
      <c r="EA142" s="2">
        <v>5.4309442276689899E-8</v>
      </c>
      <c r="EB142" s="2">
        <v>-1.70528424714433E-9</v>
      </c>
      <c r="EC142">
        <v>74.716812133789105</v>
      </c>
      <c r="ED142">
        <v>43.155002593994098</v>
      </c>
      <c r="EE142" s="2">
        <v>3.4028230607370999E+38</v>
      </c>
      <c r="EF142" s="2">
        <v>3.4028230607370999E+38</v>
      </c>
      <c r="EG142">
        <v>199.18724060058599</v>
      </c>
      <c r="EH142">
        <v>230.01046752929699</v>
      </c>
      <c r="EI142">
        <v>115.01935577392599</v>
      </c>
      <c r="EJ142" s="2">
        <v>3.4028230607370999E+38</v>
      </c>
      <c r="EK142" s="2">
        <v>3.4028230607370999E+38</v>
      </c>
      <c r="EL142">
        <v>123</v>
      </c>
      <c r="EM142">
        <v>230.00163269043</v>
      </c>
      <c r="EN142">
        <v>1.0000401735305799</v>
      </c>
      <c r="EO142">
        <v>199.18769836425801</v>
      </c>
      <c r="EP142">
        <v>230.01043701171901</v>
      </c>
      <c r="EQ142">
        <v>115.01831817627</v>
      </c>
      <c r="ER142">
        <v>49.999931335449197</v>
      </c>
      <c r="ES142">
        <v>-30.003742218017599</v>
      </c>
      <c r="ET142">
        <v>0.86599338054657005</v>
      </c>
      <c r="EU142" s="2">
        <v>3.4028230607370999E+38</v>
      </c>
      <c r="EV142">
        <v>0</v>
      </c>
      <c r="EW142">
        <v>230.00540161132801</v>
      </c>
      <c r="EX142">
        <v>199.18829345703099</v>
      </c>
      <c r="EY142">
        <v>230.014404296875</v>
      </c>
      <c r="EZ142">
        <v>115.02398681640599</v>
      </c>
      <c r="FA142" s="2">
        <v>-8.9605913672130596E-5</v>
      </c>
      <c r="FB142">
        <v>1.4835031703114499E-2</v>
      </c>
      <c r="FC142" s="2">
        <v>3.4598272122821102E-6</v>
      </c>
      <c r="FD142" s="2">
        <v>1.25686061558383E-9</v>
      </c>
      <c r="FE142" s="2">
        <v>5.1289738678406099E-8</v>
      </c>
      <c r="FF142" s="2">
        <v>-1.7494589110711399E-9</v>
      </c>
      <c r="FG142">
        <v>74.772766113281193</v>
      </c>
      <c r="FH142">
        <v>83.989959716796903</v>
      </c>
      <c r="FI142">
        <v>3.6176119465380898E-3</v>
      </c>
      <c r="FJ142" s="2">
        <v>3.4028230607370999E+38</v>
      </c>
      <c r="FK142">
        <v>20.365810394287099</v>
      </c>
      <c r="FL142">
        <v>1.9876124337315601E-2</v>
      </c>
      <c r="FM142">
        <v>0</v>
      </c>
      <c r="FN142">
        <v>0</v>
      </c>
      <c r="FO142">
        <v>0</v>
      </c>
      <c r="FP142" s="2">
        <v>-5.9881589550059302E-5</v>
      </c>
      <c r="FQ142">
        <v>1.55134275555611E-2</v>
      </c>
      <c r="FR142" s="2">
        <v>3.1322415452450501E-6</v>
      </c>
      <c r="FS142" s="2">
        <v>1.2724684639309201E-9</v>
      </c>
      <c r="FT142" s="2">
        <v>4.8528018936622201E-8</v>
      </c>
      <c r="FU142" s="2">
        <v>-2.8633354021145899E-10</v>
      </c>
      <c r="FV142">
        <v>74.8798828125</v>
      </c>
      <c r="FW142">
        <v>24.2448616027832</v>
      </c>
      <c r="FX142">
        <v>2.6223478838801401E-2</v>
      </c>
      <c r="FY142" s="2">
        <v>3.4028230607370999E+38</v>
      </c>
      <c r="FZ142">
        <v>20.575576782226602</v>
      </c>
      <c r="GA142">
        <v>229.75091552734401</v>
      </c>
      <c r="GB142" s="2">
        <v>4.5155176819911002E-10</v>
      </c>
      <c r="GC142">
        <v>7.35490291845053E-4</v>
      </c>
      <c r="GD142" s="2">
        <v>-2.28517926803562E-10</v>
      </c>
      <c r="GE142" s="2">
        <v>3.8975704228505499E-5</v>
      </c>
      <c r="GF142" s="2">
        <v>3.4028230607370999E+38</v>
      </c>
      <c r="GG142" s="2">
        <v>3.4028230607370999E+38</v>
      </c>
      <c r="GH142">
        <v>199.18685913085901</v>
      </c>
      <c r="GI142">
        <v>230.01005554199199</v>
      </c>
      <c r="GJ142">
        <v>115.01902770996099</v>
      </c>
      <c r="GK142" s="2">
        <v>3.4028230607370999E+38</v>
      </c>
      <c r="GL142" s="2">
        <v>3.4028230607370999E+38</v>
      </c>
      <c r="GM142" s="2">
        <v>3.4028230607370999E+38</v>
      </c>
      <c r="GN142" s="2">
        <v>3.4028230607370999E+38</v>
      </c>
      <c r="GO142" s="2">
        <v>3.4028230607370999E+38</v>
      </c>
      <c r="GP142" s="2">
        <v>3.4028230607370999E+38</v>
      </c>
      <c r="GQ142">
        <v>199.18174743652301</v>
      </c>
      <c r="GR142">
        <v>199.18142700195301</v>
      </c>
      <c r="GS142">
        <v>115.020584106445</v>
      </c>
      <c r="GT142">
        <v>-5.3688464686274496E-4</v>
      </c>
      <c r="GX142">
        <f t="shared" si="15"/>
        <v>230.0015350341796</v>
      </c>
      <c r="GY142">
        <f t="shared" si="16"/>
        <v>1.0000372409820542</v>
      </c>
      <c r="GZ142">
        <f t="shared" si="17"/>
        <v>199.18674316406242</v>
      </c>
      <c r="HA142">
        <f t="shared" si="18"/>
        <v>230.0098419189454</v>
      </c>
      <c r="HB142">
        <f t="shared" si="19"/>
        <v>115.0185684204102</v>
      </c>
      <c r="HC142">
        <f t="shared" si="20"/>
        <v>49.999949645996097</v>
      </c>
      <c r="HD142">
        <f t="shared" si="21"/>
        <v>-30.003811264038099</v>
      </c>
      <c r="HW142" s="10">
        <f>(GX142/Data!$S142-1)*1000000</f>
        <v>20.517823949406377</v>
      </c>
      <c r="HX142" s="10">
        <f>(GY142/Data!$T142-1)*1000000</f>
        <v>10.519700957223321</v>
      </c>
      <c r="HY142" s="10">
        <f>(GZ142/Data!$BW142-1)*1000000</f>
        <v>-14.034049966804574</v>
      </c>
      <c r="HZ142" s="10">
        <f>(HA142/(Data!$S142*Data!$T142)-1)*1000000</f>
        <v>29.913414909321645</v>
      </c>
      <c r="IA142" s="7">
        <f>(HB142/IF(HD142&gt;0, -Data!$BX142,Data!$BX142)-1)*1000000</f>
        <v>165.59564407070405</v>
      </c>
      <c r="IB142" s="10"/>
      <c r="IC142" s="9">
        <f>(HD142-Data!$U142)</f>
        <v>-4.3740640380995899E-3</v>
      </c>
    </row>
    <row r="143" spans="1:237" x14ac:dyDescent="0.2">
      <c r="A143">
        <v>143</v>
      </c>
      <c r="B143">
        <v>230.00183105468801</v>
      </c>
      <c r="C143">
        <v>2.0001099109649698</v>
      </c>
      <c r="D143">
        <v>-276.04379272460898</v>
      </c>
      <c r="E143">
        <v>460.02859497070301</v>
      </c>
      <c r="F143">
        <v>368.00765991210898</v>
      </c>
      <c r="G143">
        <v>49.999835968017599</v>
      </c>
      <c r="H143">
        <v>-126.873374938965</v>
      </c>
      <c r="I143">
        <v>1.6228208318352699E-2</v>
      </c>
      <c r="J143" s="2">
        <v>3.3517458177811898E-6</v>
      </c>
      <c r="K143" s="2">
        <v>2.0509511866606499E-9</v>
      </c>
      <c r="L143" s="2">
        <v>5.3444640712996301E-8</v>
      </c>
      <c r="M143" s="2">
        <v>3.8702605564822104E-9</v>
      </c>
      <c r="N143">
        <v>74.750579833984403</v>
      </c>
      <c r="O143">
        <v>-56.690212249755902</v>
      </c>
      <c r="P143">
        <v>1.7304781824350399E-2</v>
      </c>
      <c r="Q143" s="2">
        <v>3.0253115710365802E-6</v>
      </c>
      <c r="R143" s="2">
        <v>-8.0591872064772505E-10</v>
      </c>
      <c r="S143" s="2">
        <v>5.2297970398740303E-8</v>
      </c>
      <c r="T143" s="2">
        <v>1.0611965750584299E-9</v>
      </c>
      <c r="U143">
        <v>74.745132446289105</v>
      </c>
      <c r="V143">
        <v>-138.80392456054699</v>
      </c>
      <c r="W143" s="2">
        <v>3.4028230607370999E+38</v>
      </c>
      <c r="X143" s="2">
        <v>3.4028230607370999E+38</v>
      </c>
      <c r="Y143">
        <v>-276.04382324218801</v>
      </c>
      <c r="Z143">
        <v>460.02859497070301</v>
      </c>
      <c r="AA143">
        <v>368.00765991210898</v>
      </c>
      <c r="AB143" s="2">
        <v>3.4028230607370999E+38</v>
      </c>
      <c r="AC143" s="2">
        <v>3.4028230607370999E+38</v>
      </c>
      <c r="AD143">
        <v>230.001541137695</v>
      </c>
      <c r="AE143">
        <v>2.0001173019409202</v>
      </c>
      <c r="AF143">
        <v>-276.04766845703102</v>
      </c>
      <c r="AG143">
        <v>460.03024291992199</v>
      </c>
      <c r="AH143">
        <v>368.00637817382801</v>
      </c>
      <c r="AI143">
        <v>49.999973297119098</v>
      </c>
      <c r="AJ143">
        <v>-126.87378692627</v>
      </c>
      <c r="AK143">
        <v>1.4188695698976499E-2</v>
      </c>
      <c r="AL143" s="2">
        <v>3.37195706379134E-6</v>
      </c>
      <c r="AM143" s="2">
        <v>-7.8259204672193102E-10</v>
      </c>
      <c r="AN143" s="2">
        <v>4.8810534281074103E-8</v>
      </c>
      <c r="AO143" s="2">
        <v>1.12415243780362E-9</v>
      </c>
      <c r="AP143">
        <v>74.690872192382798</v>
      </c>
      <c r="AQ143">
        <v>-124.84415435791</v>
      </c>
      <c r="AR143">
        <v>1.53005104511976E-2</v>
      </c>
      <c r="AS143" s="2">
        <v>3.0228334253479299E-6</v>
      </c>
      <c r="AT143" s="2">
        <v>4.2641112862895599E-10</v>
      </c>
      <c r="AU143" s="2">
        <v>4.7783615286789401E-8</v>
      </c>
      <c r="AV143" s="2">
        <v>-5.7508042772269598E-10</v>
      </c>
      <c r="AW143">
        <v>74.764358520507798</v>
      </c>
      <c r="AX143">
        <v>1.5980269908905</v>
      </c>
      <c r="AY143" s="2">
        <v>3.4028230607370999E+38</v>
      </c>
      <c r="AZ143" s="2">
        <v>3.4028230607370999E+38</v>
      </c>
      <c r="BA143">
        <v>-276.04769897460898</v>
      </c>
      <c r="BB143">
        <v>460.03024291992199</v>
      </c>
      <c r="BC143">
        <v>368.00634765625</v>
      </c>
      <c r="BD143" s="2">
        <v>3.4028230607370999E+38</v>
      </c>
      <c r="BE143" s="2">
        <v>3.4028230607370999E+38</v>
      </c>
      <c r="BF143">
        <v>230.00169372558599</v>
      </c>
      <c r="BG143">
        <v>2.0001201629638699</v>
      </c>
      <c r="BH143">
        <v>-276.04885864257801</v>
      </c>
      <c r="BI143">
        <v>460.02786254882801</v>
      </c>
      <c r="BJ143">
        <v>368.00247192382801</v>
      </c>
      <c r="BK143">
        <v>49.999988555908203</v>
      </c>
      <c r="BL143">
        <v>-126.87376403808599</v>
      </c>
      <c r="BM143">
        <v>1.6446817666292201E-2</v>
      </c>
      <c r="BN143" s="2">
        <v>3.3930357403733099E-6</v>
      </c>
      <c r="BO143" s="2">
        <v>-2.3601225418445901E-9</v>
      </c>
      <c r="BP143" s="2">
        <v>5.5541232057976198E-8</v>
      </c>
      <c r="BQ143" s="2">
        <v>1.9182244681559302E-9</v>
      </c>
      <c r="BR143">
        <v>74.767471313476605</v>
      </c>
      <c r="BS143">
        <v>-138.589279174805</v>
      </c>
      <c r="BT143">
        <v>1.8072759732603999E-2</v>
      </c>
      <c r="BU143" s="2">
        <v>3.0985349894763199E-6</v>
      </c>
      <c r="BV143" s="2">
        <v>3.9883329971956998E-10</v>
      </c>
      <c r="BW143" s="2">
        <v>5.4174702057707698E-8</v>
      </c>
      <c r="BX143" s="2">
        <v>9.1684321246177102E-10</v>
      </c>
      <c r="BY143">
        <v>74.820869445800795</v>
      </c>
      <c r="BZ143">
        <v>161.64247131347699</v>
      </c>
      <c r="CA143" s="2">
        <v>3.4028230607370999E+38</v>
      </c>
      <c r="CB143" s="2">
        <v>3.4028230607370999E+38</v>
      </c>
      <c r="CC143">
        <v>-276.04888916015602</v>
      </c>
      <c r="CD143">
        <v>460.02786254882801</v>
      </c>
      <c r="CE143">
        <v>368.00247192382801</v>
      </c>
      <c r="CF143" s="2">
        <v>3.4028230607370999E+38</v>
      </c>
      <c r="CG143" s="2">
        <v>3.4028230607370999E+38</v>
      </c>
      <c r="CH143">
        <v>230.00186157226599</v>
      </c>
      <c r="CI143">
        <v>2.0001060962677002</v>
      </c>
      <c r="CJ143">
        <v>-276.04830932617199</v>
      </c>
      <c r="CK143">
        <v>460.03103637695301</v>
      </c>
      <c r="CL143">
        <v>368.00750732421898</v>
      </c>
      <c r="CM143">
        <v>49.9998779296875</v>
      </c>
      <c r="CN143">
        <v>-126.87385559082</v>
      </c>
      <c r="CO143">
        <v>1.45909264683723E-2</v>
      </c>
      <c r="CP143" s="2">
        <v>3.3785274808906298E-6</v>
      </c>
      <c r="CQ143" s="2">
        <v>9.5193319893382998E-10</v>
      </c>
      <c r="CR143" s="2">
        <v>4.9473090513174598E-8</v>
      </c>
      <c r="CS143" s="2">
        <v>2.03440042589875E-9</v>
      </c>
      <c r="CT143">
        <v>74.807388305664105</v>
      </c>
      <c r="CU143">
        <v>-82.497917175292997</v>
      </c>
      <c r="CV143">
        <v>1.54932895675302E-2</v>
      </c>
      <c r="CW143" s="2">
        <v>3.05048342852388E-6</v>
      </c>
      <c r="CX143" s="2">
        <v>-9.3968466341465294E-10</v>
      </c>
      <c r="CY143" s="2">
        <v>4.5733770548395101E-8</v>
      </c>
      <c r="CZ143" s="2">
        <v>9.0889948345385095E-11</v>
      </c>
      <c r="DA143">
        <v>74.701835632324205</v>
      </c>
      <c r="DB143">
        <v>178.05064392089801</v>
      </c>
      <c r="DC143" s="2">
        <v>3.4028230607370999E+38</v>
      </c>
      <c r="DD143" s="2">
        <v>3.4028230607370999E+38</v>
      </c>
      <c r="DE143">
        <v>-276.04833984375</v>
      </c>
      <c r="DF143">
        <v>460.03103637695301</v>
      </c>
      <c r="DG143">
        <v>368.00750732421898</v>
      </c>
      <c r="DH143" s="2">
        <v>3.4028230607370999E+38</v>
      </c>
      <c r="DI143" s="2">
        <v>3.4028230607370999E+38</v>
      </c>
      <c r="DJ143">
        <v>230.00190734863301</v>
      </c>
      <c r="DK143">
        <v>2.00008988380432</v>
      </c>
      <c r="DL143">
        <v>-276.04254150390602</v>
      </c>
      <c r="DM143">
        <v>460.02404785156199</v>
      </c>
      <c r="DN143">
        <v>368.00271606445301</v>
      </c>
      <c r="DO143">
        <v>49.999958038330099</v>
      </c>
      <c r="DP143">
        <v>-126.874267578125</v>
      </c>
      <c r="DQ143">
        <v>1.7710089683532701E-2</v>
      </c>
      <c r="DR143" s="2">
        <v>3.3814862945291701E-6</v>
      </c>
      <c r="DS143" s="2">
        <v>-5.5043081204075902E-10</v>
      </c>
      <c r="DT143" s="2">
        <v>6.0139051072383194E-8</v>
      </c>
      <c r="DU143" s="2">
        <v>3.19428039574632E-9</v>
      </c>
      <c r="DV143">
        <v>74.785667419433594</v>
      </c>
      <c r="DW143">
        <v>-99.777069091796903</v>
      </c>
      <c r="DX143">
        <v>1.97572410106659E-2</v>
      </c>
      <c r="DY143" s="2">
        <v>3.0860805964039198E-6</v>
      </c>
      <c r="DZ143" s="2">
        <v>-7.6916251146030804E-10</v>
      </c>
      <c r="EA143" s="2">
        <v>5.9859182499622005E-8</v>
      </c>
      <c r="EB143" s="2">
        <v>1.73562197947064E-9</v>
      </c>
      <c r="EC143">
        <v>74.721435546875</v>
      </c>
      <c r="ED143">
        <v>-101.094161987305</v>
      </c>
      <c r="EE143" s="2">
        <v>3.4028230607370999E+38</v>
      </c>
      <c r="EF143" s="2">
        <v>3.4028230607370999E+38</v>
      </c>
      <c r="EG143">
        <v>-276.04257202148398</v>
      </c>
      <c r="EH143">
        <v>460.02404785156199</v>
      </c>
      <c r="EI143">
        <v>368.00271606445301</v>
      </c>
      <c r="EJ143" s="2">
        <v>3.4028230607370999E+38</v>
      </c>
      <c r="EK143" s="2">
        <v>3.4028230607370999E+38</v>
      </c>
      <c r="EL143">
        <v>123</v>
      </c>
      <c r="EM143">
        <v>230.00155639648401</v>
      </c>
      <c r="EN143">
        <v>2.0000972747802699</v>
      </c>
      <c r="EO143">
        <v>-276.045654296875</v>
      </c>
      <c r="EP143">
        <v>460.02819824218801</v>
      </c>
      <c r="EQ143">
        <v>368.00506591796898</v>
      </c>
      <c r="ER143">
        <v>50.000034332275398</v>
      </c>
      <c r="ES143">
        <v>-126.874061584473</v>
      </c>
      <c r="ET143">
        <v>-0.600058794021606</v>
      </c>
      <c r="EU143" s="2">
        <v>3.4028230607370999E+38</v>
      </c>
      <c r="EV143">
        <v>0</v>
      </c>
      <c r="EW143">
        <v>230.00619506835901</v>
      </c>
      <c r="EX143">
        <v>-276.06265258789102</v>
      </c>
      <c r="EY143">
        <v>460.034423828125</v>
      </c>
      <c r="EZ143">
        <v>367.99188232421898</v>
      </c>
      <c r="FA143">
        <v>-1.38555222656578E-3</v>
      </c>
      <c r="FB143">
        <v>1.6879338771104799E-2</v>
      </c>
      <c r="FC143" s="2">
        <v>3.3625865398789798E-6</v>
      </c>
      <c r="FD143" s="2">
        <v>1.98264604733822E-9</v>
      </c>
      <c r="FE143" s="2">
        <v>5.6750746324496497E-8</v>
      </c>
      <c r="FF143" s="2">
        <v>4.0670218304228497E-9</v>
      </c>
      <c r="FG143">
        <v>74.688034057617202</v>
      </c>
      <c r="FH143">
        <v>-55.188621520996101</v>
      </c>
      <c r="FI143">
        <v>4.49748672544956E-2</v>
      </c>
      <c r="FJ143" s="2">
        <v>3.4028230607370999E+38</v>
      </c>
      <c r="FK143">
        <v>-36.8331108093262</v>
      </c>
      <c r="FL143">
        <v>2.0792724564671499E-2</v>
      </c>
      <c r="FM143">
        <v>0</v>
      </c>
      <c r="FN143">
        <v>0</v>
      </c>
      <c r="FO143">
        <v>0</v>
      </c>
      <c r="FP143" s="2">
        <v>5.5623528169235201E-5</v>
      </c>
      <c r="FQ143">
        <v>1.78265906870365E-2</v>
      </c>
      <c r="FR143" s="2">
        <v>3.0825933663436398E-6</v>
      </c>
      <c r="FS143" s="2">
        <v>-3.8725803119810099E-10</v>
      </c>
      <c r="FT143" s="2">
        <v>5.4841731156329803E-8</v>
      </c>
      <c r="FU143" s="2">
        <v>1.00981045747517E-9</v>
      </c>
      <c r="FV143">
        <v>74.800788879394503</v>
      </c>
      <c r="FW143">
        <v>-119.12533569335901</v>
      </c>
      <c r="FX143">
        <v>-1.06765851378441E-2</v>
      </c>
      <c r="FY143" s="2">
        <v>3.4028230607370999E+38</v>
      </c>
      <c r="FZ143">
        <v>16.668056488037099</v>
      </c>
      <c r="GA143">
        <v>229.13827514648401</v>
      </c>
      <c r="GB143" s="2">
        <v>-5.5766644774246598E-11</v>
      </c>
      <c r="GC143">
        <v>7.14924302883446E-4</v>
      </c>
      <c r="GD143" s="2">
        <v>5.7954707699536801E-10</v>
      </c>
      <c r="GE143" s="2">
        <v>-1.0430526344862299E-5</v>
      </c>
      <c r="GF143" s="2">
        <v>3.4028230607370999E+38</v>
      </c>
      <c r="GG143" s="2">
        <v>3.4028230607370999E+38</v>
      </c>
      <c r="GH143">
        <v>-276.04598999023398</v>
      </c>
      <c r="GI143">
        <v>460.02828979492199</v>
      </c>
      <c r="GJ143">
        <v>368.00570678710898</v>
      </c>
      <c r="GK143" s="2">
        <v>3.4028230607370999E+38</v>
      </c>
      <c r="GL143" s="2">
        <v>3.4028230607370999E+38</v>
      </c>
      <c r="GM143" s="2">
        <v>3.4028230607370999E+38</v>
      </c>
      <c r="GN143" s="2">
        <v>3.4028230607370999E+38</v>
      </c>
      <c r="GO143" s="2">
        <v>3.4028230607370999E+38</v>
      </c>
      <c r="GP143" s="2">
        <v>3.4028230607370999E+38</v>
      </c>
      <c r="GQ143">
        <v>-276.05801391601602</v>
      </c>
      <c r="GR143">
        <v>-276.05801391601602</v>
      </c>
      <c r="GS143">
        <v>367.99948120117199</v>
      </c>
      <c r="GT143">
        <v>-7.5827556429430799E-4</v>
      </c>
      <c r="GX143">
        <f t="shared" si="15"/>
        <v>230.00176696777356</v>
      </c>
      <c r="GY143">
        <f t="shared" si="16"/>
        <v>2.000108671188356</v>
      </c>
      <c r="GZ143">
        <f t="shared" si="17"/>
        <v>-276.0462341308592</v>
      </c>
      <c r="HA143">
        <f t="shared" si="18"/>
        <v>460.02835693359367</v>
      </c>
      <c r="HB143">
        <f t="shared" si="19"/>
        <v>368.00534667968742</v>
      </c>
      <c r="HC143">
        <f t="shared" si="20"/>
        <v>49.999926757812503</v>
      </c>
      <c r="HD143">
        <f t="shared" si="21"/>
        <v>-126.8738098144532</v>
      </c>
      <c r="HW143" s="10">
        <f>(GX143/Data!$S143-1)*1000000</f>
        <v>23.021517352894705</v>
      </c>
      <c r="HX143" s="10">
        <f>(GY143/Data!$T143-1)*1000000</f>
        <v>70.457730027007059</v>
      </c>
      <c r="HY143" s="10">
        <f>(GZ143/Data!$BW143-1)*1000000</f>
        <v>119.75200147862353</v>
      </c>
      <c r="HZ143" s="10">
        <f>(HA143/(Data!$S143*Data!$T143)-1)*1000000</f>
        <v>93.107885312138094</v>
      </c>
      <c r="IA143" s="7">
        <f>(HB143/IF(HD143&gt;0, -Data!$BX143,Data!$BX143)-1)*1000000</f>
        <v>90.548675484747321</v>
      </c>
      <c r="IB143" s="10"/>
      <c r="IC143" s="9">
        <f>(HD143-Data!$U143)</f>
        <v>-5.0811445319709492E-4</v>
      </c>
    </row>
    <row r="144" spans="1:237" x14ac:dyDescent="0.2">
      <c r="A144">
        <v>144</v>
      </c>
      <c r="B144">
        <v>230.00213623046901</v>
      </c>
      <c r="C144">
        <v>2.0001182556152299</v>
      </c>
      <c r="D144">
        <v>-276.04632568359398</v>
      </c>
      <c r="E144">
        <v>460.03085327148398</v>
      </c>
      <c r="F144">
        <v>368.00820922851602</v>
      </c>
      <c r="G144">
        <v>49.999923706054702</v>
      </c>
      <c r="H144">
        <v>-126.873733520508</v>
      </c>
      <c r="I144">
        <v>1.5185927040875E-2</v>
      </c>
      <c r="J144" s="2">
        <v>3.3552848890394701E-6</v>
      </c>
      <c r="K144" s="2">
        <v>-1.9326362732385901E-9</v>
      </c>
      <c r="L144" s="2">
        <v>5.0939284790274502E-8</v>
      </c>
      <c r="M144" s="2">
        <v>2.0349242291217698E-9</v>
      </c>
      <c r="N144">
        <v>74.750297546386705</v>
      </c>
      <c r="O144">
        <v>-130.63139343261699</v>
      </c>
      <c r="P144">
        <v>1.6454972326755499E-2</v>
      </c>
      <c r="Q144" s="2">
        <v>3.0627561500296001E-6</v>
      </c>
      <c r="R144" s="2">
        <v>4.2971468050545499E-10</v>
      </c>
      <c r="S144" s="2">
        <v>5.0435488674338597E-8</v>
      </c>
      <c r="T144" s="2">
        <v>-9.4239158143771804E-11</v>
      </c>
      <c r="U144">
        <v>74.735702514648395</v>
      </c>
      <c r="V144">
        <v>56.930595397949197</v>
      </c>
      <c r="W144" s="2">
        <v>3.4028230607370999E+38</v>
      </c>
      <c r="X144" s="2">
        <v>3.4028230607370999E+38</v>
      </c>
      <c r="Y144">
        <v>-276.04635620117199</v>
      </c>
      <c r="Z144">
        <v>460.03085327148398</v>
      </c>
      <c r="AA144">
        <v>368.00817871093801</v>
      </c>
      <c r="AB144" s="2">
        <v>3.4028230607370999E+38</v>
      </c>
      <c r="AC144" s="2">
        <v>3.4028230607370999E+38</v>
      </c>
      <c r="AD144">
        <v>230.002197265625</v>
      </c>
      <c r="AE144">
        <v>2.00013279914856</v>
      </c>
      <c r="AF144">
        <v>-276.04382324218801</v>
      </c>
      <c r="AG144">
        <v>460.02810668945301</v>
      </c>
      <c r="AH144">
        <v>368.007080078125</v>
      </c>
      <c r="AI144">
        <v>49.999923706054702</v>
      </c>
      <c r="AJ144">
        <v>-126.87347412109401</v>
      </c>
      <c r="AK144">
        <v>1.44113199785352E-2</v>
      </c>
      <c r="AL144" s="2">
        <v>3.40503788720525E-6</v>
      </c>
      <c r="AM144" s="2">
        <v>2.4910876139649898E-10</v>
      </c>
      <c r="AN144" s="2">
        <v>4.85047415565987E-8</v>
      </c>
      <c r="AO144" s="2">
        <v>1.3384036101626901E-9</v>
      </c>
      <c r="AP144">
        <v>74.686775207519503</v>
      </c>
      <c r="AQ144">
        <v>-96.819808959960895</v>
      </c>
      <c r="AR144">
        <v>1.5454754233360299E-2</v>
      </c>
      <c r="AS144" s="2">
        <v>3.0723138024768602E-6</v>
      </c>
      <c r="AT144" s="2">
        <v>-6.5258648485055904E-10</v>
      </c>
      <c r="AU144" s="2">
        <v>4.8105302852263802E-8</v>
      </c>
      <c r="AV144" s="2">
        <v>-4.4979583946336297E-10</v>
      </c>
      <c r="AW144">
        <v>74.81201171875</v>
      </c>
      <c r="AX144">
        <v>134.927490234375</v>
      </c>
      <c r="AY144" s="2">
        <v>3.4028230607370999E+38</v>
      </c>
      <c r="AZ144" s="2">
        <v>3.4028230607370999E+38</v>
      </c>
      <c r="BA144">
        <v>-276.04385375976602</v>
      </c>
      <c r="BB144">
        <v>460.02810668945301</v>
      </c>
      <c r="BC144">
        <v>368.00704956054699</v>
      </c>
      <c r="BD144" s="2">
        <v>3.4028230607370999E+38</v>
      </c>
      <c r="BE144" s="2">
        <v>3.4028230607370999E+38</v>
      </c>
      <c r="BF144">
        <v>230.00233459472699</v>
      </c>
      <c r="BG144">
        <v>2.0001087188720699</v>
      </c>
      <c r="BH144">
        <v>-276.04486083984398</v>
      </c>
      <c r="BI144">
        <v>460.028076171875</v>
      </c>
      <c r="BJ144">
        <v>368.00527954101602</v>
      </c>
      <c r="BK144">
        <v>49.9998779296875</v>
      </c>
      <c r="BL144">
        <v>-126.874099731445</v>
      </c>
      <c r="BM144">
        <v>1.4412940479814999E-2</v>
      </c>
      <c r="BN144" s="2">
        <v>3.4314962249482101E-6</v>
      </c>
      <c r="BO144" s="2">
        <v>3.8131578450340002E-10</v>
      </c>
      <c r="BP144" s="2">
        <v>4.9411585933967197E-8</v>
      </c>
      <c r="BQ144" s="2">
        <v>2.46938713921452E-9</v>
      </c>
      <c r="BR144">
        <v>74.802833557128906</v>
      </c>
      <c r="BS144">
        <v>-76.182189941406193</v>
      </c>
      <c r="BT144">
        <v>1.5788855031132702E-2</v>
      </c>
      <c r="BU144" s="2">
        <v>3.1417744139616801E-6</v>
      </c>
      <c r="BV144" s="2">
        <v>1.71000102966445E-10</v>
      </c>
      <c r="BW144" s="2">
        <v>4.7507136002877801E-8</v>
      </c>
      <c r="BX144" s="2">
        <v>1.85929688312214E-10</v>
      </c>
      <c r="BY144">
        <v>74.747619628906193</v>
      </c>
      <c r="BZ144">
        <v>-47.395175933837898</v>
      </c>
      <c r="CA144" s="2">
        <v>3.4028230607370999E+38</v>
      </c>
      <c r="CB144" s="2">
        <v>3.4028230607370999E+38</v>
      </c>
      <c r="CC144">
        <v>-276.04486083984398</v>
      </c>
      <c r="CD144">
        <v>460.028076171875</v>
      </c>
      <c r="CE144">
        <v>368.00527954101602</v>
      </c>
      <c r="CF144" s="2">
        <v>3.4028230607370999E+38</v>
      </c>
      <c r="CG144" s="2">
        <v>3.4028230607370999E+38</v>
      </c>
      <c r="CH144">
        <v>230.00210571289099</v>
      </c>
      <c r="CI144">
        <v>2.0001032352447501</v>
      </c>
      <c r="CJ144">
        <v>-276.04608154296898</v>
      </c>
      <c r="CK144">
        <v>460.02770996093801</v>
      </c>
      <c r="CL144">
        <v>368.00494384765602</v>
      </c>
      <c r="CM144">
        <v>49.999973297119098</v>
      </c>
      <c r="CN144">
        <v>-126.874374389648</v>
      </c>
      <c r="CO144">
        <v>1.78964082151651E-2</v>
      </c>
      <c r="CP144" s="2">
        <v>3.3690705549815898E-6</v>
      </c>
      <c r="CQ144" s="2">
        <v>-3.5862587899337897E-10</v>
      </c>
      <c r="CR144" s="2">
        <v>6.0551272440534403E-8</v>
      </c>
      <c r="CS144" s="2">
        <v>3.0057467625965699E-9</v>
      </c>
      <c r="CT144">
        <v>74.742134094238295</v>
      </c>
      <c r="CU144">
        <v>-97.803375244140597</v>
      </c>
      <c r="CV144">
        <v>1.9563969224691401E-2</v>
      </c>
      <c r="CW144" s="2">
        <v>3.09951951749099E-6</v>
      </c>
      <c r="CX144" s="2">
        <v>-9.9916797058341403E-10</v>
      </c>
      <c r="CY144" s="2">
        <v>6.0705438897912205E-8</v>
      </c>
      <c r="CZ144" s="2">
        <v>1.33251276679403E-9</v>
      </c>
      <c r="DA144">
        <v>74.672508239746094</v>
      </c>
      <c r="DB144">
        <v>-121.421737670898</v>
      </c>
      <c r="DC144" s="2">
        <v>3.4028230607370999E+38</v>
      </c>
      <c r="DD144" s="2">
        <v>3.4028230607370999E+38</v>
      </c>
      <c r="DE144">
        <v>-276.04611206054699</v>
      </c>
      <c r="DF144">
        <v>460.02770996093801</v>
      </c>
      <c r="DG144">
        <v>368.00494384765602</v>
      </c>
      <c r="DH144" s="2">
        <v>3.4028230607370999E+38</v>
      </c>
      <c r="DI144" s="2">
        <v>3.4028230607370999E+38</v>
      </c>
      <c r="DJ144">
        <v>230.001953125</v>
      </c>
      <c r="DK144">
        <v>2.0001020431518599</v>
      </c>
      <c r="DL144">
        <v>-276.04525756835898</v>
      </c>
      <c r="DM144">
        <v>460.030029296875</v>
      </c>
      <c r="DN144">
        <v>368.00823974609398</v>
      </c>
      <c r="DO144">
        <v>49.999927520752003</v>
      </c>
      <c r="DP144">
        <v>-126.87404632568401</v>
      </c>
      <c r="DQ144">
        <v>1.49548510089517E-2</v>
      </c>
      <c r="DR144" s="2">
        <v>3.3747401175787702E-6</v>
      </c>
      <c r="DS144" s="2">
        <v>-2.3905941670676599E-9</v>
      </c>
      <c r="DT144" s="2">
        <v>4.9953655434364899E-8</v>
      </c>
      <c r="DU144" s="2">
        <v>1.1252747622592101E-9</v>
      </c>
      <c r="DV144">
        <v>74.808616638183594</v>
      </c>
      <c r="DW144">
        <v>-140.66191101074199</v>
      </c>
      <c r="DX144">
        <v>1.6142759472131701E-2</v>
      </c>
      <c r="DY144" s="2">
        <v>3.13541499963321E-6</v>
      </c>
      <c r="DZ144" s="2">
        <v>4.2221534601871698E-10</v>
      </c>
      <c r="EA144" s="2">
        <v>5.0951836527701697E-8</v>
      </c>
      <c r="EB144" s="2">
        <v>-5.1971538184147903E-10</v>
      </c>
      <c r="EC144">
        <v>74.772514343261705</v>
      </c>
      <c r="ED144">
        <v>-27.398229598998999</v>
      </c>
      <c r="EE144" s="2">
        <v>3.4028230607370999E+38</v>
      </c>
      <c r="EF144" s="2">
        <v>3.4028230607370999E+38</v>
      </c>
      <c r="EG144">
        <v>-276.04528808593801</v>
      </c>
      <c r="EH144">
        <v>460.030029296875</v>
      </c>
      <c r="EI144">
        <v>368.00820922851602</v>
      </c>
      <c r="EJ144" s="2">
        <v>3.4028230607370999E+38</v>
      </c>
      <c r="EK144" s="2">
        <v>3.4028230607370999E+38</v>
      </c>
      <c r="EL144">
        <v>123</v>
      </c>
      <c r="EM144">
        <v>230.00189208984401</v>
      </c>
      <c r="EN144">
        <v>2.00011205673218</v>
      </c>
      <c r="EO144">
        <v>-276.04550170898398</v>
      </c>
      <c r="EP144">
        <v>460.02883911132801</v>
      </c>
      <c r="EQ144">
        <v>368.006103515625</v>
      </c>
      <c r="ER144">
        <v>49.999935150146499</v>
      </c>
      <c r="ES144">
        <v>-126.87396240234401</v>
      </c>
      <c r="ET144">
        <v>-0.60006266832351696</v>
      </c>
      <c r="EU144" s="2">
        <v>3.4028230607370999E+38</v>
      </c>
      <c r="EV144">
        <v>0</v>
      </c>
      <c r="EW144">
        <v>230.000411987305</v>
      </c>
      <c r="EX144">
        <v>-276.05673217773398</v>
      </c>
      <c r="EY144">
        <v>460.02697753906199</v>
      </c>
      <c r="EZ144">
        <v>367.99234008789102</v>
      </c>
      <c r="FA144" s="2">
        <v>-3.3783435355871902E-5</v>
      </c>
      <c r="FB144">
        <v>1.562524959445E-2</v>
      </c>
      <c r="FC144" s="2">
        <v>3.3944188544410302E-6</v>
      </c>
      <c r="FD144" s="2">
        <v>-1.8605011975481001E-9</v>
      </c>
      <c r="FE144" s="2">
        <v>5.3414193956768901E-8</v>
      </c>
      <c r="FF144" s="2">
        <v>2.2957438172710499E-9</v>
      </c>
      <c r="FG144">
        <v>74.604293823242202</v>
      </c>
      <c r="FH144">
        <v>-114.984344482422</v>
      </c>
      <c r="FI144">
        <v>-2.17590406537056E-2</v>
      </c>
      <c r="FJ144" s="2">
        <v>3.4028230607370999E+38</v>
      </c>
      <c r="FK144">
        <v>39.593311309814503</v>
      </c>
      <c r="FL144">
        <v>2.0339623093605E-2</v>
      </c>
      <c r="FM144">
        <v>0</v>
      </c>
      <c r="FN144">
        <v>0</v>
      </c>
      <c r="FO144">
        <v>0</v>
      </c>
      <c r="FP144" s="2">
        <v>5.8730591263156398E-5</v>
      </c>
      <c r="FQ144">
        <v>1.7354823648929599E-2</v>
      </c>
      <c r="FR144" s="2">
        <v>3.1421711810253298E-6</v>
      </c>
      <c r="FS144" s="2">
        <v>-3.31874000503163E-10</v>
      </c>
      <c r="FT144" s="2">
        <v>5.1809397660917999E-8</v>
      </c>
      <c r="FU144" s="2">
        <v>5.9031757260186199E-10</v>
      </c>
      <c r="FV144">
        <v>74.783226013183594</v>
      </c>
      <c r="FW144">
        <v>-119.34450531005901</v>
      </c>
      <c r="FX144">
        <v>-3.8619160186499401E-3</v>
      </c>
      <c r="FY144" s="2">
        <v>3.4028230607370999E+38</v>
      </c>
      <c r="FZ144">
        <v>60.894050598144503</v>
      </c>
      <c r="GA144">
        <v>229.16455078125</v>
      </c>
      <c r="GB144" s="2">
        <v>-4.35408070709187E-10</v>
      </c>
      <c r="GC144">
        <v>6.8915181327611197E-4</v>
      </c>
      <c r="GD144" s="2">
        <v>-5.6151333582832298E-10</v>
      </c>
      <c r="GE144" s="2">
        <v>-5.10088284499943E-6</v>
      </c>
      <c r="GF144" s="2">
        <v>3.4028230607370999E+38</v>
      </c>
      <c r="GG144" s="2">
        <v>3.4028230607370999E+38</v>
      </c>
      <c r="GH144">
        <v>-276.048828125</v>
      </c>
      <c r="GI144">
        <v>460.03033447265602</v>
      </c>
      <c r="GJ144">
        <v>368.00531005859398</v>
      </c>
      <c r="GK144" s="2">
        <v>3.4028230607370999E+38</v>
      </c>
      <c r="GL144" s="2">
        <v>3.4028230607370999E+38</v>
      </c>
      <c r="GM144" s="2">
        <v>3.4028230607370999E+38</v>
      </c>
      <c r="GN144" s="2">
        <v>3.4028230607370999E+38</v>
      </c>
      <c r="GO144" s="2">
        <v>3.4028230607370999E+38</v>
      </c>
      <c r="GP144" s="2">
        <v>3.4028230607370999E+38</v>
      </c>
      <c r="GQ144">
        <v>-276.05642700195301</v>
      </c>
      <c r="GR144">
        <v>-276.056396484375</v>
      </c>
      <c r="GS144">
        <v>367.99111938476602</v>
      </c>
      <c r="GT144">
        <v>-1.0614196798997E-4</v>
      </c>
      <c r="GX144">
        <f t="shared" si="15"/>
        <v>230.00214538574238</v>
      </c>
      <c r="GY144">
        <f t="shared" si="16"/>
        <v>2.0001130104064941</v>
      </c>
      <c r="GZ144">
        <f t="shared" si="17"/>
        <v>-276.04526977539075</v>
      </c>
      <c r="HA144">
        <f t="shared" si="18"/>
        <v>460.02895507812502</v>
      </c>
      <c r="HB144">
        <f t="shared" si="19"/>
        <v>368.00675048828145</v>
      </c>
      <c r="HC144">
        <f t="shared" si="20"/>
        <v>49.999925231933602</v>
      </c>
      <c r="HD144">
        <f t="shared" si="21"/>
        <v>-126.8739456176758</v>
      </c>
      <c r="HW144" s="10">
        <f>(GX144/Data!$S144-1)*1000000</f>
        <v>23.86115435082381</v>
      </c>
      <c r="HX144" s="10">
        <f>(GY144/Data!$T144-1)*1000000</f>
        <v>76.566739175776277</v>
      </c>
      <c r="HY144" s="10">
        <f>(GZ144/Data!$BW144-1)*1000000</f>
        <v>112.70427280929418</v>
      </c>
      <c r="HZ144" s="10">
        <f>(HA144/(Data!$S144*Data!$T144)-1)*1000000</f>
        <v>97.541948200774442</v>
      </c>
      <c r="IA144" s="7">
        <f>(HB144/IF(HD144&gt;0, -Data!$BX144,Data!$BX144)-1)*1000000</f>
        <v>101.26026563139767</v>
      </c>
      <c r="IB144" s="10"/>
      <c r="IC144" s="9">
        <f>(HD144-Data!$U144)</f>
        <v>-3.5651767579736315E-4</v>
      </c>
    </row>
    <row r="145" spans="1:237" x14ac:dyDescent="0.2">
      <c r="A145">
        <v>145</v>
      </c>
      <c r="B145">
        <v>230.00199890136699</v>
      </c>
      <c r="C145">
        <v>5.0002307891845703</v>
      </c>
      <c r="D145">
        <v>995.95355224609398</v>
      </c>
      <c r="E145">
        <v>1150.06262207031</v>
      </c>
      <c r="F145">
        <v>575.08782958984398</v>
      </c>
      <c r="G145">
        <v>49.999954223632798</v>
      </c>
      <c r="H145">
        <v>-30.003026962280298</v>
      </c>
      <c r="I145">
        <v>1.69799849390984E-2</v>
      </c>
      <c r="J145" s="2">
        <v>3.5210555324738401E-6</v>
      </c>
      <c r="K145" s="2">
        <v>9.1004936919603097E-9</v>
      </c>
      <c r="L145" s="2">
        <v>5.9867630852750206E-8</v>
      </c>
      <c r="M145" s="2">
        <v>7.4394850280157202E-9</v>
      </c>
      <c r="N145">
        <v>74.676689147949205</v>
      </c>
      <c r="O145">
        <v>-36.513095855712898</v>
      </c>
      <c r="P145">
        <v>1.8442723900079699E-2</v>
      </c>
      <c r="Q145" s="2">
        <v>3.1195786505122699E-6</v>
      </c>
      <c r="R145" s="2">
        <v>3.14318659988544E-9</v>
      </c>
      <c r="S145" s="2">
        <v>6.0765842135879198E-8</v>
      </c>
      <c r="T145" s="2">
        <v>8.6199083426663492E-9</v>
      </c>
      <c r="U145">
        <v>74.718788146972699</v>
      </c>
      <c r="V145">
        <v>-63.766223907470703</v>
      </c>
      <c r="W145" s="2">
        <v>3.4028230607370999E+38</v>
      </c>
      <c r="X145" s="2">
        <v>3.4028230607370999E+38</v>
      </c>
      <c r="Y145">
        <v>995.95355224609398</v>
      </c>
      <c r="Z145">
        <v>1150.06262207031</v>
      </c>
      <c r="AA145">
        <v>575.08782958984398</v>
      </c>
      <c r="AB145" s="2">
        <v>3.4028230607370999E+38</v>
      </c>
      <c r="AC145" s="2">
        <v>3.4028230607370999E+38</v>
      </c>
      <c r="AD145">
        <v>230.00177001953099</v>
      </c>
      <c r="AE145">
        <v>5.0002503395080602</v>
      </c>
      <c r="AF145">
        <v>995.95880126953102</v>
      </c>
      <c r="AG145">
        <v>1150.06591796875</v>
      </c>
      <c r="AH145">
        <v>575.08923339843795</v>
      </c>
      <c r="AI145">
        <v>49.999954223632798</v>
      </c>
      <c r="AJ145">
        <v>-30.002996444702099</v>
      </c>
      <c r="AK145">
        <v>1.6331942752003701E-2</v>
      </c>
      <c r="AL145" s="2">
        <v>3.5455466331768502E-6</v>
      </c>
      <c r="AM145" s="2">
        <v>8.9157516924842606E-9</v>
      </c>
      <c r="AN145" s="2">
        <v>5.6724015706777202E-8</v>
      </c>
      <c r="AO145" s="2">
        <v>-2.52775494979929E-10</v>
      </c>
      <c r="AP145">
        <v>74.687850952148395</v>
      </c>
      <c r="AQ145">
        <v>1.6598825454711901</v>
      </c>
      <c r="AR145">
        <v>1.8044849857687999E-2</v>
      </c>
      <c r="AS145" s="2">
        <v>3.1840356768952899E-6</v>
      </c>
      <c r="AT145" s="2">
        <v>3.4431071327389902E-9</v>
      </c>
      <c r="AU145" s="2">
        <v>5.5444587587771801E-8</v>
      </c>
      <c r="AV145" s="2">
        <v>4.9296602355752797E-9</v>
      </c>
      <c r="AW145">
        <v>74.746574401855497</v>
      </c>
      <c r="AX145">
        <v>-38.624240875244098</v>
      </c>
      <c r="AY145" s="2">
        <v>3.4028230607370999E+38</v>
      </c>
      <c r="AZ145" s="2">
        <v>3.4028230607370999E+38</v>
      </c>
      <c r="BA145">
        <v>995.95880126953102</v>
      </c>
      <c r="BB145">
        <v>1150.06591796875</v>
      </c>
      <c r="BC145">
        <v>575.08917236328102</v>
      </c>
      <c r="BD145" s="2">
        <v>3.4028230607370999E+38</v>
      </c>
      <c r="BE145" s="2">
        <v>3.4028230607370999E+38</v>
      </c>
      <c r="BF145">
        <v>230.00207519531199</v>
      </c>
      <c r="BG145">
        <v>5.00024509429932</v>
      </c>
      <c r="BH145">
        <v>995.95794677734398</v>
      </c>
      <c r="BI145">
        <v>1150.06616210938</v>
      </c>
      <c r="BJ145">
        <v>575.08416748046898</v>
      </c>
      <c r="BK145">
        <v>49.999969482421903</v>
      </c>
      <c r="BL145">
        <v>-30.002870559692401</v>
      </c>
      <c r="BM145">
        <v>1.43495528027415E-2</v>
      </c>
      <c r="BN145" s="2">
        <v>3.57976637133106E-6</v>
      </c>
      <c r="BO145" s="2">
        <v>4.6912065343462903E-9</v>
      </c>
      <c r="BP145" s="2">
        <v>5.1348717278187899E-8</v>
      </c>
      <c r="BQ145" s="2">
        <v>3.59430513130476E-10</v>
      </c>
      <c r="BR145">
        <v>74.706222534179702</v>
      </c>
      <c r="BS145">
        <v>-3.20410203933716</v>
      </c>
      <c r="BT145">
        <v>1.5707628801465E-2</v>
      </c>
      <c r="BU145" s="2">
        <v>3.1851818675932E-6</v>
      </c>
      <c r="BV145" s="2">
        <v>3.0293083597143798E-9</v>
      </c>
      <c r="BW145" s="2">
        <v>4.7667093383552102E-8</v>
      </c>
      <c r="BX145" s="2">
        <v>2.5652473478743299E-9</v>
      </c>
      <c r="BY145">
        <v>74.771759033203097</v>
      </c>
      <c r="BZ145">
        <v>-44.370944976806598</v>
      </c>
      <c r="CA145" s="2">
        <v>3.4028230607370999E+38</v>
      </c>
      <c r="CB145" s="2">
        <v>3.4028230607370999E+38</v>
      </c>
      <c r="CC145">
        <v>995.95794677734398</v>
      </c>
      <c r="CD145">
        <v>1150.06616210938</v>
      </c>
      <c r="CE145">
        <v>575.08416748046898</v>
      </c>
      <c r="CF145" s="2">
        <v>3.4028230607370999E+38</v>
      </c>
      <c r="CG145" s="2">
        <v>3.4028230607370999E+38</v>
      </c>
      <c r="CH145">
        <v>230.00149536132801</v>
      </c>
      <c r="CI145">
        <v>5.0002532005310103</v>
      </c>
      <c r="CJ145">
        <v>995.956298828125</v>
      </c>
      <c r="CK145">
        <v>1150.06506347656</v>
      </c>
      <c r="CL145">
        <v>575.08221435546898</v>
      </c>
      <c r="CM145">
        <v>50</v>
      </c>
      <c r="CN145">
        <v>-30.002799987793001</v>
      </c>
      <c r="CO145">
        <v>1.7896316945552802E-2</v>
      </c>
      <c r="CP145" s="2">
        <v>3.5405214475758801E-6</v>
      </c>
      <c r="CQ145" s="2">
        <v>1.12081943726139E-8</v>
      </c>
      <c r="CR145" s="2">
        <v>6.3401898842130296E-8</v>
      </c>
      <c r="CS145" s="2">
        <v>4.56998927589325E-9</v>
      </c>
      <c r="CT145">
        <v>74.751197814941406</v>
      </c>
      <c r="CU145">
        <v>-20.016984939575199</v>
      </c>
      <c r="CV145">
        <v>1.9358873367309602E-2</v>
      </c>
      <c r="CW145" s="2">
        <v>3.1667552775616101E-6</v>
      </c>
      <c r="CX145" s="2">
        <v>6.5946337279854098E-9</v>
      </c>
      <c r="CY145" s="2">
        <v>6.14112778407616E-8</v>
      </c>
      <c r="CZ145" s="2">
        <v>9.6173788932674093E-9</v>
      </c>
      <c r="DA145">
        <v>74.772186279296903</v>
      </c>
      <c r="DB145">
        <v>-59.984382629394503</v>
      </c>
      <c r="DC145" s="2">
        <v>3.4028230607370999E+38</v>
      </c>
      <c r="DD145" s="2">
        <v>3.4028230607370999E+38</v>
      </c>
      <c r="DE145">
        <v>995.956298828125</v>
      </c>
      <c r="DF145">
        <v>1150.06506347656</v>
      </c>
      <c r="DG145">
        <v>575.08221435546898</v>
      </c>
      <c r="DH145" s="2">
        <v>3.4028230607370999E+38</v>
      </c>
      <c r="DI145" s="2">
        <v>3.4028230607370999E+38</v>
      </c>
      <c r="DJ145">
        <v>230.00209045410199</v>
      </c>
      <c r="DK145">
        <v>5.0002307891845703</v>
      </c>
      <c r="DL145">
        <v>995.957275390625</v>
      </c>
      <c r="DM145">
        <v>1150.06481933594</v>
      </c>
      <c r="DN145">
        <v>575.08703613281205</v>
      </c>
      <c r="DO145">
        <v>49.999874114990199</v>
      </c>
      <c r="DP145">
        <v>-30.003055572509801</v>
      </c>
      <c r="DQ145">
        <v>1.6311079263687099E-2</v>
      </c>
      <c r="DR145" s="2">
        <v>3.5702751119970302E-6</v>
      </c>
      <c r="DS145" s="2">
        <v>9.1040623928506598E-9</v>
      </c>
      <c r="DT145" s="2">
        <v>5.7594345292955001E-8</v>
      </c>
      <c r="DU145" s="2">
        <v>6.2904566000554496E-9</v>
      </c>
      <c r="DV145">
        <v>74.715911865234403</v>
      </c>
      <c r="DW145">
        <v>-36.617134094238303</v>
      </c>
      <c r="DX145">
        <v>1.8107224255800199E-2</v>
      </c>
      <c r="DY145" s="2">
        <v>3.1201068395603198E-6</v>
      </c>
      <c r="DZ145" s="2">
        <v>3.5400273823427101E-9</v>
      </c>
      <c r="EA145" s="2">
        <v>5.5932510178990898E-8</v>
      </c>
      <c r="EB145" s="2">
        <v>8.2041706761515293E-9</v>
      </c>
      <c r="EC145">
        <v>74.798194885253906</v>
      </c>
      <c r="ED145">
        <v>-71.818618774414105</v>
      </c>
      <c r="EE145" s="2">
        <v>3.4028230607370999E+38</v>
      </c>
      <c r="EF145" s="2">
        <v>3.4028230607370999E+38</v>
      </c>
      <c r="EG145">
        <v>995.957275390625</v>
      </c>
      <c r="EH145">
        <v>1150.06481933594</v>
      </c>
      <c r="EI145">
        <v>575.08703613281205</v>
      </c>
      <c r="EJ145" s="2">
        <v>3.4028230607370999E+38</v>
      </c>
      <c r="EK145" s="2">
        <v>3.4028230607370999E+38</v>
      </c>
      <c r="EL145">
        <v>123</v>
      </c>
      <c r="EM145">
        <v>230.002197265625</v>
      </c>
      <c r="EN145">
        <v>5.0002303123474103</v>
      </c>
      <c r="EO145">
        <v>995.955322265625</v>
      </c>
      <c r="EP145">
        <v>1150.06311035156</v>
      </c>
      <c r="EQ145">
        <v>575.085693359375</v>
      </c>
      <c r="ER145">
        <v>49.999973297119098</v>
      </c>
      <c r="ES145">
        <v>-30.002874374389599</v>
      </c>
      <c r="ET145">
        <v>0.86600154638290405</v>
      </c>
      <c r="EU145" s="2">
        <v>3.4028230607370999E+38</v>
      </c>
      <c r="EV145">
        <v>0</v>
      </c>
      <c r="EW145">
        <v>230.00033569335901</v>
      </c>
      <c r="EX145">
        <v>995.93103027343795</v>
      </c>
      <c r="EY145">
        <v>1150.05676269531</v>
      </c>
      <c r="EZ145">
        <v>575.09826660156205</v>
      </c>
      <c r="FA145">
        <v>-3.0546672642231001E-3</v>
      </c>
      <c r="FB145">
        <v>1.6113884747028399E-2</v>
      </c>
      <c r="FC145" s="2">
        <v>3.4769736885209602E-6</v>
      </c>
      <c r="FD145" s="2">
        <v>7.5253216991200101E-9</v>
      </c>
      <c r="FE145" s="2">
        <v>5.6502020839843701E-8</v>
      </c>
      <c r="FF145" s="2">
        <v>6.1219971314585597E-9</v>
      </c>
      <c r="FG145">
        <v>74.809486389160199</v>
      </c>
      <c r="FH145">
        <v>-39.129032135009801</v>
      </c>
      <c r="FI145">
        <v>0.139305889606476</v>
      </c>
      <c r="FJ145" s="2">
        <v>3.4028230607370999E+38</v>
      </c>
      <c r="FK145">
        <v>48.645370483398402</v>
      </c>
      <c r="FL145">
        <v>2.0446216687560099E-2</v>
      </c>
      <c r="FM145">
        <v>0</v>
      </c>
      <c r="FN145">
        <v>0</v>
      </c>
      <c r="FO145">
        <v>0</v>
      </c>
      <c r="FP145" s="2">
        <v>2.2549063942278701E-5</v>
      </c>
      <c r="FQ145">
        <v>1.71917248517275E-2</v>
      </c>
      <c r="FR145" s="2">
        <v>3.2131006264535198E-6</v>
      </c>
      <c r="FS145" s="2">
        <v>2.06961048299092E-9</v>
      </c>
      <c r="FT145" s="2">
        <v>5.5211408778177402E-8</v>
      </c>
      <c r="FU145" s="2">
        <v>6.9152821247087104E-9</v>
      </c>
      <c r="FV145">
        <v>74.666961669921903</v>
      </c>
      <c r="FW145">
        <v>-75.1219482421875</v>
      </c>
      <c r="FX145">
        <v>3.4208644181489903E-2</v>
      </c>
      <c r="FY145" s="2">
        <v>3.4028230607370999E+38</v>
      </c>
      <c r="FZ145">
        <v>26.588466644287099</v>
      </c>
      <c r="GA145">
        <v>229.41255187988301</v>
      </c>
      <c r="GB145" s="2">
        <v>1.3069150206490599E-9</v>
      </c>
      <c r="GC145">
        <v>7.3197815800085696E-4</v>
      </c>
      <c r="GD145" s="2">
        <v>8.1013212804847998E-10</v>
      </c>
      <c r="GE145" s="2">
        <v>-8.4716397395823205E-5</v>
      </c>
      <c r="GF145" s="2">
        <v>3.4028230607370999E+38</v>
      </c>
      <c r="GG145" s="2">
        <v>3.4028230607370999E+38</v>
      </c>
      <c r="GH145">
        <v>995.954833984375</v>
      </c>
      <c r="GI145">
        <v>1150.06225585938</v>
      </c>
      <c r="GJ145">
        <v>575.08319091796898</v>
      </c>
      <c r="GK145" s="2">
        <v>3.4028230607370999E+38</v>
      </c>
      <c r="GL145" s="2">
        <v>3.4028230607370999E+38</v>
      </c>
      <c r="GM145" s="2">
        <v>3.4028230607370999E+38</v>
      </c>
      <c r="GN145" s="2">
        <v>3.4028230607370999E+38</v>
      </c>
      <c r="GO145" s="2">
        <v>3.4028230607370999E+38</v>
      </c>
      <c r="GP145" s="2">
        <v>3.4028230607370999E+38</v>
      </c>
      <c r="GQ145">
        <v>995.93243408203102</v>
      </c>
      <c r="GR145">
        <v>995.93243408203102</v>
      </c>
      <c r="GS145">
        <v>575.09442138671898</v>
      </c>
      <c r="GT145">
        <v>-2.8027137741446499E-3</v>
      </c>
      <c r="GX145">
        <f t="shared" si="15"/>
        <v>230.00188598632798</v>
      </c>
      <c r="GY145">
        <f t="shared" si="16"/>
        <v>5.0002420425415064</v>
      </c>
      <c r="GZ145">
        <f t="shared" si="17"/>
        <v>995.9567749023438</v>
      </c>
      <c r="HA145">
        <f t="shared" si="18"/>
        <v>1150.064916992188</v>
      </c>
      <c r="HB145">
        <f t="shared" si="19"/>
        <v>575.08609619140634</v>
      </c>
      <c r="HC145">
        <f t="shared" si="20"/>
        <v>49.99995040893554</v>
      </c>
      <c r="HD145">
        <f t="shared" si="21"/>
        <v>-30.002949905395518</v>
      </c>
      <c r="HW145" s="10">
        <f>(GX145/Data!$S145-1)*1000000</f>
        <v>21.98720021473477</v>
      </c>
      <c r="HX145" s="10">
        <f>(GY145/Data!$T145-1)*1000000</f>
        <v>0.25929581637385013</v>
      </c>
      <c r="HY145" s="10">
        <f>(GZ145/Data!$BW145-1)*1000000</f>
        <v>-9.4203980600671144</v>
      </c>
      <c r="HZ145" s="10">
        <f>(HA145/(Data!$S145*Data!$T145)-1)*1000000</f>
        <v>22.08721982510653</v>
      </c>
      <c r="IA145" s="7">
        <f>(HB145/IF(HD145&gt;0, -Data!$BX145,Data!$BX145)-1)*1000000</f>
        <v>123.54144542481293</v>
      </c>
      <c r="IB145" s="10"/>
      <c r="IC145" s="9">
        <f>(HD145-Data!$U145)</f>
        <v>-3.2204753955191734E-3</v>
      </c>
    </row>
    <row r="146" spans="1:237" x14ac:dyDescent="0.2">
      <c r="A146">
        <v>146</v>
      </c>
      <c r="B146">
        <v>230.00241088867199</v>
      </c>
      <c r="C146">
        <v>5.0002527236938503</v>
      </c>
      <c r="D146">
        <v>995.95977783203102</v>
      </c>
      <c r="E146">
        <v>1150.0693359375</v>
      </c>
      <c r="F146">
        <v>575.09075927734398</v>
      </c>
      <c r="G146">
        <v>49.999931335449197</v>
      </c>
      <c r="H146">
        <v>-30.003150939941399</v>
      </c>
      <c r="I146">
        <v>1.42458034679294E-2</v>
      </c>
      <c r="J146" s="2">
        <v>3.5853254303219699E-6</v>
      </c>
      <c r="K146" s="2">
        <v>5.4733968468667602E-9</v>
      </c>
      <c r="L146" s="2">
        <v>5.1843944248730602E-8</v>
      </c>
      <c r="M146" s="2">
        <v>1.6399883673301501E-9</v>
      </c>
      <c r="N146">
        <v>74.6751708984375</v>
      </c>
      <c r="O146">
        <v>-17.376781463623001</v>
      </c>
      <c r="P146">
        <v>1.5251020900905099E-2</v>
      </c>
      <c r="Q146" s="2">
        <v>3.18346678795933E-6</v>
      </c>
      <c r="R146" s="2">
        <v>3.41034489537151E-9</v>
      </c>
      <c r="S146" s="2">
        <v>4.8312827516383497E-8</v>
      </c>
      <c r="T146" s="2">
        <v>1.9453856303641698E-9</v>
      </c>
      <c r="U146">
        <v>74.767776489257798</v>
      </c>
      <c r="V146">
        <v>-28.6214809417725</v>
      </c>
      <c r="W146" s="2">
        <v>3.4028230607370999E+38</v>
      </c>
      <c r="X146" s="2">
        <v>3.4028230607370999E+38</v>
      </c>
      <c r="Y146">
        <v>995.95977783203102</v>
      </c>
      <c r="Z146">
        <v>1150.0693359375</v>
      </c>
      <c r="AA146">
        <v>575.09075927734398</v>
      </c>
      <c r="AB146" s="2">
        <v>3.4028230607370999E+38</v>
      </c>
      <c r="AC146" s="2">
        <v>3.4028230607370999E+38</v>
      </c>
      <c r="AD146">
        <v>230.00169372558599</v>
      </c>
      <c r="AE146">
        <v>5.0002303123474103</v>
      </c>
      <c r="AF146">
        <v>995.951904296875</v>
      </c>
      <c r="AG146">
        <v>1150.06079101562</v>
      </c>
      <c r="AH146">
        <v>575.08746337890602</v>
      </c>
      <c r="AI146">
        <v>49.999931335449197</v>
      </c>
      <c r="AJ146">
        <v>-30.003095626831101</v>
      </c>
      <c r="AK146">
        <v>1.5101939439773599E-2</v>
      </c>
      <c r="AL146" s="2">
        <v>3.5623356779979102E-6</v>
      </c>
      <c r="AM146" s="2">
        <v>4.9754693698389499E-9</v>
      </c>
      <c r="AN146" s="2">
        <v>5.4065381505097301E-8</v>
      </c>
      <c r="AO146" s="2">
        <v>4.8469681601659398E-9</v>
      </c>
      <c r="AP146">
        <v>74.600402832031193</v>
      </c>
      <c r="AQ146">
        <v>-39.506591796875</v>
      </c>
      <c r="AR146">
        <v>1.6177613288164101E-2</v>
      </c>
      <c r="AS146" s="2">
        <v>3.1005856726551399E-6</v>
      </c>
      <c r="AT146" s="2">
        <v>9.2749369295930302E-10</v>
      </c>
      <c r="AU146" s="2">
        <v>5.2366210923082703E-8</v>
      </c>
      <c r="AV146" s="2">
        <v>4.8730446344791298E-9</v>
      </c>
      <c r="AW146">
        <v>74.821914672851605</v>
      </c>
      <c r="AX146">
        <v>-79.223709106445298</v>
      </c>
      <c r="AY146" s="2">
        <v>3.4028230607370999E+38</v>
      </c>
      <c r="AZ146" s="2">
        <v>3.4028230607370999E+38</v>
      </c>
      <c r="BA146">
        <v>995.951904296875</v>
      </c>
      <c r="BB146">
        <v>1150.06079101562</v>
      </c>
      <c r="BC146">
        <v>575.08746337890602</v>
      </c>
      <c r="BD146" s="2">
        <v>3.4028230607370999E+38</v>
      </c>
      <c r="BE146" s="2">
        <v>3.4028230607370999E+38</v>
      </c>
      <c r="BF146">
        <v>230.00198364257801</v>
      </c>
      <c r="BG146">
        <v>5.0002713203430202</v>
      </c>
      <c r="BH146">
        <v>995.96228027343795</v>
      </c>
      <c r="BI146">
        <v>1150.07116699219</v>
      </c>
      <c r="BJ146">
        <v>575.08801269531205</v>
      </c>
      <c r="BK146">
        <v>49.999870300292997</v>
      </c>
      <c r="BL146">
        <v>-30.003215789794901</v>
      </c>
      <c r="BM146">
        <v>1.6549985855817798E-2</v>
      </c>
      <c r="BN146" s="2">
        <v>3.6082317365071499E-6</v>
      </c>
      <c r="BO146" s="2">
        <v>9.2534113704800802E-9</v>
      </c>
      <c r="BP146" s="2">
        <v>5.9154739773248399E-8</v>
      </c>
      <c r="BQ146" s="2">
        <v>1.28860888626292E-9</v>
      </c>
      <c r="BR146">
        <v>74.6566162109375</v>
      </c>
      <c r="BS146">
        <v>-8.1690130233764595</v>
      </c>
      <c r="BT146">
        <v>1.79569106549025E-2</v>
      </c>
      <c r="BU146" s="2">
        <v>3.2353825645259302E-6</v>
      </c>
      <c r="BV146" s="2">
        <v>7.3733992245195201E-9</v>
      </c>
      <c r="BW146" s="2">
        <v>5.7965834798778801E-8</v>
      </c>
      <c r="BX146" s="2">
        <v>5.6574904760964298E-9</v>
      </c>
      <c r="BY146">
        <v>74.726600646972699</v>
      </c>
      <c r="BZ146">
        <v>-44.660346984863303</v>
      </c>
      <c r="CA146" s="2">
        <v>3.4028230607370999E+38</v>
      </c>
      <c r="CB146" s="2">
        <v>3.4028230607370999E+38</v>
      </c>
      <c r="CC146">
        <v>995.96228027343795</v>
      </c>
      <c r="CD146">
        <v>1150.07116699219</v>
      </c>
      <c r="CE146">
        <v>575.08801269531205</v>
      </c>
      <c r="CF146" s="2">
        <v>3.4028230607370999E+38</v>
      </c>
      <c r="CG146" s="2">
        <v>3.4028230607370999E+38</v>
      </c>
      <c r="CH146">
        <v>230.002197265625</v>
      </c>
      <c r="CI146">
        <v>5.0002393722534197</v>
      </c>
      <c r="CJ146">
        <v>995.95642089843795</v>
      </c>
      <c r="CK146">
        <v>1150.06518554688</v>
      </c>
      <c r="CL146">
        <v>575.08416748046898</v>
      </c>
      <c r="CM146">
        <v>49.999904632568402</v>
      </c>
      <c r="CN146">
        <v>-30.003124237060501</v>
      </c>
      <c r="CO146">
        <v>1.46843008697033E-2</v>
      </c>
      <c r="CP146" s="2">
        <v>3.50573463947512E-6</v>
      </c>
      <c r="CQ146" s="2">
        <v>5.9978577660047003E-9</v>
      </c>
      <c r="CR146" s="2">
        <v>5.2628276847599402E-8</v>
      </c>
      <c r="CS146" s="2">
        <v>5.1133035583461597E-9</v>
      </c>
      <c r="CT146">
        <v>74.781394958496094</v>
      </c>
      <c r="CU146">
        <v>-41.061164855957003</v>
      </c>
      <c r="CV146">
        <v>1.6068099066615101E-2</v>
      </c>
      <c r="CW146" s="2">
        <v>3.1689173738413998E-6</v>
      </c>
      <c r="CX146" s="2">
        <v>2.4167881029768498E-9</v>
      </c>
      <c r="CY146" s="2">
        <v>5.0863711464899097E-8</v>
      </c>
      <c r="CZ146" s="2">
        <v>3.8094460919069198E-9</v>
      </c>
      <c r="DA146">
        <v>74.766853332519503</v>
      </c>
      <c r="DB146">
        <v>-80.905944824218807</v>
      </c>
      <c r="DC146" s="2">
        <v>3.4028230607370999E+38</v>
      </c>
      <c r="DD146" s="2">
        <v>3.4028230607370999E+38</v>
      </c>
      <c r="DE146">
        <v>995.95642089843795</v>
      </c>
      <c r="DF146">
        <v>1150.06518554688</v>
      </c>
      <c r="DG146">
        <v>575.08416748046898</v>
      </c>
      <c r="DH146" s="2">
        <v>3.4028230607370999E+38</v>
      </c>
      <c r="DI146" s="2">
        <v>3.4028230607370999E+38</v>
      </c>
      <c r="DJ146">
        <v>230.00189208984401</v>
      </c>
      <c r="DK146">
        <v>5.0002384185790998</v>
      </c>
      <c r="DL146">
        <v>995.95733642578102</v>
      </c>
      <c r="DM146">
        <v>1150.06384277344</v>
      </c>
      <c r="DN146">
        <v>575.08428955078102</v>
      </c>
      <c r="DO146">
        <v>49.999946594238303</v>
      </c>
      <c r="DP146">
        <v>-30.003038406372099</v>
      </c>
      <c r="DQ146">
        <v>1.42876170575619E-2</v>
      </c>
      <c r="DR146" s="2">
        <v>3.5457060221233401E-6</v>
      </c>
      <c r="DS146" s="2">
        <v>4.44399805843432E-9</v>
      </c>
      <c r="DT146" s="2">
        <v>5.1876238416070899E-8</v>
      </c>
      <c r="DU146" s="2">
        <v>2.67739541648382E-9</v>
      </c>
      <c r="DV146">
        <v>74.689598083496094</v>
      </c>
      <c r="DW146">
        <v>-30.107345581054702</v>
      </c>
      <c r="DX146">
        <v>1.55908335000277E-2</v>
      </c>
      <c r="DY146" s="2">
        <v>3.1152671908785098E-6</v>
      </c>
      <c r="DZ146" s="2">
        <v>9.7239372109925191E-10</v>
      </c>
      <c r="EA146" s="2">
        <v>4.86023843393468E-8</v>
      </c>
      <c r="EB146" s="2">
        <v>2.7272568647873599E-9</v>
      </c>
      <c r="EC146">
        <v>74.762886047363295</v>
      </c>
      <c r="ED146">
        <v>-67.788032531738295</v>
      </c>
      <c r="EE146" s="2">
        <v>3.4028230607370999E+38</v>
      </c>
      <c r="EF146" s="2">
        <v>3.4028230607370999E+38</v>
      </c>
      <c r="EG146">
        <v>995.95733642578102</v>
      </c>
      <c r="EH146">
        <v>1150.06384277344</v>
      </c>
      <c r="EI146">
        <v>575.08428955078102</v>
      </c>
      <c r="EJ146" s="2">
        <v>3.4028230607370999E+38</v>
      </c>
      <c r="EK146" s="2">
        <v>3.4028230607370999E+38</v>
      </c>
      <c r="EL146">
        <v>123</v>
      </c>
      <c r="EM146">
        <v>230.00250244140599</v>
      </c>
      <c r="EN146">
        <v>5.0002336502075204</v>
      </c>
      <c r="EO146">
        <v>995.957763671875</v>
      </c>
      <c r="EP146">
        <v>1150.06127929688</v>
      </c>
      <c r="EQ146">
        <v>575.08599853515602</v>
      </c>
      <c r="ER146">
        <v>49.999904632568402</v>
      </c>
      <c r="ES146">
        <v>-30.003099441528299</v>
      </c>
      <c r="ET146">
        <v>0.86600047349929798</v>
      </c>
      <c r="EU146" s="2">
        <v>3.4028230607370999E+38</v>
      </c>
      <c r="EV146">
        <v>0</v>
      </c>
      <c r="EW146">
        <v>230.00283813476599</v>
      </c>
      <c r="EX146">
        <v>995.95324707031205</v>
      </c>
      <c r="EY146">
        <v>1150.07312011719</v>
      </c>
      <c r="EZ146">
        <v>575.10046386718795</v>
      </c>
      <c r="FA146">
        <v>-7.3972350219264605E-4</v>
      </c>
      <c r="FB146">
        <v>1.46795324981213E-2</v>
      </c>
      <c r="FC146" s="2">
        <v>3.5979003314423599E-6</v>
      </c>
      <c r="FD146" s="2">
        <v>5.1576498627525796E-9</v>
      </c>
      <c r="FE146" s="2">
        <v>5.0942517759722303E-8</v>
      </c>
      <c r="FF146" s="2">
        <v>2.4096316053601198E-9</v>
      </c>
      <c r="FG146">
        <v>74.698913574218807</v>
      </c>
      <c r="FH146">
        <v>-25.041776657104499</v>
      </c>
      <c r="FI146">
        <v>9.6080623567104298E-2</v>
      </c>
      <c r="FJ146" s="2">
        <v>3.4028230607370999E+38</v>
      </c>
      <c r="FK146">
        <v>9.1693267822265607</v>
      </c>
      <c r="FL146">
        <v>2.0017113536596302E-2</v>
      </c>
      <c r="FM146">
        <v>0</v>
      </c>
      <c r="FN146">
        <v>0</v>
      </c>
      <c r="FO146">
        <v>0</v>
      </c>
      <c r="FP146" s="2">
        <v>2.9063099646009501E-5</v>
      </c>
      <c r="FQ146">
        <v>1.54159059748054E-2</v>
      </c>
      <c r="FR146" s="2">
        <v>3.1798770123714302E-6</v>
      </c>
      <c r="FS146" s="2">
        <v>1.7745918068356999E-9</v>
      </c>
      <c r="FT146" s="2">
        <v>4.9148919600838801E-8</v>
      </c>
      <c r="FU146" s="2">
        <v>3.4395848391710598E-9</v>
      </c>
      <c r="FV146">
        <v>74.765823364257798</v>
      </c>
      <c r="FW146">
        <v>-62.643566131591797</v>
      </c>
      <c r="FX146">
        <v>3.6208238452673E-2</v>
      </c>
      <c r="FY146" s="2">
        <v>3.4028230607370999E+38</v>
      </c>
      <c r="FZ146">
        <v>-59.607097625732401</v>
      </c>
      <c r="GA146">
        <v>229.54051208496099</v>
      </c>
      <c r="GB146" s="2">
        <v>-2.65220012618528E-10</v>
      </c>
      <c r="GC146">
        <v>7.20822252333164E-4</v>
      </c>
      <c r="GD146" s="2">
        <v>3.0316302246369301E-10</v>
      </c>
      <c r="GE146" s="2">
        <v>-7.8669407230336206E-5</v>
      </c>
      <c r="GF146" s="2">
        <v>3.4028230607370999E+38</v>
      </c>
      <c r="GG146" s="2">
        <v>3.4028230607370999E+38</v>
      </c>
      <c r="GH146">
        <v>995.955078125</v>
      </c>
      <c r="GI146">
        <v>1150.06530761719</v>
      </c>
      <c r="GJ146">
        <v>575.084228515625</v>
      </c>
      <c r="GK146" s="2">
        <v>3.4028230607370999E+38</v>
      </c>
      <c r="GL146" s="2">
        <v>3.4028230607370999E+38</v>
      </c>
      <c r="GM146" s="2">
        <v>3.4028230607370999E+38</v>
      </c>
      <c r="GN146" s="2">
        <v>3.4028230607370999E+38</v>
      </c>
      <c r="GO146" s="2">
        <v>3.4028230607370999E+38</v>
      </c>
      <c r="GP146" s="2">
        <v>3.4028230607370999E+38</v>
      </c>
      <c r="GQ146">
        <v>995.94366455078102</v>
      </c>
      <c r="GR146">
        <v>995.94366455078102</v>
      </c>
      <c r="GS146">
        <v>575.09918212890602</v>
      </c>
      <c r="GT146">
        <v>-1.59673055168241E-3</v>
      </c>
      <c r="GX146">
        <f t="shared" si="15"/>
        <v>230.00203552246097</v>
      </c>
      <c r="GY146">
        <f t="shared" si="16"/>
        <v>5.0002464294433606</v>
      </c>
      <c r="GZ146">
        <f t="shared" si="17"/>
        <v>995.95754394531252</v>
      </c>
      <c r="HA146">
        <f t="shared" si="18"/>
        <v>1150.0660644531258</v>
      </c>
      <c r="HB146">
        <f t="shared" si="19"/>
        <v>575.08693847656252</v>
      </c>
      <c r="HC146">
        <f t="shared" si="20"/>
        <v>49.999916839599628</v>
      </c>
      <c r="HD146">
        <f t="shared" si="21"/>
        <v>-30.003125000000001</v>
      </c>
      <c r="HW146" s="10">
        <f>(GX146/Data!$S146-1)*1000000</f>
        <v>23.05955574755103</v>
      </c>
      <c r="HX146" s="10">
        <f>(GY146/Data!$T146-1)*1000000</f>
        <v>1.8438011986088298</v>
      </c>
      <c r="HY146" s="10">
        <f>(GZ146/Data!$BW146-1)*1000000</f>
        <v>-7.4680885600031388</v>
      </c>
      <c r="HZ146" s="10">
        <f>(HA146/(Data!$S146*Data!$T146)-1)*1000000</f>
        <v>24.214350392570694</v>
      </c>
      <c r="IA146" s="7">
        <f>(HB146/IF(HD146&gt;0, -Data!$BX146,Data!$BX146)-1)*1000000</f>
        <v>125.98391358653593</v>
      </c>
      <c r="IB146" s="10"/>
      <c r="IC146" s="9">
        <f>(HD146-Data!$U146)</f>
        <v>-3.3905400000016073E-3</v>
      </c>
    </row>
    <row r="147" spans="1:237" x14ac:dyDescent="0.2">
      <c r="A147">
        <v>147</v>
      </c>
      <c r="B147">
        <v>230.00180053710901</v>
      </c>
      <c r="C147">
        <v>2.0001039505004901</v>
      </c>
      <c r="D147">
        <v>460.02752685546898</v>
      </c>
      <c r="E147">
        <v>460.02938842773398</v>
      </c>
      <c r="F147">
        <v>2.8194813057780301E-2</v>
      </c>
      <c r="G147">
        <v>49.999908447265597</v>
      </c>
      <c r="H147">
        <v>-3.5116083454340701E-3</v>
      </c>
      <c r="I147">
        <v>1.4831829816103001E-2</v>
      </c>
      <c r="J147" s="2">
        <v>3.4226820844196499E-6</v>
      </c>
      <c r="K147" s="2">
        <v>2.5352404620093702E-9</v>
      </c>
      <c r="L147" s="2">
        <v>4.9546866165428602E-8</v>
      </c>
      <c r="M147" s="2">
        <v>6.8835054323201896E-10</v>
      </c>
      <c r="N147">
        <v>74.718177795410199</v>
      </c>
      <c r="O147">
        <v>-15.8279056549072</v>
      </c>
      <c r="P147">
        <v>1.5899760648608201E-2</v>
      </c>
      <c r="Q147" s="2">
        <v>3.1421661788044701E-6</v>
      </c>
      <c r="R147" s="2">
        <v>2.44015141426246E-9</v>
      </c>
      <c r="S147" s="2">
        <v>4.9883205122114298E-8</v>
      </c>
      <c r="T147" s="2">
        <v>2.2014379208457099E-9</v>
      </c>
      <c r="U147">
        <v>74.717376708984403</v>
      </c>
      <c r="V147">
        <v>-42.402694702148402</v>
      </c>
      <c r="W147" s="2">
        <v>3.4028230607370999E+38</v>
      </c>
      <c r="X147" s="2">
        <v>3.4028230607370999E+38</v>
      </c>
      <c r="Y147">
        <v>460.02752685546898</v>
      </c>
      <c r="Z147">
        <v>460.02938842773398</v>
      </c>
      <c r="AA147">
        <v>2.8194814920425401E-2</v>
      </c>
      <c r="AB147" s="2">
        <v>3.4028230607370999E+38</v>
      </c>
      <c r="AC147" s="2">
        <v>3.4028230607370999E+38</v>
      </c>
      <c r="AD147">
        <v>230.00201416015599</v>
      </c>
      <c r="AE147">
        <v>2.0001180171966602</v>
      </c>
      <c r="AF147">
        <v>460.03134155273398</v>
      </c>
      <c r="AG147">
        <v>460.03103637695301</v>
      </c>
      <c r="AH147">
        <v>2.76592019945383E-2</v>
      </c>
      <c r="AI147">
        <v>49.999973297119098</v>
      </c>
      <c r="AJ147">
        <v>-3.7191710434854E-3</v>
      </c>
      <c r="AK147">
        <v>1.7485896125435801E-2</v>
      </c>
      <c r="AL147" s="2">
        <v>3.3837129649327801E-6</v>
      </c>
      <c r="AM147" s="2">
        <v>2.72402433942887E-9</v>
      </c>
      <c r="AN147" s="2">
        <v>5.9212069913883203E-8</v>
      </c>
      <c r="AO147" s="2">
        <v>-9.0908264249733902E-10</v>
      </c>
      <c r="AP147">
        <v>74.7547607421875</v>
      </c>
      <c r="AQ147">
        <v>18.455284118652301</v>
      </c>
      <c r="AR147">
        <v>1.9334526732564E-2</v>
      </c>
      <c r="AS147" s="2">
        <v>3.0876601613272202E-6</v>
      </c>
      <c r="AT147" s="2">
        <v>4.1564898189960803E-9</v>
      </c>
      <c r="AU147" s="2">
        <v>6.0881987451466597E-8</v>
      </c>
      <c r="AV147" s="2">
        <v>5.6155964323068003E-9</v>
      </c>
      <c r="AW147">
        <v>74.747825622558594</v>
      </c>
      <c r="AX147">
        <v>-48.104801177978501</v>
      </c>
      <c r="AY147" s="2">
        <v>3.4028230607370999E+38</v>
      </c>
      <c r="AZ147" s="2">
        <v>3.4028230607370999E+38</v>
      </c>
      <c r="BA147">
        <v>460.03134155273398</v>
      </c>
      <c r="BB147">
        <v>460.03103637695301</v>
      </c>
      <c r="BC147">
        <v>2.7659205719828599E-2</v>
      </c>
      <c r="BD147" s="2">
        <v>3.4028230607370999E+38</v>
      </c>
      <c r="BE147" s="2">
        <v>3.4028230607370999E+38</v>
      </c>
      <c r="BF147">
        <v>230.00196838378901</v>
      </c>
      <c r="BG147">
        <v>2.0000984668731698</v>
      </c>
      <c r="BH147">
        <v>460.02590942382801</v>
      </c>
      <c r="BI147">
        <v>460.02566528320301</v>
      </c>
      <c r="BJ147">
        <v>2.52191461622715E-2</v>
      </c>
      <c r="BK147">
        <v>49.999889373779297</v>
      </c>
      <c r="BL147">
        <v>-3.1431729439646001E-3</v>
      </c>
      <c r="BM147">
        <v>1.6681330278515798E-2</v>
      </c>
      <c r="BN147" s="2">
        <v>3.3876024190249201E-6</v>
      </c>
      <c r="BO147" s="2">
        <v>4.8675730113245696E-9</v>
      </c>
      <c r="BP147" s="2">
        <v>5.8040502182166198E-8</v>
      </c>
      <c r="BQ147" s="2">
        <v>-8.1744069846401094E-11</v>
      </c>
      <c r="BR147">
        <v>74.776191711425795</v>
      </c>
      <c r="BS147">
        <v>1.70214295387268</v>
      </c>
      <c r="BT147">
        <v>1.8558280542492901E-2</v>
      </c>
      <c r="BU147" s="2">
        <v>3.1491208574152598E-6</v>
      </c>
      <c r="BV147" s="2">
        <v>3.7689065202073396E-9</v>
      </c>
      <c r="BW147" s="2">
        <v>5.6611877852219497E-8</v>
      </c>
      <c r="BX147" s="2">
        <v>4.8131125751638096E-9</v>
      </c>
      <c r="BY147">
        <v>74.618217468261705</v>
      </c>
      <c r="BZ147">
        <v>-51.937309265136697</v>
      </c>
      <c r="CA147" s="2">
        <v>3.4028230607370999E+38</v>
      </c>
      <c r="CB147" s="2">
        <v>3.4028230607370999E+38</v>
      </c>
      <c r="CC147">
        <v>460.02590942382801</v>
      </c>
      <c r="CD147">
        <v>460.02566528320301</v>
      </c>
      <c r="CE147">
        <v>2.5219149887561802E-2</v>
      </c>
      <c r="CF147" s="2">
        <v>3.4028230607370999E+38</v>
      </c>
      <c r="CG147" s="2">
        <v>3.4028230607370999E+38</v>
      </c>
      <c r="CH147">
        <v>230.00216674804699</v>
      </c>
      <c r="CI147">
        <v>2.0001089572906499</v>
      </c>
      <c r="CJ147">
        <v>460.02944946289102</v>
      </c>
      <c r="CK147">
        <v>460.02920532226602</v>
      </c>
      <c r="CL147">
        <v>2.4529537186026601E-2</v>
      </c>
      <c r="CM147">
        <v>49.999862670898402</v>
      </c>
      <c r="CN147">
        <v>-3.5721112508326799E-3</v>
      </c>
      <c r="CO147">
        <v>1.6742827370762801E-2</v>
      </c>
      <c r="CP147" s="2">
        <v>3.3733831514837199E-6</v>
      </c>
      <c r="CQ147" s="2">
        <v>2.93732305145511E-9</v>
      </c>
      <c r="CR147" s="2">
        <v>5.60927198023364E-8</v>
      </c>
      <c r="CS147" s="2">
        <v>5.6828869388070302E-10</v>
      </c>
      <c r="CT147">
        <v>74.843688964843807</v>
      </c>
      <c r="CU147">
        <v>-0.82707965373992898</v>
      </c>
      <c r="CV147">
        <v>1.82687249034643E-2</v>
      </c>
      <c r="CW147" s="2">
        <v>3.0731180231668999E-6</v>
      </c>
      <c r="CX147" s="2">
        <v>4.6804822240176203E-9</v>
      </c>
      <c r="CY147" s="2">
        <v>5.7438576561707999E-8</v>
      </c>
      <c r="CZ147" s="2">
        <v>4.6937875808339397E-9</v>
      </c>
      <c r="DA147">
        <v>74.716766357421903</v>
      </c>
      <c r="DB147">
        <v>-43.604324340820298</v>
      </c>
      <c r="DC147" s="2">
        <v>3.4028230607370999E+38</v>
      </c>
      <c r="DD147" s="2">
        <v>3.4028230607370999E+38</v>
      </c>
      <c r="DE147">
        <v>460.02944946289102</v>
      </c>
      <c r="DF147">
        <v>460.02920532226602</v>
      </c>
      <c r="DG147">
        <v>2.4529540911316899E-2</v>
      </c>
      <c r="DH147" s="2">
        <v>3.4028230607370999E+38</v>
      </c>
      <c r="DI147" s="2">
        <v>3.4028230607370999E+38</v>
      </c>
      <c r="DJ147">
        <v>230.00169372558599</v>
      </c>
      <c r="DK147">
        <v>2.0001254081726101</v>
      </c>
      <c r="DL147">
        <v>460.03231811523398</v>
      </c>
      <c r="DM147">
        <v>460.03103637695301</v>
      </c>
      <c r="DN147">
        <v>2.9753645882010502E-2</v>
      </c>
      <c r="DO147">
        <v>49.999931335449197</v>
      </c>
      <c r="DP147">
        <v>-3.70574416592717E-3</v>
      </c>
      <c r="DQ147">
        <v>1.73119325190783E-2</v>
      </c>
      <c r="DR147" s="2">
        <v>3.3312599043711101E-6</v>
      </c>
      <c r="DS147" s="2">
        <v>3.3116349662520898E-9</v>
      </c>
      <c r="DT147" s="2">
        <v>5.7697977950965697E-8</v>
      </c>
      <c r="DU147" s="2">
        <v>-2.8063400492328599E-9</v>
      </c>
      <c r="DV147">
        <v>74.765495300292997</v>
      </c>
      <c r="DW147">
        <v>39.080440521240199</v>
      </c>
      <c r="DX147">
        <v>1.8925406038761101E-2</v>
      </c>
      <c r="DY147" s="2">
        <v>3.04970944853267E-6</v>
      </c>
      <c r="DZ147" s="2">
        <v>5.3617550399565103E-9</v>
      </c>
      <c r="EA147" s="2">
        <v>5.8196285124267901E-8</v>
      </c>
      <c r="EB147" s="2">
        <v>4.0369969589448804E-9</v>
      </c>
      <c r="EC147">
        <v>74.769500732421903</v>
      </c>
      <c r="ED147">
        <v>-37.621128082275398</v>
      </c>
      <c r="EE147" s="2">
        <v>3.4028230607370999E+38</v>
      </c>
      <c r="EF147" s="2">
        <v>3.4028230607370999E+38</v>
      </c>
      <c r="EG147">
        <v>460.03231811523398</v>
      </c>
      <c r="EH147">
        <v>460.03103637695301</v>
      </c>
      <c r="EI147">
        <v>2.9753645882010502E-2</v>
      </c>
      <c r="EJ147" s="2">
        <v>3.4028230607370999E+38</v>
      </c>
      <c r="EK147" s="2">
        <v>3.4028230607370999E+38</v>
      </c>
      <c r="EL147">
        <v>123</v>
      </c>
      <c r="EM147">
        <v>230.00169372558599</v>
      </c>
      <c r="EN147">
        <v>2.00012302398682</v>
      </c>
      <c r="EO147">
        <v>460.02947998046898</v>
      </c>
      <c r="EP147">
        <v>460.02917480468801</v>
      </c>
      <c r="EQ147">
        <v>2.6568062603473701E-2</v>
      </c>
      <c r="ER147">
        <v>49.999954223632798</v>
      </c>
      <c r="ES147">
        <v>-3.30900074914098E-3</v>
      </c>
      <c r="ET147">
        <v>1</v>
      </c>
      <c r="EU147" s="2">
        <v>3.4028230607370999E+38</v>
      </c>
      <c r="EV147">
        <v>0</v>
      </c>
      <c r="EW147">
        <v>230.00590515136699</v>
      </c>
      <c r="EX147">
        <v>460.033935546875</v>
      </c>
      <c r="EY147">
        <v>460.03634643554699</v>
      </c>
      <c r="EZ147">
        <v>4.7361955046653699E-2</v>
      </c>
      <c r="FA147">
        <v>8.0496189184486899E-4</v>
      </c>
      <c r="FB147">
        <v>1.74441654235125E-2</v>
      </c>
      <c r="FC147" s="2">
        <v>3.4438005513948198E-6</v>
      </c>
      <c r="FD147" s="2">
        <v>2.5859554497742498E-9</v>
      </c>
      <c r="FE147" s="2">
        <v>5.9859182499622005E-8</v>
      </c>
      <c r="FF147" s="2">
        <v>-1.6225445431672401E-9</v>
      </c>
      <c r="FG147">
        <v>74.752418518066406</v>
      </c>
      <c r="FH147">
        <v>28.163913726806602</v>
      </c>
      <c r="FI147">
        <v>5.0629056990146602E-2</v>
      </c>
      <c r="FJ147" s="2">
        <v>3.4028230607370999E+38</v>
      </c>
      <c r="FK147">
        <v>-40.608238220214801</v>
      </c>
      <c r="FL147">
        <v>2.1045168861746798E-2</v>
      </c>
      <c r="FM147">
        <v>0</v>
      </c>
      <c r="FN147">
        <v>0</v>
      </c>
      <c r="FO147">
        <v>0</v>
      </c>
      <c r="FP147" s="2">
        <v>-2.9481501769623699E-5</v>
      </c>
      <c r="FQ147">
        <v>1.9265547394752499E-2</v>
      </c>
      <c r="FR147" s="2">
        <v>3.0859198432153802E-6</v>
      </c>
      <c r="FS147" s="2">
        <v>3.5812213194930101E-9</v>
      </c>
      <c r="FT147" s="2">
        <v>5.9456482404129902E-8</v>
      </c>
      <c r="FU147" s="2">
        <v>3.2760349988336698E-9</v>
      </c>
      <c r="FV147">
        <v>74.7744140625</v>
      </c>
      <c r="FW147">
        <v>-33.411899566650398</v>
      </c>
      <c r="FX147">
        <v>8.4227077662944794E-2</v>
      </c>
      <c r="FY147" s="2">
        <v>3.4028230607370999E+38</v>
      </c>
      <c r="FZ147">
        <v>-26.104930877685501</v>
      </c>
      <c r="GA147">
        <v>229.10325622558599</v>
      </c>
      <c r="GB147" s="2">
        <v>8.1229151183137601E-10</v>
      </c>
      <c r="GC147">
        <v>7.2558625834062696E-4</v>
      </c>
      <c r="GD147" s="2">
        <v>1.76849412891755E-9</v>
      </c>
      <c r="GE147" s="2">
        <v>-3.8450150896096602E-5</v>
      </c>
      <c r="GF147" s="2">
        <v>3.4028230607370999E+38</v>
      </c>
      <c r="GG147" s="2">
        <v>3.4028230607370999E+38</v>
      </c>
      <c r="GH147">
        <v>460.03176879882801</v>
      </c>
      <c r="GI147">
        <v>460.03152465820301</v>
      </c>
      <c r="GJ147">
        <v>3.0054928734898598E-2</v>
      </c>
      <c r="GK147" s="2">
        <v>3.4028230607370999E+38</v>
      </c>
      <c r="GL147" s="2">
        <v>3.4028230607370999E+38</v>
      </c>
      <c r="GM147" s="2">
        <v>3.4028230607370999E+38</v>
      </c>
      <c r="GN147" s="2">
        <v>3.4028230607370999E+38</v>
      </c>
      <c r="GO147" s="2">
        <v>3.4028230607370999E+38</v>
      </c>
      <c r="GP147" s="2">
        <v>3.4028230607370999E+38</v>
      </c>
      <c r="GQ147">
        <v>460.03845214843801</v>
      </c>
      <c r="GR147">
        <v>460.03845214843801</v>
      </c>
      <c r="GS147">
        <v>4.58435751497746E-2</v>
      </c>
      <c r="GT147">
        <v>2.96680955216289E-4</v>
      </c>
      <c r="GX147">
        <f t="shared" si="15"/>
        <v>230.00192871093742</v>
      </c>
      <c r="GY147">
        <f t="shared" si="16"/>
        <v>2.0001109600067162</v>
      </c>
      <c r="GZ147">
        <f t="shared" si="17"/>
        <v>460.02930908203115</v>
      </c>
      <c r="HA147">
        <f t="shared" si="18"/>
        <v>460.02926635742188</v>
      </c>
      <c r="HB147">
        <f t="shared" si="19"/>
        <v>2.7071268856525443E-2</v>
      </c>
      <c r="HC147">
        <f t="shared" si="20"/>
        <v>49.99991302490232</v>
      </c>
      <c r="HD147">
        <f t="shared" si="21"/>
        <v>-3.5303615499287845E-3</v>
      </c>
      <c r="HW147" s="10">
        <f>(GX147/Data!$S147-1)*1000000</f>
        <v>23.376919733530954</v>
      </c>
      <c r="HX147" s="10">
        <f>(GY147/Data!$T147-1)*1000000</f>
        <v>7.0646613226088562</v>
      </c>
      <c r="HY147" s="10">
        <f>(GZ147/Data!$BW147-1)*1000000</f>
        <v>30.285905047167105</v>
      </c>
      <c r="HZ147" s="10">
        <f>(HA147/(Data!$S147*Data!$T147)-1)*1000000</f>
        <v>30.198102159317841</v>
      </c>
      <c r="IA147" s="7">
        <f>(HB147/IF(HD147&gt;0, -Data!$BX147,Data!$BX147)-1)*1000000</f>
        <v>679122.03317480977</v>
      </c>
      <c r="IB147" s="10"/>
      <c r="IC147" s="9">
        <f>(HD147-Data!$U147)</f>
        <v>-1.5223025499287845E-3</v>
      </c>
    </row>
    <row r="148" spans="1:237" x14ac:dyDescent="0.2">
      <c r="A148">
        <v>148</v>
      </c>
      <c r="B148">
        <v>230.00213623046901</v>
      </c>
      <c r="C148">
        <v>2.0001204013824498</v>
      </c>
      <c r="D148">
        <v>460.03204345703102</v>
      </c>
      <c r="E148">
        <v>460.03173828125</v>
      </c>
      <c r="F148">
        <v>3.04521452635527E-2</v>
      </c>
      <c r="G148">
        <v>49.999996185302699</v>
      </c>
      <c r="H148">
        <v>-3.7927336525171999E-3</v>
      </c>
      <c r="I148">
        <v>1.4502244070172299E-2</v>
      </c>
      <c r="J148" s="2">
        <v>3.4025219974864702E-6</v>
      </c>
      <c r="K148" s="2">
        <v>2.7943181102330101E-9</v>
      </c>
      <c r="L148" s="2">
        <v>4.7941611569513003E-8</v>
      </c>
      <c r="M148" s="2">
        <v>6.1118815564142902E-10</v>
      </c>
      <c r="N148">
        <v>74.72119140625</v>
      </c>
      <c r="O148">
        <v>-12.3377380371094</v>
      </c>
      <c r="P148">
        <v>1.5397609211504499E-2</v>
      </c>
      <c r="Q148" s="2">
        <v>3.1207021038426298E-6</v>
      </c>
      <c r="R148" s="2">
        <v>2.4293917988416098E-9</v>
      </c>
      <c r="S148" s="2">
        <v>4.7967567695650399E-8</v>
      </c>
      <c r="T148" s="2">
        <v>1.5501178118881901E-9</v>
      </c>
      <c r="U148">
        <v>74.76611328125</v>
      </c>
      <c r="V148">
        <v>-38.108730316162102</v>
      </c>
      <c r="W148" s="2">
        <v>3.4028230607370999E+38</v>
      </c>
      <c r="X148" s="2">
        <v>3.4028230607370999E+38</v>
      </c>
      <c r="Y148">
        <v>460.03204345703102</v>
      </c>
      <c r="Z148">
        <v>460.03173828125</v>
      </c>
      <c r="AA148">
        <v>3.0452147126197801E-2</v>
      </c>
      <c r="AB148" s="2">
        <v>3.4028230607370999E+38</v>
      </c>
      <c r="AC148" s="2">
        <v>3.4028230607370999E+38</v>
      </c>
      <c r="AD148">
        <v>230.00157165527301</v>
      </c>
      <c r="AE148">
        <v>2.0000951290130602</v>
      </c>
      <c r="AF148">
        <v>460.02496337890602</v>
      </c>
      <c r="AG148">
        <v>460.02722167968801</v>
      </c>
      <c r="AH148">
        <v>2.4966610595583898E-2</v>
      </c>
      <c r="AI148">
        <v>49.999958038330099</v>
      </c>
      <c r="AJ148">
        <v>-3.1095566228032099E-3</v>
      </c>
      <c r="AK148">
        <v>1.7347056418657299E-2</v>
      </c>
      <c r="AL148" s="2">
        <v>3.4107822557416499E-6</v>
      </c>
      <c r="AM148" s="2">
        <v>3.7745819803092201E-9</v>
      </c>
      <c r="AN148" s="2">
        <v>5.9493835635748798E-8</v>
      </c>
      <c r="AO148" s="2">
        <v>9.1965463022702894E-11</v>
      </c>
      <c r="AP148">
        <v>74.684432983398395</v>
      </c>
      <c r="AQ148">
        <v>2.4131908416747998</v>
      </c>
      <c r="AR148">
        <v>1.9043825566768601E-2</v>
      </c>
      <c r="AS148" s="2">
        <v>3.03500951304159E-6</v>
      </c>
      <c r="AT148" s="2">
        <v>5.6834301709329801E-9</v>
      </c>
      <c r="AU148" s="2">
        <v>6.0145424640722896E-8</v>
      </c>
      <c r="AV148" s="2">
        <v>5.3723443471653801E-9</v>
      </c>
      <c r="AW148">
        <v>74.760467529296903</v>
      </c>
      <c r="AX148">
        <v>-43.3882446289062</v>
      </c>
      <c r="AY148" s="2">
        <v>3.4028230607370999E+38</v>
      </c>
      <c r="AZ148" s="2">
        <v>3.4028230607370999E+38</v>
      </c>
      <c r="BA148">
        <v>460.02496337890602</v>
      </c>
      <c r="BB148">
        <v>460.02722167968801</v>
      </c>
      <c r="BC148">
        <v>2.49666143208742E-2</v>
      </c>
      <c r="BD148" s="2">
        <v>3.4028230607370999E+38</v>
      </c>
      <c r="BE148" s="2">
        <v>3.4028230607370999E+38</v>
      </c>
      <c r="BF148">
        <v>230.00190734863301</v>
      </c>
      <c r="BG148">
        <v>2.0000982284545898</v>
      </c>
      <c r="BH148">
        <v>460.026611328125</v>
      </c>
      <c r="BI148">
        <v>460.0263671875</v>
      </c>
      <c r="BJ148">
        <v>2.6411751285195399E-2</v>
      </c>
      <c r="BK148">
        <v>49.999935150146499</v>
      </c>
      <c r="BL148">
        <v>-3.3376389183103999E-3</v>
      </c>
      <c r="BM148">
        <v>1.7465936020016701E-2</v>
      </c>
      <c r="BN148" s="2">
        <v>3.4361810321570399E-6</v>
      </c>
      <c r="BO148" s="2">
        <v>4.4370120910741703E-9</v>
      </c>
      <c r="BP148" s="2">
        <v>6.0004865076734899E-8</v>
      </c>
      <c r="BQ148" s="2">
        <v>8.9186253868223098E-12</v>
      </c>
      <c r="BR148">
        <v>74.695632934570298</v>
      </c>
      <c r="BS148">
        <v>0.47840303182601901</v>
      </c>
      <c r="BT148">
        <v>1.9273068755865101E-2</v>
      </c>
      <c r="BU148" s="2">
        <v>3.1594811389368298E-6</v>
      </c>
      <c r="BV148" s="2">
        <v>4.2191241611533298E-9</v>
      </c>
      <c r="BW148" s="2">
        <v>6.1242047877385604E-8</v>
      </c>
      <c r="BX148" s="2">
        <v>5.09000042114849E-9</v>
      </c>
      <c r="BY148">
        <v>74.753128051757798</v>
      </c>
      <c r="BZ148">
        <v>-50.449748992919901</v>
      </c>
      <c r="CA148" s="2">
        <v>3.4028230607370999E+38</v>
      </c>
      <c r="CB148" s="2">
        <v>3.4028230607370999E+38</v>
      </c>
      <c r="CC148">
        <v>460.026611328125</v>
      </c>
      <c r="CD148">
        <v>460.0263671875</v>
      </c>
      <c r="CE148">
        <v>2.6411755010485601E-2</v>
      </c>
      <c r="CF148" s="2">
        <v>3.4028230607370999E+38</v>
      </c>
      <c r="CG148" s="2">
        <v>3.4028230607370999E+38</v>
      </c>
      <c r="CH148">
        <v>230.00267028808599</v>
      </c>
      <c r="CI148">
        <v>2.0001053810119598</v>
      </c>
      <c r="CJ148">
        <v>460.02963256835898</v>
      </c>
      <c r="CK148">
        <v>460.029296875</v>
      </c>
      <c r="CL148">
        <v>2.7802379801869399E-2</v>
      </c>
      <c r="CM148">
        <v>49.999885559082003</v>
      </c>
      <c r="CN148">
        <v>-3.2148442696780001E-3</v>
      </c>
      <c r="CO148">
        <v>1.4928962104022499E-2</v>
      </c>
      <c r="CP148" s="2">
        <v>3.37686060447595E-6</v>
      </c>
      <c r="CQ148" s="2">
        <v>1.71098502033118E-9</v>
      </c>
      <c r="CR148" s="2">
        <v>5.0435080112265502E-8</v>
      </c>
      <c r="CS148" s="2">
        <v>1.9719162414055799E-10</v>
      </c>
      <c r="CT148">
        <v>74.786758422851605</v>
      </c>
      <c r="CU148">
        <v>-5.6802878379821804</v>
      </c>
      <c r="CV148">
        <v>1.6192739829420998E-2</v>
      </c>
      <c r="CW148" s="2">
        <v>3.04015202345909E-6</v>
      </c>
      <c r="CX148" s="2">
        <v>2.1714228193303602E-9</v>
      </c>
      <c r="CY148" s="2">
        <v>4.92140834751353E-8</v>
      </c>
      <c r="CZ148" s="2">
        <v>2.28894236897759E-9</v>
      </c>
      <c r="DA148">
        <v>74.782058715820298</v>
      </c>
      <c r="DB148">
        <v>-56.078121185302699</v>
      </c>
      <c r="DC148" s="2">
        <v>3.4028230607370999E+38</v>
      </c>
      <c r="DD148" s="2">
        <v>3.4028230607370999E+38</v>
      </c>
      <c r="DE148">
        <v>460.02963256835898</v>
      </c>
      <c r="DF148">
        <v>460.029296875</v>
      </c>
      <c r="DG148">
        <v>2.78023816645145E-2</v>
      </c>
      <c r="DH148" s="2">
        <v>3.4028230607370999E+38</v>
      </c>
      <c r="DI148" s="2">
        <v>3.4028230607370999E+38</v>
      </c>
      <c r="DJ148">
        <v>230.00193786621099</v>
      </c>
      <c r="DK148">
        <v>2.0001094341278098</v>
      </c>
      <c r="DL148">
        <v>460.02850341796898</v>
      </c>
      <c r="DM148">
        <v>460.02810668945301</v>
      </c>
      <c r="DN148">
        <v>2.73963995277882E-2</v>
      </c>
      <c r="DO148">
        <v>49.999889373779297</v>
      </c>
      <c r="DP148">
        <v>-3.4121756907552498E-3</v>
      </c>
      <c r="DQ148">
        <v>1.5239093452692001E-2</v>
      </c>
      <c r="DR148" s="2">
        <v>3.4180447983089801E-6</v>
      </c>
      <c r="DS148" s="2">
        <v>2.3308519558895602E-9</v>
      </c>
      <c r="DT148" s="2">
        <v>5.2063114708289504E-8</v>
      </c>
      <c r="DU148" s="2">
        <v>1.3553561606372E-9</v>
      </c>
      <c r="DV148">
        <v>74.850807189941406</v>
      </c>
      <c r="DW148">
        <v>-11.3490142822266</v>
      </c>
      <c r="DX148">
        <v>1.6480775550007799E-2</v>
      </c>
      <c r="DY148" s="2">
        <v>3.1416991532751101E-6</v>
      </c>
      <c r="DZ148" s="2">
        <v>2.5610751297477902E-9</v>
      </c>
      <c r="EA148" s="2">
        <v>5.1116984423060798E-8</v>
      </c>
      <c r="EB148" s="2">
        <v>2.78918332874412E-9</v>
      </c>
      <c r="EC148">
        <v>74.761695861816406</v>
      </c>
      <c r="ED148">
        <v>-54.641868591308601</v>
      </c>
      <c r="EE148" s="2">
        <v>3.4028230607370999E+38</v>
      </c>
      <c r="EF148" s="2">
        <v>3.4028230607370999E+38</v>
      </c>
      <c r="EG148">
        <v>460.02850341796898</v>
      </c>
      <c r="EH148">
        <v>460.02810668945301</v>
      </c>
      <c r="EI148">
        <v>2.7396403253078499E-2</v>
      </c>
      <c r="EJ148" s="2">
        <v>3.4028230607370999E+38</v>
      </c>
      <c r="EK148" s="2">
        <v>3.4028230607370999E+38</v>
      </c>
      <c r="EL148">
        <v>123</v>
      </c>
      <c r="EM148">
        <v>230.00207519531199</v>
      </c>
      <c r="EN148">
        <v>2.0001158714294398</v>
      </c>
      <c r="EO148">
        <v>460.03042602539102</v>
      </c>
      <c r="EP148">
        <v>460.03015136718801</v>
      </c>
      <c r="EQ148">
        <v>2.74612214416265E-2</v>
      </c>
      <c r="ER148">
        <v>49.999885559082003</v>
      </c>
      <c r="ES148">
        <v>-3.5030725412070799E-3</v>
      </c>
      <c r="ET148">
        <v>1</v>
      </c>
      <c r="EU148" s="2">
        <v>3.4028230607370999E+38</v>
      </c>
      <c r="EV148">
        <v>0</v>
      </c>
      <c r="EW148">
        <v>230.00115966796901</v>
      </c>
      <c r="EX148">
        <v>460.02349853515602</v>
      </c>
      <c r="EY148">
        <v>460.023193359375</v>
      </c>
      <c r="EZ148">
        <v>3.6343134939670597E-2</v>
      </c>
      <c r="FA148">
        <v>-6.9266656646504998E-4</v>
      </c>
      <c r="FB148">
        <v>1.46867856383324E-2</v>
      </c>
      <c r="FC148" s="2">
        <v>3.4332954328419899E-6</v>
      </c>
      <c r="FD148" s="2">
        <v>1.5197516578524499E-9</v>
      </c>
      <c r="FE148" s="2">
        <v>5.0417984454043101E-8</v>
      </c>
      <c r="FF148" s="2">
        <v>6.2590188587563499E-10</v>
      </c>
      <c r="FG148">
        <v>74.752296447753906</v>
      </c>
      <c r="FH148">
        <v>-14.9598550796509</v>
      </c>
      <c r="FI148">
        <v>5.446432903409E-2</v>
      </c>
      <c r="FJ148" s="2">
        <v>3.4028230607370999E+38</v>
      </c>
      <c r="FK148">
        <v>-40.737197875976598</v>
      </c>
      <c r="FL148">
        <v>2.00737416744232E-2</v>
      </c>
      <c r="FM148">
        <v>0</v>
      </c>
      <c r="FN148">
        <v>0</v>
      </c>
      <c r="FO148">
        <v>0</v>
      </c>
      <c r="FP148" s="2">
        <v>-1.4012826795806201E-5</v>
      </c>
      <c r="FQ148">
        <v>1.54839958995581E-2</v>
      </c>
      <c r="FR148" s="2">
        <v>2.99272437587206E-6</v>
      </c>
      <c r="FS148" s="2">
        <v>1.53664314606061E-9</v>
      </c>
      <c r="FT148" s="2">
        <v>4.9005137725543999E-8</v>
      </c>
      <c r="FU148" s="2">
        <v>9.7234020834946498E-10</v>
      </c>
      <c r="FV148">
        <v>74.736869812011705</v>
      </c>
      <c r="FW148">
        <v>-32.3243598937988</v>
      </c>
      <c r="FX148">
        <v>2.86478959023952E-2</v>
      </c>
      <c r="FY148" s="2">
        <v>3.4028230607370999E+38</v>
      </c>
      <c r="FZ148">
        <v>61.669937133789098</v>
      </c>
      <c r="GA148">
        <v>229.09321594238301</v>
      </c>
      <c r="GB148" s="2">
        <v>6.3842764408406104E-10</v>
      </c>
      <c r="GC148">
        <v>7.1941694477573005E-4</v>
      </c>
      <c r="GD148" s="2">
        <v>7.3256667398879896E-10</v>
      </c>
      <c r="GE148" s="2">
        <v>-1.7775833839550601E-5</v>
      </c>
      <c r="GF148" s="2">
        <v>3.4028230607370999E+38</v>
      </c>
      <c r="GG148" s="2">
        <v>3.4028230607370999E+38</v>
      </c>
      <c r="GH148">
        <v>460.03317260742199</v>
      </c>
      <c r="GI148">
        <v>460.032958984375</v>
      </c>
      <c r="GJ148">
        <v>2.9551295563578599E-2</v>
      </c>
      <c r="GK148" s="2">
        <v>3.4028230607370999E+38</v>
      </c>
      <c r="GL148" s="2">
        <v>3.4028230607370999E+38</v>
      </c>
      <c r="GM148" s="2">
        <v>3.4028230607370999E+38</v>
      </c>
      <c r="GN148" s="2">
        <v>3.4028230607370999E+38</v>
      </c>
      <c r="GO148" s="2">
        <v>3.4028230607370999E+38</v>
      </c>
      <c r="GP148" s="2">
        <v>3.4028230607370999E+38</v>
      </c>
      <c r="GQ148">
        <v>460.031982421875</v>
      </c>
      <c r="GR148">
        <v>460.03201293945301</v>
      </c>
      <c r="GS148">
        <v>3.2966963946819298E-2</v>
      </c>
      <c r="GT148">
        <v>-1.02946964034345E-4</v>
      </c>
      <c r="GX148">
        <f t="shared" si="15"/>
        <v>230.00204467773438</v>
      </c>
      <c r="GY148">
        <f t="shared" si="16"/>
        <v>2.0001057147979737</v>
      </c>
      <c r="GZ148">
        <f t="shared" si="17"/>
        <v>460.02835083007795</v>
      </c>
      <c r="HA148">
        <f t="shared" si="18"/>
        <v>460.02854614257819</v>
      </c>
      <c r="HB148">
        <f t="shared" si="19"/>
        <v>2.7405857294797914E-2</v>
      </c>
      <c r="HC148">
        <f t="shared" si="20"/>
        <v>49.999932861328119</v>
      </c>
      <c r="HD148">
        <f t="shared" si="21"/>
        <v>-3.3733898308128119E-3</v>
      </c>
      <c r="HW148" s="10">
        <f>(GX148/Data!$S148-1)*1000000</f>
        <v>23.402416725826214</v>
      </c>
      <c r="HX148" s="10">
        <f>(GY148/Data!$T148-1)*1000000</f>
        <v>12.710388709313847</v>
      </c>
      <c r="HY148" s="10">
        <f>(GZ148/Data!$BW148-1)*1000000</f>
        <v>35.992620843749989</v>
      </c>
      <c r="HZ148" s="10">
        <f>(HA148/(Data!$S148*Data!$T148)-1)*1000000</f>
        <v>36.422154581661204</v>
      </c>
      <c r="IA148" s="7">
        <f>(HB148/IF(HD148&gt;0, -Data!$BX148,Data!$BX148)-1)*1000000</f>
        <v>429189.10460559535</v>
      </c>
      <c r="IB148" s="10"/>
      <c r="IC148" s="9">
        <f>(HD148-Data!$U148)</f>
        <v>-9.8498883081281179E-4</v>
      </c>
    </row>
    <row r="149" spans="1:237" x14ac:dyDescent="0.2">
      <c r="A149">
        <v>149</v>
      </c>
      <c r="B149">
        <v>230.00209045410199</v>
      </c>
      <c r="C149">
        <v>2.00013327598572</v>
      </c>
      <c r="D149">
        <v>229.99423217773401</v>
      </c>
      <c r="E149">
        <v>460.03454589843801</v>
      </c>
      <c r="F149">
        <v>398.41604614257801</v>
      </c>
      <c r="G149">
        <v>49.999973297119098</v>
      </c>
      <c r="H149">
        <v>-60.003726959228501</v>
      </c>
      <c r="I149">
        <v>1.47271119058132E-2</v>
      </c>
      <c r="J149" s="2">
        <v>3.4098968626494799E-6</v>
      </c>
      <c r="K149" s="2">
        <v>1.7708445820829901E-9</v>
      </c>
      <c r="L149" s="2">
        <v>4.9800046753034602E-8</v>
      </c>
      <c r="M149" s="2">
        <v>1.47532774885661E-9</v>
      </c>
      <c r="N149">
        <v>74.714340209960895</v>
      </c>
      <c r="O149">
        <v>-57.500839233398402</v>
      </c>
      <c r="P149">
        <v>1.5872512012720101E-2</v>
      </c>
      <c r="Q149" s="2">
        <v>3.1465551728615499E-6</v>
      </c>
      <c r="R149" s="2">
        <v>1.39948819199986E-9</v>
      </c>
      <c r="S149" s="2">
        <v>4.58153621707424E-8</v>
      </c>
      <c r="T149" s="2">
        <v>4.9523135592366399E-10</v>
      </c>
      <c r="U149">
        <v>74.780792236328097</v>
      </c>
      <c r="V149">
        <v>-51.863193511962898</v>
      </c>
      <c r="W149" s="2">
        <v>3.4028230607370999E+38</v>
      </c>
      <c r="X149" s="2">
        <v>3.4028230607370999E+38</v>
      </c>
      <c r="Y149">
        <v>229.99423217773401</v>
      </c>
      <c r="Z149">
        <v>460.03454589843801</v>
      </c>
      <c r="AA149">
        <v>398.41604614257801</v>
      </c>
      <c r="AB149" s="2">
        <v>3.4028230607370999E+38</v>
      </c>
      <c r="AC149" s="2">
        <v>3.4028230607370999E+38</v>
      </c>
      <c r="AD149">
        <v>230.00224304199199</v>
      </c>
      <c r="AE149">
        <v>2.0000967979431201</v>
      </c>
      <c r="AF149">
        <v>229.99044799804699</v>
      </c>
      <c r="AG149">
        <v>460.02914428710898</v>
      </c>
      <c r="AH149">
        <v>398.41152954101602</v>
      </c>
      <c r="AI149">
        <v>49.999935150146499</v>
      </c>
      <c r="AJ149">
        <v>-60.0033569335938</v>
      </c>
      <c r="AK149">
        <v>1.7695650458335901E-2</v>
      </c>
      <c r="AL149" s="2">
        <v>3.42654288942867E-6</v>
      </c>
      <c r="AM149" s="2">
        <v>4.9641748489648299E-9</v>
      </c>
      <c r="AN149" s="2">
        <v>6.0942809909647595E-8</v>
      </c>
      <c r="AO149" s="2">
        <v>2.6482078752110299E-9</v>
      </c>
      <c r="AP149">
        <v>74.820068359375</v>
      </c>
      <c r="AQ149">
        <v>-28.386110305786101</v>
      </c>
      <c r="AR149">
        <v>1.97008717805147E-2</v>
      </c>
      <c r="AS149" s="2">
        <v>3.09455640490341E-6</v>
      </c>
      <c r="AT149" s="2">
        <v>7.1883615726520103E-10</v>
      </c>
      <c r="AU149" s="2">
        <v>6.1057598088609706E-8</v>
      </c>
      <c r="AV149" s="2">
        <v>4.9726307516095899E-9</v>
      </c>
      <c r="AW149">
        <v>74.763084411621094</v>
      </c>
      <c r="AX149">
        <v>-67.095283508300795</v>
      </c>
      <c r="AY149" s="2">
        <v>3.4028230607370999E+38</v>
      </c>
      <c r="AZ149" s="2">
        <v>3.4028230607370999E+38</v>
      </c>
      <c r="BA149">
        <v>229.99044799804699</v>
      </c>
      <c r="BB149">
        <v>460.02914428710898</v>
      </c>
      <c r="BC149">
        <v>398.41152954101602</v>
      </c>
      <c r="BD149" s="2">
        <v>3.4028230607370999E+38</v>
      </c>
      <c r="BE149" s="2">
        <v>3.4028230607370999E+38</v>
      </c>
      <c r="BF149">
        <v>230.00189208984401</v>
      </c>
      <c r="BG149">
        <v>2.0001072883606001</v>
      </c>
      <c r="BH149">
        <v>229.99026489257801</v>
      </c>
      <c r="BI149">
        <v>460.02886962890602</v>
      </c>
      <c r="BJ149">
        <v>398.41119384765602</v>
      </c>
      <c r="BK149">
        <v>49.999946594238303</v>
      </c>
      <c r="BL149">
        <v>-60.003726959228501</v>
      </c>
      <c r="BM149">
        <v>1.70655064284801E-2</v>
      </c>
      <c r="BN149" s="2">
        <v>3.3568892376933899E-6</v>
      </c>
      <c r="BO149" s="2">
        <v>2.5215094456854099E-9</v>
      </c>
      <c r="BP149" s="2">
        <v>5.71843514762804E-8</v>
      </c>
      <c r="BQ149" s="2">
        <v>3.8872185470495399E-9</v>
      </c>
      <c r="BR149">
        <v>74.802391052246094</v>
      </c>
      <c r="BS149">
        <v>-54.667758941650398</v>
      </c>
      <c r="BT149">
        <v>1.87006108462811E-2</v>
      </c>
      <c r="BU149" s="2">
        <v>3.06803372041031E-6</v>
      </c>
      <c r="BV149" s="2">
        <v>1.4227706790492799E-9</v>
      </c>
      <c r="BW149" s="2">
        <v>5.84542441117719E-8</v>
      </c>
      <c r="BX149" s="2">
        <v>3.5211646931543299E-9</v>
      </c>
      <c r="BY149">
        <v>74.784957885742202</v>
      </c>
      <c r="BZ149">
        <v>-60.39453125</v>
      </c>
      <c r="CA149" s="2">
        <v>3.4028230607370999E+38</v>
      </c>
      <c r="CB149" s="2">
        <v>3.4028230607370999E+38</v>
      </c>
      <c r="CC149">
        <v>229.99026489257801</v>
      </c>
      <c r="CD149">
        <v>460.02886962890602</v>
      </c>
      <c r="CE149">
        <v>398.41119384765602</v>
      </c>
      <c r="CF149" s="2">
        <v>3.4028230607370999E+38</v>
      </c>
      <c r="CG149" s="2">
        <v>3.4028230607370999E+38</v>
      </c>
      <c r="CH149">
        <v>230.00172424316401</v>
      </c>
      <c r="CI149">
        <v>2.0001034736633301</v>
      </c>
      <c r="CJ149">
        <v>229.99198913574199</v>
      </c>
      <c r="CK149">
        <v>460.02697753906199</v>
      </c>
      <c r="CL149">
        <v>398.41079711914102</v>
      </c>
      <c r="CM149">
        <v>49.999954223632798</v>
      </c>
      <c r="CN149">
        <v>-60.003303527832003</v>
      </c>
      <c r="CO149">
        <v>1.6805164515972099E-2</v>
      </c>
      <c r="CP149" s="2">
        <v>3.36360903929744E-6</v>
      </c>
      <c r="CQ149" s="2">
        <v>2.3815991401221502E-9</v>
      </c>
      <c r="CR149" s="2">
        <v>5.7541242881598003E-8</v>
      </c>
      <c r="CS149" s="2">
        <v>2.9604312334896601E-9</v>
      </c>
      <c r="CT149">
        <v>74.833396911621094</v>
      </c>
      <c r="CU149">
        <v>-51.184135437011697</v>
      </c>
      <c r="CV149">
        <v>1.8717782571911801E-2</v>
      </c>
      <c r="CW149" s="2">
        <v>3.13138048113615E-6</v>
      </c>
      <c r="CX149" s="2">
        <v>9.4853014331874895E-10</v>
      </c>
      <c r="CY149" s="2">
        <v>5.5495480211220598E-8</v>
      </c>
      <c r="CZ149" s="2">
        <v>3.4662697157017398E-9</v>
      </c>
      <c r="DA149">
        <v>74.713310241699205</v>
      </c>
      <c r="DB149">
        <v>-73.259880065917997</v>
      </c>
      <c r="DC149" s="2">
        <v>3.4028230607370999E+38</v>
      </c>
      <c r="DD149" s="2">
        <v>3.4028230607370999E+38</v>
      </c>
      <c r="DE149">
        <v>229.99198913574199</v>
      </c>
      <c r="DF149">
        <v>460.02697753906199</v>
      </c>
      <c r="DG149">
        <v>398.41079711914102</v>
      </c>
      <c r="DH149" s="2">
        <v>3.4028230607370999E+38</v>
      </c>
      <c r="DI149" s="2">
        <v>3.4028230607370999E+38</v>
      </c>
      <c r="DJ149">
        <v>230.00247192382801</v>
      </c>
      <c r="DK149">
        <v>2.0001075267791699</v>
      </c>
      <c r="DL149">
        <v>229.99044799804699</v>
      </c>
      <c r="DM149">
        <v>460.02600097656199</v>
      </c>
      <c r="DN149">
        <v>398.40835571289102</v>
      </c>
      <c r="DO149">
        <v>49.999885559082003</v>
      </c>
      <c r="DP149">
        <v>-60.003330230712898</v>
      </c>
      <c r="DQ149">
        <v>1.76067259162664E-2</v>
      </c>
      <c r="DR149" s="2">
        <v>3.35326944878034E-6</v>
      </c>
      <c r="DS149" s="2">
        <v>5.1332262884784499E-9</v>
      </c>
      <c r="DT149" s="2">
        <v>5.9468113988714302E-8</v>
      </c>
      <c r="DU149" s="2">
        <v>3.55470941570957E-9</v>
      </c>
      <c r="DV149">
        <v>74.760955810546903</v>
      </c>
      <c r="DW149">
        <v>-46.669399261474602</v>
      </c>
      <c r="DX149">
        <v>1.9430594518780701E-2</v>
      </c>
      <c r="DY149" s="2">
        <v>3.1068852877069701E-6</v>
      </c>
      <c r="DZ149" s="2">
        <v>3.23340132446504E-9</v>
      </c>
      <c r="EA149" s="2">
        <v>6.0531746726155702E-8</v>
      </c>
      <c r="EB149" s="2">
        <v>4.9898583043273001E-9</v>
      </c>
      <c r="EC149">
        <v>74.758316040039105</v>
      </c>
      <c r="ED149">
        <v>-70.209632873535199</v>
      </c>
      <c r="EE149" s="2">
        <v>3.4028230607370999E+38</v>
      </c>
      <c r="EF149" s="2">
        <v>3.4028230607370999E+38</v>
      </c>
      <c r="EG149">
        <v>229.99044799804699</v>
      </c>
      <c r="EH149">
        <v>460.02600097656199</v>
      </c>
      <c r="EI149">
        <v>398.40835571289102</v>
      </c>
      <c r="EJ149" s="2">
        <v>3.4028230607370999E+38</v>
      </c>
      <c r="EK149" s="2">
        <v>3.4028230607370999E+38</v>
      </c>
      <c r="EL149">
        <v>123</v>
      </c>
      <c r="EM149">
        <v>230.00193786621099</v>
      </c>
      <c r="EN149">
        <v>2.0001239776611301</v>
      </c>
      <c r="EO149">
        <v>229.991455078125</v>
      </c>
      <c r="EP149">
        <v>460.03125</v>
      </c>
      <c r="EQ149">
        <v>398.41436767578102</v>
      </c>
      <c r="ER149">
        <v>49.999874114990199</v>
      </c>
      <c r="ES149">
        <v>-60.0034790039062</v>
      </c>
      <c r="ET149">
        <v>0.49994754791259799</v>
      </c>
      <c r="EU149" s="2">
        <v>3.4028230607370999E+38</v>
      </c>
      <c r="EV149">
        <v>0</v>
      </c>
      <c r="EW149">
        <v>230.00140380859401</v>
      </c>
      <c r="EX149">
        <v>229.97294616699199</v>
      </c>
      <c r="EY149">
        <v>460.02316284179699</v>
      </c>
      <c r="EZ149">
        <v>398.40560913085898</v>
      </c>
      <c r="FA149">
        <v>-1.61795015446842E-3</v>
      </c>
      <c r="FB149">
        <v>1.66822485625744E-2</v>
      </c>
      <c r="FC149" s="2">
        <v>3.3853996228572201E-6</v>
      </c>
      <c r="FD149" s="2">
        <v>3.4216178779189502E-9</v>
      </c>
      <c r="FE149" s="2">
        <v>5.6475489174090399E-8</v>
      </c>
      <c r="FF149" s="2">
        <v>3.5333656001057501E-9</v>
      </c>
      <c r="FG149">
        <v>74.733131408691406</v>
      </c>
      <c r="FH149">
        <v>-68.669631958007798</v>
      </c>
      <c r="FI149">
        <v>2.46868450194597E-2</v>
      </c>
      <c r="FJ149" s="2">
        <v>3.4028230607370999E+38</v>
      </c>
      <c r="FK149">
        <v>38.735496520996101</v>
      </c>
      <c r="FL149">
        <v>2.0528567954897901E-2</v>
      </c>
      <c r="FM149">
        <v>0</v>
      </c>
      <c r="FN149">
        <v>0</v>
      </c>
      <c r="FO149">
        <v>0</v>
      </c>
      <c r="FP149" s="2">
        <v>3.5825123632093898E-5</v>
      </c>
      <c r="FQ149">
        <v>1.7548924311995499E-2</v>
      </c>
      <c r="FR149" s="2">
        <v>3.01827708426572E-6</v>
      </c>
      <c r="FS149" s="2">
        <v>8.6176821234573698E-10</v>
      </c>
      <c r="FT149" s="2">
        <v>5.2754199231230801E-8</v>
      </c>
      <c r="FU149" s="2">
        <v>2.3448201158515799E-9</v>
      </c>
      <c r="FV149">
        <v>74.747619628906193</v>
      </c>
      <c r="FW149">
        <v>-97.513000488281193</v>
      </c>
      <c r="FX149">
        <v>-5.8619487099349499E-3</v>
      </c>
      <c r="FY149" s="2">
        <v>3.4028230607370999E+38</v>
      </c>
      <c r="FZ149">
        <v>-55.471389770507798</v>
      </c>
      <c r="GA149">
        <v>229.18479919433599</v>
      </c>
      <c r="GB149" s="2">
        <v>-7.6200573628781895E-10</v>
      </c>
      <c r="GC149">
        <v>6.9703528424724904E-4</v>
      </c>
      <c r="GD149" s="2">
        <v>1.9697027342502299E-10</v>
      </c>
      <c r="GE149" s="2">
        <v>-3.0474369850708199E-5</v>
      </c>
      <c r="GF149" s="2">
        <v>3.4028230607370999E+38</v>
      </c>
      <c r="GG149" s="2">
        <v>3.4028230607370999E+38</v>
      </c>
      <c r="GH149">
        <v>229.99124145507801</v>
      </c>
      <c r="GI149">
        <v>460.02957153320301</v>
      </c>
      <c r="GJ149">
        <v>398.41238403320301</v>
      </c>
      <c r="GK149" s="2">
        <v>3.4028230607370999E+38</v>
      </c>
      <c r="GL149" s="2">
        <v>3.4028230607370999E+38</v>
      </c>
      <c r="GM149" s="2">
        <v>3.4028230607370999E+38</v>
      </c>
      <c r="GN149" s="2">
        <v>3.4028230607370999E+38</v>
      </c>
      <c r="GO149" s="2">
        <v>3.4028230607370999E+38</v>
      </c>
      <c r="GP149" s="2">
        <v>3.4028230607370999E+38</v>
      </c>
      <c r="GQ149">
        <v>229.97953796386699</v>
      </c>
      <c r="GR149">
        <v>229.97953796386699</v>
      </c>
      <c r="GS149">
        <v>398.4091796875</v>
      </c>
      <c r="GT149">
        <v>-5.3730310173705199E-4</v>
      </c>
      <c r="GX149">
        <f t="shared" si="15"/>
        <v>230.00208435058602</v>
      </c>
      <c r="GY149">
        <f t="shared" si="16"/>
        <v>2.0001096725463876</v>
      </c>
      <c r="GZ149">
        <f t="shared" si="17"/>
        <v>229.99147644042961</v>
      </c>
      <c r="HA149">
        <f t="shared" si="18"/>
        <v>460.02910766601542</v>
      </c>
      <c r="HB149">
        <f t="shared" si="19"/>
        <v>398.41158447265644</v>
      </c>
      <c r="HC149">
        <f t="shared" si="20"/>
        <v>49.999938964843743</v>
      </c>
      <c r="HD149">
        <f t="shared" si="21"/>
        <v>-60.003488922119139</v>
      </c>
      <c r="HW149" s="10">
        <f>(GX149/Data!$S149-1)*1000000</f>
        <v>23.020106457272149</v>
      </c>
      <c r="HX149" s="10">
        <f>(GY149/Data!$T149-1)*1000000</f>
        <v>51.198586958900449</v>
      </c>
      <c r="HY149" s="10">
        <f>(GZ149/Data!$BW149-1)*1000000</f>
        <v>-32.819093806812916</v>
      </c>
      <c r="HZ149" s="10">
        <f>(HA149/(Data!$S149*Data!$T149)-1)*1000000</f>
        <v>73.598236419947227</v>
      </c>
      <c r="IA149" s="7">
        <f>(HB149/IF(HD149&gt;0, -Data!$BX149,Data!$BX149)-1)*1000000</f>
        <v>112.49425397652502</v>
      </c>
      <c r="IB149" s="10"/>
      <c r="IC149" s="9">
        <f>(HD149-Data!$U149)</f>
        <v>-3.6898421191366992E-3</v>
      </c>
    </row>
    <row r="150" spans="1:237" x14ac:dyDescent="0.2">
      <c r="A150">
        <v>150</v>
      </c>
      <c r="B150">
        <v>230.00224304199199</v>
      </c>
      <c r="C150">
        <v>2.0001106262207</v>
      </c>
      <c r="D150">
        <v>229.988037109375</v>
      </c>
      <c r="E150">
        <v>460.02966308593801</v>
      </c>
      <c r="F150">
        <v>398.41363525390602</v>
      </c>
      <c r="G150">
        <v>49.999958038330099</v>
      </c>
      <c r="H150">
        <v>-60.003440856933601</v>
      </c>
      <c r="I150">
        <v>1.59239955246449E-2</v>
      </c>
      <c r="J150" s="2">
        <v>3.4031309041893101E-6</v>
      </c>
      <c r="K150" s="2">
        <v>2.5282356208577998E-9</v>
      </c>
      <c r="L150" s="2">
        <v>5.4301985130678103E-8</v>
      </c>
      <c r="M150" s="2">
        <v>1.2217589162588601E-9</v>
      </c>
      <c r="N150">
        <v>74.798507690429702</v>
      </c>
      <c r="O150">
        <v>-24.792869567871101</v>
      </c>
      <c r="P150">
        <v>1.70685667544603E-2</v>
      </c>
      <c r="Q150" s="2">
        <v>3.12606016450445E-6</v>
      </c>
      <c r="R150" s="2">
        <v>1.9434478470969899E-9</v>
      </c>
      <c r="S150" s="2">
        <v>5.2848797338356202E-8</v>
      </c>
      <c r="T150" s="2">
        <v>2.1429455987487199E-9</v>
      </c>
      <c r="U150">
        <v>74.836959838867202</v>
      </c>
      <c r="V150">
        <v>-68.835502624511705</v>
      </c>
      <c r="W150" s="2">
        <v>3.4028230607370999E+38</v>
      </c>
      <c r="X150" s="2">
        <v>3.4028230607370999E+38</v>
      </c>
      <c r="Y150">
        <v>229.988037109375</v>
      </c>
      <c r="Z150">
        <v>460.02966308593801</v>
      </c>
      <c r="AA150">
        <v>398.41363525390602</v>
      </c>
      <c r="AB150" s="2">
        <v>3.4028230607370999E+38</v>
      </c>
      <c r="AC150" s="2">
        <v>3.4028230607370999E+38</v>
      </c>
      <c r="AD150">
        <v>230.00230407714801</v>
      </c>
      <c r="AE150">
        <v>2.0001156330108598</v>
      </c>
      <c r="AF150">
        <v>229.99319458007801</v>
      </c>
      <c r="AG150">
        <v>460.03097534179699</v>
      </c>
      <c r="AH150">
        <v>398.41162109375</v>
      </c>
      <c r="AI150">
        <v>49.9998779296875</v>
      </c>
      <c r="AJ150">
        <v>-60.003288269042997</v>
      </c>
      <c r="AK150">
        <v>1.7715167254209501E-2</v>
      </c>
      <c r="AL150" s="2">
        <v>3.4593299460539099E-6</v>
      </c>
      <c r="AM150" s="2">
        <v>4.0930840938813204E-9</v>
      </c>
      <c r="AN150" s="2">
        <v>6.1261069106421902E-8</v>
      </c>
      <c r="AO150" s="2">
        <v>2.7924569323545302E-9</v>
      </c>
      <c r="AP150">
        <v>74.630378723144503</v>
      </c>
      <c r="AQ150">
        <v>-31.8733005523682</v>
      </c>
      <c r="AR150">
        <v>1.9643114879727398E-2</v>
      </c>
      <c r="AS150" s="2">
        <v>3.0675844300276401E-6</v>
      </c>
      <c r="AT150" s="2">
        <v>1.51029200257113E-9</v>
      </c>
      <c r="AU150" s="2">
        <v>6.1799944717222401E-8</v>
      </c>
      <c r="AV150" s="2">
        <v>5.5778794916250304E-9</v>
      </c>
      <c r="AW150">
        <v>74.8514404296875</v>
      </c>
      <c r="AX150">
        <v>-70.866546630859403</v>
      </c>
      <c r="AY150" s="2">
        <v>3.4028230607370999E+38</v>
      </c>
      <c r="AZ150" s="2">
        <v>3.4028230607370999E+38</v>
      </c>
      <c r="BA150">
        <v>229.99319458007801</v>
      </c>
      <c r="BB150">
        <v>460.03097534179699</v>
      </c>
      <c r="BC150">
        <v>398.41162109375</v>
      </c>
      <c r="BD150" s="2">
        <v>3.4028230607370999E+38</v>
      </c>
      <c r="BE150" s="2">
        <v>3.4028230607370999E+38</v>
      </c>
      <c r="BF150">
        <v>230.00177001953099</v>
      </c>
      <c r="BG150">
        <v>2.0001082420349099</v>
      </c>
      <c r="BH150">
        <v>229.99140930175801</v>
      </c>
      <c r="BI150">
        <v>460.02838134765602</v>
      </c>
      <c r="BJ150">
        <v>398.40847778320301</v>
      </c>
      <c r="BK150">
        <v>50</v>
      </c>
      <c r="BL150">
        <v>-60.003055572509801</v>
      </c>
      <c r="BM150">
        <v>1.77732221782207E-2</v>
      </c>
      <c r="BN150" s="2">
        <v>3.3489061479485801E-6</v>
      </c>
      <c r="BO150" s="2">
        <v>3.8862624229807402E-9</v>
      </c>
      <c r="BP150" s="2">
        <v>6.0608826402130904E-8</v>
      </c>
      <c r="BQ150" s="2">
        <v>3.3675633392960001E-9</v>
      </c>
      <c r="BR150">
        <v>74.770057678222699</v>
      </c>
      <c r="BS150">
        <v>-42.756980895996101</v>
      </c>
      <c r="BT150">
        <v>2.0081195980310398E-2</v>
      </c>
      <c r="BU150" s="2">
        <v>3.12286465486977E-6</v>
      </c>
      <c r="BV150" s="2">
        <v>2.2697232981982998E-9</v>
      </c>
      <c r="BW150" s="2">
        <v>5.9498436399962897E-8</v>
      </c>
      <c r="BX150" s="2">
        <v>4.8542752040248202E-9</v>
      </c>
      <c r="BY150">
        <v>74.763351440429702</v>
      </c>
      <c r="BZ150">
        <v>-64.940544128417997</v>
      </c>
      <c r="CA150" s="2">
        <v>3.4028230607370999E+38</v>
      </c>
      <c r="CB150" s="2">
        <v>3.4028230607370999E+38</v>
      </c>
      <c r="CC150">
        <v>229.99140930175801</v>
      </c>
      <c r="CD150">
        <v>460.02838134765602</v>
      </c>
      <c r="CE150">
        <v>398.40847778320301</v>
      </c>
      <c r="CF150" s="2">
        <v>3.4028230607370999E+38</v>
      </c>
      <c r="CG150" s="2">
        <v>3.4028230607370999E+38</v>
      </c>
      <c r="CH150">
        <v>230.00218200683599</v>
      </c>
      <c r="CI150">
        <v>2.0001087188720699</v>
      </c>
      <c r="CJ150">
        <v>229.98974609375</v>
      </c>
      <c r="CK150">
        <v>460.02914428710898</v>
      </c>
      <c r="CL150">
        <v>398.41265869140602</v>
      </c>
      <c r="CM150">
        <v>49.999904632568402</v>
      </c>
      <c r="CN150">
        <v>-60.003673553466797</v>
      </c>
      <c r="CO150">
        <v>1.43285235390067E-2</v>
      </c>
      <c r="CP150" s="2">
        <v>3.44938007401652E-6</v>
      </c>
      <c r="CQ150" s="2">
        <v>1.73218106525042E-9</v>
      </c>
      <c r="CR150" s="2">
        <v>4.8605144797875301E-8</v>
      </c>
      <c r="CS150" s="2">
        <v>1.0384280102471199E-9</v>
      </c>
      <c r="CT150">
        <v>74.835205078125</v>
      </c>
      <c r="CU150">
        <v>-30.942333221435501</v>
      </c>
      <c r="CV150">
        <v>1.49507615715265E-2</v>
      </c>
      <c r="CW150" s="2">
        <v>3.1407976166519802E-6</v>
      </c>
      <c r="CX150" s="2">
        <v>1.175922914598E-9</v>
      </c>
      <c r="CY150" s="2">
        <v>4.71508130317488E-8</v>
      </c>
      <c r="CZ150" s="2">
        <v>9.0507318306620701E-10</v>
      </c>
      <c r="DA150">
        <v>74.704895019531193</v>
      </c>
      <c r="DB150">
        <v>-47.196414947509801</v>
      </c>
      <c r="DC150" s="2">
        <v>3.4028230607370999E+38</v>
      </c>
      <c r="DD150" s="2">
        <v>3.4028230607370999E+38</v>
      </c>
      <c r="DE150">
        <v>229.98974609375</v>
      </c>
      <c r="DF150">
        <v>460.02914428710898</v>
      </c>
      <c r="DG150">
        <v>398.41265869140602</v>
      </c>
      <c r="DH150" s="2">
        <v>3.4028230607370999E+38</v>
      </c>
      <c r="DI150" s="2">
        <v>3.4028230607370999E+38</v>
      </c>
      <c r="DJ150">
        <v>230.00234985351599</v>
      </c>
      <c r="DK150">
        <v>2.0001091957092298</v>
      </c>
      <c r="DL150">
        <v>229.99081420898401</v>
      </c>
      <c r="DM150">
        <v>460.02960205078102</v>
      </c>
      <c r="DN150">
        <v>398.41455078125</v>
      </c>
      <c r="DO150">
        <v>49.999893188476598</v>
      </c>
      <c r="DP150">
        <v>-60.004039764404297</v>
      </c>
      <c r="DQ150">
        <v>1.45453987643123E-2</v>
      </c>
      <c r="DR150" s="2">
        <v>3.34476112584525E-6</v>
      </c>
      <c r="DS150" s="2">
        <v>2.9243079069374302E-9</v>
      </c>
      <c r="DT150" s="2">
        <v>4.8688765019733202E-8</v>
      </c>
      <c r="DU150" s="2">
        <v>1.0223319968361001E-9</v>
      </c>
      <c r="DV150">
        <v>74.781349182128906</v>
      </c>
      <c r="DW150">
        <v>-32.2403755187988</v>
      </c>
      <c r="DX150">
        <v>1.6192341223359101E-2</v>
      </c>
      <c r="DY150" s="2">
        <v>3.0219694053812401E-6</v>
      </c>
      <c r="DZ150" s="2">
        <v>1.3687665445516499E-9</v>
      </c>
      <c r="EA150" s="2">
        <v>4.8933909368997801E-8</v>
      </c>
      <c r="EB150" s="2">
        <v>7.9697609622897403E-10</v>
      </c>
      <c r="EC150">
        <v>74.680221557617202</v>
      </c>
      <c r="ED150">
        <v>-36.768970489502003</v>
      </c>
      <c r="EE150" s="2">
        <v>3.4028230607370999E+38</v>
      </c>
      <c r="EF150" s="2">
        <v>3.4028230607370999E+38</v>
      </c>
      <c r="EG150">
        <v>229.99081420898401</v>
      </c>
      <c r="EH150">
        <v>460.02960205078102</v>
      </c>
      <c r="EI150">
        <v>398.41455078125</v>
      </c>
      <c r="EJ150" s="2">
        <v>3.4028230607370999E+38</v>
      </c>
      <c r="EK150" s="2">
        <v>3.4028230607370999E+38</v>
      </c>
      <c r="EL150">
        <v>123</v>
      </c>
      <c r="EM150">
        <v>230.00186157226599</v>
      </c>
      <c r="EN150">
        <v>2.00011110305786</v>
      </c>
      <c r="EO150">
        <v>229.99081420898401</v>
      </c>
      <c r="EP150">
        <v>460.02868652343801</v>
      </c>
      <c r="EQ150">
        <v>398.40808105468801</v>
      </c>
      <c r="ER150">
        <v>49.999973297119098</v>
      </c>
      <c r="ES150">
        <v>-60.002853393554702</v>
      </c>
      <c r="ET150">
        <v>0.49995732307434099</v>
      </c>
      <c r="EU150" s="2">
        <v>3.4028230607370999E+38</v>
      </c>
      <c r="EV150">
        <v>0</v>
      </c>
      <c r="EW150">
        <v>230.005615234375</v>
      </c>
      <c r="EX150">
        <v>229.98826599121099</v>
      </c>
      <c r="EY150">
        <v>460.037353515625</v>
      </c>
      <c r="EZ150">
        <v>398.42108154296898</v>
      </c>
      <c r="FA150">
        <v>-4.1799966129474299E-4</v>
      </c>
      <c r="FB150">
        <v>1.50821069255471E-2</v>
      </c>
      <c r="FC150" s="2">
        <v>3.4042041079374001E-6</v>
      </c>
      <c r="FD150" s="2">
        <v>3.3187517178845399E-9</v>
      </c>
      <c r="FE150" s="2">
        <v>5.1001904921577099E-8</v>
      </c>
      <c r="FF150" s="2">
        <v>1.2924078474085801E-9</v>
      </c>
      <c r="FG150">
        <v>74.800010681152301</v>
      </c>
      <c r="FH150">
        <v>-22.001262664794901</v>
      </c>
      <c r="FI150">
        <v>6.2715657055378002E-2</v>
      </c>
      <c r="FJ150" s="2">
        <v>3.4028230607370999E+38</v>
      </c>
      <c r="FK150">
        <v>-70.747009277343807</v>
      </c>
      <c r="FL150">
        <v>2.0108146592974701E-2</v>
      </c>
      <c r="FM150">
        <v>0</v>
      </c>
      <c r="FN150">
        <v>0</v>
      </c>
      <c r="FO150">
        <v>0</v>
      </c>
      <c r="FP150" s="2">
        <v>4.13021080021281E-5</v>
      </c>
      <c r="FQ150">
        <v>1.6125908121466598E-2</v>
      </c>
      <c r="FR150" s="2">
        <v>3.1380955078930099E-6</v>
      </c>
      <c r="FS150" s="2">
        <v>7.7685036181662802E-10</v>
      </c>
      <c r="FT150" s="2">
        <v>4.90619811444049E-8</v>
      </c>
      <c r="FU150" s="2">
        <v>8.47813319548862E-10</v>
      </c>
      <c r="FV150">
        <v>74.745559692382798</v>
      </c>
      <c r="FW150">
        <v>-47.501022338867202</v>
      </c>
      <c r="FX150">
        <v>2.7094336226582499E-2</v>
      </c>
      <c r="FY150" s="2">
        <v>3.4028230607370999E+38</v>
      </c>
      <c r="FZ150">
        <v>10.776593208313001</v>
      </c>
      <c r="GA150">
        <v>229.62002563476599</v>
      </c>
      <c r="GB150" s="2">
        <v>5.1635123954341101E-10</v>
      </c>
      <c r="GC150">
        <v>7.1541668148711302E-4</v>
      </c>
      <c r="GD150" s="2">
        <v>-3.1355196217219801E-11</v>
      </c>
      <c r="GE150" s="2">
        <v>-3.0622995836893103E-5</v>
      </c>
      <c r="GF150" s="2">
        <v>3.4028230607370999E+38</v>
      </c>
      <c r="GG150" s="2">
        <v>3.4028230607370999E+38</v>
      </c>
      <c r="GH150">
        <v>229.99197387695301</v>
      </c>
      <c r="GI150">
        <v>460.02761840820301</v>
      </c>
      <c r="GJ150">
        <v>398.40866088867199</v>
      </c>
      <c r="GK150" s="2">
        <v>3.4028230607370999E+38</v>
      </c>
      <c r="GL150" s="2">
        <v>3.4028230607370999E+38</v>
      </c>
      <c r="GM150" s="2">
        <v>3.4028230607370999E+38</v>
      </c>
      <c r="GN150" s="2">
        <v>3.4028230607370999E+38</v>
      </c>
      <c r="GO150" s="2">
        <v>3.4028230607370999E+38</v>
      </c>
      <c r="GP150" s="2">
        <v>3.4028230607370999E+38</v>
      </c>
      <c r="GQ150">
        <v>229.98762512207</v>
      </c>
      <c r="GR150">
        <v>229.98629760742199</v>
      </c>
      <c r="GS150">
        <v>398.42135620117199</v>
      </c>
      <c r="GT150">
        <v>-1.8430392083246299E-4</v>
      </c>
      <c r="GX150">
        <f t="shared" si="15"/>
        <v>230.00216979980459</v>
      </c>
      <c r="GY150">
        <f t="shared" si="16"/>
        <v>2.0001104831695544</v>
      </c>
      <c r="GZ150">
        <f t="shared" si="17"/>
        <v>229.99064025878903</v>
      </c>
      <c r="HA150">
        <f t="shared" si="18"/>
        <v>460.02955322265626</v>
      </c>
      <c r="HB150">
        <f t="shared" si="19"/>
        <v>398.412188720703</v>
      </c>
      <c r="HC150">
        <f t="shared" si="20"/>
        <v>49.999926757812517</v>
      </c>
      <c r="HD150">
        <f t="shared" si="21"/>
        <v>-60.003499603271493</v>
      </c>
      <c r="HW150" s="10">
        <f>(GX150/Data!$S150-1)*1000000</f>
        <v>23.14814268911114</v>
      </c>
      <c r="HX150" s="10">
        <f>(GY150/Data!$T150-1)*1000000</f>
        <v>37.942928440504176</v>
      </c>
      <c r="HY150" s="10">
        <f>(GZ150/Data!$BW150-1)*1000000</f>
        <v>-53.211252242557627</v>
      </c>
      <c r="HZ150" s="10">
        <f>(HA150/(Data!$S150*Data!$T150)-1)*1000000</f>
        <v>60.662069072403568</v>
      </c>
      <c r="IA150" s="7">
        <f>(HB150/IF(HD150&gt;0, -Data!$BX150,Data!$BX150)-1)*1000000</f>
        <v>101.05762392131901</v>
      </c>
      <c r="IB150" s="10"/>
      <c r="IC150" s="9">
        <f>(HD150-Data!$U150)</f>
        <v>-3.7949332714930506E-3</v>
      </c>
    </row>
    <row r="151" spans="1:237" x14ac:dyDescent="0.2">
      <c r="A151">
        <v>151</v>
      </c>
      <c r="B151">
        <v>230.00169372558599</v>
      </c>
      <c r="C151">
        <v>5.0002274513244602</v>
      </c>
      <c r="D151">
        <v>1150.0625</v>
      </c>
      <c r="E151">
        <v>1150.06237792969</v>
      </c>
      <c r="F151">
        <v>5.9762984514236499E-2</v>
      </c>
      <c r="G151">
        <v>49.999996185302699</v>
      </c>
      <c r="H151">
        <v>-2.9773688875138799E-3</v>
      </c>
      <c r="I151">
        <v>1.49720283225179E-2</v>
      </c>
      <c r="J151" s="2">
        <v>3.4829370179068098E-6</v>
      </c>
      <c r="K151" s="2">
        <v>5.7273088494014196E-9</v>
      </c>
      <c r="L151" s="2">
        <v>5.2139736084200201E-8</v>
      </c>
      <c r="M151" s="2">
        <v>1.1160641300023101E-9</v>
      </c>
      <c r="N151">
        <v>74.811256408691406</v>
      </c>
      <c r="O151">
        <v>-12.9727582931519</v>
      </c>
      <c r="P151">
        <v>1.6110545024275801E-2</v>
      </c>
      <c r="Q151" s="2">
        <v>3.2342343274649499E-6</v>
      </c>
      <c r="R151" s="2">
        <v>3.1677291900678E-9</v>
      </c>
      <c r="S151" s="2">
        <v>5.1025864422626903E-8</v>
      </c>
      <c r="T151" s="2">
        <v>4.9810622293477999E-9</v>
      </c>
      <c r="U151">
        <v>74.739852905273395</v>
      </c>
      <c r="V151">
        <v>-57.545509338378899</v>
      </c>
      <c r="W151" s="2">
        <v>3.4028230607370999E+38</v>
      </c>
      <c r="X151" s="2">
        <v>3.4028230607370999E+38</v>
      </c>
      <c r="Y151">
        <v>1150.0625</v>
      </c>
      <c r="Z151">
        <v>1150.06237792969</v>
      </c>
      <c r="AA151">
        <v>5.97629882395267E-2</v>
      </c>
      <c r="AB151" s="2">
        <v>3.4028230607370999E+38</v>
      </c>
      <c r="AC151" s="2">
        <v>3.4028230607370999E+38</v>
      </c>
      <c r="AD151">
        <v>230.00193786621099</v>
      </c>
      <c r="AE151">
        <v>5.0002384185790998</v>
      </c>
      <c r="AF151">
        <v>1150.06359863281</v>
      </c>
      <c r="AG151">
        <v>1150.06103515625</v>
      </c>
      <c r="AH151">
        <v>6.2078379094600698E-2</v>
      </c>
      <c r="AI151">
        <v>49.999904632568402</v>
      </c>
      <c r="AJ151">
        <v>-3.0202125199139101E-3</v>
      </c>
      <c r="AK151">
        <v>1.48677667602897E-2</v>
      </c>
      <c r="AL151" s="2">
        <v>3.6296703456173401E-6</v>
      </c>
      <c r="AM151" s="2">
        <v>3.5617604421389598E-9</v>
      </c>
      <c r="AN151" s="2">
        <v>5.2189218280318501E-8</v>
      </c>
      <c r="AO151" s="2">
        <v>-2.5874695719352299E-9</v>
      </c>
      <c r="AP151">
        <v>74.6690673828125</v>
      </c>
      <c r="AQ151">
        <v>32.8951606750488</v>
      </c>
      <c r="AR151">
        <v>1.6216618940234202E-2</v>
      </c>
      <c r="AS151" s="2">
        <v>3.1689098705101102E-6</v>
      </c>
      <c r="AT151" s="2">
        <v>3.43958572734948E-9</v>
      </c>
      <c r="AU151" s="2">
        <v>5.1214311014291498E-8</v>
      </c>
      <c r="AV151" s="2">
        <v>1.4173019424745801E-9</v>
      </c>
      <c r="AW151">
        <v>74.766105651855497</v>
      </c>
      <c r="AX151">
        <v>-27.587245941162099</v>
      </c>
      <c r="AY151" s="2">
        <v>3.4028230607370999E+38</v>
      </c>
      <c r="AZ151" s="2">
        <v>3.4028230607370999E+38</v>
      </c>
      <c r="BA151">
        <v>1150.06359863281</v>
      </c>
      <c r="BB151">
        <v>1150.06103515625</v>
      </c>
      <c r="BC151">
        <v>6.20783753693104E-2</v>
      </c>
      <c r="BD151" s="2">
        <v>3.4028230607370999E+38</v>
      </c>
      <c r="BE151" s="2">
        <v>3.4028230607370999E+38</v>
      </c>
      <c r="BF151">
        <v>230.00151062011699</v>
      </c>
      <c r="BG151">
        <v>5.00022315979004</v>
      </c>
      <c r="BH151">
        <v>1150.060546875</v>
      </c>
      <c r="BI151">
        <v>1150.05798339844</v>
      </c>
      <c r="BJ151">
        <v>5.7013340294361101E-2</v>
      </c>
      <c r="BK151">
        <v>49.999923706054702</v>
      </c>
      <c r="BL151">
        <v>-2.8403936885297298E-3</v>
      </c>
      <c r="BM151">
        <v>1.65539104491472E-2</v>
      </c>
      <c r="BN151" s="2">
        <v>3.52482129528653E-6</v>
      </c>
      <c r="BO151" s="2">
        <v>1.05247437431899E-8</v>
      </c>
      <c r="BP151" s="2">
        <v>5.9543307173726101E-8</v>
      </c>
      <c r="BQ151" s="2">
        <v>1.8172497950885701E-9</v>
      </c>
      <c r="BR151">
        <v>74.732658386230497</v>
      </c>
      <c r="BS151">
        <v>-6.1416211128234899</v>
      </c>
      <c r="BT151">
        <v>1.81553307920694E-2</v>
      </c>
      <c r="BU151" s="2">
        <v>3.1639956432627501E-6</v>
      </c>
      <c r="BV151" s="2">
        <v>6.9974639416159301E-9</v>
      </c>
      <c r="BW151" s="2">
        <v>5.7515929796636602E-8</v>
      </c>
      <c r="BX151" s="2">
        <v>1.0685542228827699E-8</v>
      </c>
      <c r="BY151">
        <v>74.711769104003906</v>
      </c>
      <c r="BZ151">
        <v>-52.074329376220703</v>
      </c>
      <c r="CA151" s="2">
        <v>3.4028230607370999E+38</v>
      </c>
      <c r="CB151" s="2">
        <v>3.4028230607370999E+38</v>
      </c>
      <c r="CC151">
        <v>1150.060546875</v>
      </c>
      <c r="CD151">
        <v>1150.05798339844</v>
      </c>
      <c r="CE151">
        <v>5.7013351470232003E-2</v>
      </c>
      <c r="CF151" s="2">
        <v>3.4028230607370999E+38</v>
      </c>
      <c r="CG151" s="2">
        <v>3.4028230607370999E+38</v>
      </c>
      <c r="CH151">
        <v>230.00190734863301</v>
      </c>
      <c r="CI151">
        <v>5.0002241134643599</v>
      </c>
      <c r="CJ151">
        <v>1150.06274414062</v>
      </c>
      <c r="CK151">
        <v>1150.06164550781</v>
      </c>
      <c r="CL151">
        <v>5.9600424021482502E-2</v>
      </c>
      <c r="CM151">
        <v>49.9999809265137</v>
      </c>
      <c r="CN151">
        <v>-2.96927220188081E-3</v>
      </c>
      <c r="CO151">
        <v>1.7742041498422598E-2</v>
      </c>
      <c r="CP151" s="2">
        <v>3.54424651050067E-6</v>
      </c>
      <c r="CQ151" s="2">
        <v>9.96101334749255E-9</v>
      </c>
      <c r="CR151" s="2">
        <v>6.2876360118480106E-8</v>
      </c>
      <c r="CS151" s="2">
        <v>-7.63107077528247E-10</v>
      </c>
      <c r="CT151">
        <v>74.574050903320298</v>
      </c>
      <c r="CU151">
        <v>2.8405318260192902</v>
      </c>
      <c r="CV151">
        <v>1.94356143474579E-2</v>
      </c>
      <c r="CW151" s="2">
        <v>3.2604250463918999E-6</v>
      </c>
      <c r="CX151" s="2">
        <v>1.0073546441447E-8</v>
      </c>
      <c r="CY151" s="2">
        <v>6.2675681533619394E-8</v>
      </c>
      <c r="CZ151" s="2">
        <v>1.0427917196409499E-8</v>
      </c>
      <c r="DA151">
        <v>74.764816284179702</v>
      </c>
      <c r="DB151">
        <v>-45.955265045166001</v>
      </c>
      <c r="DC151" s="2">
        <v>3.4028230607370999E+38</v>
      </c>
      <c r="DD151" s="2">
        <v>3.4028230607370999E+38</v>
      </c>
      <c r="DE151">
        <v>1150.06274414062</v>
      </c>
      <c r="DF151">
        <v>1150.06164550781</v>
      </c>
      <c r="DG151">
        <v>5.9600431472063099E-2</v>
      </c>
      <c r="DH151" s="2">
        <v>3.4028230607370999E+38</v>
      </c>
      <c r="DI151" s="2">
        <v>3.4028230607370999E+38</v>
      </c>
      <c r="DJ151">
        <v>230.00172424316401</v>
      </c>
      <c r="DK151">
        <v>5.0002241134643599</v>
      </c>
      <c r="DL151">
        <v>1150.06701660156</v>
      </c>
      <c r="DM151">
        <v>1150.06457519531</v>
      </c>
      <c r="DN151">
        <v>5.6242655962705598E-2</v>
      </c>
      <c r="DO151">
        <v>49.9999389648438</v>
      </c>
      <c r="DP151">
        <v>-3.0491289217024998E-3</v>
      </c>
      <c r="DQ151">
        <v>1.5281037427485E-2</v>
      </c>
      <c r="DR151" s="2">
        <v>3.56173495674739E-6</v>
      </c>
      <c r="DS151" s="2">
        <v>6.57694121386498E-9</v>
      </c>
      <c r="DT151" s="2">
        <v>5.31247046353656E-8</v>
      </c>
      <c r="DU151" s="2">
        <v>2.9835172110637098E-9</v>
      </c>
      <c r="DV151">
        <v>74.681625366210895</v>
      </c>
      <c r="DW151">
        <v>-24.0616645812988</v>
      </c>
      <c r="DX151">
        <v>1.6314959153532999E-2</v>
      </c>
      <c r="DY151" s="2">
        <v>3.12771862809313E-6</v>
      </c>
      <c r="DZ151" s="2">
        <v>4.3723309417487103E-9</v>
      </c>
      <c r="EA151" s="2">
        <v>5.1886299701209302E-8</v>
      </c>
      <c r="EB151" s="2">
        <v>6.0915814614759297E-9</v>
      </c>
      <c r="EC151">
        <v>74.711624145507798</v>
      </c>
      <c r="ED151">
        <v>-54.330509185791001</v>
      </c>
      <c r="EE151" s="2">
        <v>3.4028230607370999E+38</v>
      </c>
      <c r="EF151" s="2">
        <v>3.4028230607370999E+38</v>
      </c>
      <c r="EG151">
        <v>1150.06701660156</v>
      </c>
      <c r="EH151">
        <v>1150.06457519531</v>
      </c>
      <c r="EI151">
        <v>5.6242663413286202E-2</v>
      </c>
      <c r="EJ151" s="2">
        <v>3.4028230607370999E+38</v>
      </c>
      <c r="EK151" s="2">
        <v>3.4028230607370999E+38</v>
      </c>
      <c r="EL151">
        <v>123</v>
      </c>
      <c r="EM151">
        <v>230.00181579589801</v>
      </c>
      <c r="EN151">
        <v>5.0002145767211896</v>
      </c>
      <c r="EO151">
        <v>1150.06018066406</v>
      </c>
      <c r="EP151">
        <v>1150.05773925781</v>
      </c>
      <c r="EQ151">
        <v>5.9808116406202302E-2</v>
      </c>
      <c r="ER151">
        <v>49.999954223632798</v>
      </c>
      <c r="ES151">
        <v>-3.0884174630045899E-3</v>
      </c>
      <c r="ET151">
        <v>1</v>
      </c>
      <c r="EU151" s="2">
        <v>3.4028230607370999E+38</v>
      </c>
      <c r="EV151">
        <v>0</v>
      </c>
      <c r="EW151">
        <v>230.00093078613301</v>
      </c>
      <c r="EX151">
        <v>1150.05993652344</v>
      </c>
      <c r="EY151">
        <v>1150.05749511719</v>
      </c>
      <c r="EZ151">
        <v>8.0840669572353405E-2</v>
      </c>
      <c r="FA151">
        <v>-1.5276112826541101E-3</v>
      </c>
      <c r="FB151">
        <v>1.47438496351242E-2</v>
      </c>
      <c r="FC151" s="2">
        <v>3.5753910196945101E-6</v>
      </c>
      <c r="FD151" s="2">
        <v>7.2163190978358199E-9</v>
      </c>
      <c r="FE151" s="2">
        <v>5.2183136034500402E-8</v>
      </c>
      <c r="FF151" s="2">
        <v>1.9285997243656501E-9</v>
      </c>
      <c r="FG151">
        <v>74.674201965332003</v>
      </c>
      <c r="FH151">
        <v>-14.9629011154175</v>
      </c>
      <c r="FI151">
        <v>0.117165714502335</v>
      </c>
      <c r="FJ151" s="2">
        <v>3.4028230607370999E+38</v>
      </c>
      <c r="FK151">
        <v>-30.4384059906006</v>
      </c>
      <c r="FL151">
        <v>2.0108155906200399E-2</v>
      </c>
      <c r="FM151">
        <v>0</v>
      </c>
      <c r="FN151">
        <v>0</v>
      </c>
      <c r="FO151">
        <v>0</v>
      </c>
      <c r="FP151" s="2">
        <v>-4.8875925131142099E-5</v>
      </c>
      <c r="FQ151">
        <v>1.5801524743437802E-2</v>
      </c>
      <c r="FR151" s="2">
        <v>3.22622236126335E-6</v>
      </c>
      <c r="FS151" s="2">
        <v>2.0627861641031599E-9</v>
      </c>
      <c r="FT151" s="2">
        <v>5.1343199913844702E-8</v>
      </c>
      <c r="FU151" s="2">
        <v>4.3853893849643596E-9</v>
      </c>
      <c r="FV151">
        <v>74.678268432617202</v>
      </c>
      <c r="FW151">
        <v>-59.347278594970703</v>
      </c>
      <c r="FX151">
        <v>4.4229719787836103E-2</v>
      </c>
      <c r="FY151" s="2">
        <v>3.4028230607370999E+38</v>
      </c>
      <c r="FZ151">
        <v>-17.420984268188501</v>
      </c>
      <c r="GA151">
        <v>229.69712829589801</v>
      </c>
      <c r="GB151" s="2">
        <v>-5.0402526596826595E-10</v>
      </c>
      <c r="GC151">
        <v>7.4248842429369699E-4</v>
      </c>
      <c r="GD151" s="2">
        <v>4.7023585025840496E-10</v>
      </c>
      <c r="GE151" s="2">
        <v>-5.6858581956476E-5</v>
      </c>
      <c r="GF151" s="2">
        <v>3.4028230607370999E+38</v>
      </c>
      <c r="GG151" s="2">
        <v>3.4028230607370999E+38</v>
      </c>
      <c r="GH151">
        <v>1150.06420898438</v>
      </c>
      <c r="GI151">
        <v>1150.06176757812</v>
      </c>
      <c r="GJ151">
        <v>5.7904578745365101E-2</v>
      </c>
      <c r="GK151" s="2">
        <v>3.4028230607370999E+38</v>
      </c>
      <c r="GL151" s="2">
        <v>3.4028230607370999E+38</v>
      </c>
      <c r="GM151" s="2">
        <v>3.4028230607370999E+38</v>
      </c>
      <c r="GN151" s="2">
        <v>3.4028230607370999E+38</v>
      </c>
      <c r="GO151" s="2">
        <v>3.4028230607370999E+38</v>
      </c>
      <c r="GP151" s="2">
        <v>3.4028230607370999E+38</v>
      </c>
      <c r="GQ151">
        <v>1150.05749511719</v>
      </c>
      <c r="GR151">
        <v>1150.05749511719</v>
      </c>
      <c r="GS151">
        <v>8.1647023558616597E-2</v>
      </c>
      <c r="GT151">
        <v>-2.0392991136759498E-3</v>
      </c>
      <c r="GX151">
        <f t="shared" si="15"/>
        <v>230.00175476074219</v>
      </c>
      <c r="GY151">
        <f t="shared" si="16"/>
        <v>5.0002274513244638</v>
      </c>
      <c r="GZ151">
        <f t="shared" si="17"/>
        <v>1150.063281249998</v>
      </c>
      <c r="HA151">
        <f t="shared" si="18"/>
        <v>1150.0615234375</v>
      </c>
      <c r="HB151">
        <f t="shared" si="19"/>
        <v>5.8939556777477274E-2</v>
      </c>
      <c r="HC151">
        <f t="shared" si="20"/>
        <v>49.999948883056661</v>
      </c>
      <c r="HD151">
        <f t="shared" si="21"/>
        <v>-2.971275243908166E-3</v>
      </c>
      <c r="HW151" s="10">
        <f>(GX151/Data!$S151-1)*1000000</f>
        <v>21.104461517928996</v>
      </c>
      <c r="HX151" s="10">
        <f>(GY151/Data!$T151-1)*1000000</f>
        <v>0.96402196847478194</v>
      </c>
      <c r="HY151" s="10">
        <f>(GZ151/Data!$BW151-1)*1000000</f>
        <v>23.969907750220898</v>
      </c>
      <c r="HZ151" s="10">
        <f>(HA151/(Data!$S151*Data!$T151)-1)*1000000</f>
        <v>22.447126892366498</v>
      </c>
      <c r="IA151" s="7">
        <f>(HB151/IF(HD151&gt;0, -Data!$BX151,Data!$BX151)-1)*1000000</f>
        <v>2006394.4142402597</v>
      </c>
      <c r="IB151" s="10"/>
      <c r="IC151" s="9">
        <f>(HD151-Data!$U151)</f>
        <v>-1.9945502439081661E-3</v>
      </c>
    </row>
    <row r="152" spans="1:237" x14ac:dyDescent="0.2">
      <c r="A152">
        <v>152</v>
      </c>
      <c r="B152">
        <v>230.00198364257801</v>
      </c>
      <c r="C152">
        <v>5.0002288818359402</v>
      </c>
      <c r="D152">
        <v>1150.06433105469</v>
      </c>
      <c r="E152">
        <v>1150.06188964844</v>
      </c>
      <c r="F152">
        <v>5.5734392255544697E-2</v>
      </c>
      <c r="G152">
        <v>49.999908447265597</v>
      </c>
      <c r="H152">
        <v>-2.7766712009906799E-3</v>
      </c>
      <c r="I152">
        <v>1.5023093670606599E-2</v>
      </c>
      <c r="J152" s="2">
        <v>3.4719078030320799E-6</v>
      </c>
      <c r="K152" s="2">
        <v>6.46996722863946E-9</v>
      </c>
      <c r="L152" s="2">
        <v>5.2069360378936802E-8</v>
      </c>
      <c r="M152" s="2">
        <v>1.65140234820171E-9</v>
      </c>
      <c r="N152">
        <v>74.699722290039105</v>
      </c>
      <c r="O152">
        <v>-18.578535079956101</v>
      </c>
      <c r="P152">
        <v>1.6310283914208398E-2</v>
      </c>
      <c r="Q152" s="2">
        <v>3.1396712074638302E-6</v>
      </c>
      <c r="R152" s="2">
        <v>3.6203711140103699E-9</v>
      </c>
      <c r="S152" s="2">
        <v>5.2404953265750003E-8</v>
      </c>
      <c r="T152" s="2">
        <v>5.1490021135691702E-9</v>
      </c>
      <c r="U152">
        <v>74.789665222167997</v>
      </c>
      <c r="V152">
        <v>-54.8881645202637</v>
      </c>
      <c r="W152" s="2">
        <v>3.4028230607370999E+38</v>
      </c>
      <c r="X152" s="2">
        <v>3.4028230607370999E+38</v>
      </c>
      <c r="Y152">
        <v>1150.06433105469</v>
      </c>
      <c r="Z152">
        <v>1150.06188964844</v>
      </c>
      <c r="AA152">
        <v>5.5734395980835003E-2</v>
      </c>
      <c r="AB152" s="2">
        <v>3.4028230607370999E+38</v>
      </c>
      <c r="AC152" s="2">
        <v>3.4028230607370999E+38</v>
      </c>
      <c r="AD152">
        <v>230.00155639648401</v>
      </c>
      <c r="AE152">
        <v>5.0002470016479501</v>
      </c>
      <c r="AF152">
        <v>1150.064453125</v>
      </c>
      <c r="AG152">
        <v>1150.06201171875</v>
      </c>
      <c r="AH152">
        <v>6.04822747409344E-2</v>
      </c>
      <c r="AI152">
        <v>49.999973297119098</v>
      </c>
      <c r="AJ152">
        <v>-3.0132040847092902E-3</v>
      </c>
      <c r="AK152">
        <v>1.7597874626517299E-2</v>
      </c>
      <c r="AL152" s="2">
        <v>3.52895744981652E-6</v>
      </c>
      <c r="AM152" s="2">
        <v>9.6860528486786296E-9</v>
      </c>
      <c r="AN152" s="2">
        <v>6.3555553708738404E-8</v>
      </c>
      <c r="AO152" s="2">
        <v>-1.4371923651168599E-9</v>
      </c>
      <c r="AP152">
        <v>74.740219116210895</v>
      </c>
      <c r="AQ152">
        <v>8.4398269653320295</v>
      </c>
      <c r="AR152">
        <v>1.9544372335076301E-2</v>
      </c>
      <c r="AS152" s="2">
        <v>3.18232901008741E-6</v>
      </c>
      <c r="AT152" s="2">
        <v>7.91574539249496E-9</v>
      </c>
      <c r="AU152" s="2">
        <v>6.2242797582712202E-8</v>
      </c>
      <c r="AV152" s="2">
        <v>9.7736307935747407E-9</v>
      </c>
      <c r="AW152">
        <v>74.7479248046875</v>
      </c>
      <c r="AX152">
        <v>-49.148433685302699</v>
      </c>
      <c r="AY152" s="2">
        <v>3.4028230607370999E+38</v>
      </c>
      <c r="AZ152" s="2">
        <v>3.4028230607370999E+38</v>
      </c>
      <c r="BA152">
        <v>1150.064453125</v>
      </c>
      <c r="BB152">
        <v>1150.06201171875</v>
      </c>
      <c r="BC152">
        <v>6.0482282191514997E-2</v>
      </c>
      <c r="BD152" s="2">
        <v>3.4028230607370999E+38</v>
      </c>
      <c r="BE152" s="2">
        <v>3.4028230607370999E+38</v>
      </c>
      <c r="BF152">
        <v>230.00196838378901</v>
      </c>
      <c r="BG152">
        <v>5.0002355575561497</v>
      </c>
      <c r="BH152">
        <v>1150.06494140625</v>
      </c>
      <c r="BI152">
        <v>1150.06262207031</v>
      </c>
      <c r="BJ152">
        <v>5.9492953121662098E-2</v>
      </c>
      <c r="BK152">
        <v>49.9998970031738</v>
      </c>
      <c r="BL152">
        <v>-3.1123389489948702E-3</v>
      </c>
      <c r="BM152">
        <v>1.44333140924573E-2</v>
      </c>
      <c r="BN152" s="2">
        <v>3.57934618477884E-6</v>
      </c>
      <c r="BO152" s="2">
        <v>3.51429907397005E-9</v>
      </c>
      <c r="BP152" s="2">
        <v>5.0292424447206901E-8</v>
      </c>
      <c r="BQ152" s="2">
        <v>-1.4960660488227999E-9</v>
      </c>
      <c r="BR152">
        <v>74.714729309082003</v>
      </c>
      <c r="BS152">
        <v>21.505735397338899</v>
      </c>
      <c r="BT152">
        <v>1.5311617404222501E-2</v>
      </c>
      <c r="BU152" s="2">
        <v>3.2005700631998501E-6</v>
      </c>
      <c r="BV152" s="2">
        <v>3.0804514494775499E-9</v>
      </c>
      <c r="BW152" s="2">
        <v>4.8628919557813801E-8</v>
      </c>
      <c r="BX152" s="2">
        <v>1.60568869311817E-9</v>
      </c>
      <c r="BY152">
        <v>74.783859252929702</v>
      </c>
      <c r="BZ152">
        <v>-29.002902984619102</v>
      </c>
      <c r="CA152" s="2">
        <v>3.4028230607370999E+38</v>
      </c>
      <c r="CB152" s="2">
        <v>3.4028230607370999E+38</v>
      </c>
      <c r="CC152">
        <v>1150.06494140625</v>
      </c>
      <c r="CD152">
        <v>1150.06262207031</v>
      </c>
      <c r="CE152">
        <v>5.9492953121662098E-2</v>
      </c>
      <c r="CF152" s="2">
        <v>3.4028230607370999E+38</v>
      </c>
      <c r="CG152" s="2">
        <v>3.4028230607370999E+38</v>
      </c>
      <c r="CH152">
        <v>230.00178527832</v>
      </c>
      <c r="CI152">
        <v>5.0002193450927699</v>
      </c>
      <c r="CJ152">
        <v>1150.0615234375</v>
      </c>
      <c r="CK152">
        <v>1150.05883789062</v>
      </c>
      <c r="CL152">
        <v>6.0329932719469098E-2</v>
      </c>
      <c r="CM152">
        <v>49.999923706054702</v>
      </c>
      <c r="CN152">
        <v>-3.0056289397180102E-3</v>
      </c>
      <c r="CO152">
        <v>1.4810784719884401E-2</v>
      </c>
      <c r="CP152" s="2">
        <v>3.53561540578085E-6</v>
      </c>
      <c r="CQ152" s="2">
        <v>6.4123364396095903E-9</v>
      </c>
      <c r="CR152" s="2">
        <v>5.2369710346056302E-8</v>
      </c>
      <c r="CS152" s="2">
        <v>2.0100414666046601E-9</v>
      </c>
      <c r="CT152">
        <v>74.677696228027301</v>
      </c>
      <c r="CU152">
        <v>-15.1754055023193</v>
      </c>
      <c r="CV152">
        <v>1.6197003424167598E-2</v>
      </c>
      <c r="CW152" s="2">
        <v>3.13017153530382E-6</v>
      </c>
      <c r="CX152" s="2">
        <v>2.6533437669229401E-9</v>
      </c>
      <c r="CY152" s="2">
        <v>5.06690724932923E-8</v>
      </c>
      <c r="CZ152" s="2">
        <v>4.2288097468201597E-9</v>
      </c>
      <c r="DA152">
        <v>74.658439636230497</v>
      </c>
      <c r="DB152">
        <v>-51.5670166015625</v>
      </c>
      <c r="DC152" s="2">
        <v>3.4028230607370999E+38</v>
      </c>
      <c r="DD152" s="2">
        <v>3.4028230607370999E+38</v>
      </c>
      <c r="DE152">
        <v>1150.0615234375</v>
      </c>
      <c r="DF152">
        <v>1150.05883789062</v>
      </c>
      <c r="DG152">
        <v>6.0329936444759397E-2</v>
      </c>
      <c r="DH152" s="2">
        <v>3.4028230607370999E+38</v>
      </c>
      <c r="DI152" s="2">
        <v>3.4028230607370999E+38</v>
      </c>
      <c r="DJ152">
        <v>230.002029418945</v>
      </c>
      <c r="DK152">
        <v>5.00022220611572</v>
      </c>
      <c r="DL152">
        <v>1150.06311035156</v>
      </c>
      <c r="DM152">
        <v>1150.060546875</v>
      </c>
      <c r="DN152">
        <v>5.5732395499944701E-2</v>
      </c>
      <c r="DO152">
        <v>49.999954223632798</v>
      </c>
      <c r="DP152">
        <v>-2.9666500631719802E-3</v>
      </c>
      <c r="DQ152">
        <v>1.6893990337848701E-2</v>
      </c>
      <c r="DR152" s="2">
        <v>3.55308475263882E-6</v>
      </c>
      <c r="DS152" s="2">
        <v>1.06736743887836E-8</v>
      </c>
      <c r="DT152" s="2">
        <v>6.0324104822484501E-8</v>
      </c>
      <c r="DU152" s="2">
        <v>2.1210135869864598E-9</v>
      </c>
      <c r="DV152">
        <v>74.739044189453097</v>
      </c>
      <c r="DW152">
        <v>-11.448214530944799</v>
      </c>
      <c r="DX152">
        <v>1.8671536818146699E-2</v>
      </c>
      <c r="DY152" s="2">
        <v>3.20992398883391E-6</v>
      </c>
      <c r="DZ152" s="2">
        <v>7.9836759425688797E-9</v>
      </c>
      <c r="EA152" s="2">
        <v>5.9117958528531698E-8</v>
      </c>
      <c r="EB152" s="2">
        <v>9.9520169882794107E-9</v>
      </c>
      <c r="EC152">
        <v>74.817657470703097</v>
      </c>
      <c r="ED152">
        <v>-53.514083862304702</v>
      </c>
      <c r="EE152" s="2">
        <v>3.4028230607370999E+38</v>
      </c>
      <c r="EF152" s="2">
        <v>3.4028230607370999E+38</v>
      </c>
      <c r="EG152">
        <v>1150.06311035156</v>
      </c>
      <c r="EH152">
        <v>1150.060546875</v>
      </c>
      <c r="EI152">
        <v>5.5732406675815603E-2</v>
      </c>
      <c r="EJ152" s="2">
        <v>3.4028230607370999E+38</v>
      </c>
      <c r="EK152" s="2">
        <v>3.4028230607370999E+38</v>
      </c>
      <c r="EL152">
        <v>123</v>
      </c>
      <c r="EM152">
        <v>230.00177001953099</v>
      </c>
      <c r="EN152">
        <v>5.00022649765015</v>
      </c>
      <c r="EO152">
        <v>1150.06262207031</v>
      </c>
      <c r="EP152">
        <v>1150.06018066406</v>
      </c>
      <c r="EQ152">
        <v>5.8040820062160499E-2</v>
      </c>
      <c r="ER152">
        <v>49.9998779296875</v>
      </c>
      <c r="ES152">
        <v>-3.0362058896571402E-3</v>
      </c>
      <c r="ET152">
        <v>1</v>
      </c>
      <c r="EU152" s="2">
        <v>3.4028230607370999E+38</v>
      </c>
      <c r="EV152">
        <v>0</v>
      </c>
      <c r="EW152">
        <v>230.00216674804699</v>
      </c>
      <c r="EX152">
        <v>1150.06530761719</v>
      </c>
      <c r="EY152">
        <v>1150.06286621094</v>
      </c>
      <c r="EZ152">
        <v>0.10230344533920301</v>
      </c>
      <c r="FA152">
        <v>-1.00043904967606E-3</v>
      </c>
      <c r="FB152">
        <v>1.74131486564875E-2</v>
      </c>
      <c r="FC152" s="2">
        <v>3.5946561638411401E-6</v>
      </c>
      <c r="FD152" s="2">
        <v>9.4151042517864897E-9</v>
      </c>
      <c r="FE152" s="2">
        <v>6.2939719214227794E-8</v>
      </c>
      <c r="FF152" s="2">
        <v>-7.6976325313893302E-10</v>
      </c>
      <c r="FG152">
        <v>74.684181213378906</v>
      </c>
      <c r="FH152">
        <v>4.67401123046875</v>
      </c>
      <c r="FI152">
        <v>0.15391722321510301</v>
      </c>
      <c r="FJ152" s="2">
        <v>3.4028230607370999E+38</v>
      </c>
      <c r="FK152">
        <v>9.88159275054932</v>
      </c>
      <c r="FL152">
        <v>2.1226203069090802E-2</v>
      </c>
      <c r="FM152">
        <v>0</v>
      </c>
      <c r="FN152">
        <v>0</v>
      </c>
      <c r="FO152">
        <v>0</v>
      </c>
      <c r="FP152" s="2">
        <v>-6.5241765696555403E-5</v>
      </c>
      <c r="FQ152">
        <v>1.9454998895525901E-2</v>
      </c>
      <c r="FR152" s="2">
        <v>3.2389818898082E-6</v>
      </c>
      <c r="FS152" s="2">
        <v>8.3249540594465493E-9</v>
      </c>
      <c r="FT152" s="2">
        <v>6.4063087279464499E-8</v>
      </c>
      <c r="FU152" s="2">
        <v>8.8367579920145495E-9</v>
      </c>
      <c r="FV152">
        <v>74.694190979003906</v>
      </c>
      <c r="FW152">
        <v>-48.7313041687012</v>
      </c>
      <c r="FX152">
        <v>0.13728842139244099</v>
      </c>
      <c r="FY152" s="2">
        <v>3.4028230607370999E+38</v>
      </c>
      <c r="FZ152">
        <v>25.517724990844702</v>
      </c>
      <c r="GA152">
        <v>229.70611572265599</v>
      </c>
      <c r="GB152" s="2">
        <v>1.9283277197246199E-9</v>
      </c>
      <c r="GC152">
        <v>7.4433215195313096E-4</v>
      </c>
      <c r="GD152" s="2">
        <v>2.3047004304999101E-9</v>
      </c>
      <c r="GE152" s="2">
        <v>-7.6786825957242399E-5</v>
      </c>
      <c r="GF152" s="2">
        <v>3.4028230607370999E+38</v>
      </c>
      <c r="GG152" s="2">
        <v>3.4028230607370999E+38</v>
      </c>
      <c r="GH152">
        <v>1150.06506347656</v>
      </c>
      <c r="GI152">
        <v>1150.0625</v>
      </c>
      <c r="GJ152">
        <v>5.9401344507932698E-2</v>
      </c>
      <c r="GK152" s="2">
        <v>3.4028230607370999E+38</v>
      </c>
      <c r="GL152" s="2">
        <v>3.4028230607370999E+38</v>
      </c>
      <c r="GM152" s="2">
        <v>3.4028230607370999E+38</v>
      </c>
      <c r="GN152" s="2">
        <v>3.4028230607370999E+38</v>
      </c>
      <c r="GO152" s="2">
        <v>3.4028230607370999E+38</v>
      </c>
      <c r="GP152" s="2">
        <v>3.4028230607370999E+38</v>
      </c>
      <c r="GQ152">
        <v>1150.08666992188</v>
      </c>
      <c r="GR152">
        <v>1150.08666992188</v>
      </c>
      <c r="GS152">
        <v>0.108719579875469</v>
      </c>
      <c r="GT152">
        <v>1.6501274658367001E-3</v>
      </c>
      <c r="GX152">
        <f t="shared" si="15"/>
        <v>230.0018646240232</v>
      </c>
      <c r="GY152">
        <f t="shared" si="16"/>
        <v>5.000230598449706</v>
      </c>
      <c r="GZ152">
        <f t="shared" si="17"/>
        <v>1150.063671875</v>
      </c>
      <c r="HA152">
        <f t="shared" si="18"/>
        <v>1150.061181640624</v>
      </c>
      <c r="HB152">
        <f t="shared" si="19"/>
        <v>5.8354389667510997E-2</v>
      </c>
      <c r="HC152">
        <f t="shared" si="20"/>
        <v>49.999931335449197</v>
      </c>
      <c r="HD152">
        <f t="shared" si="21"/>
        <v>-2.974898647516966E-3</v>
      </c>
      <c r="HW152" s="10">
        <f>(GX152/Data!$S152-1)*1000000</f>
        <v>21.687790282554076</v>
      </c>
      <c r="HX152" s="10">
        <f>(GY152/Data!$T152-1)*1000000</f>
        <v>-0.17590191525584942</v>
      </c>
      <c r="HY152" s="10">
        <f>(GZ152/Data!$BW152-1)*1000000</f>
        <v>22.64610684532542</v>
      </c>
      <c r="HZ152" s="10">
        <f>(HA152/(Data!$S152*Data!$T152)-1)*1000000</f>
        <v>20.486219929338745</v>
      </c>
      <c r="IA152" s="7">
        <f>(HB152/IF(HD152&gt;0, -Data!$BX152,Data!$BX152)-1)*1000000</f>
        <v>1605028.8796067203</v>
      </c>
      <c r="IB152" s="10"/>
      <c r="IC152" s="9">
        <f>(HD152-Data!$U152)</f>
        <v>-1.858879647516966E-3</v>
      </c>
    </row>
    <row r="153" spans="1:237" x14ac:dyDescent="0.2">
      <c r="A153">
        <v>153</v>
      </c>
      <c r="B153">
        <v>230.00193786621099</v>
      </c>
      <c r="C153">
        <v>5.0002279281616202</v>
      </c>
      <c r="D153">
        <v>574.97784423828102</v>
      </c>
      <c r="E153">
        <v>1150.06201171875</v>
      </c>
      <c r="F153">
        <v>996.01507568359398</v>
      </c>
      <c r="G153">
        <v>49.999954223632798</v>
      </c>
      <c r="H153">
        <v>-60.003147125244098</v>
      </c>
      <c r="I153">
        <v>1.56815964728594E-2</v>
      </c>
      <c r="J153" s="2">
        <v>3.5506247968442001E-6</v>
      </c>
      <c r="K153" s="2">
        <v>4.7539399083973397E-9</v>
      </c>
      <c r="L153" s="2">
        <v>5.4548799255371698E-8</v>
      </c>
      <c r="M153" s="2">
        <v>7.3260855160128796E-9</v>
      </c>
      <c r="N153">
        <v>74.747848510742202</v>
      </c>
      <c r="O153">
        <v>-57.020240783691399</v>
      </c>
      <c r="P153">
        <v>1.7152933403849598E-2</v>
      </c>
      <c r="Q153" s="2">
        <v>3.1593110634275898E-6</v>
      </c>
      <c r="R153" s="2">
        <v>-8.2256917943723796E-10</v>
      </c>
      <c r="S153" s="2">
        <v>5.3116515630335899E-8</v>
      </c>
      <c r="T153" s="2">
        <v>4.09323597239108E-9</v>
      </c>
      <c r="U153">
        <v>74.707588195800795</v>
      </c>
      <c r="V153">
        <v>-101.36272430419901</v>
      </c>
      <c r="W153" s="2">
        <v>3.4028230607370999E+38</v>
      </c>
      <c r="X153" s="2">
        <v>3.4028230607370999E+38</v>
      </c>
      <c r="Y153">
        <v>574.977783203125</v>
      </c>
      <c r="Z153">
        <v>1150.06201171875</v>
      </c>
      <c r="AA153">
        <v>996.01507568359398</v>
      </c>
      <c r="AB153" s="2">
        <v>3.4028230607370999E+38</v>
      </c>
      <c r="AC153" s="2">
        <v>3.4028230607370999E+38</v>
      </c>
      <c r="AD153">
        <v>230.00213623046901</v>
      </c>
      <c r="AE153">
        <v>5.0002322196960396</v>
      </c>
      <c r="AF153">
        <v>574.97845458984398</v>
      </c>
      <c r="AG153">
        <v>1150.06335449219</v>
      </c>
      <c r="AH153">
        <v>996.01861572265602</v>
      </c>
      <c r="AI153">
        <v>50.000007629394503</v>
      </c>
      <c r="AJ153">
        <v>-60.003036499023402</v>
      </c>
      <c r="AK153">
        <v>1.46192107349634E-2</v>
      </c>
      <c r="AL153" s="2">
        <v>3.58759712071333E-6</v>
      </c>
      <c r="AM153" s="2">
        <v>5.4919326863966903E-9</v>
      </c>
      <c r="AN153" s="2">
        <v>5.2073559686505197E-8</v>
      </c>
      <c r="AO153" s="2">
        <v>2.86468804233664E-9</v>
      </c>
      <c r="AP153">
        <v>74.605201721191406</v>
      </c>
      <c r="AQ153">
        <v>-33.803146362304702</v>
      </c>
      <c r="AR153">
        <v>1.51432491838932E-2</v>
      </c>
      <c r="AS153" s="2">
        <v>3.1607535220246102E-6</v>
      </c>
      <c r="AT153" s="2">
        <v>1.5912151596353401E-9</v>
      </c>
      <c r="AU153" s="2">
        <v>4.7774108224985003E-8</v>
      </c>
      <c r="AV153" s="2">
        <v>2.7311508610239302E-9</v>
      </c>
      <c r="AW153">
        <v>74.714080810546903</v>
      </c>
      <c r="AX153">
        <v>-72.267524719238295</v>
      </c>
      <c r="AY153" s="2">
        <v>3.4028230607370999E+38</v>
      </c>
      <c r="AZ153" s="2">
        <v>3.4028230607370999E+38</v>
      </c>
      <c r="BA153">
        <v>574.97845458984398</v>
      </c>
      <c r="BB153">
        <v>1150.06335449219</v>
      </c>
      <c r="BC153">
        <v>996.01861572265602</v>
      </c>
      <c r="BD153" s="2">
        <v>3.4028230607370999E+38</v>
      </c>
      <c r="BE153" s="2">
        <v>3.4028230607370999E+38</v>
      </c>
      <c r="BF153">
        <v>230.00163269043</v>
      </c>
      <c r="BG153">
        <v>5.0002388954162598</v>
      </c>
      <c r="BH153">
        <v>574.97906494140602</v>
      </c>
      <c r="BI153">
        <v>1150.06750488281</v>
      </c>
      <c r="BJ153">
        <v>996.02008056640602</v>
      </c>
      <c r="BK153">
        <v>49.999923706054702</v>
      </c>
      <c r="BL153">
        <v>-60.003181457519503</v>
      </c>
      <c r="BM153">
        <v>1.5899183228611901E-2</v>
      </c>
      <c r="BN153" s="2">
        <v>3.55309089172806E-6</v>
      </c>
      <c r="BO153" s="2">
        <v>4.6699568656549697E-9</v>
      </c>
      <c r="BP153" s="2">
        <v>5.64864635066442E-8</v>
      </c>
      <c r="BQ153" s="2">
        <v>7.7399242570663806E-9</v>
      </c>
      <c r="BR153">
        <v>74.625373840332003</v>
      </c>
      <c r="BS153">
        <v>-54.457122802734403</v>
      </c>
      <c r="BT153">
        <v>1.72239188104868E-2</v>
      </c>
      <c r="BU153" s="2">
        <v>3.0863868687447402E-6</v>
      </c>
      <c r="BV153" s="2">
        <v>-3.7580674683290702E-10</v>
      </c>
      <c r="BW153" s="2">
        <v>5.6009021420777598E-8</v>
      </c>
      <c r="BX153" s="2">
        <v>4.168325684617E-9</v>
      </c>
      <c r="BY153">
        <v>74.829406738281193</v>
      </c>
      <c r="BZ153">
        <v>-103.50046539306599</v>
      </c>
      <c r="CA153" s="2">
        <v>3.4028230607370999E+38</v>
      </c>
      <c r="CB153" s="2">
        <v>3.4028230607370999E+38</v>
      </c>
      <c r="CC153">
        <v>574.97900390625</v>
      </c>
      <c r="CD153">
        <v>1150.06750488281</v>
      </c>
      <c r="CE153">
        <v>996.02008056640602</v>
      </c>
      <c r="CF153" s="2">
        <v>3.4028230607370999E+38</v>
      </c>
      <c r="CG153" s="2">
        <v>3.4028230607370999E+38</v>
      </c>
      <c r="CH153">
        <v>230.00161743164099</v>
      </c>
      <c r="CI153">
        <v>5.0002489089965803</v>
      </c>
      <c r="CJ153">
        <v>574.980712890625</v>
      </c>
      <c r="CK153">
        <v>1150.06469726562</v>
      </c>
      <c r="CL153">
        <v>996.01806640625</v>
      </c>
      <c r="CM153">
        <v>49.999855041503899</v>
      </c>
      <c r="CN153">
        <v>-60.002872467041001</v>
      </c>
      <c r="CO153">
        <v>1.5704205259680699E-2</v>
      </c>
      <c r="CP153" s="2">
        <v>3.57807971340662E-6</v>
      </c>
      <c r="CQ153" s="2">
        <v>8.4727096449910294E-9</v>
      </c>
      <c r="CR153" s="2">
        <v>5.6129735526155901E-8</v>
      </c>
      <c r="CS153" s="2">
        <v>3.6506324629925798E-9</v>
      </c>
      <c r="CT153">
        <v>74.724166870117202</v>
      </c>
      <c r="CU153">
        <v>-20.790431976318398</v>
      </c>
      <c r="CV153">
        <v>1.6827058047056202E-2</v>
      </c>
      <c r="CW153" s="2">
        <v>3.1679551284469198E-6</v>
      </c>
      <c r="CX153" s="2">
        <v>1.39687850175818E-9</v>
      </c>
      <c r="CY153" s="2">
        <v>5.5045010327603397E-8</v>
      </c>
      <c r="CZ153" s="2">
        <v>5.4984039543626303E-9</v>
      </c>
      <c r="DA153">
        <v>74.740867614746094</v>
      </c>
      <c r="DB153">
        <v>-74.339630126953097</v>
      </c>
      <c r="DC153" s="2">
        <v>3.4028230607370999E+38</v>
      </c>
      <c r="DD153" s="2">
        <v>3.4028230607370999E+38</v>
      </c>
      <c r="DE153">
        <v>574.980712890625</v>
      </c>
      <c r="DF153">
        <v>1150.06469726562</v>
      </c>
      <c r="DG153">
        <v>996.01806640625</v>
      </c>
      <c r="DH153" s="2">
        <v>3.4028230607370999E+38</v>
      </c>
      <c r="DI153" s="2">
        <v>3.4028230607370999E+38</v>
      </c>
      <c r="DJ153">
        <v>230.00231933593801</v>
      </c>
      <c r="DK153">
        <v>5.0002512931823704</v>
      </c>
      <c r="DL153">
        <v>574.98254394531205</v>
      </c>
      <c r="DM153">
        <v>1150.06884765625</v>
      </c>
      <c r="DN153">
        <v>996.01776123046898</v>
      </c>
      <c r="DO153">
        <v>49.999912261962898</v>
      </c>
      <c r="DP153">
        <v>-60.003025054931598</v>
      </c>
      <c r="DQ153">
        <v>1.4317964203655701E-2</v>
      </c>
      <c r="DR153" s="2">
        <v>3.5576617847254999E-6</v>
      </c>
      <c r="DS153" s="2">
        <v>4.9514130573413703E-9</v>
      </c>
      <c r="DT153" s="2">
        <v>5.0748539592859703E-8</v>
      </c>
      <c r="DU153" s="2">
        <v>4.1046250842668996E-9</v>
      </c>
      <c r="DV153">
        <v>74.743385314941406</v>
      </c>
      <c r="DW153">
        <v>-39.658073425292997</v>
      </c>
      <c r="DX153">
        <v>1.52586922049522E-2</v>
      </c>
      <c r="DY153" s="2">
        <v>3.14290605274437E-6</v>
      </c>
      <c r="DZ153" s="2">
        <v>4.7184162133007104E-10</v>
      </c>
      <c r="EA153" s="2">
        <v>4.7538748049191801E-8</v>
      </c>
      <c r="EB153" s="2">
        <v>2.4447708302233199E-9</v>
      </c>
      <c r="EC153">
        <v>74.722892761230497</v>
      </c>
      <c r="ED153">
        <v>-58.595165252685497</v>
      </c>
      <c r="EE153" s="2">
        <v>3.4028230607370999E+38</v>
      </c>
      <c r="EF153" s="2">
        <v>3.4028230607370999E+38</v>
      </c>
      <c r="EG153">
        <v>574.98254394531205</v>
      </c>
      <c r="EH153">
        <v>1150.06884765625</v>
      </c>
      <c r="EI153">
        <v>996.01776123046898</v>
      </c>
      <c r="EJ153" s="2">
        <v>3.4028230607370999E+38</v>
      </c>
      <c r="EK153" s="2">
        <v>3.4028230607370999E+38</v>
      </c>
      <c r="EL153">
        <v>123</v>
      </c>
      <c r="EM153">
        <v>230.00193786621099</v>
      </c>
      <c r="EN153">
        <v>5.00024318695068</v>
      </c>
      <c r="EO153">
        <v>574.98474121093795</v>
      </c>
      <c r="EP153">
        <v>1150.06701660156</v>
      </c>
      <c r="EQ153">
        <v>996.01495361328102</v>
      </c>
      <c r="ER153">
        <v>50</v>
      </c>
      <c r="ES153">
        <v>-60.002803802490199</v>
      </c>
      <c r="ET153">
        <v>0.49995630979538003</v>
      </c>
      <c r="EU153" s="2">
        <v>3.4028230607370999E+38</v>
      </c>
      <c r="EV153">
        <v>0</v>
      </c>
      <c r="EW153">
        <v>230.00230407714801</v>
      </c>
      <c r="EX153">
        <v>574.96478271484398</v>
      </c>
      <c r="EY153">
        <v>1150.068359375</v>
      </c>
      <c r="EZ153">
        <v>996.01916503906205</v>
      </c>
      <c r="FA153">
        <v>-1.2439159909263301E-3</v>
      </c>
      <c r="FB153">
        <v>1.43886581063271E-2</v>
      </c>
      <c r="FC153" s="2">
        <v>3.59145224138047E-6</v>
      </c>
      <c r="FD153" s="2">
        <v>4.11936662558787E-9</v>
      </c>
      <c r="FE153" s="2">
        <v>5.1709836412783301E-8</v>
      </c>
      <c r="FF153" s="2">
        <v>5.3032200852953801E-9</v>
      </c>
      <c r="FG153">
        <v>74.729736328125</v>
      </c>
      <c r="FH153">
        <v>-47.133739471435497</v>
      </c>
      <c r="FI153">
        <v>0.101061329245567</v>
      </c>
      <c r="FJ153" s="2">
        <v>3.4028230607370999E+38</v>
      </c>
      <c r="FK153">
        <v>21.6223335266113</v>
      </c>
      <c r="FL153">
        <v>1.9956724718213099E-2</v>
      </c>
      <c r="FM153">
        <v>0</v>
      </c>
      <c r="FN153">
        <v>0</v>
      </c>
      <c r="FO153">
        <v>0</v>
      </c>
      <c r="FP153" s="2">
        <v>9.7022915724664899E-5</v>
      </c>
      <c r="FQ153">
        <v>1.5837538987398099E-2</v>
      </c>
      <c r="FR153" s="2">
        <v>3.1047402444528399E-6</v>
      </c>
      <c r="FS153" s="2">
        <v>-1.4507779422245899E-9</v>
      </c>
      <c r="FT153" s="2">
        <v>5.1524910560374298E-8</v>
      </c>
      <c r="FU153" s="2">
        <v>2.69990785284335E-9</v>
      </c>
      <c r="FV153">
        <v>74.848609924316406</v>
      </c>
      <c r="FW153">
        <v>-93.933815002441406</v>
      </c>
      <c r="FX153">
        <v>-3.6033350042998799E-3</v>
      </c>
      <c r="FY153" s="2">
        <v>3.4028230607370999E+38</v>
      </c>
      <c r="FZ153">
        <v>-70.243156433105497</v>
      </c>
      <c r="GA153">
        <v>229.2080078125</v>
      </c>
      <c r="GB153" s="2">
        <v>-4.3579864716924998E-10</v>
      </c>
      <c r="GC153">
        <v>7.0863927248865399E-4</v>
      </c>
      <c r="GD153" s="2">
        <v>4.1250686200200402E-10</v>
      </c>
      <c r="GE153" s="2">
        <v>-8.2665850641205893E-5</v>
      </c>
      <c r="GF153" s="2">
        <v>3.4028230607370999E+38</v>
      </c>
      <c r="GG153" s="2">
        <v>3.4028230607370999E+38</v>
      </c>
      <c r="GH153">
        <v>574.97796630859398</v>
      </c>
      <c r="GI153">
        <v>1150.06262207031</v>
      </c>
      <c r="GJ153">
        <v>996.01416015625</v>
      </c>
      <c r="GK153" s="2">
        <v>3.4028230607370999E+38</v>
      </c>
      <c r="GL153" s="2">
        <v>3.4028230607370999E+38</v>
      </c>
      <c r="GM153" s="2">
        <v>3.4028230607370999E+38</v>
      </c>
      <c r="GN153" s="2">
        <v>3.4028230607370999E+38</v>
      </c>
      <c r="GO153" s="2">
        <v>3.4028230607370999E+38</v>
      </c>
      <c r="GP153" s="2">
        <v>3.4028230607370999E+38</v>
      </c>
      <c r="GQ153">
        <v>574.94677734375</v>
      </c>
      <c r="GR153">
        <v>574.94677734375</v>
      </c>
      <c r="GS153">
        <v>996.00775146484398</v>
      </c>
      <c r="GT153">
        <v>-1.94723217282444E-3</v>
      </c>
      <c r="GX153">
        <f t="shared" si="15"/>
        <v>230.00192871093782</v>
      </c>
      <c r="GY153">
        <f t="shared" si="16"/>
        <v>5.0002398490905744</v>
      </c>
      <c r="GZ153">
        <f t="shared" si="17"/>
        <v>574.97972412109368</v>
      </c>
      <c r="HA153">
        <f t="shared" si="18"/>
        <v>1150.065283203124</v>
      </c>
      <c r="HB153">
        <f t="shared" si="19"/>
        <v>996.01791992187498</v>
      </c>
      <c r="HC153">
        <f t="shared" si="20"/>
        <v>49.999930572509761</v>
      </c>
      <c r="HD153">
        <f t="shared" si="21"/>
        <v>-60.003052520751922</v>
      </c>
      <c r="HW153" s="10">
        <f>(GX153/Data!$S153-1)*1000000</f>
        <v>21.560766396699904</v>
      </c>
      <c r="HX153" s="10">
        <f>(GY153/Data!$T153-1)*1000000</f>
        <v>43.83043669187181</v>
      </c>
      <c r="HY153" s="10">
        <f>(GZ153/Data!$BW153-1)*1000000</f>
        <v>-70.588252157777191</v>
      </c>
      <c r="HZ153" s="10">
        <f>(HA153/(Data!$S153*Data!$T153)-1)*1000000</f>
        <v>65.804234441468878</v>
      </c>
      <c r="IA153" s="7">
        <f>(HB153/IF(HD153&gt;0, -Data!$BX153,Data!$BX153)-1)*1000000</f>
        <v>112.88703840683922</v>
      </c>
      <c r="IB153" s="10"/>
      <c r="IC153" s="9">
        <f>(HD153-Data!$U153)</f>
        <v>-4.5199007519229895E-3</v>
      </c>
    </row>
    <row r="154" spans="1:237" x14ac:dyDescent="0.2">
      <c r="A154">
        <v>154</v>
      </c>
      <c r="B154">
        <v>230.00190734863301</v>
      </c>
      <c r="C154">
        <v>5.0002341270446804</v>
      </c>
      <c r="D154">
        <v>574.98028564453102</v>
      </c>
      <c r="E154">
        <v>1150.06262207031</v>
      </c>
      <c r="F154">
        <v>996.01477050781205</v>
      </c>
      <c r="G154">
        <v>49.999946594238303</v>
      </c>
      <c r="H154">
        <v>-60.002967834472699</v>
      </c>
      <c r="I154">
        <v>1.5806969255209E-2</v>
      </c>
      <c r="J154" s="2">
        <v>3.60405897481542E-6</v>
      </c>
      <c r="K154" s="2">
        <v>4.3088026480120301E-9</v>
      </c>
      <c r="L154" s="2">
        <v>5.7058791469444299E-8</v>
      </c>
      <c r="M154" s="2">
        <v>7.6266308823846901E-9</v>
      </c>
      <c r="N154">
        <v>74.731277465820298</v>
      </c>
      <c r="O154">
        <v>-59.576805114746101</v>
      </c>
      <c r="P154">
        <v>1.72933861613274E-2</v>
      </c>
      <c r="Q154" s="2">
        <v>3.1286695048038399E-6</v>
      </c>
      <c r="R154" s="2">
        <v>-7.11276593179377E-10</v>
      </c>
      <c r="S154" s="2">
        <v>5.5470472659635601E-8</v>
      </c>
      <c r="T154" s="2">
        <v>4.2613010897696296E-9</v>
      </c>
      <c r="U154">
        <v>74.781997680664105</v>
      </c>
      <c r="V154">
        <v>-110.047843933105</v>
      </c>
      <c r="W154" s="2">
        <v>3.4028230607370999E+38</v>
      </c>
      <c r="X154" s="2">
        <v>3.4028230607370999E+38</v>
      </c>
      <c r="Y154">
        <v>574.980224609375</v>
      </c>
      <c r="Z154">
        <v>1150.06262207031</v>
      </c>
      <c r="AA154">
        <v>996.01477050781205</v>
      </c>
      <c r="AB154" s="2">
        <v>3.4028230607370999E+38</v>
      </c>
      <c r="AC154" s="2">
        <v>3.4028230607370999E+38</v>
      </c>
      <c r="AD154">
        <v>230.00184631347699</v>
      </c>
      <c r="AE154">
        <v>5.0002627372741699</v>
      </c>
      <c r="AF154">
        <v>574.98333740234398</v>
      </c>
      <c r="AG154">
        <v>1150.06616210938</v>
      </c>
      <c r="AH154">
        <v>996.0146484375</v>
      </c>
      <c r="AI154">
        <v>50</v>
      </c>
      <c r="AJ154">
        <v>-60.002891540527301</v>
      </c>
      <c r="AK154">
        <v>1.6687987372279198E-2</v>
      </c>
      <c r="AL154" s="2">
        <v>3.5329610454937202E-6</v>
      </c>
      <c r="AM154" s="2">
        <v>1.1593874305049201E-8</v>
      </c>
      <c r="AN154" s="2">
        <v>5.9087369663757299E-8</v>
      </c>
      <c r="AO154" s="2">
        <v>5.7378275464259299E-9</v>
      </c>
      <c r="AP154">
        <v>74.628242492675795</v>
      </c>
      <c r="AQ154">
        <v>-27.055421829223601</v>
      </c>
      <c r="AR154">
        <v>1.7974283546209301E-2</v>
      </c>
      <c r="AS154" s="2">
        <v>3.1103966193768399E-6</v>
      </c>
      <c r="AT154" s="2">
        <v>2.4020101463406701E-9</v>
      </c>
      <c r="AU154" s="2">
        <v>5.5945090338127603E-8</v>
      </c>
      <c r="AV154" s="2">
        <v>7.0643730865071997E-9</v>
      </c>
      <c r="AW154">
        <v>74.813438415527301</v>
      </c>
      <c r="AX154">
        <v>-67.243270874023395</v>
      </c>
      <c r="AY154" s="2">
        <v>3.4028230607370999E+38</v>
      </c>
      <c r="AZ154" s="2">
        <v>3.4028230607370999E+38</v>
      </c>
      <c r="BA154">
        <v>574.98333740234398</v>
      </c>
      <c r="BB154">
        <v>1150.06616210938</v>
      </c>
      <c r="BC154">
        <v>996.0146484375</v>
      </c>
      <c r="BD154" s="2">
        <v>3.4028230607370999E+38</v>
      </c>
      <c r="BE154" s="2">
        <v>3.4028230607370999E+38</v>
      </c>
      <c r="BF154">
        <v>230.00230407714801</v>
      </c>
      <c r="BG154">
        <v>5.0002369880676296</v>
      </c>
      <c r="BH154">
        <v>574.984130859375</v>
      </c>
      <c r="BI154">
        <v>1150.06530761719</v>
      </c>
      <c r="BJ154">
        <v>996.01544189453102</v>
      </c>
      <c r="BK154">
        <v>49.999973297119098</v>
      </c>
      <c r="BL154">
        <v>-60.002925872802699</v>
      </c>
      <c r="BM154">
        <v>1.4344790019094901E-2</v>
      </c>
      <c r="BN154" s="2">
        <v>3.5866878533852299E-6</v>
      </c>
      <c r="BO154" s="2">
        <v>5.6486277877354496E-9</v>
      </c>
      <c r="BP154" s="2">
        <v>5.1453142191348902E-8</v>
      </c>
      <c r="BQ154" s="2">
        <v>3.9120475747722602E-9</v>
      </c>
      <c r="BR154">
        <v>74.776115417480497</v>
      </c>
      <c r="BS154">
        <v>-37.451000213622997</v>
      </c>
      <c r="BT154">
        <v>1.52547881007195E-2</v>
      </c>
      <c r="BU154" s="2">
        <v>3.16146588374977E-6</v>
      </c>
      <c r="BV154" s="2">
        <v>4.2979966807798999E-10</v>
      </c>
      <c r="BW154" s="2">
        <v>4.7430123828462502E-8</v>
      </c>
      <c r="BX154" s="2">
        <v>1.92062543646898E-9</v>
      </c>
      <c r="BY154">
        <v>74.819198608398395</v>
      </c>
      <c r="BZ154">
        <v>-98.542503356933594</v>
      </c>
      <c r="CA154" s="2">
        <v>3.4028230607370999E+38</v>
      </c>
      <c r="CB154" s="2">
        <v>3.4028230607370999E+38</v>
      </c>
      <c r="CC154">
        <v>574.984130859375</v>
      </c>
      <c r="CD154">
        <v>1150.06530761719</v>
      </c>
      <c r="CE154">
        <v>996.01544189453102</v>
      </c>
      <c r="CF154" s="2">
        <v>3.4028230607370999E+38</v>
      </c>
      <c r="CG154" s="2">
        <v>3.4028230607370999E+38</v>
      </c>
      <c r="CH154">
        <v>230.00205993652301</v>
      </c>
      <c r="CI154">
        <v>5.0002179145812997</v>
      </c>
      <c r="CJ154">
        <v>574.97937011718795</v>
      </c>
      <c r="CK154">
        <v>1150.06530761719</v>
      </c>
      <c r="CL154">
        <v>996.014892578125</v>
      </c>
      <c r="CM154">
        <v>49.999996185302699</v>
      </c>
      <c r="CN154">
        <v>-60.002845764160199</v>
      </c>
      <c r="CO154">
        <v>1.7037099227309199E-2</v>
      </c>
      <c r="CP154" s="2">
        <v>3.5611562907433802E-6</v>
      </c>
      <c r="CQ154" s="2">
        <v>1.0537959838075E-8</v>
      </c>
      <c r="CR154" s="2">
        <v>6.0653661648757407E-8</v>
      </c>
      <c r="CS154" s="2">
        <v>5.3585034187619799E-9</v>
      </c>
      <c r="CT154">
        <v>74.661216735839801</v>
      </c>
      <c r="CU154">
        <v>-27.595962524414102</v>
      </c>
      <c r="CV154">
        <v>1.84563565999269E-2</v>
      </c>
      <c r="CW154" s="2">
        <v>3.1176994070847299E-6</v>
      </c>
      <c r="CX154" s="2">
        <v>3.9284402397754498E-9</v>
      </c>
      <c r="CY154" s="2">
        <v>5.93391220604644E-8</v>
      </c>
      <c r="CZ154" s="2">
        <v>7.6192900877458702E-9</v>
      </c>
      <c r="DA154">
        <v>74.840751647949205</v>
      </c>
      <c r="DB154">
        <v>-69.954933166503906</v>
      </c>
      <c r="DC154" s="2">
        <v>3.4028230607370999E+38</v>
      </c>
      <c r="DD154" s="2">
        <v>3.4028230607370999E+38</v>
      </c>
      <c r="DE154">
        <v>574.97937011718795</v>
      </c>
      <c r="DF154">
        <v>1150.06530761719</v>
      </c>
      <c r="DG154">
        <v>996.014892578125</v>
      </c>
      <c r="DH154" s="2">
        <v>3.4028230607370999E+38</v>
      </c>
      <c r="DI154" s="2">
        <v>3.4028230607370999E+38</v>
      </c>
      <c r="DJ154">
        <v>230.001953125</v>
      </c>
      <c r="DK154">
        <v>5.0002374649047896</v>
      </c>
      <c r="DL154">
        <v>574.98095703125</v>
      </c>
      <c r="DM154">
        <v>1150.06579589844</v>
      </c>
      <c r="DN154">
        <v>996.01696777343795</v>
      </c>
      <c r="DO154">
        <v>49.999954223632798</v>
      </c>
      <c r="DP154">
        <v>-60.002994537353501</v>
      </c>
      <c r="DQ154">
        <v>1.7393784597516102E-2</v>
      </c>
      <c r="DR154" s="2">
        <v>3.5058774301433E-6</v>
      </c>
      <c r="DS154" s="2">
        <v>6.6758949479606103E-9</v>
      </c>
      <c r="DT154" s="2">
        <v>6.1616880486781196E-8</v>
      </c>
      <c r="DU154" s="2">
        <v>9.5736618632713494E-9</v>
      </c>
      <c r="DV154">
        <v>74.745338439941406</v>
      </c>
      <c r="DW154">
        <v>-55.1112251281738</v>
      </c>
      <c r="DX154">
        <v>1.9186109304428101E-2</v>
      </c>
      <c r="DY154" s="2">
        <v>3.1737106382934101E-6</v>
      </c>
      <c r="DZ154" s="2">
        <v>2.8773478044641401E-10</v>
      </c>
      <c r="EA154" s="2">
        <v>6.0907453303116199E-8</v>
      </c>
      <c r="EB154" s="2">
        <v>7.1829777681387002E-9</v>
      </c>
      <c r="EC154">
        <v>74.675216674804702</v>
      </c>
      <c r="ED154">
        <v>-92.913902282714801</v>
      </c>
      <c r="EE154" s="2">
        <v>3.4028230607370999E+38</v>
      </c>
      <c r="EF154" s="2">
        <v>3.4028230607370999E+38</v>
      </c>
      <c r="EG154">
        <v>574.98095703125</v>
      </c>
      <c r="EH154">
        <v>1150.06579589844</v>
      </c>
      <c r="EI154">
        <v>996.01696777343795</v>
      </c>
      <c r="EJ154" s="2">
        <v>3.4028230607370999E+38</v>
      </c>
      <c r="EK154" s="2">
        <v>3.4028230607370999E+38</v>
      </c>
      <c r="EL154">
        <v>123</v>
      </c>
      <c r="EM154">
        <v>230.00216674804699</v>
      </c>
      <c r="EN154">
        <v>5.00022220611572</v>
      </c>
      <c r="EO154">
        <v>574.98083496093795</v>
      </c>
      <c r="EP154">
        <v>1150.06115722656</v>
      </c>
      <c r="EQ154">
        <v>996.012939453125</v>
      </c>
      <c r="ER154">
        <v>49.999931335449197</v>
      </c>
      <c r="ES154">
        <v>-60.002956390380902</v>
      </c>
      <c r="ET154">
        <v>0.49995574355125399</v>
      </c>
      <c r="EU154" s="2">
        <v>3.4028230607370999E+38</v>
      </c>
      <c r="EV154">
        <v>0</v>
      </c>
      <c r="EW154">
        <v>230.00088500976599</v>
      </c>
      <c r="EX154">
        <v>574.93896484375</v>
      </c>
      <c r="EY154">
        <v>1150.05285644531</v>
      </c>
      <c r="EZ154">
        <v>996.00158691406205</v>
      </c>
      <c r="FA154">
        <v>-3.8676713593304201E-3</v>
      </c>
      <c r="FB154">
        <v>1.67242996394634E-2</v>
      </c>
      <c r="FC154" s="2">
        <v>3.53265704688965E-6</v>
      </c>
      <c r="FD154" s="2">
        <v>6.4296652446671504E-9</v>
      </c>
      <c r="FE154" s="2">
        <v>5.8478764941583001E-8</v>
      </c>
      <c r="FF154" s="2">
        <v>8.8631697536811804E-9</v>
      </c>
      <c r="FG154">
        <v>74.747619628906193</v>
      </c>
      <c r="FH154">
        <v>-53.831958770752003</v>
      </c>
      <c r="FI154">
        <v>0.10452976077795</v>
      </c>
      <c r="FJ154" s="2">
        <v>3.4028230607370999E+38</v>
      </c>
      <c r="FK154">
        <v>-49.625026702880902</v>
      </c>
      <c r="FL154">
        <v>2.0988062024116499E-2</v>
      </c>
      <c r="FM154">
        <v>0</v>
      </c>
      <c r="FN154">
        <v>0</v>
      </c>
      <c r="FO154">
        <v>0</v>
      </c>
      <c r="FP154" s="2">
        <v>9.06543718883768E-5</v>
      </c>
      <c r="FQ154">
        <v>1.7680861055851E-2</v>
      </c>
      <c r="FR154" s="2">
        <v>3.1042611681186801E-6</v>
      </c>
      <c r="FS154" s="2">
        <v>1.07293812723341E-10</v>
      </c>
      <c r="FT154" s="2">
        <v>5.4869360610609901E-8</v>
      </c>
      <c r="FU154" s="2">
        <v>4.9038000327073E-9</v>
      </c>
      <c r="FV154">
        <v>74.827285766601605</v>
      </c>
      <c r="FW154">
        <v>-106.193115234375</v>
      </c>
      <c r="FX154">
        <v>-2.4878079071641E-2</v>
      </c>
      <c r="FY154" s="2">
        <v>3.4028230607370999E+38</v>
      </c>
      <c r="FZ154">
        <v>21.807929992675799</v>
      </c>
      <c r="GA154">
        <v>229.53662109375</v>
      </c>
      <c r="GB154" s="2">
        <v>8.9615914689034102E-10</v>
      </c>
      <c r="GC154">
        <v>7.09632644429803E-4</v>
      </c>
      <c r="GD154" s="2">
        <v>-1.4129585279576399E-9</v>
      </c>
      <c r="GE154" s="2">
        <v>-8.7201246060431004E-5</v>
      </c>
      <c r="GF154" s="2">
        <v>3.4028230607370999E+38</v>
      </c>
      <c r="GG154" s="2">
        <v>3.4028230607370999E+38</v>
      </c>
      <c r="GH154">
        <v>574.98101806640602</v>
      </c>
      <c r="GI154">
        <v>1150.06298828125</v>
      </c>
      <c r="GJ154">
        <v>996.01348876953102</v>
      </c>
      <c r="GK154" s="2">
        <v>3.4028230607370999E+38</v>
      </c>
      <c r="GL154" s="2">
        <v>3.4028230607370999E+38</v>
      </c>
      <c r="GM154" s="2">
        <v>3.4028230607370999E+38</v>
      </c>
      <c r="GN154" s="2">
        <v>3.4028230607370999E+38</v>
      </c>
      <c r="GO154" s="2">
        <v>3.4028230607370999E+38</v>
      </c>
      <c r="GP154" s="2">
        <v>3.4028230607370999E+38</v>
      </c>
      <c r="GQ154">
        <v>574.94122314453102</v>
      </c>
      <c r="GR154">
        <v>574.94122314453102</v>
      </c>
      <c r="GS154">
        <v>996.00860595703102</v>
      </c>
      <c r="GT154">
        <v>-3.0285131651908198E-3</v>
      </c>
      <c r="GX154">
        <f t="shared" si="15"/>
        <v>230.00201416015619</v>
      </c>
      <c r="GY154">
        <f t="shared" si="16"/>
        <v>5.0002378463745139</v>
      </c>
      <c r="GZ154">
        <f t="shared" si="17"/>
        <v>574.98161621093755</v>
      </c>
      <c r="HA154">
        <f t="shared" si="18"/>
        <v>1150.0650390625021</v>
      </c>
      <c r="HB154">
        <f t="shared" si="19"/>
        <v>996.01534423828127</v>
      </c>
      <c r="HC154">
        <f t="shared" si="20"/>
        <v>49.999974060058584</v>
      </c>
      <c r="HD154">
        <f t="shared" si="21"/>
        <v>-60.002925109863284</v>
      </c>
      <c r="HW154" s="10">
        <f>(GX154/Data!$S154-1)*1000000</f>
        <v>22.205342770975633</v>
      </c>
      <c r="HX154" s="10">
        <f>(GY154/Data!$T154-1)*1000000</f>
        <v>34.277019299366884</v>
      </c>
      <c r="HY154" s="10">
        <f>(GZ154/Data!$BW154-1)*1000000</f>
        <v>-73.810979516419906</v>
      </c>
      <c r="HZ154" s="10">
        <f>(HA154/(Data!$S154*Data!$T154)-1)*1000000</f>
        <v>56.711920215057887</v>
      </c>
      <c r="IA154" s="7">
        <f>(HB154/IF(HD154&gt;0, -Data!$BX154,Data!$BX154)-1)*1000000</f>
        <v>100.63150552319655</v>
      </c>
      <c r="IB154" s="10"/>
      <c r="IC154" s="9">
        <f>(HD154-Data!$U154)</f>
        <v>-4.314219863282176E-3</v>
      </c>
    </row>
    <row r="155" spans="1:237" x14ac:dyDescent="0.2">
      <c r="A155">
        <v>155</v>
      </c>
      <c r="B155">
        <v>230.00225830078099</v>
      </c>
      <c r="C155">
        <v>50.000450134277301</v>
      </c>
      <c r="D155">
        <v>11500.203125</v>
      </c>
      <c r="E155">
        <v>11500.2138671875</v>
      </c>
      <c r="F155">
        <v>0.38245144486427302</v>
      </c>
      <c r="G155">
        <v>49.999923706054702</v>
      </c>
      <c r="H155">
        <v>-1.90543103963137E-3</v>
      </c>
      <c r="I155">
        <v>1.6809679567813901E-2</v>
      </c>
      <c r="J155" s="2">
        <v>8.7615053416811895E-6</v>
      </c>
      <c r="K155" s="2">
        <v>7.3815549228584105E-8</v>
      </c>
      <c r="L155" s="2">
        <v>1.4753625521279901E-7</v>
      </c>
      <c r="M155" s="2">
        <v>1.84237833877887E-8</v>
      </c>
      <c r="N155">
        <v>71.975204467773395</v>
      </c>
      <c r="O155">
        <v>-13.6062269210815</v>
      </c>
      <c r="P155">
        <v>1.87034364789724E-2</v>
      </c>
      <c r="Q155" s="2">
        <v>8.7494772742502408E-6</v>
      </c>
      <c r="R155" s="2">
        <v>5.0943018692351001E-8</v>
      </c>
      <c r="S155" s="2">
        <v>1.54163856791456E-7</v>
      </c>
      <c r="T155" s="2">
        <v>8.0672961644268097E-8</v>
      </c>
      <c r="U155">
        <v>54.880573272705099</v>
      </c>
      <c r="V155">
        <v>-55.971729278564503</v>
      </c>
      <c r="W155" s="2">
        <v>3.4028230607370999E+38</v>
      </c>
      <c r="X155" s="2">
        <v>3.4028230607370999E+38</v>
      </c>
      <c r="Y155">
        <v>11500.203125</v>
      </c>
      <c r="Z155">
        <v>11500.2138671875</v>
      </c>
      <c r="AA155">
        <v>0.38245153427124001</v>
      </c>
      <c r="AB155" s="2">
        <v>3.4028230607370999E+38</v>
      </c>
      <c r="AC155" s="2">
        <v>3.4028230607370999E+38</v>
      </c>
      <c r="AD155">
        <v>230.002517700195</v>
      </c>
      <c r="AE155">
        <v>50.000679016113303</v>
      </c>
      <c r="AF155">
        <v>11500.26953125</v>
      </c>
      <c r="AG155">
        <v>11500.2783203125</v>
      </c>
      <c r="AH155">
        <v>0.35006481409072898</v>
      </c>
      <c r="AI155">
        <v>49.999904632568402</v>
      </c>
      <c r="AJ155">
        <v>-2.0176174584776202E-3</v>
      </c>
      <c r="AK155">
        <v>1.7141440883278802E-2</v>
      </c>
      <c r="AL155" s="2">
        <v>9.2595582827925699E-6</v>
      </c>
      <c r="AM155" s="2">
        <v>5.4909058633256798E-8</v>
      </c>
      <c r="AN155" s="2">
        <v>1.58286994178525E-7</v>
      </c>
      <c r="AO155" s="2">
        <v>-2.92196968842973E-8</v>
      </c>
      <c r="AP155">
        <v>71.970741271972699</v>
      </c>
      <c r="AQ155">
        <v>22.2425231933594</v>
      </c>
      <c r="AR155">
        <v>1.90059226006269E-2</v>
      </c>
      <c r="AS155" s="2">
        <v>8.5423589553101903E-6</v>
      </c>
      <c r="AT155" s="2">
        <v>7.7608270032669706E-8</v>
      </c>
      <c r="AU155" s="2">
        <v>1.6292344184876099E-7</v>
      </c>
      <c r="AV155" s="2">
        <v>6.3322566745682694E-8</v>
      </c>
      <c r="AW155">
        <v>71.189407348632798</v>
      </c>
      <c r="AX155">
        <v>-39.430416107177699</v>
      </c>
      <c r="AY155" s="2">
        <v>3.4028230607370999E+38</v>
      </c>
      <c r="AZ155" s="2">
        <v>3.4028230607370999E+38</v>
      </c>
      <c r="BA155">
        <v>11500.26953125</v>
      </c>
      <c r="BB155">
        <v>11500.2783203125</v>
      </c>
      <c r="BC155">
        <v>0.35006484389305098</v>
      </c>
      <c r="BD155" s="2">
        <v>3.4028230607370999E+38</v>
      </c>
      <c r="BE155" s="2">
        <v>3.4028230607370999E+38</v>
      </c>
      <c r="BF155">
        <v>230.00228881835901</v>
      </c>
      <c r="BG155">
        <v>50.000541687011697</v>
      </c>
      <c r="BH155">
        <v>11500.2236328125</v>
      </c>
      <c r="BI155">
        <v>11500.2509765625</v>
      </c>
      <c r="BJ155">
        <v>0.39277410507202098</v>
      </c>
      <c r="BK155">
        <v>49.999946594238303</v>
      </c>
      <c r="BL155">
        <v>-1.9568540155887599E-3</v>
      </c>
      <c r="BM155">
        <v>1.77810620516539E-2</v>
      </c>
      <c r="BN155" s="2">
        <v>9.0395269580767507E-6</v>
      </c>
      <c r="BO155" s="2">
        <v>7.7540626364225305E-8</v>
      </c>
      <c r="BP155" s="2">
        <v>1.60909593205361E-7</v>
      </c>
      <c r="BQ155" s="2">
        <v>3.14696255165892E-11</v>
      </c>
      <c r="BR155">
        <v>68.451461791992202</v>
      </c>
      <c r="BS155">
        <v>-3.9443895816803001</v>
      </c>
      <c r="BT155">
        <v>1.9604958593845399E-2</v>
      </c>
      <c r="BU155" s="2">
        <v>8.5834981291554902E-6</v>
      </c>
      <c r="BV155" s="2">
        <v>6.8397369545891706E-8</v>
      </c>
      <c r="BW155" s="2">
        <v>1.7272232355480799E-7</v>
      </c>
      <c r="BX155" s="2">
        <v>9.20168261586696E-8</v>
      </c>
      <c r="BY155">
        <v>71.413635253906193</v>
      </c>
      <c r="BZ155">
        <v>-52.5928764343262</v>
      </c>
      <c r="CA155" s="2">
        <v>3.4028230607370999E+38</v>
      </c>
      <c r="CB155" s="2">
        <v>3.4028230607370999E+38</v>
      </c>
      <c r="CC155">
        <v>11500.2236328125</v>
      </c>
      <c r="CD155">
        <v>11500.2509765625</v>
      </c>
      <c r="CE155">
        <v>0.39277419447898898</v>
      </c>
      <c r="CF155" s="2">
        <v>3.4028230607370999E+38</v>
      </c>
      <c r="CG155" s="2">
        <v>3.4028230607370999E+38</v>
      </c>
      <c r="CH155">
        <v>230.00267028808599</v>
      </c>
      <c r="CI155">
        <v>50.000625610351598</v>
      </c>
      <c r="CJ155">
        <v>11500.2509765625</v>
      </c>
      <c r="CK155">
        <v>11500.2578125</v>
      </c>
      <c r="CL155">
        <v>0.38305854797363298</v>
      </c>
      <c r="CM155">
        <v>49.999874114990199</v>
      </c>
      <c r="CN155">
        <v>-1.9654231145978E-3</v>
      </c>
      <c r="CO155">
        <v>1.7645800486207001E-2</v>
      </c>
      <c r="CP155" s="2">
        <v>9.0976191131630895E-6</v>
      </c>
      <c r="CQ155" s="2">
        <v>7.2685601537614301E-8</v>
      </c>
      <c r="CR155" s="2">
        <v>1.6108847944451599E-7</v>
      </c>
      <c r="CS155" s="2">
        <v>-7.99454014099865E-9</v>
      </c>
      <c r="CT155">
        <v>71.076187133789105</v>
      </c>
      <c r="CU155">
        <v>9.2269535064697301</v>
      </c>
      <c r="CV155">
        <v>1.96856874972582E-2</v>
      </c>
      <c r="CW155" s="2">
        <v>8.6007430581957999E-6</v>
      </c>
      <c r="CX155" s="2">
        <v>7.4169307140437E-8</v>
      </c>
      <c r="CY155" s="2">
        <v>1.68801960853671E-7</v>
      </c>
      <c r="CZ155" s="2">
        <v>8.4278980239105294E-8</v>
      </c>
      <c r="DA155">
        <v>72.795135498046903</v>
      </c>
      <c r="DB155">
        <v>-47.8939208984375</v>
      </c>
      <c r="DC155" s="2">
        <v>3.4028230607370999E+38</v>
      </c>
      <c r="DD155" s="2">
        <v>3.4028230607370999E+38</v>
      </c>
      <c r="DE155">
        <v>11500.2509765625</v>
      </c>
      <c r="DF155">
        <v>11500.2578125</v>
      </c>
      <c r="DG155">
        <v>0.38305860757827798</v>
      </c>
      <c r="DH155" s="2">
        <v>3.4028230607370999E+38</v>
      </c>
      <c r="DI155" s="2">
        <v>3.4028230607370999E+38</v>
      </c>
      <c r="DJ155">
        <v>230.00250244140599</v>
      </c>
      <c r="DK155">
        <v>50.000526428222699</v>
      </c>
      <c r="DL155">
        <v>11500.22265625</v>
      </c>
      <c r="DM155">
        <v>11500.2294921875</v>
      </c>
      <c r="DN155">
        <v>0.39137077331543002</v>
      </c>
      <c r="DO155">
        <v>49.999927520752003</v>
      </c>
      <c r="DP155">
        <v>-1.9498644396662699E-3</v>
      </c>
      <c r="DQ155">
        <v>1.6328275203704799E-2</v>
      </c>
      <c r="DR155" s="2">
        <v>8.8544156824354997E-6</v>
      </c>
      <c r="DS155" s="2">
        <v>5.95801949998531E-8</v>
      </c>
      <c r="DT155" s="2">
        <v>1.3739868620632499E-7</v>
      </c>
      <c r="DU155" s="2">
        <v>2.22036842245643E-8</v>
      </c>
      <c r="DV155">
        <v>71.086921691894503</v>
      </c>
      <c r="DW155">
        <v>-23.433792114257798</v>
      </c>
      <c r="DX155">
        <v>1.7472201958298701E-2</v>
      </c>
      <c r="DY155" s="2">
        <v>8.6569125414825993E-6</v>
      </c>
      <c r="DZ155" s="2">
        <v>2.4430008238596201E-8</v>
      </c>
      <c r="EA155" s="2">
        <v>1.4463405761944199E-7</v>
      </c>
      <c r="EB155" s="2">
        <v>6.1688695041084403E-8</v>
      </c>
      <c r="EC155">
        <v>70.299880981445298</v>
      </c>
      <c r="ED155">
        <v>-68.809539794921903</v>
      </c>
      <c r="EE155" s="2">
        <v>3.4028230607370999E+38</v>
      </c>
      <c r="EF155" s="2">
        <v>3.4028230607370999E+38</v>
      </c>
      <c r="EG155">
        <v>11500.22265625</v>
      </c>
      <c r="EH155">
        <v>11500.2294921875</v>
      </c>
      <c r="EI155">
        <v>0.39137083292007402</v>
      </c>
      <c r="EJ155" s="2">
        <v>3.4028230607370999E+38</v>
      </c>
      <c r="EK155" s="2">
        <v>3.4028230607370999E+38</v>
      </c>
      <c r="EL155">
        <v>123</v>
      </c>
      <c r="EM155">
        <v>230.002517700195</v>
      </c>
      <c r="EN155">
        <v>50.000576019287102</v>
      </c>
      <c r="EO155">
        <v>11500.248046875</v>
      </c>
      <c r="EP155">
        <v>11500.2548828125</v>
      </c>
      <c r="EQ155">
        <v>0.40533226728439298</v>
      </c>
      <c r="ER155">
        <v>49.999954223632798</v>
      </c>
      <c r="ES155">
        <v>-2.14892346411943E-3</v>
      </c>
      <c r="ET155">
        <v>0.99999940395355202</v>
      </c>
      <c r="EU155" s="2">
        <v>3.4028230607370999E+38</v>
      </c>
      <c r="EV155">
        <v>0</v>
      </c>
      <c r="EW155">
        <v>230.00379943847699</v>
      </c>
      <c r="EX155">
        <v>11500.3046875</v>
      </c>
      <c r="EY155">
        <v>11500.3134765625</v>
      </c>
      <c r="EZ155">
        <v>0.60457569360732999</v>
      </c>
      <c r="FA155">
        <v>7.5756702572107298E-3</v>
      </c>
      <c r="FB155">
        <v>1.4657711610198E-2</v>
      </c>
      <c r="FC155" s="2">
        <v>9.2386444521252997E-6</v>
      </c>
      <c r="FD155" s="2">
        <v>2.9066818285628E-8</v>
      </c>
      <c r="FE155" s="2">
        <v>1.39918469699296E-7</v>
      </c>
      <c r="FF155" s="2">
        <v>-1.6858738405289798E-8</v>
      </c>
      <c r="FG155">
        <v>71.812423706054702</v>
      </c>
      <c r="FH155">
        <v>30.235416412353501</v>
      </c>
      <c r="FI155">
        <v>0.21449656784534499</v>
      </c>
      <c r="FJ155" s="2">
        <v>3.4028230607370999E+38</v>
      </c>
      <c r="FK155">
        <v>-35.4422607421875</v>
      </c>
      <c r="FL155">
        <v>1.9717231392860399E-2</v>
      </c>
      <c r="FM155">
        <v>0</v>
      </c>
      <c r="FN155">
        <v>0</v>
      </c>
      <c r="FO155">
        <v>0</v>
      </c>
      <c r="FP155">
        <v>-3.0015810625627599E-4</v>
      </c>
      <c r="FQ155">
        <v>1.7581032589077901E-2</v>
      </c>
      <c r="FR155" s="2">
        <v>8.4749754023505392E-6</v>
      </c>
      <c r="FS155" s="2">
        <v>6.7247434287764905E-8</v>
      </c>
      <c r="FT155" s="2">
        <v>1.4939688242066001E-7</v>
      </c>
      <c r="FU155" s="2">
        <v>4.3845123087749003E-8</v>
      </c>
      <c r="FV155">
        <v>69.614387512207003</v>
      </c>
      <c r="FW155">
        <v>-34.245639801025398</v>
      </c>
      <c r="FX155">
        <v>0.47786340117454501</v>
      </c>
      <c r="FY155" s="2">
        <v>3.4028230607370999E+38</v>
      </c>
      <c r="FZ155">
        <v>-43.985919952392599</v>
      </c>
      <c r="GA155">
        <v>230.09730529785199</v>
      </c>
      <c r="GB155" s="2">
        <v>8.7336289311679105E-9</v>
      </c>
      <c r="GC155">
        <v>1.93032959941775E-3</v>
      </c>
      <c r="GD155" s="2">
        <v>7.9320230383927992E-9</v>
      </c>
      <c r="GE155">
        <v>-7.8724406193941799E-4</v>
      </c>
      <c r="GF155" s="2">
        <v>3.4028230607370999E+38</v>
      </c>
      <c r="GG155" s="2">
        <v>3.4028230607370999E+38</v>
      </c>
      <c r="GH155">
        <v>11500.2470703125</v>
      </c>
      <c r="GI155">
        <v>11500.2685546875</v>
      </c>
      <c r="GJ155">
        <v>0.36457428336143499</v>
      </c>
      <c r="GK155" s="2">
        <v>3.4028230607370999E+38</v>
      </c>
      <c r="GL155" s="2">
        <v>3.4028230607370999E+38</v>
      </c>
      <c r="GM155" s="2">
        <v>3.4028230607370999E+38</v>
      </c>
      <c r="GN155" s="2">
        <v>3.4028230607370999E+38</v>
      </c>
      <c r="GO155" s="2">
        <v>3.4028230607370999E+38</v>
      </c>
      <c r="GP155" s="2">
        <v>3.4028230607370999E+38</v>
      </c>
      <c r="GQ155">
        <v>11500.353515625</v>
      </c>
      <c r="GR155">
        <v>11500.353515625</v>
      </c>
      <c r="GS155">
        <v>0.91161078214645397</v>
      </c>
      <c r="GT155">
        <v>7.8144604340195708E-3</v>
      </c>
      <c r="GX155">
        <f t="shared" si="15"/>
        <v>230.0024475097654</v>
      </c>
      <c r="GY155">
        <f t="shared" si="16"/>
        <v>50.000564575195313</v>
      </c>
      <c r="GZ155">
        <f t="shared" si="17"/>
        <v>11500.233984375</v>
      </c>
      <c r="HA155">
        <f t="shared" si="18"/>
        <v>11500.24609375</v>
      </c>
      <c r="HB155">
        <f t="shared" si="19"/>
        <v>0.37994393706321727</v>
      </c>
      <c r="HC155">
        <f t="shared" si="20"/>
        <v>49.999915313720727</v>
      </c>
      <c r="HD155">
        <f t="shared" si="21"/>
        <v>-1.959038013592364E-3</v>
      </c>
      <c r="HW155" s="10">
        <f>(GX155/Data!$S155-1)*1000000</f>
        <v>26.043921852236807</v>
      </c>
      <c r="HX155" s="10">
        <f>(GY155/Data!$T155-1)*1000000</f>
        <v>-1.6982740335125257</v>
      </c>
      <c r="HY155" s="10">
        <f>(GZ155/Data!$BW155-1)*1000000</f>
        <v>22.753478679637951</v>
      </c>
      <c r="HZ155" s="10">
        <f>(HA155/(Data!$S155*Data!$T155)-1)*1000000</f>
        <v>23.812087954322436</v>
      </c>
      <c r="IA155" s="7">
        <f>(HB155/IF(HD155&gt;0, -Data!$BX155,Data!$BX155)-1)*1000000</f>
        <v>2260253.2164673922</v>
      </c>
      <c r="IB155" s="10"/>
      <c r="IC155" s="9">
        <f>(HD155-Data!$U155)</f>
        <v>-1.378415013592364E-3</v>
      </c>
    </row>
    <row r="156" spans="1:237" x14ac:dyDescent="0.2">
      <c r="A156">
        <v>156</v>
      </c>
      <c r="B156">
        <v>230.00242614746099</v>
      </c>
      <c r="C156">
        <v>50.0005493164062</v>
      </c>
      <c r="D156">
        <v>11500.2509765625</v>
      </c>
      <c r="E156">
        <v>11500.2568359375</v>
      </c>
      <c r="F156">
        <v>0.38523709774017301</v>
      </c>
      <c r="G156">
        <v>49.999973297119098</v>
      </c>
      <c r="H156">
        <v>-2.1386987064033699E-3</v>
      </c>
      <c r="I156">
        <v>1.69121120125055E-2</v>
      </c>
      <c r="J156" s="2">
        <v>8.8029973994707706E-6</v>
      </c>
      <c r="K156" s="2">
        <v>6.7100131673214505E-8</v>
      </c>
      <c r="L156" s="2">
        <v>1.4659840985586901E-7</v>
      </c>
      <c r="M156" s="2">
        <v>2.1633617564020801E-8</v>
      </c>
      <c r="N156">
        <v>72.226921081542997</v>
      </c>
      <c r="O156">
        <v>-22.0256748199463</v>
      </c>
      <c r="P156">
        <v>1.8242225050926202E-2</v>
      </c>
      <c r="Q156" s="2">
        <v>8.6822356024640595E-6</v>
      </c>
      <c r="R156" s="2">
        <v>3.9537887630558497E-8</v>
      </c>
      <c r="S156" s="2">
        <v>1.58573485009583E-7</v>
      </c>
      <c r="T156" s="2">
        <v>7.9513945649978295E-8</v>
      </c>
      <c r="U156">
        <v>66.915771484375</v>
      </c>
      <c r="V156">
        <v>-65.483306884765597</v>
      </c>
      <c r="W156" s="2">
        <v>3.4028230607370999E+38</v>
      </c>
      <c r="X156" s="2">
        <v>3.4028230607370999E+38</v>
      </c>
      <c r="Y156">
        <v>11500.2509765625</v>
      </c>
      <c r="Z156">
        <v>11500.2568359375</v>
      </c>
      <c r="AA156">
        <v>0.385237187147141</v>
      </c>
      <c r="AB156" s="2">
        <v>3.4028230607370999E+38</v>
      </c>
      <c r="AC156" s="2">
        <v>3.4028230607370999E+38</v>
      </c>
      <c r="AD156">
        <v>230.00234985351599</v>
      </c>
      <c r="AE156">
        <v>50.000511169433601</v>
      </c>
      <c r="AF156">
        <v>11500.220703125</v>
      </c>
      <c r="AG156">
        <v>11500.2216796875</v>
      </c>
      <c r="AH156">
        <v>0.34117725491523698</v>
      </c>
      <c r="AI156">
        <v>49.9999809265137</v>
      </c>
      <c r="AJ156">
        <v>-1.6997957136482E-3</v>
      </c>
      <c r="AK156">
        <v>1.6862157732248299E-2</v>
      </c>
      <c r="AL156" s="2">
        <v>8.7587031885050203E-6</v>
      </c>
      <c r="AM156" s="2">
        <v>6.5219573741614996E-8</v>
      </c>
      <c r="AN156" s="2">
        <v>1.4488584554328599E-7</v>
      </c>
      <c r="AO156" s="2">
        <v>2.5944864034954699E-8</v>
      </c>
      <c r="AP156">
        <v>71.813705444335895</v>
      </c>
      <c r="AQ156">
        <v>-20.635663986206101</v>
      </c>
      <c r="AR156">
        <v>1.8133651465177501E-2</v>
      </c>
      <c r="AS156" s="2">
        <v>8.9090026449412107E-6</v>
      </c>
      <c r="AT156" s="2">
        <v>3.6828541993827497E-8</v>
      </c>
      <c r="AU156" s="2">
        <v>1.5908334205505499E-7</v>
      </c>
      <c r="AV156" s="2">
        <v>7.0987574929404205E-8</v>
      </c>
      <c r="AW156">
        <v>72.879173278808594</v>
      </c>
      <c r="AX156">
        <v>-68.068336486816406</v>
      </c>
      <c r="AY156" s="2">
        <v>3.4028230607370999E+38</v>
      </c>
      <c r="AZ156" s="2">
        <v>3.4028230607370999E+38</v>
      </c>
      <c r="BA156">
        <v>11500.220703125</v>
      </c>
      <c r="BB156">
        <v>11500.2216796875</v>
      </c>
      <c r="BC156">
        <v>0.34117734432220498</v>
      </c>
      <c r="BD156" s="2">
        <v>3.4028230607370999E+38</v>
      </c>
      <c r="BE156" s="2">
        <v>3.4028230607370999E+38</v>
      </c>
      <c r="BF156">
        <v>230.00263977050801</v>
      </c>
      <c r="BG156">
        <v>50.000656127929702</v>
      </c>
      <c r="BH156">
        <v>11500.26953125</v>
      </c>
      <c r="BI156">
        <v>11500.275390625</v>
      </c>
      <c r="BJ156">
        <v>0.41367572546005199</v>
      </c>
      <c r="BK156">
        <v>49.9998970031738</v>
      </c>
      <c r="BL156">
        <v>-2.06099078059196E-3</v>
      </c>
      <c r="BM156">
        <v>1.43603393808007E-2</v>
      </c>
      <c r="BN156" s="2">
        <v>9.1443162091309205E-6</v>
      </c>
      <c r="BO156" s="2">
        <v>2.6690795351669301E-8</v>
      </c>
      <c r="BP156" s="2">
        <v>1.3120497044383199E-7</v>
      </c>
      <c r="BQ156" s="2">
        <v>-7.6408959159834905E-9</v>
      </c>
      <c r="BR156">
        <v>71.984199523925795</v>
      </c>
      <c r="BS156">
        <v>15.3308458328247</v>
      </c>
      <c r="BT156">
        <v>1.50965619832277E-2</v>
      </c>
      <c r="BU156" s="2">
        <v>8.6484869825653698E-6</v>
      </c>
      <c r="BV156" s="2">
        <v>3.3039302849147101E-8</v>
      </c>
      <c r="BW156" s="2">
        <v>1.3166996382096801E-7</v>
      </c>
      <c r="BX156" s="2">
        <v>2.7853838346914001E-8</v>
      </c>
      <c r="BY156">
        <v>68.934150695800795</v>
      </c>
      <c r="BZ156">
        <v>-37.256587982177699</v>
      </c>
      <c r="CA156" s="2">
        <v>3.4028230607370999E+38</v>
      </c>
      <c r="CB156" s="2">
        <v>3.4028230607370999E+38</v>
      </c>
      <c r="CC156">
        <v>11500.26953125</v>
      </c>
      <c r="CD156">
        <v>11500.275390625</v>
      </c>
      <c r="CE156">
        <v>0.41367572546005199</v>
      </c>
      <c r="CF156" s="2">
        <v>3.4028230607370999E+38</v>
      </c>
      <c r="CG156" s="2">
        <v>3.4028230607370999E+38</v>
      </c>
      <c r="CH156">
        <v>230.00267028808599</v>
      </c>
      <c r="CI156">
        <v>50.000659942627003</v>
      </c>
      <c r="CJ156">
        <v>11500.2607421875</v>
      </c>
      <c r="CK156">
        <v>11500.267578125</v>
      </c>
      <c r="CL156">
        <v>0.39316976070404103</v>
      </c>
      <c r="CM156">
        <v>49.9998779296875</v>
      </c>
      <c r="CN156">
        <v>-1.9660803955048301E-3</v>
      </c>
      <c r="CO156">
        <v>1.7581103369593599E-2</v>
      </c>
      <c r="CP156" s="2">
        <v>9.19078775041271E-6</v>
      </c>
      <c r="CQ156" s="2">
        <v>6.7997625308180405E-8</v>
      </c>
      <c r="CR156" s="2">
        <v>1.6283392767490999E-7</v>
      </c>
      <c r="CS156" s="2">
        <v>-1.5582592993723702E-8</v>
      </c>
      <c r="CT156">
        <v>72.1397705078125</v>
      </c>
      <c r="CU156">
        <v>9.8639049530029297</v>
      </c>
      <c r="CV156">
        <v>1.94451715797186E-2</v>
      </c>
      <c r="CW156" s="2">
        <v>8.6010331870056706E-6</v>
      </c>
      <c r="CX156" s="2">
        <v>7.6385383351862401E-8</v>
      </c>
      <c r="CY156" s="2">
        <v>1.67222140134982E-7</v>
      </c>
      <c r="CZ156" s="2">
        <v>7.98966581783134E-8</v>
      </c>
      <c r="DA156">
        <v>72.0811767578125</v>
      </c>
      <c r="DB156">
        <v>-46.631385803222699</v>
      </c>
      <c r="DC156" s="2">
        <v>3.4028230607370999E+38</v>
      </c>
      <c r="DD156" s="2">
        <v>3.4028230607370999E+38</v>
      </c>
      <c r="DE156">
        <v>11500.2607421875</v>
      </c>
      <c r="DF156">
        <v>11500.267578125</v>
      </c>
      <c r="DG156">
        <v>0.39316982030868503</v>
      </c>
      <c r="DH156" s="2">
        <v>3.4028230607370999E+38</v>
      </c>
      <c r="DI156" s="2">
        <v>3.4028230607370999E+38</v>
      </c>
      <c r="DJ156">
        <v>230.00239562988301</v>
      </c>
      <c r="DK156">
        <v>50.0005912780762</v>
      </c>
      <c r="DL156">
        <v>11500.244140625</v>
      </c>
      <c r="DM156">
        <v>11500.2529296875</v>
      </c>
      <c r="DN156">
        <v>0.43453463912010198</v>
      </c>
      <c r="DO156">
        <v>49.999912261962898</v>
      </c>
      <c r="DP156">
        <v>-2.1649100817739998E-3</v>
      </c>
      <c r="DQ156">
        <v>1.6922019422054301E-2</v>
      </c>
      <c r="DR156" s="2">
        <v>9.3092676252126694E-6</v>
      </c>
      <c r="DS156" s="2">
        <v>5.5954512134803702E-8</v>
      </c>
      <c r="DT156" s="2">
        <v>1.5810417153261401E-7</v>
      </c>
      <c r="DU156" s="2">
        <v>-2.3674189719713501E-8</v>
      </c>
      <c r="DV156">
        <v>72.119285583496094</v>
      </c>
      <c r="DW156">
        <v>23.2265930175781</v>
      </c>
      <c r="DX156">
        <v>1.8204197287559499E-2</v>
      </c>
      <c r="DY156" s="2">
        <v>8.4571965999202803E-6</v>
      </c>
      <c r="DZ156" s="2">
        <v>7.6233817480897401E-8</v>
      </c>
      <c r="EA156" s="2">
        <v>1.5757342453071001E-7</v>
      </c>
      <c r="EB156" s="2">
        <v>5.8366936173115398E-8</v>
      </c>
      <c r="EC156">
        <v>70.758110046386705</v>
      </c>
      <c r="ED156">
        <v>-39.327110290527301</v>
      </c>
      <c r="EE156" s="2">
        <v>3.4028230607370999E+38</v>
      </c>
      <c r="EF156" s="2">
        <v>3.4028230607370999E+38</v>
      </c>
      <c r="EG156">
        <v>11500.244140625</v>
      </c>
      <c r="EH156">
        <v>11500.2529296875</v>
      </c>
      <c r="EI156">
        <v>0.43453466892242398</v>
      </c>
      <c r="EJ156" s="2">
        <v>3.4028230607370999E+38</v>
      </c>
      <c r="EK156" s="2">
        <v>3.4028230607370999E+38</v>
      </c>
      <c r="EL156">
        <v>123</v>
      </c>
      <c r="EM156">
        <v>230.002685546875</v>
      </c>
      <c r="EN156">
        <v>50.000675201416001</v>
      </c>
      <c r="EO156">
        <v>11500.275390625</v>
      </c>
      <c r="EP156">
        <v>11500.2802734375</v>
      </c>
      <c r="EQ156">
        <v>0.38167619705200201</v>
      </c>
      <c r="ER156">
        <v>49.9998970031738</v>
      </c>
      <c r="ES156">
        <v>-2.0559234544634802E-3</v>
      </c>
      <c r="ET156">
        <v>0.99999940395355202</v>
      </c>
      <c r="EU156" s="2">
        <v>3.4028230607370999E+38</v>
      </c>
      <c r="EV156">
        <v>0</v>
      </c>
      <c r="EW156">
        <v>230.00590515136699</v>
      </c>
      <c r="EX156">
        <v>11500.41796875</v>
      </c>
      <c r="EY156">
        <v>11500.42578125</v>
      </c>
      <c r="EZ156">
        <v>0.91588044166564897</v>
      </c>
      <c r="FA156">
        <v>9.8849507048726099E-3</v>
      </c>
      <c r="FB156">
        <v>1.7859963700175299E-2</v>
      </c>
      <c r="FC156" s="2">
        <v>9.1810670710401593E-6</v>
      </c>
      <c r="FD156" s="2">
        <v>7.4556901097366803E-8</v>
      </c>
      <c r="FE156" s="2">
        <v>1.6165051874850199E-7</v>
      </c>
      <c r="FF156" s="2">
        <v>-7.4809332062386602E-9</v>
      </c>
      <c r="FG156">
        <v>72.204078674316406</v>
      </c>
      <c r="FH156">
        <v>6.3593497276306197</v>
      </c>
      <c r="FI156">
        <v>0.46976196765899703</v>
      </c>
      <c r="FJ156" s="2">
        <v>3.4028230607370999E+38</v>
      </c>
      <c r="FK156">
        <v>6.7080593109130904</v>
      </c>
      <c r="FL156">
        <v>2.08331290632486E-2</v>
      </c>
      <c r="FM156">
        <v>0</v>
      </c>
      <c r="FN156">
        <v>0</v>
      </c>
      <c r="FO156">
        <v>0</v>
      </c>
      <c r="FP156">
        <v>-3.3665171940811E-4</v>
      </c>
      <c r="FQ156">
        <v>1.9629968330264098E-2</v>
      </c>
      <c r="FR156" s="2">
        <v>8.5796518760616908E-6</v>
      </c>
      <c r="FS156" s="2">
        <v>6.9448184092380001E-8</v>
      </c>
      <c r="FT156" s="2">
        <v>1.6930387403135701E-7</v>
      </c>
      <c r="FU156" s="2">
        <v>9.2221306147166602E-8</v>
      </c>
      <c r="FV156">
        <v>71.300735473632798</v>
      </c>
      <c r="FW156">
        <v>-53.635196685791001</v>
      </c>
      <c r="FX156">
        <v>0.39217329025268599</v>
      </c>
      <c r="FY156" s="2">
        <v>3.4028230607370999E+38</v>
      </c>
      <c r="FZ156">
        <v>-40.957859039306598</v>
      </c>
      <c r="GA156">
        <v>229.48667907714801</v>
      </c>
      <c r="GB156" s="2">
        <v>5.4605435728660698E-9</v>
      </c>
      <c r="GC156">
        <v>1.9678515382111099E-3</v>
      </c>
      <c r="GD156" s="2">
        <v>8.1635551651970706E-9</v>
      </c>
      <c r="GE156">
        <v>-7.9332984751090397E-4</v>
      </c>
      <c r="GF156" s="2">
        <v>3.4028230607370999E+38</v>
      </c>
      <c r="GG156" s="2">
        <v>3.4028230607370999E+38</v>
      </c>
      <c r="GH156">
        <v>11500.2353515625</v>
      </c>
      <c r="GI156">
        <v>11500.2421875</v>
      </c>
      <c r="GJ156">
        <v>0.369846671819687</v>
      </c>
      <c r="GK156" s="2">
        <v>3.4028230607370999E+38</v>
      </c>
      <c r="GL156" s="2">
        <v>3.4028230607370999E+38</v>
      </c>
      <c r="GM156" s="2">
        <v>3.4028230607370999E+38</v>
      </c>
      <c r="GN156" s="2">
        <v>3.4028230607370999E+38</v>
      </c>
      <c r="GO156" s="2">
        <v>3.4028230607370999E+38</v>
      </c>
      <c r="GP156" s="2">
        <v>3.4028230607370999E+38</v>
      </c>
      <c r="GQ156">
        <v>11500.2197265625</v>
      </c>
      <c r="GR156">
        <v>11500.2197265625</v>
      </c>
      <c r="GS156">
        <v>0.78884112834930398</v>
      </c>
      <c r="GT156">
        <v>-1.4645621180534399E-2</v>
      </c>
      <c r="GX156">
        <f t="shared" si="15"/>
        <v>230.00249633789082</v>
      </c>
      <c r="GY156">
        <f t="shared" si="16"/>
        <v>50.000593566894544</v>
      </c>
      <c r="GZ156">
        <f t="shared" si="17"/>
        <v>11500.249218749999</v>
      </c>
      <c r="HA156">
        <f t="shared" si="18"/>
        <v>11500.2548828125</v>
      </c>
      <c r="HB156">
        <f t="shared" si="19"/>
        <v>0.39355889558792095</v>
      </c>
      <c r="HC156">
        <f t="shared" si="20"/>
        <v>49.999928283691396</v>
      </c>
      <c r="HD156">
        <f t="shared" si="21"/>
        <v>-2.0060951355844719E-3</v>
      </c>
      <c r="HW156" s="10">
        <f>(GX156/Data!$S156-1)*1000000</f>
        <v>25.151393907130171</v>
      </c>
      <c r="HX156" s="10">
        <f>(GY156/Data!$T156-1)*1000000</f>
        <v>-4.7417833328733394</v>
      </c>
      <c r="HY156" s="10">
        <f>(GZ156/Data!$BW156-1)*1000000</f>
        <v>19.349411597424648</v>
      </c>
      <c r="HZ156" s="10">
        <f>(HA156/(Data!$S156*Data!$T156)-1)*1000000</f>
        <v>19.84810569610751</v>
      </c>
      <c r="IA156" s="7">
        <f>(HB156/IF(HD156&gt;0, -Data!$BX156,Data!$BX156)-1)*1000000</f>
        <v>2574637.4383005993</v>
      </c>
      <c r="IB156" s="10"/>
      <c r="IC156" s="9">
        <f>(HD156-Data!$U156)</f>
        <v>-1.4575641355844718E-3</v>
      </c>
    </row>
    <row r="157" spans="1:237" x14ac:dyDescent="0.2">
      <c r="A157">
        <v>157</v>
      </c>
      <c r="B157">
        <v>230.00399780273401</v>
      </c>
      <c r="C157">
        <v>50.000766754150398</v>
      </c>
      <c r="D157">
        <v>5749.91259765625</v>
      </c>
      <c r="E157">
        <v>11500.3828125</v>
      </c>
      <c r="F157">
        <v>9959.796875</v>
      </c>
      <c r="G157">
        <v>50</v>
      </c>
      <c r="H157">
        <v>-60.001697540283203</v>
      </c>
      <c r="I157">
        <v>1.5641663223504999E-2</v>
      </c>
      <c r="J157" s="2">
        <v>9.3179705800139294E-6</v>
      </c>
      <c r="K157" s="2">
        <v>5.3797567289848303E-8</v>
      </c>
      <c r="L157" s="2">
        <v>1.4387366320534101E-7</v>
      </c>
      <c r="M157" s="2">
        <v>2.8144835795273998E-8</v>
      </c>
      <c r="N157">
        <v>72.037582397460895</v>
      </c>
      <c r="O157">
        <v>-27.145170211791999</v>
      </c>
      <c r="P157">
        <v>1.6676165163516998E-2</v>
      </c>
      <c r="Q157" s="2">
        <v>8.3546483438112807E-6</v>
      </c>
      <c r="R157" s="2">
        <v>1.86907342936138E-8</v>
      </c>
      <c r="S157" s="2">
        <v>1.3521741948352399E-7</v>
      </c>
      <c r="T157" s="2">
        <v>4.6644505147241897E-8</v>
      </c>
      <c r="U157">
        <v>70.842308044433594</v>
      </c>
      <c r="V157">
        <v>-73.573936462402301</v>
      </c>
      <c r="W157" s="2">
        <v>3.4028230607370999E+38</v>
      </c>
      <c r="X157" s="2">
        <v>3.4028230607370999E+38</v>
      </c>
      <c r="Y157">
        <v>5749.91259765625</v>
      </c>
      <c r="Z157">
        <v>11500.3828125</v>
      </c>
      <c r="AA157">
        <v>9959.796875</v>
      </c>
      <c r="AB157" s="2">
        <v>3.4028230607370999E+38</v>
      </c>
      <c r="AC157" s="2">
        <v>3.4028230607370999E+38</v>
      </c>
      <c r="AD157">
        <v>230.00405883789099</v>
      </c>
      <c r="AE157">
        <v>50.000614166259801</v>
      </c>
      <c r="AF157">
        <v>5749.8935546875</v>
      </c>
      <c r="AG157">
        <v>11500.3525390625</v>
      </c>
      <c r="AH157">
        <v>9959.791015625</v>
      </c>
      <c r="AI157">
        <v>49.999927520752003</v>
      </c>
      <c r="AJ157">
        <v>-60.001747131347699</v>
      </c>
      <c r="AK157">
        <v>1.5997277572751E-2</v>
      </c>
      <c r="AL157" s="2">
        <v>8.9785207819659297E-6</v>
      </c>
      <c r="AM157" s="2">
        <v>3.6842358497324299E-8</v>
      </c>
      <c r="AN157" s="2">
        <v>1.48001177535662E-7</v>
      </c>
      <c r="AO157" s="2">
        <v>6.8248709794716005E-8</v>
      </c>
      <c r="AP157">
        <v>71.976783752441406</v>
      </c>
      <c r="AQ157">
        <v>-60.105918884277301</v>
      </c>
      <c r="AR157">
        <v>1.74338147044182E-2</v>
      </c>
      <c r="AS157" s="2">
        <v>8.5412148109753599E-6</v>
      </c>
      <c r="AT157" s="2">
        <v>-3.8079623010389703E-8</v>
      </c>
      <c r="AU157" s="2">
        <v>1.4890864008521E-7</v>
      </c>
      <c r="AV157" s="2">
        <v>3.21251043544635E-8</v>
      </c>
      <c r="AW157">
        <v>71.919868469238295</v>
      </c>
      <c r="AX157">
        <v>-137.75660705566401</v>
      </c>
      <c r="AY157" s="2">
        <v>3.4028230607370999E+38</v>
      </c>
      <c r="AZ157" s="2">
        <v>3.4028230607370999E+38</v>
      </c>
      <c r="BA157">
        <v>5749.89306640625</v>
      </c>
      <c r="BB157">
        <v>11500.3525390625</v>
      </c>
      <c r="BC157">
        <v>9959.791015625</v>
      </c>
      <c r="BD157" s="2">
        <v>3.4028230607370999E+38</v>
      </c>
      <c r="BE157" s="2">
        <v>3.4028230607370999E+38</v>
      </c>
      <c r="BF157">
        <v>230.00373840332</v>
      </c>
      <c r="BG157">
        <v>50.000701904296903</v>
      </c>
      <c r="BH157">
        <v>5749.89794921875</v>
      </c>
      <c r="BI157">
        <v>11500.33984375</v>
      </c>
      <c r="BJ157">
        <v>9959.771484375</v>
      </c>
      <c r="BK157">
        <v>49.999874114990199</v>
      </c>
      <c r="BL157">
        <v>-60.001686096191399</v>
      </c>
      <c r="BM157">
        <v>1.6779387369751899E-2</v>
      </c>
      <c r="BN157" s="2">
        <v>9.0741086751222594E-6</v>
      </c>
      <c r="BO157" s="2">
        <v>7.2179474841504998E-8</v>
      </c>
      <c r="BP157" s="2">
        <v>1.5244926032664799E-7</v>
      </c>
      <c r="BQ157" s="2">
        <v>4.7996035590358601E-8</v>
      </c>
      <c r="BR157">
        <v>71.997970581054702</v>
      </c>
      <c r="BS157">
        <v>-31.9308071136475</v>
      </c>
      <c r="BT157">
        <v>1.82674266397953E-2</v>
      </c>
      <c r="BU157" s="2">
        <v>8.4380035332287696E-6</v>
      </c>
      <c r="BV157" s="2">
        <v>1.4132581327430699E-8</v>
      </c>
      <c r="BW157" s="2">
        <v>1.5398438790725801E-7</v>
      </c>
      <c r="BX157" s="2">
        <v>7.3292270030833606E-8</v>
      </c>
      <c r="BY157">
        <v>67.941459655761705</v>
      </c>
      <c r="BZ157">
        <v>-80.921951293945298</v>
      </c>
      <c r="CA157" s="2">
        <v>3.4028230607370999E+38</v>
      </c>
      <c r="CB157" s="2">
        <v>3.4028230607370999E+38</v>
      </c>
      <c r="CC157">
        <v>5749.89794921875</v>
      </c>
      <c r="CD157">
        <v>11500.33984375</v>
      </c>
      <c r="CE157">
        <v>9959.771484375</v>
      </c>
      <c r="CF157" s="2">
        <v>3.4028230607370999E+38</v>
      </c>
      <c r="CG157" s="2">
        <v>3.4028230607370999E+38</v>
      </c>
      <c r="CH157">
        <v>230.00424194335901</v>
      </c>
      <c r="CI157">
        <v>50.0007934570312</v>
      </c>
      <c r="CJ157">
        <v>5749.90625</v>
      </c>
      <c r="CK157">
        <v>11500.3818359375</v>
      </c>
      <c r="CL157">
        <v>9959.8076171875</v>
      </c>
      <c r="CM157">
        <v>50.000007629394503</v>
      </c>
      <c r="CN157">
        <v>-60.001556396484403</v>
      </c>
      <c r="CO157">
        <v>1.46780833601952E-2</v>
      </c>
      <c r="CP157" s="2">
        <v>9.4293036454473605E-6</v>
      </c>
      <c r="CQ157" s="2">
        <v>4.3510095082410798E-8</v>
      </c>
      <c r="CR157" s="2">
        <v>1.37799801791516E-7</v>
      </c>
      <c r="CS157" s="2">
        <v>2.6360854832319102E-8</v>
      </c>
      <c r="CT157">
        <v>72.567916870117202</v>
      </c>
      <c r="CU157">
        <v>-27.603090286254901</v>
      </c>
      <c r="CV157">
        <v>1.5837399289012E-2</v>
      </c>
      <c r="CW157" s="2">
        <v>8.3465474745025892E-6</v>
      </c>
      <c r="CX157" s="2">
        <v>9.7054657643980103E-9</v>
      </c>
      <c r="CY157" s="2">
        <v>1.32993392298886E-7</v>
      </c>
      <c r="CZ157" s="2">
        <v>4.3608817890117299E-8</v>
      </c>
      <c r="DA157">
        <v>72.293266296386705</v>
      </c>
      <c r="DB157">
        <v>-73.702461242675795</v>
      </c>
      <c r="DC157" s="2">
        <v>3.4028230607370999E+38</v>
      </c>
      <c r="DD157" s="2">
        <v>3.4028230607370999E+38</v>
      </c>
      <c r="DE157">
        <v>5749.90625</v>
      </c>
      <c r="DF157">
        <v>11500.3818359375</v>
      </c>
      <c r="DG157">
        <v>9959.8076171875</v>
      </c>
      <c r="DH157" s="2">
        <v>3.4028230607370999E+38</v>
      </c>
      <c r="DI157" s="2">
        <v>3.4028230607370999E+38</v>
      </c>
      <c r="DJ157">
        <v>230.00393676757801</v>
      </c>
      <c r="DK157">
        <v>50.000579833984403</v>
      </c>
      <c r="DL157">
        <v>5749.873046875</v>
      </c>
      <c r="DM157">
        <v>11500.3046875</v>
      </c>
      <c r="DN157">
        <v>9959.712890625</v>
      </c>
      <c r="DO157">
        <v>49.999988555908203</v>
      </c>
      <c r="DP157">
        <v>-60.001590728759801</v>
      </c>
      <c r="DQ157">
        <v>1.7046526074409499E-2</v>
      </c>
      <c r="DR157" s="2">
        <v>8.8819360826164501E-6</v>
      </c>
      <c r="DS157" s="2">
        <v>5.11457081131539E-8</v>
      </c>
      <c r="DT157" s="2">
        <v>1.52340263070982E-7</v>
      </c>
      <c r="DU157" s="2">
        <v>7.3698679159406297E-8</v>
      </c>
      <c r="DV157">
        <v>72.590507507324205</v>
      </c>
      <c r="DW157">
        <v>-54.258941650390597</v>
      </c>
      <c r="DX157">
        <v>1.89521964639425E-2</v>
      </c>
      <c r="DY157" s="2">
        <v>8.8098795458790795E-6</v>
      </c>
      <c r="DZ157" s="2">
        <v>-3.9275853680464901E-8</v>
      </c>
      <c r="EA157" s="2">
        <v>1.63469081826406E-7</v>
      </c>
      <c r="EB157" s="2">
        <v>5.47610987666758E-8</v>
      </c>
      <c r="EC157">
        <v>72.093070983886705</v>
      </c>
      <c r="ED157">
        <v>-122.389129638672</v>
      </c>
      <c r="EE157" s="2">
        <v>3.4028230607370999E+38</v>
      </c>
      <c r="EF157" s="2">
        <v>3.4028230607370999E+38</v>
      </c>
      <c r="EG157">
        <v>5749.87255859375</v>
      </c>
      <c r="EH157">
        <v>11500.3046875</v>
      </c>
      <c r="EI157">
        <v>9959.712890625</v>
      </c>
      <c r="EJ157" s="2">
        <v>3.4028230607370999E+38</v>
      </c>
      <c r="EK157" s="2">
        <v>3.4028230607370999E+38</v>
      </c>
      <c r="EL157">
        <v>123</v>
      </c>
      <c r="EM157">
        <v>230.00404357910199</v>
      </c>
      <c r="EN157">
        <v>50.000587463378899</v>
      </c>
      <c r="EO157">
        <v>5749.8681640625</v>
      </c>
      <c r="EP157">
        <v>11500.330078125</v>
      </c>
      <c r="EQ157">
        <v>9959.716796875</v>
      </c>
      <c r="ER157">
        <v>49.999988555908203</v>
      </c>
      <c r="ES157">
        <v>-60.0015678405762</v>
      </c>
      <c r="ET157">
        <v>0.499976307153702</v>
      </c>
      <c r="EU157" s="2">
        <v>3.4028230607370999E+38</v>
      </c>
      <c r="EV157">
        <v>0</v>
      </c>
      <c r="EW157">
        <v>230.00466918945301</v>
      </c>
      <c r="EX157">
        <v>5749.42333984375</v>
      </c>
      <c r="EY157">
        <v>11500.33984375</v>
      </c>
      <c r="EZ157">
        <v>9959.7626953125</v>
      </c>
      <c r="FA157">
        <v>-3.2479308545589398E-2</v>
      </c>
      <c r="FB157">
        <v>1.7500162124633799E-2</v>
      </c>
      <c r="FC157" s="2">
        <v>8.79009803611552E-6</v>
      </c>
      <c r="FD157" s="2">
        <v>6.2772485875939297E-8</v>
      </c>
      <c r="FE157" s="2">
        <v>1.55234019416639E-7</v>
      </c>
      <c r="FF157" s="2">
        <v>7.5817666811417399E-8</v>
      </c>
      <c r="FG157">
        <v>72.408729553222699</v>
      </c>
      <c r="FH157">
        <v>-49.1385498046875</v>
      </c>
      <c r="FI157">
        <v>0.412793129682541</v>
      </c>
      <c r="FJ157" s="2">
        <v>3.4028230607370999E+38</v>
      </c>
      <c r="FK157">
        <v>22.3834133148193</v>
      </c>
      <c r="FL157">
        <v>2.1363452076911899E-2</v>
      </c>
      <c r="FM157">
        <v>0</v>
      </c>
      <c r="FN157">
        <v>0</v>
      </c>
      <c r="FO157">
        <v>0</v>
      </c>
      <c r="FP157">
        <v>6.9767644163221099E-4</v>
      </c>
      <c r="FQ157">
        <v>1.95813160389662E-2</v>
      </c>
      <c r="FR157" s="2">
        <v>8.7480239017168094E-6</v>
      </c>
      <c r="FS157" s="2">
        <v>-2.7116573875218799E-8</v>
      </c>
      <c r="FT157" s="2">
        <v>1.6916872880301499E-7</v>
      </c>
      <c r="FU157" s="2">
        <v>6.7152193139463594E-8</v>
      </c>
      <c r="FV157">
        <v>70.753684997558594</v>
      </c>
      <c r="FW157">
        <v>-111.98923492431599</v>
      </c>
      <c r="FX157">
        <v>-0.13238701224327101</v>
      </c>
      <c r="FY157" s="2">
        <v>3.4028230607370999E+38</v>
      </c>
      <c r="FZ157">
        <v>-56.931488037109403</v>
      </c>
      <c r="GA157">
        <v>229.51751708984401</v>
      </c>
      <c r="GB157" s="2">
        <v>-1.2390612980084399E-9</v>
      </c>
      <c r="GC157">
        <v>2.01557367108762E-3</v>
      </c>
      <c r="GD157" s="2">
        <v>1.8488551134510099E-8</v>
      </c>
      <c r="GE157">
        <v>-9.4838795484975002E-4</v>
      </c>
      <c r="GF157" s="2">
        <v>3.4028230607370999E+38</v>
      </c>
      <c r="GG157" s="2">
        <v>3.4028230607370999E+38</v>
      </c>
      <c r="GH157">
        <v>5749.90185546875</v>
      </c>
      <c r="GI157">
        <v>11500.3076171875</v>
      </c>
      <c r="GJ157">
        <v>9959.71484375</v>
      </c>
      <c r="GK157" s="2">
        <v>3.4028230607370999E+38</v>
      </c>
      <c r="GL157" s="2">
        <v>3.4028230607370999E+38</v>
      </c>
      <c r="GM157" s="2">
        <v>3.4028230607370999E+38</v>
      </c>
      <c r="GN157" s="2">
        <v>3.4028230607370999E+38</v>
      </c>
      <c r="GO157" s="2">
        <v>3.4028230607370999E+38</v>
      </c>
      <c r="GP157" s="2">
        <v>3.4028230607370999E+38</v>
      </c>
      <c r="GQ157">
        <v>5749.46142578125</v>
      </c>
      <c r="GR157">
        <v>5749.46142578125</v>
      </c>
      <c r="GS157">
        <v>9959.84375</v>
      </c>
      <c r="GT157">
        <v>-3.3374782651662799E-2</v>
      </c>
      <c r="GX157">
        <f t="shared" si="15"/>
        <v>230.00399475097637</v>
      </c>
      <c r="GY157">
        <f t="shared" si="16"/>
        <v>50.000691223144536</v>
      </c>
      <c r="GZ157">
        <f t="shared" si="17"/>
        <v>5749.8966796875002</v>
      </c>
      <c r="HA157">
        <f t="shared" si="18"/>
        <v>11500.352343750001</v>
      </c>
      <c r="HB157">
        <f t="shared" si="19"/>
        <v>9959.7759765624996</v>
      </c>
      <c r="HC157">
        <f t="shared" si="20"/>
        <v>49.999959564208986</v>
      </c>
      <c r="HD157">
        <f t="shared" si="21"/>
        <v>-60.001655578613303</v>
      </c>
      <c r="HW157" s="10">
        <f>(GX157/Data!$S157-1)*1000000</f>
        <v>31.964166421261098</v>
      </c>
      <c r="HX157" s="10">
        <f>(GY157/Data!$T157-1)*1000000</f>
        <v>33.713133377633042</v>
      </c>
      <c r="HY157" s="10">
        <f>(GZ157/Data!$BW157-1)*1000000</f>
        <v>-52.378251943818732</v>
      </c>
      <c r="HZ157" s="10">
        <f>(HA157/(Data!$S157*Data!$T157)-1)*1000000</f>
        <v>65.123759736218645</v>
      </c>
      <c r="IA157" s="7">
        <f>(HB157/IF(HD157&gt;0, -Data!$BX157,Data!$BX157)-1)*1000000</f>
        <v>106.02803922177273</v>
      </c>
      <c r="IB157" s="10"/>
      <c r="IC157" s="9">
        <f>(HD157-Data!$U157)</f>
        <v>-3.9344886133036994E-3</v>
      </c>
    </row>
    <row r="158" spans="1:237" x14ac:dyDescent="0.2">
      <c r="A158">
        <v>158</v>
      </c>
      <c r="B158">
        <v>230.00395202636699</v>
      </c>
      <c r="C158">
        <v>50.000598907470703</v>
      </c>
      <c r="D158">
        <v>5749.8896484375</v>
      </c>
      <c r="E158">
        <v>11500.3564453125</v>
      </c>
      <c r="F158">
        <v>9959.7880859375</v>
      </c>
      <c r="G158">
        <v>49.999935150146499</v>
      </c>
      <c r="H158">
        <v>-60.001758575439503</v>
      </c>
      <c r="I158">
        <v>1.6584692522883401E-2</v>
      </c>
      <c r="J158" s="2">
        <v>9.0921075752703507E-6</v>
      </c>
      <c r="K158" s="2">
        <v>7.3291580804379906E-8</v>
      </c>
      <c r="L158" s="2">
        <v>1.51143424886868E-7</v>
      </c>
      <c r="M158" s="2">
        <v>4.1833068564756097E-8</v>
      </c>
      <c r="N158">
        <v>72.319648742675795</v>
      </c>
      <c r="O158">
        <v>-29.2719821929932</v>
      </c>
      <c r="P158">
        <v>1.80345568805933E-2</v>
      </c>
      <c r="Q158" s="2">
        <v>8.3445511336321892E-6</v>
      </c>
      <c r="R158" s="2">
        <v>1.34064688239732E-8</v>
      </c>
      <c r="S158" s="2">
        <v>1.55347990471455E-7</v>
      </c>
      <c r="T158" s="2">
        <v>7.6209666133308902E-8</v>
      </c>
      <c r="U158">
        <v>71.501594543457003</v>
      </c>
      <c r="V158">
        <v>-78.789505004882798</v>
      </c>
      <c r="W158" s="2">
        <v>3.4028230607370999E+38</v>
      </c>
      <c r="X158" s="2">
        <v>3.4028230607370999E+38</v>
      </c>
      <c r="Y158">
        <v>5749.8896484375</v>
      </c>
      <c r="Z158">
        <v>11500.3564453125</v>
      </c>
      <c r="AA158">
        <v>9959.7880859375</v>
      </c>
      <c r="AB158" s="2">
        <v>3.4028230607370999E+38</v>
      </c>
      <c r="AC158" s="2">
        <v>3.4028230607370999E+38</v>
      </c>
      <c r="AD158">
        <v>230.00384521484401</v>
      </c>
      <c r="AE158">
        <v>50.000530242919901</v>
      </c>
      <c r="AF158">
        <v>5749.8994140625</v>
      </c>
      <c r="AG158">
        <v>11500.333984375</v>
      </c>
      <c r="AH158">
        <v>9959.7861328125</v>
      </c>
      <c r="AI158">
        <v>49.999835968017599</v>
      </c>
      <c r="AJ158">
        <v>-60.001758575439503</v>
      </c>
      <c r="AK158">
        <v>1.6667766496539099E-2</v>
      </c>
      <c r="AL158" s="2">
        <v>8.9783943622023799E-6</v>
      </c>
      <c r="AM158" s="2">
        <v>3.7813464359714999E-8</v>
      </c>
      <c r="AN158" s="2">
        <v>1.46713290405387E-7</v>
      </c>
      <c r="AO158" s="2">
        <v>6.6262991538224001E-8</v>
      </c>
      <c r="AP158">
        <v>72.155830383300795</v>
      </c>
      <c r="AQ158">
        <v>-60.962379455566399</v>
      </c>
      <c r="AR158">
        <v>1.8091106787324E-2</v>
      </c>
      <c r="AS158" s="2">
        <v>8.7361777332262102E-6</v>
      </c>
      <c r="AT158" s="2">
        <v>-4.3508006086767597E-8</v>
      </c>
      <c r="AU158" s="2">
        <v>1.5624291904714501E-7</v>
      </c>
      <c r="AV158" s="2">
        <v>3.7962802679203398E-8</v>
      </c>
      <c r="AW158">
        <v>72.113395690917997</v>
      </c>
      <c r="AX158">
        <v>-141.05274963378901</v>
      </c>
      <c r="AY158" s="2">
        <v>3.4028230607370999E+38</v>
      </c>
      <c r="AZ158" s="2">
        <v>3.4028230607370999E+38</v>
      </c>
      <c r="BA158">
        <v>5749.89892578125</v>
      </c>
      <c r="BB158">
        <v>11500.333984375</v>
      </c>
      <c r="BC158">
        <v>9959.7861328125</v>
      </c>
      <c r="BD158" s="2">
        <v>3.4028230607370999E+38</v>
      </c>
      <c r="BE158" s="2">
        <v>3.4028230607370999E+38</v>
      </c>
      <c r="BF158">
        <v>230.00421142578099</v>
      </c>
      <c r="BG158">
        <v>50.000694274902301</v>
      </c>
      <c r="BH158">
        <v>5749.88623046875</v>
      </c>
      <c r="BI158">
        <v>11500.3388671875</v>
      </c>
      <c r="BJ158">
        <v>9959.78125</v>
      </c>
      <c r="BK158">
        <v>49.999958038330099</v>
      </c>
      <c r="BL158">
        <v>-60.001590728759801</v>
      </c>
      <c r="BM158">
        <v>1.5154866501689001E-2</v>
      </c>
      <c r="BN158" s="2">
        <v>9.2883974502910894E-6</v>
      </c>
      <c r="BO158" s="2">
        <v>5.0221839131836499E-8</v>
      </c>
      <c r="BP158" s="2">
        <v>1.3996425707318799E-7</v>
      </c>
      <c r="BQ158" s="2">
        <v>2.6865730973213401E-8</v>
      </c>
      <c r="BR158">
        <v>71.691421508789105</v>
      </c>
      <c r="BS158">
        <v>-27.731723785400401</v>
      </c>
      <c r="BT158">
        <v>1.6167204827070202E-2</v>
      </c>
      <c r="BU158" s="2">
        <v>8.4339089880813794E-6</v>
      </c>
      <c r="BV158" s="2">
        <v>1.2088817946676E-8</v>
      </c>
      <c r="BW158" s="2">
        <v>1.3530389253446599E-7</v>
      </c>
      <c r="BX158" s="2">
        <v>4.7562174643189798E-8</v>
      </c>
      <c r="BY158">
        <v>71.437835693359403</v>
      </c>
      <c r="BZ158">
        <v>-71.469841003417997</v>
      </c>
      <c r="CA158" s="2">
        <v>3.4028230607370999E+38</v>
      </c>
      <c r="CB158" s="2">
        <v>3.4028230607370999E+38</v>
      </c>
      <c r="CC158">
        <v>5749.88623046875</v>
      </c>
      <c r="CD158">
        <v>11500.3388671875</v>
      </c>
      <c r="CE158">
        <v>9959.78125</v>
      </c>
      <c r="CF158" s="2">
        <v>3.4028230607370999E+38</v>
      </c>
      <c r="CG158" s="2">
        <v>3.4028230607370999E+38</v>
      </c>
      <c r="CH158">
        <v>230.00376892089801</v>
      </c>
      <c r="CI158">
        <v>50.000740051269503</v>
      </c>
      <c r="CJ158">
        <v>5749.91796875</v>
      </c>
      <c r="CK158">
        <v>11500.373046875</v>
      </c>
      <c r="CL158">
        <v>9959.7744140625</v>
      </c>
      <c r="CM158">
        <v>49.999958038330099</v>
      </c>
      <c r="CN158">
        <v>-60.001724243164098</v>
      </c>
      <c r="CO158">
        <v>1.6017260029911998E-2</v>
      </c>
      <c r="CP158" s="2">
        <v>9.2298550953273695E-6</v>
      </c>
      <c r="CQ158" s="2">
        <v>6.7128091529866704E-8</v>
      </c>
      <c r="CR158" s="2">
        <v>1.50949773569664E-7</v>
      </c>
      <c r="CS158" s="2">
        <v>3.8472439456427303E-8</v>
      </c>
      <c r="CT158">
        <v>72.212699890136705</v>
      </c>
      <c r="CU158">
        <v>-28.2513732910156</v>
      </c>
      <c r="CV158">
        <v>1.7348477616906201E-2</v>
      </c>
      <c r="CW158" s="2">
        <v>8.2972737800446305E-6</v>
      </c>
      <c r="CX158" s="2">
        <v>1.7216516212670299E-8</v>
      </c>
      <c r="CY158" s="2">
        <v>1.45590519196048E-7</v>
      </c>
      <c r="CZ158" s="2">
        <v>6.6038204238338896E-8</v>
      </c>
      <c r="DA158">
        <v>70.841133117675795</v>
      </c>
      <c r="DB158">
        <v>-74.383682250976605</v>
      </c>
      <c r="DC158" s="2">
        <v>3.4028230607370999E+38</v>
      </c>
      <c r="DD158" s="2">
        <v>3.4028230607370999E+38</v>
      </c>
      <c r="DE158">
        <v>5749.91796875</v>
      </c>
      <c r="DF158">
        <v>11500.373046875</v>
      </c>
      <c r="DG158">
        <v>9959.7744140625</v>
      </c>
      <c r="DH158" s="2">
        <v>3.4028230607370999E+38</v>
      </c>
      <c r="DI158" s="2">
        <v>3.4028230607370999E+38</v>
      </c>
      <c r="DJ158">
        <v>230.00425720214801</v>
      </c>
      <c r="DK158">
        <v>50.000736236572301</v>
      </c>
      <c r="DL158">
        <v>5749.9052734375</v>
      </c>
      <c r="DM158">
        <v>11500.3740234375</v>
      </c>
      <c r="DN158">
        <v>9959.8046875</v>
      </c>
      <c r="DO158">
        <v>49.999954223632798</v>
      </c>
      <c r="DP158">
        <v>-60.001636505127003</v>
      </c>
      <c r="DQ158">
        <v>1.47950239479542E-2</v>
      </c>
      <c r="DR158" s="2">
        <v>9.2776972451247292E-6</v>
      </c>
      <c r="DS158" s="2">
        <v>2.8582753941464001E-8</v>
      </c>
      <c r="DT158" s="2">
        <v>1.3650699770551E-7</v>
      </c>
      <c r="DU158" s="2">
        <v>3.7894874793664699E-8</v>
      </c>
      <c r="DV158">
        <v>72.498207092285199</v>
      </c>
      <c r="DW158">
        <v>-50.145133972167997</v>
      </c>
      <c r="DX158">
        <v>1.58202443271875E-2</v>
      </c>
      <c r="DY158" s="2">
        <v>8.4063613030593808E-6</v>
      </c>
      <c r="DZ158" s="2">
        <v>-1.71525567083108E-8</v>
      </c>
      <c r="EA158" s="2">
        <v>1.3279978361424601E-7</v>
      </c>
      <c r="EB158" s="2">
        <v>2.1322811960544601E-8</v>
      </c>
      <c r="EC158">
        <v>68.530967712402301</v>
      </c>
      <c r="ED158">
        <v>-124.99306488037099</v>
      </c>
      <c r="EE158" s="2">
        <v>3.4028230607370999E+38</v>
      </c>
      <c r="EF158" s="2">
        <v>3.4028230607370999E+38</v>
      </c>
      <c r="EG158">
        <v>5749.90478515625</v>
      </c>
      <c r="EH158">
        <v>11500.3740234375</v>
      </c>
      <c r="EI158">
        <v>9959.8046875</v>
      </c>
      <c r="EJ158" s="2">
        <v>3.4028230607370999E+38</v>
      </c>
      <c r="EK158" s="2">
        <v>3.4028230607370999E+38</v>
      </c>
      <c r="EL158">
        <v>123</v>
      </c>
      <c r="EM158">
        <v>230.00433349609401</v>
      </c>
      <c r="EN158">
        <v>50.000732421875</v>
      </c>
      <c r="EO158">
        <v>5749.91650390625</v>
      </c>
      <c r="EP158">
        <v>11500.3701171875</v>
      </c>
      <c r="EQ158">
        <v>9959.78125</v>
      </c>
      <c r="ER158">
        <v>49.999946594238303</v>
      </c>
      <c r="ES158">
        <v>-60.001678466796903</v>
      </c>
      <c r="ET158">
        <v>0.49997562170028698</v>
      </c>
      <c r="EU158" s="2">
        <v>3.4028230607370999E+38</v>
      </c>
      <c r="EV158">
        <v>0</v>
      </c>
      <c r="EW158">
        <v>230.00601196289099</v>
      </c>
      <c r="EX158">
        <v>5749.73974609375</v>
      </c>
      <c r="EY158">
        <v>11500.46484375</v>
      </c>
      <c r="EZ158">
        <v>9959.908203125</v>
      </c>
      <c r="FA158">
        <v>2.59815785102546E-3</v>
      </c>
      <c r="FB158">
        <v>1.45777212455869E-2</v>
      </c>
      <c r="FC158" s="2">
        <v>9.3745329650118896E-6</v>
      </c>
      <c r="FD158" s="2">
        <v>3.4930295100821201E-8</v>
      </c>
      <c r="FE158" s="2">
        <v>1.36004160822267E-7</v>
      </c>
      <c r="FF158" s="2">
        <v>2.8438600807589901E-8</v>
      </c>
      <c r="FG158">
        <v>71.768737792968807</v>
      </c>
      <c r="FH158">
        <v>-37.272106170654297</v>
      </c>
      <c r="FI158">
        <v>0.27476161718368503</v>
      </c>
      <c r="FJ158" s="2">
        <v>3.4028230607370999E+38</v>
      </c>
      <c r="FK158">
        <v>-35.785594940185497</v>
      </c>
      <c r="FL158">
        <v>2.0009133964777E-2</v>
      </c>
      <c r="FM158">
        <v>0</v>
      </c>
      <c r="FN158">
        <v>0</v>
      </c>
      <c r="FO158">
        <v>0</v>
      </c>
      <c r="FP158">
        <v>7.4419373413547895E-4</v>
      </c>
      <c r="FQ158">
        <v>1.5385427512228499E-2</v>
      </c>
      <c r="FR158" s="2">
        <v>8.3998083937331103E-6</v>
      </c>
      <c r="FS158" s="2">
        <v>8.0914945854715403E-9</v>
      </c>
      <c r="FT158" s="2">
        <v>1.3082342320558401E-7</v>
      </c>
      <c r="FU158" s="2">
        <v>3.6035626038710702E-8</v>
      </c>
      <c r="FV158">
        <v>72.434150695800795</v>
      </c>
      <c r="FW158">
        <v>-78.918395996093807</v>
      </c>
      <c r="FX158">
        <v>5.3151212632656097E-2</v>
      </c>
      <c r="FY158" s="2">
        <v>3.4028230607370999E+38</v>
      </c>
      <c r="FZ158">
        <v>-97.449333190917997</v>
      </c>
      <c r="GA158">
        <v>229.10049438476599</v>
      </c>
      <c r="GB158" s="2">
        <v>-3.3366367446774298E-9</v>
      </c>
      <c r="GC158">
        <v>1.93165196105838E-3</v>
      </c>
      <c r="GD158" s="2">
        <v>-7.0973876775681798E-10</v>
      </c>
      <c r="GE158">
        <v>-9.1854372294619701E-4</v>
      </c>
      <c r="GF158" s="2">
        <v>3.4028230607370999E+38</v>
      </c>
      <c r="GG158" s="2">
        <v>3.4028230607370999E+38</v>
      </c>
      <c r="GH158">
        <v>5749.9267578125</v>
      </c>
      <c r="GI158">
        <v>11500.400390625</v>
      </c>
      <c r="GJ158">
        <v>9959.8134765625</v>
      </c>
      <c r="GK158" s="2">
        <v>3.4028230607370999E+38</v>
      </c>
      <c r="GL158" s="2">
        <v>3.4028230607370999E+38</v>
      </c>
      <c r="GM158" s="2">
        <v>3.4028230607370999E+38</v>
      </c>
      <c r="GN158" s="2">
        <v>3.4028230607370999E+38</v>
      </c>
      <c r="GO158" s="2">
        <v>3.4028230607370999E+38</v>
      </c>
      <c r="GP158" s="2">
        <v>3.4028230607370999E+38</v>
      </c>
      <c r="GQ158">
        <v>5749.8056640625</v>
      </c>
      <c r="GR158">
        <v>5749.8056640625</v>
      </c>
      <c r="GS158">
        <v>9959.958984375</v>
      </c>
      <c r="GT158">
        <v>-5.0841865595430103E-4</v>
      </c>
      <c r="GX158">
        <f t="shared" si="15"/>
        <v>230.00400695800758</v>
      </c>
      <c r="GY158">
        <f t="shared" si="16"/>
        <v>50.000659942626939</v>
      </c>
      <c r="GZ158">
        <f t="shared" si="17"/>
        <v>5749.8997070312498</v>
      </c>
      <c r="HA158">
        <f t="shared" si="18"/>
        <v>11500.355273437501</v>
      </c>
      <c r="HB158">
        <f t="shared" si="19"/>
        <v>9959.7869140625007</v>
      </c>
      <c r="HC158">
        <f t="shared" si="20"/>
        <v>49.999928283691418</v>
      </c>
      <c r="HD158">
        <f t="shared" si="21"/>
        <v>-60.00169372558598</v>
      </c>
      <c r="HW158" s="10">
        <f>(GX158/Data!$S158-1)*1000000</f>
        <v>31.680703932446264</v>
      </c>
      <c r="HX158" s="10">
        <f>(GY158/Data!$T158-1)*1000000</f>
        <v>40.866183150800595</v>
      </c>
      <c r="HY158" s="10">
        <f>(GZ158/Data!$BW158-1)*1000000</f>
        <v>-50.393116593605569</v>
      </c>
      <c r="HZ158" s="10">
        <f>(HA158/(Data!$S158*Data!$T158)-1)*1000000</f>
        <v>72.820896539260715</v>
      </c>
      <c r="IA158" s="7">
        <f>(HB158/IF(HD158&gt;0, -Data!$BX158,Data!$BX158)-1)*1000000</f>
        <v>116.56387649017219</v>
      </c>
      <c r="IB158" s="10"/>
      <c r="IC158" s="9">
        <f>(HD158-Data!$U158)</f>
        <v>-4.1705755859808846E-3</v>
      </c>
    </row>
    <row r="159" spans="1:237" x14ac:dyDescent="0.2">
      <c r="A159">
        <v>159</v>
      </c>
      <c r="B159">
        <v>230.00106811523401</v>
      </c>
      <c r="C159">
        <v>50.000522613525398</v>
      </c>
      <c r="D159">
        <v>9196.771484375</v>
      </c>
      <c r="E159">
        <v>11500.2216796875</v>
      </c>
      <c r="F159">
        <v>-6904.775390625</v>
      </c>
      <c r="G159">
        <v>49.999927520752003</v>
      </c>
      <c r="H159">
        <v>36.898429870605497</v>
      </c>
      <c r="I159">
        <v>1.58373452723026E-2</v>
      </c>
      <c r="J159" s="2">
        <v>9.3471498985309205E-6</v>
      </c>
      <c r="K159" s="2">
        <v>1.03053655886587E-10</v>
      </c>
      <c r="L159" s="2">
        <v>1.4841376128060799E-7</v>
      </c>
      <c r="M159" s="2">
        <v>-5.7498038330550103E-8</v>
      </c>
      <c r="N159">
        <v>72.076797485351605</v>
      </c>
      <c r="O159">
        <v>92.997276306152301</v>
      </c>
      <c r="P159">
        <v>1.7370246350765201E-2</v>
      </c>
      <c r="Q159" s="2">
        <v>8.5658830357715504E-6</v>
      </c>
      <c r="R159" s="2">
        <v>6.1698735009940706E-8</v>
      </c>
      <c r="S159" s="2">
        <v>1.4489033617337599E-7</v>
      </c>
      <c r="T159" s="2">
        <v>-4.6812181908606497E-10</v>
      </c>
      <c r="U159">
        <v>68.186431884765597</v>
      </c>
      <c r="V159">
        <v>2.88156390190125</v>
      </c>
      <c r="W159" s="2">
        <v>3.4028230607370999E+38</v>
      </c>
      <c r="X159" s="2">
        <v>3.4028230607370999E+38</v>
      </c>
      <c r="Y159">
        <v>9196.771484375</v>
      </c>
      <c r="Z159">
        <v>11500.2216796875</v>
      </c>
      <c r="AA159">
        <v>-6904.77587890625</v>
      </c>
      <c r="AB159" s="2">
        <v>3.4028230607370999E+38</v>
      </c>
      <c r="AC159" s="2">
        <v>3.4028230607370999E+38</v>
      </c>
      <c r="AD159">
        <v>230.00068664550801</v>
      </c>
      <c r="AE159">
        <v>50.000598907470703</v>
      </c>
      <c r="AF159">
        <v>9196.7646484375</v>
      </c>
      <c r="AG159">
        <v>11500.17578125</v>
      </c>
      <c r="AH159">
        <v>-6904.77197265625</v>
      </c>
      <c r="AI159">
        <v>49.999923706054702</v>
      </c>
      <c r="AJ159">
        <v>36.898441314697301</v>
      </c>
      <c r="AK159">
        <v>1.74673851579428E-2</v>
      </c>
      <c r="AL159" s="2">
        <v>9.3574999482370896E-6</v>
      </c>
      <c r="AM159" s="2">
        <v>2.4494692496546099E-8</v>
      </c>
      <c r="AN159" s="2">
        <v>1.6233769883911001E-7</v>
      </c>
      <c r="AO159" s="2">
        <v>-6.2963593450149294E-8</v>
      </c>
      <c r="AP159">
        <v>71.222595214843807</v>
      </c>
      <c r="AQ159">
        <v>68.475784301757798</v>
      </c>
      <c r="AR159">
        <v>1.93466916680336E-2</v>
      </c>
      <c r="AS159" s="2">
        <v>8.5141346062300693E-6</v>
      </c>
      <c r="AT159" s="2">
        <v>8.97546783562575E-8</v>
      </c>
      <c r="AU159" s="2">
        <v>1.6410459124926999E-7</v>
      </c>
      <c r="AV159" s="2">
        <v>3.6275910275662702E-8</v>
      </c>
      <c r="AW159">
        <v>72.075042724609403</v>
      </c>
      <c r="AX159">
        <v>-21.491174697876001</v>
      </c>
      <c r="AY159" s="2">
        <v>3.4028230607370999E+38</v>
      </c>
      <c r="AZ159" s="2">
        <v>3.4028230607370999E+38</v>
      </c>
      <c r="BA159">
        <v>9196.7646484375</v>
      </c>
      <c r="BB159">
        <v>11500.17578125</v>
      </c>
      <c r="BC159">
        <v>-6904.7724609375</v>
      </c>
      <c r="BD159" s="2">
        <v>3.4028230607370999E+38</v>
      </c>
      <c r="BE159" s="2">
        <v>3.4028230607370999E+38</v>
      </c>
      <c r="BF159">
        <v>230.00109863281199</v>
      </c>
      <c r="BG159">
        <v>50.000583648681598</v>
      </c>
      <c r="BH159">
        <v>9196.7900390625</v>
      </c>
      <c r="BI159">
        <v>11500.19140625</v>
      </c>
      <c r="BJ159">
        <v>-6904.7568359375</v>
      </c>
      <c r="BK159">
        <v>49.999927520752003</v>
      </c>
      <c r="BL159">
        <v>36.898448944091797</v>
      </c>
      <c r="BM159">
        <v>1.6870917752385101E-2</v>
      </c>
      <c r="BN159" s="2">
        <v>9.4038496172288399E-6</v>
      </c>
      <c r="BO159" s="2">
        <v>9.1427887483064296E-9</v>
      </c>
      <c r="BP159" s="2">
        <v>1.59178000558313E-7</v>
      </c>
      <c r="BQ159" s="2">
        <v>-6.8331772240526294E-8</v>
      </c>
      <c r="BR159">
        <v>71.946228027343807</v>
      </c>
      <c r="BS159">
        <v>80.658042907714801</v>
      </c>
      <c r="BT159">
        <v>1.8740801140666001E-2</v>
      </c>
      <c r="BU159" s="2">
        <v>8.5834735727985406E-6</v>
      </c>
      <c r="BV159" s="2">
        <v>7.8413876281047097E-8</v>
      </c>
      <c r="BW159" s="2">
        <v>1.5773173345223799E-7</v>
      </c>
      <c r="BX159" s="2">
        <v>1.96516705130989E-8</v>
      </c>
      <c r="BY159">
        <v>70.914810180664105</v>
      </c>
      <c r="BZ159">
        <v>-13.264224052429199</v>
      </c>
      <c r="CA159" s="2">
        <v>3.4028230607370999E+38</v>
      </c>
      <c r="CB159" s="2">
        <v>3.4028230607370999E+38</v>
      </c>
      <c r="CC159">
        <v>9196.7900390625</v>
      </c>
      <c r="CD159">
        <v>11500.19140625</v>
      </c>
      <c r="CE159">
        <v>-6904.75732421875</v>
      </c>
      <c r="CF159" s="2">
        <v>3.4028230607370999E+38</v>
      </c>
      <c r="CG159" s="2">
        <v>3.4028230607370999E+38</v>
      </c>
      <c r="CH159">
        <v>230.00144958496099</v>
      </c>
      <c r="CI159">
        <v>50.000480651855497</v>
      </c>
      <c r="CJ159">
        <v>9196.7802734375</v>
      </c>
      <c r="CK159">
        <v>11500.1640625</v>
      </c>
      <c r="CL159">
        <v>-6904.72900390625</v>
      </c>
      <c r="CM159">
        <v>49.999935150146499</v>
      </c>
      <c r="CN159">
        <v>36.8982963562012</v>
      </c>
      <c r="CO159">
        <v>1.44299129024148E-2</v>
      </c>
      <c r="CP159" s="2">
        <v>8.9246568677481298E-6</v>
      </c>
      <c r="CQ159" s="2">
        <v>2.0174827142227501E-8</v>
      </c>
      <c r="CR159" s="2">
        <v>1.28793871567723E-7</v>
      </c>
      <c r="CS159" s="2">
        <v>-1.5920885942932701E-8</v>
      </c>
      <c r="CT159">
        <v>71.691337585449205</v>
      </c>
      <c r="CU159">
        <v>35.035987854003899</v>
      </c>
      <c r="CV159">
        <v>1.55369387939572E-2</v>
      </c>
      <c r="CW159" s="2">
        <v>8.8741335275699401E-6</v>
      </c>
      <c r="CX159" s="2">
        <v>3.5084976701682502E-8</v>
      </c>
      <c r="CY159" s="2">
        <v>1.3890934269511501E-7</v>
      </c>
      <c r="CZ159" s="2">
        <v>2.0200989325758201E-8</v>
      </c>
      <c r="DA159">
        <v>65.463874816894503</v>
      </c>
      <c r="DB159">
        <v>-30.733209609985401</v>
      </c>
      <c r="DC159" s="2">
        <v>3.4028230607370999E+38</v>
      </c>
      <c r="DD159" s="2">
        <v>3.4028230607370999E+38</v>
      </c>
      <c r="DE159">
        <v>9196.7802734375</v>
      </c>
      <c r="DF159">
        <v>11500.1640625</v>
      </c>
      <c r="DG159">
        <v>-6904.7294921875</v>
      </c>
      <c r="DH159" s="2">
        <v>3.4028230607370999E+38</v>
      </c>
      <c r="DI159" s="2">
        <v>3.4028230607370999E+38</v>
      </c>
      <c r="DJ159">
        <v>230.00157165527301</v>
      </c>
      <c r="DK159">
        <v>50.000419616699197</v>
      </c>
      <c r="DL159">
        <v>9196.771484375</v>
      </c>
      <c r="DM159">
        <v>11500.16796875</v>
      </c>
      <c r="DN159">
        <v>-6904.75048828125</v>
      </c>
      <c r="DO159">
        <v>49.999832153320298</v>
      </c>
      <c r="DP159">
        <v>36.898513793945298</v>
      </c>
      <c r="DQ159">
        <v>1.49300098419189E-2</v>
      </c>
      <c r="DR159" s="2">
        <v>8.8409788077115098E-6</v>
      </c>
      <c r="DS159" s="2">
        <v>3.4462551923297698E-8</v>
      </c>
      <c r="DT159" s="2">
        <v>1.30821888433275E-7</v>
      </c>
      <c r="DU159" s="2">
        <v>-9.2027940823413701E-9</v>
      </c>
      <c r="DV159">
        <v>71.797981262207003</v>
      </c>
      <c r="DW159">
        <v>18.506156921386701</v>
      </c>
      <c r="DX159">
        <v>1.6144521534442902E-2</v>
      </c>
      <c r="DY159" s="2">
        <v>8.7753369371057505E-6</v>
      </c>
      <c r="DZ159" s="2">
        <v>4.2759356944088702E-8</v>
      </c>
      <c r="EA159" s="2">
        <v>1.4182019469899401E-7</v>
      </c>
      <c r="EB159" s="2">
        <v>4.1354731195042398E-8</v>
      </c>
      <c r="EC159">
        <v>70.861267089843807</v>
      </c>
      <c r="ED159">
        <v>-43.517345428466797</v>
      </c>
      <c r="EE159" s="2">
        <v>3.4028230607370999E+38</v>
      </c>
      <c r="EF159" s="2">
        <v>3.4028230607370999E+38</v>
      </c>
      <c r="EG159">
        <v>9196.771484375</v>
      </c>
      <c r="EH159">
        <v>11500.16796875</v>
      </c>
      <c r="EI159">
        <v>-6904.7509765625</v>
      </c>
      <c r="EJ159" s="2">
        <v>3.4028230607370999E+38</v>
      </c>
      <c r="EK159" s="2">
        <v>3.4028230607370999E+38</v>
      </c>
      <c r="EL159">
        <v>123</v>
      </c>
      <c r="EM159">
        <v>230.00115966796901</v>
      </c>
      <c r="EN159">
        <v>50.000438690185497</v>
      </c>
      <c r="EO159">
        <v>9196.75</v>
      </c>
      <c r="EP159">
        <v>11500.1513671875</v>
      </c>
      <c r="EQ159">
        <v>-6904.724609375</v>
      </c>
      <c r="ER159">
        <v>49.9998970031738</v>
      </c>
      <c r="ES159">
        <v>36.898612976074197</v>
      </c>
      <c r="ET159">
        <v>0.79970622062683105</v>
      </c>
      <c r="EU159" s="2">
        <v>3.4028230607370999E+38</v>
      </c>
      <c r="EV159">
        <v>0</v>
      </c>
      <c r="EW159">
        <v>229.99981689453099</v>
      </c>
      <c r="EX159">
        <v>9196.88671875</v>
      </c>
      <c r="EY159">
        <v>11500.0859375</v>
      </c>
      <c r="EZ159">
        <v>-6904.408203125</v>
      </c>
      <c r="FA159">
        <v>-5.1521146669983899E-3</v>
      </c>
      <c r="FB159">
        <v>1.52925346046686E-2</v>
      </c>
      <c r="FC159" s="2">
        <v>8.7484559117001498E-6</v>
      </c>
      <c r="FD159" s="2">
        <v>3.7078301318160798E-8</v>
      </c>
      <c r="FE159" s="2">
        <v>1.3046363278590399E-7</v>
      </c>
      <c r="FF159" s="2">
        <v>-7.4212347378477303E-9</v>
      </c>
      <c r="FG159">
        <v>71.804145812988295</v>
      </c>
      <c r="FH159">
        <v>19.051885604858398</v>
      </c>
      <c r="FI159">
        <v>0.25413826107978799</v>
      </c>
      <c r="FJ159" s="2">
        <v>3.4028230607370999E+38</v>
      </c>
      <c r="FK159">
        <v>-22.944797515869102</v>
      </c>
      <c r="FL159">
        <v>2.0000327378511401E-2</v>
      </c>
      <c r="FM159">
        <v>0</v>
      </c>
      <c r="FN159">
        <v>0</v>
      </c>
      <c r="FO159">
        <v>0</v>
      </c>
      <c r="FP159">
        <v>-8.0931739648804101E-4</v>
      </c>
      <c r="FQ159">
        <v>1.58913396298885E-2</v>
      </c>
      <c r="FR159" s="2">
        <v>8.8401757238898392E-6</v>
      </c>
      <c r="FS159" s="2">
        <v>4.0000365686410097E-8</v>
      </c>
      <c r="FT159" s="2">
        <v>1.41111073048705E-7</v>
      </c>
      <c r="FU159" s="2">
        <v>3.5940708187354202E-8</v>
      </c>
      <c r="FV159">
        <v>69.411575317382798</v>
      </c>
      <c r="FW159">
        <v>-41.939998626708999</v>
      </c>
      <c r="FX159">
        <v>0.27906277775764499</v>
      </c>
      <c r="FY159" s="2">
        <v>3.4028230607370999E+38</v>
      </c>
      <c r="FZ159">
        <v>-84.859687805175795</v>
      </c>
      <c r="GA159">
        <v>229.87171936035199</v>
      </c>
      <c r="GB159" s="2">
        <v>1.05515107762244E-9</v>
      </c>
      <c r="GC159">
        <v>2.0214929245412302E-3</v>
      </c>
      <c r="GD159" s="2">
        <v>-3.2953972883831299E-10</v>
      </c>
      <c r="GE159">
        <v>-2.7725315885618302E-4</v>
      </c>
      <c r="GF159" s="2">
        <v>3.4028230607370999E+38</v>
      </c>
      <c r="GG159" s="2">
        <v>3.4028230607370999E+38</v>
      </c>
      <c r="GH159">
        <v>9196.7314453125</v>
      </c>
      <c r="GI159">
        <v>11500.162109375</v>
      </c>
      <c r="GJ159">
        <v>-6904.75</v>
      </c>
      <c r="GK159" s="2">
        <v>3.4028230607370999E+38</v>
      </c>
      <c r="GL159" s="2">
        <v>3.4028230607370999E+38</v>
      </c>
      <c r="GM159" s="2">
        <v>3.4028230607370999E+38</v>
      </c>
      <c r="GN159" s="2">
        <v>3.4028230607370999E+38</v>
      </c>
      <c r="GO159" s="2">
        <v>3.4028230607370999E+38</v>
      </c>
      <c r="GP159" s="2">
        <v>3.4028230607370999E+38</v>
      </c>
      <c r="GQ159">
        <v>9196.880859375</v>
      </c>
      <c r="GR159">
        <v>9196.8798828125</v>
      </c>
      <c r="GS159">
        <v>-6904.51806640625</v>
      </c>
      <c r="GT159">
        <v>4.3445581104606401E-4</v>
      </c>
      <c r="GX159">
        <f t="shared" si="15"/>
        <v>230.00117492675759</v>
      </c>
      <c r="GY159">
        <f t="shared" si="16"/>
        <v>50.000521087646476</v>
      </c>
      <c r="GZ159">
        <f t="shared" si="17"/>
        <v>9196.7755859374993</v>
      </c>
      <c r="HA159">
        <f t="shared" si="18"/>
        <v>11500.1841796875</v>
      </c>
      <c r="HB159">
        <f t="shared" si="19"/>
        <v>-6904.7567382812504</v>
      </c>
      <c r="HC159">
        <f t="shared" si="20"/>
        <v>49.999909210205104</v>
      </c>
      <c r="HD159">
        <f t="shared" si="21"/>
        <v>36.898426055908217</v>
      </c>
      <c r="HW159" s="10">
        <f>(GX159/Data!$S159-1)*1000000</f>
        <v>18.526017081965662</v>
      </c>
      <c r="HX159" s="10">
        <f>(GY159/Data!$T159-1)*1000000</f>
        <v>30.761978615956309</v>
      </c>
      <c r="HY159" s="10">
        <f>(GZ159/Data!$BW159-1)*1000000</f>
        <v>52.746695732075466</v>
      </c>
      <c r="HZ159" s="10">
        <f>(HA159/(Data!$S159*Data!$T159)-1)*1000000</f>
        <v>49.77402360761829</v>
      </c>
      <c r="IA159" s="7">
        <f>(HB159/IF(HD159&gt;0, -Data!$BX159,Data!$BX159)-1)*1000000</f>
        <v>66.620728604194213</v>
      </c>
      <c r="IB159" s="10"/>
      <c r="IC159" s="9">
        <f>(HD159-Data!$U159)</f>
        <v>3.1248590821775224E-4</v>
      </c>
    </row>
    <row r="160" spans="1:237" x14ac:dyDescent="0.2">
      <c r="A160">
        <v>160</v>
      </c>
      <c r="B160">
        <v>230.00083923339801</v>
      </c>
      <c r="C160">
        <v>50.000621795654297</v>
      </c>
      <c r="D160">
        <v>9196.7763671875</v>
      </c>
      <c r="E160">
        <v>11500.1787109375</v>
      </c>
      <c r="F160">
        <v>-6904.720703125</v>
      </c>
      <c r="G160">
        <v>49.999954223632798</v>
      </c>
      <c r="H160">
        <v>36.8982124328613</v>
      </c>
      <c r="I160">
        <v>1.5954677015543001E-2</v>
      </c>
      <c r="J160" s="2">
        <v>9.2913815024075996E-6</v>
      </c>
      <c r="K160" s="2">
        <v>-7.4171407904444198E-10</v>
      </c>
      <c r="L160" s="2">
        <v>1.4856641428195901E-7</v>
      </c>
      <c r="M160" s="2">
        <v>-5.5519606689813399E-8</v>
      </c>
      <c r="N160">
        <v>71.831634521484403</v>
      </c>
      <c r="O160">
        <v>88.472106933593807</v>
      </c>
      <c r="P160">
        <v>1.7317438498139399E-2</v>
      </c>
      <c r="Q160" s="2">
        <v>8.5238734754966606E-6</v>
      </c>
      <c r="R160" s="2">
        <v>6.4664313015327895E-8</v>
      </c>
      <c r="S160" s="2">
        <v>1.4840041728802999E-7</v>
      </c>
      <c r="T160" s="2">
        <v>2.2600021853946799E-9</v>
      </c>
      <c r="U160">
        <v>67.927597045898395</v>
      </c>
      <c r="V160">
        <v>-2.1187934875488299</v>
      </c>
      <c r="W160" s="2">
        <v>3.4028230607370999E+38</v>
      </c>
      <c r="X160" s="2">
        <v>3.4028230607370999E+38</v>
      </c>
      <c r="Y160">
        <v>9196.775390625</v>
      </c>
      <c r="Z160">
        <v>11500.1787109375</v>
      </c>
      <c r="AA160">
        <v>-6904.72119140625</v>
      </c>
      <c r="AB160" s="2">
        <v>3.4028230607370999E+38</v>
      </c>
      <c r="AC160" s="2">
        <v>3.4028230607370999E+38</v>
      </c>
      <c r="AD160">
        <v>230.00109863281199</v>
      </c>
      <c r="AE160">
        <v>50.000461578369098</v>
      </c>
      <c r="AF160">
        <v>9196.748046875</v>
      </c>
      <c r="AG160">
        <v>11500.1435546875</v>
      </c>
      <c r="AH160">
        <v>-6904.73876953125</v>
      </c>
      <c r="AI160">
        <v>49.999874114990199</v>
      </c>
      <c r="AJ160">
        <v>36.898563385009801</v>
      </c>
      <c r="AK160">
        <v>1.46756330505013E-2</v>
      </c>
      <c r="AL160" s="2">
        <v>8.8723299995763193E-6</v>
      </c>
      <c r="AM160" s="2">
        <v>2.7393539880904401E-8</v>
      </c>
      <c r="AN160" s="2">
        <v>1.29974154106094E-7</v>
      </c>
      <c r="AO160" s="2">
        <v>-1.10645625994721E-8</v>
      </c>
      <c r="AP160">
        <v>72.105728149414105</v>
      </c>
      <c r="AQ160">
        <v>20.586372375488299</v>
      </c>
      <c r="AR160">
        <v>1.5727411955594999E-2</v>
      </c>
      <c r="AS160" s="2">
        <v>8.6295731307473E-6</v>
      </c>
      <c r="AT160" s="2">
        <v>3.8871402097129202E-8</v>
      </c>
      <c r="AU160" s="2">
        <v>1.3421002620361801E-7</v>
      </c>
      <c r="AV160" s="2">
        <v>2.8605100510503699E-8</v>
      </c>
      <c r="AW160">
        <v>68.590309143066406</v>
      </c>
      <c r="AX160">
        <v>-37.350498199462898</v>
      </c>
      <c r="AY160" s="2">
        <v>3.4028230607370999E+38</v>
      </c>
      <c r="AZ160" s="2">
        <v>3.4028230607370999E+38</v>
      </c>
      <c r="BA160">
        <v>9196.748046875</v>
      </c>
      <c r="BB160">
        <v>11500.1435546875</v>
      </c>
      <c r="BC160">
        <v>-6904.7392578125</v>
      </c>
      <c r="BD160" s="2">
        <v>3.4028230607370999E+38</v>
      </c>
      <c r="BE160" s="2">
        <v>3.4028230607370999E+38</v>
      </c>
      <c r="BF160">
        <v>230.00099182128901</v>
      </c>
      <c r="BG160">
        <v>50.000572204589801</v>
      </c>
      <c r="BH160">
        <v>9196.7607421875</v>
      </c>
      <c r="BI160">
        <v>11500.173828125</v>
      </c>
      <c r="BJ160">
        <v>-6904.755859375</v>
      </c>
      <c r="BK160">
        <v>49.999893188476598</v>
      </c>
      <c r="BL160">
        <v>36.898509979247997</v>
      </c>
      <c r="BM160">
        <v>1.75952203571796E-2</v>
      </c>
      <c r="BN160" s="2">
        <v>9.2723157649743405E-6</v>
      </c>
      <c r="BO160" s="2">
        <v>3.4051616637498201E-8</v>
      </c>
      <c r="BP160" s="2">
        <v>1.6176466033357399E-7</v>
      </c>
      <c r="BQ160" s="2">
        <v>-5.6079915822238003E-8</v>
      </c>
      <c r="BR160">
        <v>71.718589782714801</v>
      </c>
      <c r="BS160">
        <v>52.4226264953613</v>
      </c>
      <c r="BT160">
        <v>1.97970923036337E-2</v>
      </c>
      <c r="BU160" s="2">
        <v>8.4602588685811497E-6</v>
      </c>
      <c r="BV160" s="2">
        <v>9.7042075708486703E-8</v>
      </c>
      <c r="BW160" s="2">
        <v>1.6991312179470699E-7</v>
      </c>
      <c r="BX160" s="2">
        <v>4.8749875247722203E-8</v>
      </c>
      <c r="BY160">
        <v>72.326324462890597</v>
      </c>
      <c r="BZ160">
        <v>-33.220996856689503</v>
      </c>
      <c r="CA160" s="2">
        <v>3.4028230607370999E+38</v>
      </c>
      <c r="CB160" s="2">
        <v>3.4028230607370999E+38</v>
      </c>
      <c r="CC160">
        <v>9196.7607421875</v>
      </c>
      <c r="CD160">
        <v>11500.173828125</v>
      </c>
      <c r="CE160">
        <v>-6904.75634765625</v>
      </c>
      <c r="CF160" s="2">
        <v>3.4028230607370999E+38</v>
      </c>
      <c r="CG160" s="2">
        <v>3.4028230607370999E+38</v>
      </c>
      <c r="CH160">
        <v>230.00099182128901</v>
      </c>
      <c r="CI160">
        <v>50.0006103515625</v>
      </c>
      <c r="CJ160">
        <v>9196.78515625</v>
      </c>
      <c r="CK160">
        <v>11500.19140625</v>
      </c>
      <c r="CL160">
        <v>-6904.74853515625</v>
      </c>
      <c r="CM160">
        <v>49.999923706054702</v>
      </c>
      <c r="CN160">
        <v>36.898403167724602</v>
      </c>
      <c r="CO160">
        <v>1.66480448096991E-2</v>
      </c>
      <c r="CP160" s="2">
        <v>9.3762118922313692E-6</v>
      </c>
      <c r="CQ160" s="2">
        <v>2.6684154885714402E-9</v>
      </c>
      <c r="CR160" s="2">
        <v>1.5141203846269499E-7</v>
      </c>
      <c r="CS160" s="2">
        <v>-5.8940795355511E-8</v>
      </c>
      <c r="CT160">
        <v>70.858551025390597</v>
      </c>
      <c r="CU160">
        <v>88.132530212402301</v>
      </c>
      <c r="CV160">
        <v>1.8028751015663098E-2</v>
      </c>
      <c r="CW160" s="2">
        <v>8.4933926700614393E-6</v>
      </c>
      <c r="CX160" s="2">
        <v>6.8503062777835995E-8</v>
      </c>
      <c r="CY160" s="2">
        <v>1.5154773791437E-7</v>
      </c>
      <c r="CZ160" s="2">
        <v>3.5699758704765798E-9</v>
      </c>
      <c r="DA160">
        <v>69.704948425292997</v>
      </c>
      <c r="DB160">
        <v>-3.1078085899353001</v>
      </c>
      <c r="DC160" s="2">
        <v>3.4028230607370999E+38</v>
      </c>
      <c r="DD160" s="2">
        <v>3.4028230607370999E+38</v>
      </c>
      <c r="DE160">
        <v>9196.78515625</v>
      </c>
      <c r="DF160">
        <v>11500.19140625</v>
      </c>
      <c r="DG160">
        <v>-6904.7490234375</v>
      </c>
      <c r="DH160" s="2">
        <v>3.4028230607370999E+38</v>
      </c>
      <c r="DI160" s="2">
        <v>3.4028230607370999E+38</v>
      </c>
      <c r="DJ160">
        <v>230.00086975097699</v>
      </c>
      <c r="DK160">
        <v>50.000614166259801</v>
      </c>
      <c r="DL160">
        <v>9196.7841796875</v>
      </c>
      <c r="DM160">
        <v>11500.2021484375</v>
      </c>
      <c r="DN160">
        <v>-6904.7841796875</v>
      </c>
      <c r="DO160">
        <v>49.999923706054702</v>
      </c>
      <c r="DP160">
        <v>36.898433685302699</v>
      </c>
      <c r="DQ160">
        <v>1.7357014119625098E-2</v>
      </c>
      <c r="DR160" s="2">
        <v>9.4561328296549601E-6</v>
      </c>
      <c r="DS160" s="2">
        <v>1.5096446759343999E-8</v>
      </c>
      <c r="DT160" s="2">
        <v>1.6109105160921899E-7</v>
      </c>
      <c r="DU160" s="2">
        <v>-6.3767643609935502E-8</v>
      </c>
      <c r="DV160">
        <v>71.551506042480497</v>
      </c>
      <c r="DW160">
        <v>73.536056518554702</v>
      </c>
      <c r="DX160">
        <v>1.9260311499238E-2</v>
      </c>
      <c r="DY160" s="2">
        <v>8.4373132267501205E-6</v>
      </c>
      <c r="DZ160" s="2">
        <v>8.6670198129468203E-8</v>
      </c>
      <c r="EA160" s="2">
        <v>1.6195944851915601E-7</v>
      </c>
      <c r="EB160" s="2">
        <v>2.2405695077054601E-8</v>
      </c>
      <c r="EC160">
        <v>71.654159545898395</v>
      </c>
      <c r="ED160">
        <v>-16.342100143432599</v>
      </c>
      <c r="EE160" s="2">
        <v>3.4028230607370999E+38</v>
      </c>
      <c r="EF160" s="2">
        <v>3.4028230607370999E+38</v>
      </c>
      <c r="EG160">
        <v>9196.7841796875</v>
      </c>
      <c r="EH160">
        <v>11500.2021484375</v>
      </c>
      <c r="EI160">
        <v>-6904.78466796875</v>
      </c>
      <c r="EJ160" s="2">
        <v>3.4028230607370999E+38</v>
      </c>
      <c r="EK160" s="2">
        <v>3.4028230607370999E+38</v>
      </c>
      <c r="EL160">
        <v>123</v>
      </c>
      <c r="EM160">
        <v>230.00070190429699</v>
      </c>
      <c r="EN160">
        <v>50.000537872314503</v>
      </c>
      <c r="EO160">
        <v>9196.751953125</v>
      </c>
      <c r="EP160">
        <v>11500.2060546875</v>
      </c>
      <c r="EQ160">
        <v>-6904.77685546875</v>
      </c>
      <c r="ER160">
        <v>49.999946594238303</v>
      </c>
      <c r="ES160">
        <v>36.898494720458999</v>
      </c>
      <c r="ET160">
        <v>0.79970568418502797</v>
      </c>
      <c r="EU160" s="2">
        <v>3.4028230607370999E+38</v>
      </c>
      <c r="EV160">
        <v>0</v>
      </c>
      <c r="EW160">
        <v>230.00460815429699</v>
      </c>
      <c r="EX160">
        <v>9197.1962890625</v>
      </c>
      <c r="EY160">
        <v>11500.3447265625</v>
      </c>
      <c r="EZ160">
        <v>-6904.29052734375</v>
      </c>
      <c r="FA160">
        <v>3.7757329642772702E-2</v>
      </c>
      <c r="FB160">
        <v>1.7621511593460999E-2</v>
      </c>
      <c r="FC160" s="2">
        <v>9.3553890110342797E-6</v>
      </c>
      <c r="FD160" s="2">
        <v>3.1295012803411697E-8</v>
      </c>
      <c r="FE160" s="2">
        <v>1.6531160440535999E-7</v>
      </c>
      <c r="FF160" s="2">
        <v>-5.6152241967311103E-8</v>
      </c>
      <c r="FG160">
        <v>73.038192749023395</v>
      </c>
      <c r="FH160">
        <v>67.618034362792997</v>
      </c>
      <c r="FI160">
        <v>0.15792798995971699</v>
      </c>
      <c r="FJ160" s="2">
        <v>3.4028230607370999E+38</v>
      </c>
      <c r="FK160">
        <v>-14.8517656326294</v>
      </c>
      <c r="FL160">
        <v>1.9976718351244899E-2</v>
      </c>
      <c r="FM160">
        <v>0</v>
      </c>
      <c r="FN160">
        <v>0</v>
      </c>
      <c r="FO160">
        <v>0</v>
      </c>
      <c r="FP160">
        <v>-8.864791598171E-4</v>
      </c>
      <c r="FQ160">
        <v>1.97552293539047E-2</v>
      </c>
      <c r="FR160" s="2">
        <v>8.5371893874253096E-6</v>
      </c>
      <c r="FS160" s="2">
        <v>9.2648797078709295E-8</v>
      </c>
      <c r="FT160" s="2">
        <v>1.66962379921642E-7</v>
      </c>
      <c r="FU160" s="2">
        <v>4.7674951986209602E-8</v>
      </c>
      <c r="FV160">
        <v>71.221893310546903</v>
      </c>
      <c r="FW160">
        <v>-26.6407070159912</v>
      </c>
      <c r="FX160">
        <v>0.55871045589446999</v>
      </c>
      <c r="FY160" s="2">
        <v>3.4028230607370999E+38</v>
      </c>
      <c r="FZ160">
        <v>-11.6761388778687</v>
      </c>
      <c r="GA160">
        <v>229.19651794433599</v>
      </c>
      <c r="GB160" s="2">
        <v>9.4047640786243408E-9</v>
      </c>
      <c r="GC160">
        <v>1.9717125687748198E-3</v>
      </c>
      <c r="GD160" s="2">
        <v>-6.3354415047456297E-9</v>
      </c>
      <c r="GE160">
        <v>-2.9294367413967799E-4</v>
      </c>
      <c r="GF160" s="2">
        <v>3.4028230607370999E+38</v>
      </c>
      <c r="GG160" s="2">
        <v>3.4028230607370999E+38</v>
      </c>
      <c r="GH160">
        <v>9196.7841796875</v>
      </c>
      <c r="GI160">
        <v>11500.1943359375</v>
      </c>
      <c r="GJ160">
        <v>-6904.783203125</v>
      </c>
      <c r="GK160" s="2">
        <v>3.4028230607370999E+38</v>
      </c>
      <c r="GL160" s="2">
        <v>3.4028230607370999E+38</v>
      </c>
      <c r="GM160" s="2">
        <v>3.4028230607370999E+38</v>
      </c>
      <c r="GN160" s="2">
        <v>3.4028230607370999E+38</v>
      </c>
      <c r="GO160" s="2">
        <v>3.4028230607370999E+38</v>
      </c>
      <c r="GP160" s="2">
        <v>3.4028230607370999E+38</v>
      </c>
      <c r="GQ160">
        <v>9197.0751953125</v>
      </c>
      <c r="GR160">
        <v>9197.0751953125</v>
      </c>
      <c r="GS160">
        <v>-6904.26708984375</v>
      </c>
      <c r="GT160">
        <v>2.88304965943098E-2</v>
      </c>
      <c r="GX160">
        <f t="shared" si="15"/>
        <v>230.00095825195302</v>
      </c>
      <c r="GY160">
        <f t="shared" si="16"/>
        <v>50.000576019287095</v>
      </c>
      <c r="GZ160">
        <f t="shared" si="17"/>
        <v>9196.7708984375004</v>
      </c>
      <c r="HA160">
        <f t="shared" si="18"/>
        <v>11500.177929687499</v>
      </c>
      <c r="HB160">
        <f t="shared" si="19"/>
        <v>-6904.7496093749996</v>
      </c>
      <c r="HC160">
        <f t="shared" si="20"/>
        <v>49.999913787841798</v>
      </c>
      <c r="HD160">
        <f t="shared" si="21"/>
        <v>36.898424530029281</v>
      </c>
      <c r="HW160" s="10">
        <f>(GX160/Data!$S160-1)*1000000</f>
        <v>18.297440963266354</v>
      </c>
      <c r="HX160" s="10">
        <f>(GY160/Data!$T160-1)*1000000</f>
        <v>28.809883835911876</v>
      </c>
      <c r="HY160" s="10">
        <f>(GZ160/Data!$BW160-1)*1000000</f>
        <v>52.694796745855754</v>
      </c>
      <c r="HZ160" s="10">
        <f>(HA160/(Data!$S160*Data!$T160)-1)*1000000</f>
        <v>46.89324536388817</v>
      </c>
      <c r="IA160" s="7">
        <f>(HB160/IF(HD160&gt;0, -Data!$BX160,Data!$BX160)-1)*1000000</f>
        <v>58.291445454328183</v>
      </c>
      <c r="IB160" s="10"/>
      <c r="IC160" s="9">
        <f>(HD160-Data!$U160)</f>
        <v>9.7650029282192463E-5</v>
      </c>
    </row>
    <row r="161" spans="1:237" x14ac:dyDescent="0.2">
      <c r="A161">
        <v>161</v>
      </c>
      <c r="B161">
        <v>230.0029296875</v>
      </c>
      <c r="C161">
        <v>100.000946044922</v>
      </c>
      <c r="D161">
        <v>23000.4921875</v>
      </c>
      <c r="E161">
        <v>23000.50390625</v>
      </c>
      <c r="F161">
        <v>1.1446430683136</v>
      </c>
      <c r="G161">
        <v>49.999927520752003</v>
      </c>
      <c r="H161">
        <v>-2.7087151538580699E-3</v>
      </c>
      <c r="I161">
        <v>1.6679478809237501E-2</v>
      </c>
      <c r="J161" s="2">
        <v>1.54532826854847E-5</v>
      </c>
      <c r="K161" s="2">
        <v>1.2461478604563999E-7</v>
      </c>
      <c r="L161" s="2">
        <v>2.54544431754766E-7</v>
      </c>
      <c r="M161" s="2">
        <v>-2.4006414633959099E-8</v>
      </c>
      <c r="N161">
        <v>51.0661430358887</v>
      </c>
      <c r="O161">
        <v>6.8835258483886701</v>
      </c>
      <c r="P161">
        <v>1.7931744456291199E-2</v>
      </c>
      <c r="Q161" s="2">
        <v>1.5088841792021401E-5</v>
      </c>
      <c r="R161" s="2">
        <v>7.6961725881119505E-8</v>
      </c>
      <c r="S161" s="2">
        <v>2.7052203677158099E-7</v>
      </c>
      <c r="T161" s="2">
        <v>1.02309869021155E-7</v>
      </c>
      <c r="U161">
        <v>49.994674682617202</v>
      </c>
      <c r="V161">
        <v>-60.830287933349602</v>
      </c>
      <c r="W161" s="2">
        <v>3.4028230607370999E+38</v>
      </c>
      <c r="X161" s="2">
        <v>3.4028230607370999E+38</v>
      </c>
      <c r="Y161">
        <v>23000.4921875</v>
      </c>
      <c r="Z161">
        <v>23000.50390625</v>
      </c>
      <c r="AA161">
        <v>1.1446430683136</v>
      </c>
      <c r="AB161" s="2">
        <v>3.4028230607370999E+38</v>
      </c>
      <c r="AC161" s="2">
        <v>3.4028230607370999E+38</v>
      </c>
      <c r="AD161">
        <v>230.0029296875</v>
      </c>
      <c r="AE161">
        <v>100.001106262207</v>
      </c>
      <c r="AF161">
        <v>23000.5234375</v>
      </c>
      <c r="AG161">
        <v>23000.537109375</v>
      </c>
      <c r="AH161">
        <v>1.08334195613861</v>
      </c>
      <c r="AI161">
        <v>49.9999389648438</v>
      </c>
      <c r="AJ161">
        <v>-2.69867456518114E-3</v>
      </c>
      <c r="AK161">
        <v>1.6214145347475999E-2</v>
      </c>
      <c r="AL161" s="2">
        <v>1.64527700690087E-5</v>
      </c>
      <c r="AM161" s="2">
        <v>6.6532244602512894E-8</v>
      </c>
      <c r="AN161" s="2">
        <v>2.6732547553365299E-7</v>
      </c>
      <c r="AO161" s="2">
        <v>-1.13904761178674E-7</v>
      </c>
      <c r="AP161">
        <v>49.998435974121101</v>
      </c>
      <c r="AQ161">
        <v>59.775131225585902</v>
      </c>
      <c r="AR161">
        <v>1.7540853470563899E-2</v>
      </c>
      <c r="AS161" s="2">
        <v>1.4441669009102E-5</v>
      </c>
      <c r="AT161" s="2">
        <v>1.28822563283393E-7</v>
      </c>
      <c r="AU161" s="2">
        <v>2.4992007752189201E-7</v>
      </c>
      <c r="AV161" s="2">
        <v>1.1857736126330599E-8</v>
      </c>
      <c r="AW161">
        <v>49.995410919189503</v>
      </c>
      <c r="AX161">
        <v>-5.3888406753540004</v>
      </c>
      <c r="AY161" s="2">
        <v>3.4028230607370999E+38</v>
      </c>
      <c r="AZ161" s="2">
        <v>3.4028230607370999E+38</v>
      </c>
      <c r="BA161">
        <v>23000.5234375</v>
      </c>
      <c r="BB161">
        <v>23000.537109375</v>
      </c>
      <c r="BC161">
        <v>1.08334183692932</v>
      </c>
      <c r="BD161" s="2">
        <v>3.4028230607370999E+38</v>
      </c>
      <c r="BE161" s="2">
        <v>3.4028230607370999E+38</v>
      </c>
      <c r="BF161">
        <v>230.00289916992199</v>
      </c>
      <c r="BG161">
        <v>100.000946044922</v>
      </c>
      <c r="BH161">
        <v>23000.48046875</v>
      </c>
      <c r="BI161">
        <v>23000.494140625</v>
      </c>
      <c r="BJ161">
        <v>1.07305324077606</v>
      </c>
      <c r="BK161">
        <v>49.999923706054702</v>
      </c>
      <c r="BL161">
        <v>-2.7274976018816198E-3</v>
      </c>
      <c r="BM161">
        <v>1.80561169981956E-2</v>
      </c>
      <c r="BN161" s="2">
        <v>1.5871586583671201E-5</v>
      </c>
      <c r="BO161" s="2">
        <v>1.37858990001405E-7</v>
      </c>
      <c r="BP161" s="2">
        <v>2.8453624167923398E-7</v>
      </c>
      <c r="BQ161" s="2">
        <v>-9.9038309997467904E-8</v>
      </c>
      <c r="BR161">
        <v>49.930839538574197</v>
      </c>
      <c r="BS161">
        <v>35.332138061523402</v>
      </c>
      <c r="BT161">
        <v>1.9591050222516102E-2</v>
      </c>
      <c r="BU161" s="2">
        <v>1.47180617204867E-5</v>
      </c>
      <c r="BV161" s="2">
        <v>1.4560821171016901E-7</v>
      </c>
      <c r="BW161" s="2">
        <v>2.88368255496607E-7</v>
      </c>
      <c r="BX161" s="2">
        <v>1.0051230958652E-7</v>
      </c>
      <c r="BY161">
        <v>50.025753021240199</v>
      </c>
      <c r="BZ161">
        <v>-34.601757049560497</v>
      </c>
      <c r="CA161" s="2">
        <v>3.4028230607370999E+38</v>
      </c>
      <c r="CB161" s="2">
        <v>3.4028230607370999E+38</v>
      </c>
      <c r="CC161">
        <v>23000.48046875</v>
      </c>
      <c r="CD161">
        <v>23000.494140625</v>
      </c>
      <c r="CE161">
        <v>1.07305324077606</v>
      </c>
      <c r="CF161" s="2">
        <v>3.4028230607370999E+38</v>
      </c>
      <c r="CG161" s="2">
        <v>3.4028230607370999E+38</v>
      </c>
      <c r="CH161">
        <v>230.00346374511699</v>
      </c>
      <c r="CI161">
        <v>100.00083160400401</v>
      </c>
      <c r="CJ161">
        <v>23000.484375</v>
      </c>
      <c r="CK161">
        <v>23000.49609375</v>
      </c>
      <c r="CL161">
        <v>1.1583766937255899</v>
      </c>
      <c r="CM161">
        <v>49.9999389648438</v>
      </c>
      <c r="CN161">
        <v>-2.7030303608626101E-3</v>
      </c>
      <c r="CO161">
        <v>1.4360597357153899E-2</v>
      </c>
      <c r="CP161" s="2">
        <v>1.5996496586012701E-5</v>
      </c>
      <c r="CQ161" s="2">
        <v>6.2980468840123596E-8</v>
      </c>
      <c r="CR161" s="2">
        <v>2.2906436925040899E-7</v>
      </c>
      <c r="CS161" s="2">
        <v>-3.2061951316109103E-8</v>
      </c>
      <c r="CT161">
        <v>50.014072418212898</v>
      </c>
      <c r="CU161">
        <v>27.0246067047119</v>
      </c>
      <c r="CV161">
        <v>1.5429905615746999E-2</v>
      </c>
      <c r="CW161" s="2">
        <v>1.50039104482858E-5</v>
      </c>
      <c r="CX161" s="2">
        <v>4.9274035518465098E-8</v>
      </c>
      <c r="CY161" s="2">
        <v>2.3545499061583499E-7</v>
      </c>
      <c r="CZ161" s="2">
        <v>3.80538232036542E-8</v>
      </c>
      <c r="DA161">
        <v>50.0189018249512</v>
      </c>
      <c r="DB161">
        <v>-37.0657768249512</v>
      </c>
      <c r="DC161" s="2">
        <v>3.4028230607370999E+38</v>
      </c>
      <c r="DD161" s="2">
        <v>3.4028230607370999E+38</v>
      </c>
      <c r="DE161">
        <v>23000.484375</v>
      </c>
      <c r="DF161">
        <v>23000.49609375</v>
      </c>
      <c r="DG161">
        <v>1.1583766937255899</v>
      </c>
      <c r="DH161" s="2">
        <v>3.4028230607370999E+38</v>
      </c>
      <c r="DI161" s="2">
        <v>3.4028230607370999E+38</v>
      </c>
      <c r="DJ161">
        <v>230.0029296875</v>
      </c>
      <c r="DK161">
        <v>100.00099945068401</v>
      </c>
      <c r="DL161">
        <v>23000.494140625</v>
      </c>
      <c r="DM161">
        <v>23000.5234375</v>
      </c>
      <c r="DN161">
        <v>1.1028037071228001</v>
      </c>
      <c r="DO161">
        <v>49.999954223632798</v>
      </c>
      <c r="DP161">
        <v>-2.74715619161725E-3</v>
      </c>
      <c r="DQ161">
        <v>1.7701208591461199E-2</v>
      </c>
      <c r="DR161" s="2">
        <v>1.6104715541587201E-5</v>
      </c>
      <c r="DS161" s="2">
        <v>1.2084356626473899E-7</v>
      </c>
      <c r="DT161" s="2">
        <v>2.8507574256764201E-7</v>
      </c>
      <c r="DU161" s="2">
        <v>-1.13434083459651E-7</v>
      </c>
      <c r="DV161">
        <v>49.988735198974602</v>
      </c>
      <c r="DW161">
        <v>41.477748870849602</v>
      </c>
      <c r="DX161">
        <v>1.9493205472826999E-2</v>
      </c>
      <c r="DY161" s="2">
        <v>1.45331487146905E-5</v>
      </c>
      <c r="DZ161" s="2">
        <v>1.54065091351185E-7</v>
      </c>
      <c r="EA161" s="2">
        <v>2.84907599734652E-7</v>
      </c>
      <c r="EB161" s="2">
        <v>7.6780629854056302E-8</v>
      </c>
      <c r="EC161">
        <v>49.985893249511697</v>
      </c>
      <c r="ED161">
        <v>-29.0996494293213</v>
      </c>
      <c r="EE161" s="2">
        <v>3.4028230607370999E+38</v>
      </c>
      <c r="EF161" s="2">
        <v>3.4028230607370999E+38</v>
      </c>
      <c r="EG161">
        <v>23000.494140625</v>
      </c>
      <c r="EH161">
        <v>23000.5234375</v>
      </c>
      <c r="EI161">
        <v>1.1028035879135101</v>
      </c>
      <c r="EJ161" s="2">
        <v>3.4028230607370999E+38</v>
      </c>
      <c r="EK161" s="2">
        <v>3.4028230607370999E+38</v>
      </c>
      <c r="EL161">
        <v>123</v>
      </c>
      <c r="EM161">
        <v>230.00343322753901</v>
      </c>
      <c r="EN161">
        <v>100.00089263916</v>
      </c>
      <c r="EO161">
        <v>23000.498046875</v>
      </c>
      <c r="EP161">
        <v>23000.51171875</v>
      </c>
      <c r="EQ161">
        <v>1.1174113750457799</v>
      </c>
      <c r="ER161">
        <v>49.999988555908203</v>
      </c>
      <c r="ES161">
        <v>-2.5742903817445001E-3</v>
      </c>
      <c r="ET161">
        <v>0.99999952316284202</v>
      </c>
      <c r="EU161" s="2">
        <v>3.4028230607370999E+38</v>
      </c>
      <c r="EV161">
        <v>0</v>
      </c>
      <c r="EW161">
        <v>230.00491333007801</v>
      </c>
      <c r="EX161">
        <v>23000.693359375</v>
      </c>
      <c r="EY161">
        <v>23000.69921875</v>
      </c>
      <c r="EZ161">
        <v>2.1708297729492201</v>
      </c>
      <c r="FA161">
        <v>3.7382539361715303E-2</v>
      </c>
      <c r="FB161">
        <v>1.7771054059266999E-2</v>
      </c>
      <c r="FC161" s="2">
        <v>1.5796393199707398E-5</v>
      </c>
      <c r="FD161" s="2">
        <v>1.4378737489550999E-7</v>
      </c>
      <c r="FE161" s="2">
        <v>2.7999931262456801E-7</v>
      </c>
      <c r="FF161" s="2">
        <v>-7.4998787624735996E-8</v>
      </c>
      <c r="FG161">
        <v>49.9338188171387</v>
      </c>
      <c r="FH161">
        <v>27.333055496215799</v>
      </c>
      <c r="FI161">
        <v>0.51738035678863503</v>
      </c>
      <c r="FJ161" s="2">
        <v>3.4028230607370999E+38</v>
      </c>
      <c r="FK161">
        <v>153.73481750488301</v>
      </c>
      <c r="FL161">
        <v>2.0999014377594001E-2</v>
      </c>
      <c r="FM161">
        <v>0</v>
      </c>
      <c r="FN161">
        <v>0</v>
      </c>
      <c r="FO161">
        <v>0</v>
      </c>
      <c r="FP161">
        <v>-8.6646748241037098E-4</v>
      </c>
      <c r="FQ161">
        <v>1.9427379593253101E-2</v>
      </c>
      <c r="FR161" s="2">
        <v>1.49504776345566E-5</v>
      </c>
      <c r="FS161" s="2">
        <v>1.09525736036176E-7</v>
      </c>
      <c r="FT161" s="2">
        <v>2.8014568442813502E-7</v>
      </c>
      <c r="FU161" s="2">
        <v>1.22053251061516E-7</v>
      </c>
      <c r="FV161">
        <v>49.901409149169901</v>
      </c>
      <c r="FW161">
        <v>-49.799648284912102</v>
      </c>
      <c r="FX161">
        <v>0.37658518552780201</v>
      </c>
      <c r="FY161" s="2">
        <v>3.4028230607370999E+38</v>
      </c>
      <c r="FZ161">
        <v>83.828544616699205</v>
      </c>
      <c r="GA161">
        <v>229.97497558593801</v>
      </c>
      <c r="GB161" s="2">
        <v>1.0504709102576699E-8</v>
      </c>
      <c r="GC161">
        <v>3.4482786431908599E-3</v>
      </c>
      <c r="GD161" s="2">
        <v>1.3088536476857401E-8</v>
      </c>
      <c r="GE161">
        <v>-1.4045537682250101E-3</v>
      </c>
      <c r="GF161" s="2">
        <v>3.4028230607370999E+38</v>
      </c>
      <c r="GG161" s="2">
        <v>3.4028230607370999E+38</v>
      </c>
      <c r="GH161">
        <v>23000.4765625</v>
      </c>
      <c r="GI161">
        <v>23000.494140625</v>
      </c>
      <c r="GJ161">
        <v>1.0954387187957799</v>
      </c>
      <c r="GK161" s="2">
        <v>3.4028230607370999E+38</v>
      </c>
      <c r="GL161" s="2">
        <v>3.4028230607370999E+38</v>
      </c>
      <c r="GM161" s="2">
        <v>3.4028230607370999E+38</v>
      </c>
      <c r="GN161" s="2">
        <v>3.4028230607370999E+38</v>
      </c>
      <c r="GO161" s="2">
        <v>3.4028230607370999E+38</v>
      </c>
      <c r="GP161" s="2">
        <v>3.4028230607370999E+38</v>
      </c>
      <c r="GQ161">
        <v>23000.3828125</v>
      </c>
      <c r="GR161">
        <v>23000.34375</v>
      </c>
      <c r="GS161">
        <v>2.0681891441345202</v>
      </c>
      <c r="GT161">
        <v>-1.6309235244989399E-2</v>
      </c>
      <c r="GX161">
        <f t="shared" si="15"/>
        <v>230.00303039550781</v>
      </c>
      <c r="GY161">
        <f t="shared" si="16"/>
        <v>100.00096588134781</v>
      </c>
      <c r="GZ161">
        <f t="shared" si="17"/>
        <v>23000.494921875001</v>
      </c>
      <c r="HA161">
        <f t="shared" si="18"/>
        <v>23000.510937499999</v>
      </c>
      <c r="HB161">
        <f t="shared" si="19"/>
        <v>1.1124437332153319</v>
      </c>
      <c r="HC161">
        <f t="shared" si="20"/>
        <v>49.999936676025428</v>
      </c>
      <c r="HD161">
        <f t="shared" si="21"/>
        <v>-2.7170147746801384E-3</v>
      </c>
      <c r="HW161" s="10">
        <f>(GX161/Data!$S161-1)*1000000</f>
        <v>29.085660600225438</v>
      </c>
      <c r="HX161" s="10">
        <f>(GY161/Data!$T161-1)*1000000</f>
        <v>-9.6500001901533849</v>
      </c>
      <c r="HY161" s="10">
        <f>(GZ161/Data!$BW161-1)*1000000</f>
        <v>18.113932898966567</v>
      </c>
      <c r="HZ161" s="10">
        <f>(HA161/(Data!$S161*Data!$T161)-1)*1000000</f>
        <v>18.815482371703496</v>
      </c>
      <c r="IA161" s="7">
        <f>(HB161/IF(HD161&gt;0, -Data!$BX161,Data!$BX161)-1)*1000000</f>
        <v>4944863.299840223</v>
      </c>
      <c r="IB161" s="10"/>
      <c r="IC161" s="9">
        <f>(HD161-Data!$U161)</f>
        <v>-2.2508607746801385E-3</v>
      </c>
    </row>
    <row r="162" spans="1:237" x14ac:dyDescent="0.2">
      <c r="A162">
        <v>162</v>
      </c>
      <c r="B162">
        <v>230.00343322753901</v>
      </c>
      <c r="C162">
        <v>100.000846862793</v>
      </c>
      <c r="D162">
        <v>23000.51171875</v>
      </c>
      <c r="E162">
        <v>23000.576171875</v>
      </c>
      <c r="F162">
        <v>1.0692504644393901</v>
      </c>
      <c r="G162">
        <v>49.999969482421903</v>
      </c>
      <c r="H162">
        <v>-2.6635667309165001E-3</v>
      </c>
      <c r="I162">
        <v>1.4501717872917701E-2</v>
      </c>
      <c r="J162" s="2">
        <v>1.6124467947520299E-5</v>
      </c>
      <c r="K162" s="2">
        <v>5.5740844828733303E-8</v>
      </c>
      <c r="L162" s="2">
        <v>2.2925638631932099E-7</v>
      </c>
      <c r="M162" s="2">
        <v>-4.2814310319272402E-8</v>
      </c>
      <c r="N162">
        <v>50.0215873718262</v>
      </c>
      <c r="O162">
        <v>33.189662933349602</v>
      </c>
      <c r="P162">
        <v>1.5399674884975E-2</v>
      </c>
      <c r="Q162" s="2">
        <v>1.49162124216673E-5</v>
      </c>
      <c r="R162" s="2">
        <v>5.7846172296649503E-8</v>
      </c>
      <c r="S162" s="2">
        <v>2.2966068513596801E-7</v>
      </c>
      <c r="T162" s="2">
        <v>2.6116918405705302E-8</v>
      </c>
      <c r="U162">
        <v>49.993888854980497</v>
      </c>
      <c r="V162">
        <v>-25.480207443237301</v>
      </c>
      <c r="W162" s="2">
        <v>3.4028230607370999E+38</v>
      </c>
      <c r="X162" s="2">
        <v>3.4028230607370999E+38</v>
      </c>
      <c r="Y162">
        <v>23000.51171875</v>
      </c>
      <c r="Z162">
        <v>23000.576171875</v>
      </c>
      <c r="AA162">
        <v>1.0692503452301001</v>
      </c>
      <c r="AB162" s="2">
        <v>3.4028230607370999E+38</v>
      </c>
      <c r="AC162" s="2">
        <v>3.4028230607370999E+38</v>
      </c>
      <c r="AD162">
        <v>230.00312805175801</v>
      </c>
      <c r="AE162">
        <v>100.000968933105</v>
      </c>
      <c r="AF162">
        <v>23000.4921875</v>
      </c>
      <c r="AG162">
        <v>23000.5078125</v>
      </c>
      <c r="AH162">
        <v>1.0619021654128999</v>
      </c>
      <c r="AI162">
        <v>49.999927520752003</v>
      </c>
      <c r="AJ162">
        <v>-2.7517364360392098E-3</v>
      </c>
      <c r="AK162">
        <v>1.7538418993353799E-2</v>
      </c>
      <c r="AL162" s="2">
        <v>1.55733850988327E-5</v>
      </c>
      <c r="AM162" s="2">
        <v>1.4542203530254501E-7</v>
      </c>
      <c r="AN162" s="2">
        <v>2.7312862016515298E-7</v>
      </c>
      <c r="AO162" s="2">
        <v>-7.3277114154279804E-8</v>
      </c>
      <c r="AP162">
        <v>49.988941192627003</v>
      </c>
      <c r="AQ162">
        <v>26.751407623291001</v>
      </c>
      <c r="AR162">
        <v>1.9285967573523501E-2</v>
      </c>
      <c r="AS162" s="2">
        <v>1.48914605233585E-5</v>
      </c>
      <c r="AT162" s="2">
        <v>1.1661425247666601E-7</v>
      </c>
      <c r="AU162" s="2">
        <v>2.87880681071329E-7</v>
      </c>
      <c r="AV162" s="2">
        <v>1.20858885566122E-7</v>
      </c>
      <c r="AW162">
        <v>49.972652435302699</v>
      </c>
      <c r="AX162">
        <v>-44.682357788085902</v>
      </c>
      <c r="AY162" s="2">
        <v>3.4028230607370999E+38</v>
      </c>
      <c r="AZ162" s="2">
        <v>3.4028230607370999E+38</v>
      </c>
      <c r="BA162">
        <v>23000.4921875</v>
      </c>
      <c r="BB162">
        <v>23000.5078125</v>
      </c>
      <c r="BC162">
        <v>1.0619021654128999</v>
      </c>
      <c r="BD162" s="2">
        <v>3.4028230607370999E+38</v>
      </c>
      <c r="BE162" s="2">
        <v>3.4028230607370999E+38</v>
      </c>
      <c r="BF162">
        <v>230.00323486328099</v>
      </c>
      <c r="BG162">
        <v>100.000869750977</v>
      </c>
      <c r="BH162">
        <v>23000.517578125</v>
      </c>
      <c r="BI162">
        <v>23000.525390625</v>
      </c>
      <c r="BJ162">
        <v>1.13282406330109</v>
      </c>
      <c r="BK162">
        <v>49.999931335449197</v>
      </c>
      <c r="BL162">
        <v>-2.7151627000421299E-3</v>
      </c>
      <c r="BM162">
        <v>1.6853904351592099E-2</v>
      </c>
      <c r="BN162" s="2">
        <v>1.5499539586016902E-5</v>
      </c>
      <c r="BO162" s="2">
        <v>1.37374783548694E-7</v>
      </c>
      <c r="BP162" s="2">
        <v>2.6130453534278802E-7</v>
      </c>
      <c r="BQ162" s="2">
        <v>-4.1126792638124197E-8</v>
      </c>
      <c r="BR162">
        <v>49.9740180969238</v>
      </c>
      <c r="BS162">
        <v>16.651910781860401</v>
      </c>
      <c r="BT162">
        <v>1.8707513809204102E-2</v>
      </c>
      <c r="BU162" s="2">
        <v>1.5079896002134799E-5</v>
      </c>
      <c r="BV162" s="2">
        <v>9.0844849864879493E-8</v>
      </c>
      <c r="BW162" s="2">
        <v>2.77985634511424E-7</v>
      </c>
      <c r="BX162" s="2">
        <v>1.2345850564088299E-7</v>
      </c>
      <c r="BY162">
        <v>50.048194885253899</v>
      </c>
      <c r="BZ162">
        <v>-56.188812255859403</v>
      </c>
      <c r="CA162" s="2">
        <v>3.4028230607370999E+38</v>
      </c>
      <c r="CB162" s="2">
        <v>3.4028230607370999E+38</v>
      </c>
      <c r="CC162">
        <v>23000.517578125</v>
      </c>
      <c r="CD162">
        <v>23000.525390625</v>
      </c>
      <c r="CE162">
        <v>1.13282406330109</v>
      </c>
      <c r="CF162" s="2">
        <v>3.4028230607370999E+38</v>
      </c>
      <c r="CG162" s="2">
        <v>3.4028230607370999E+38</v>
      </c>
      <c r="CH162">
        <v>230.00344848632801</v>
      </c>
      <c r="CI162">
        <v>100.00104522705099</v>
      </c>
      <c r="CJ162">
        <v>23000.5625</v>
      </c>
      <c r="CK162">
        <v>23000.576171875</v>
      </c>
      <c r="CL162">
        <v>1.1865211725235001</v>
      </c>
      <c r="CM162">
        <v>49.9999809265137</v>
      </c>
      <c r="CN162">
        <v>-2.95569258742034E-3</v>
      </c>
      <c r="CO162">
        <v>1.47066321223974E-2</v>
      </c>
      <c r="CP162" s="2">
        <v>1.6333993698936E-5</v>
      </c>
      <c r="CQ162" s="2">
        <v>4.6581181578630997E-8</v>
      </c>
      <c r="CR162" s="2">
        <v>2.4167013634723802E-7</v>
      </c>
      <c r="CS162" s="2">
        <v>-7.4010387152156896E-8</v>
      </c>
      <c r="CT162">
        <v>49.991550445556598</v>
      </c>
      <c r="CU162">
        <v>56.178825378417997</v>
      </c>
      <c r="CV162">
        <v>1.5988558530807499E-2</v>
      </c>
      <c r="CW162" s="2">
        <v>1.4661207387689499E-5</v>
      </c>
      <c r="CX162" s="2">
        <v>8.1705600507575595E-8</v>
      </c>
      <c r="CY162" s="2">
        <v>2.3271732629837101E-7</v>
      </c>
      <c r="CZ162" s="2">
        <v>7.0110832695036201E-9</v>
      </c>
      <c r="DA162">
        <v>49.994384765625</v>
      </c>
      <c r="DB162">
        <v>-4.7706212997436497</v>
      </c>
      <c r="DC162" s="2">
        <v>3.4028230607370999E+38</v>
      </c>
      <c r="DD162" s="2">
        <v>3.4028230607370999E+38</v>
      </c>
      <c r="DE162">
        <v>23000.5625</v>
      </c>
      <c r="DF162">
        <v>23000.576171875</v>
      </c>
      <c r="DG162">
        <v>1.1865210533142101</v>
      </c>
      <c r="DH162" s="2">
        <v>3.4028230607370999E+38</v>
      </c>
      <c r="DI162" s="2">
        <v>3.4028230607370999E+38</v>
      </c>
      <c r="DJ162">
        <v>230.00277709960901</v>
      </c>
      <c r="DK162">
        <v>100.001022338867</v>
      </c>
      <c r="DL162">
        <v>23000.513671875</v>
      </c>
      <c r="DM162">
        <v>23000.529296875</v>
      </c>
      <c r="DN162">
        <v>1.11242055892944</v>
      </c>
      <c r="DO162">
        <v>49.9999389648438</v>
      </c>
      <c r="DP162">
        <v>-2.7576582506299002E-3</v>
      </c>
      <c r="DQ162">
        <v>1.7735449597239501E-2</v>
      </c>
      <c r="DR162" s="2">
        <v>1.57652302732458E-5</v>
      </c>
      <c r="DS162" s="2">
        <v>1.4131576620002301E-7</v>
      </c>
      <c r="DT162" s="2">
        <v>2.8264224738450102E-7</v>
      </c>
      <c r="DU162" s="2">
        <v>-9.3415927437945396E-8</v>
      </c>
      <c r="DV162">
        <v>50.033012390136697</v>
      </c>
      <c r="DW162">
        <v>35.512210845947301</v>
      </c>
      <c r="DX162">
        <v>1.9376222044229501E-2</v>
      </c>
      <c r="DY162" s="2">
        <v>1.47326118167257E-5</v>
      </c>
      <c r="DZ162" s="2">
        <v>1.3898542761125999E-7</v>
      </c>
      <c r="EA162" s="2">
        <v>2.85472737004966E-7</v>
      </c>
      <c r="EB162" s="2">
        <v>1.06466266913685E-7</v>
      </c>
      <c r="EC162">
        <v>50.003707885742202</v>
      </c>
      <c r="ED162">
        <v>-36.597221374511697</v>
      </c>
      <c r="EE162" s="2">
        <v>3.4028230607370999E+38</v>
      </c>
      <c r="EF162" s="2">
        <v>3.4028230607370999E+38</v>
      </c>
      <c r="EG162">
        <v>23000.513671875</v>
      </c>
      <c r="EH162">
        <v>23000.529296875</v>
      </c>
      <c r="EI162">
        <v>1.11242055892944</v>
      </c>
      <c r="EJ162" s="2">
        <v>3.4028230607370999E+38</v>
      </c>
      <c r="EK162" s="2">
        <v>3.4028230607370999E+38</v>
      </c>
      <c r="EL162">
        <v>123</v>
      </c>
      <c r="EM162">
        <v>230.0029296875</v>
      </c>
      <c r="EN162">
        <v>100.001022338867</v>
      </c>
      <c r="EO162">
        <v>23000.498046875</v>
      </c>
      <c r="EP162">
        <v>23000.53515625</v>
      </c>
      <c r="EQ162">
        <v>1.0789781808853101</v>
      </c>
      <c r="ER162">
        <v>49.999931335449197</v>
      </c>
      <c r="ES162">
        <v>-2.6878044009208701E-3</v>
      </c>
      <c r="ET162">
        <v>0.99999964237213101</v>
      </c>
      <c r="EU162" s="2">
        <v>3.4028230607370999E+38</v>
      </c>
      <c r="EV162">
        <v>0</v>
      </c>
      <c r="EW162">
        <v>230.00622558593801</v>
      </c>
      <c r="EX162">
        <v>23000.86328125</v>
      </c>
      <c r="EY162">
        <v>23000.876953125</v>
      </c>
      <c r="EZ162">
        <v>2.15221071243286</v>
      </c>
      <c r="FA162">
        <v>3.0171081423759499E-2</v>
      </c>
      <c r="FB162">
        <v>1.7995523288845999E-2</v>
      </c>
      <c r="FC162" s="2">
        <v>1.60642539412947E-5</v>
      </c>
      <c r="FD162" s="2">
        <v>1.2452822772957001E-7</v>
      </c>
      <c r="FE162" s="2">
        <v>2.8516930683508701E-7</v>
      </c>
      <c r="FF162" s="2">
        <v>-1.1391480114753E-7</v>
      </c>
      <c r="FG162">
        <v>50.0507202148438</v>
      </c>
      <c r="FH162">
        <v>43.766777038574197</v>
      </c>
      <c r="FI162">
        <v>0.42914041876792902</v>
      </c>
      <c r="FJ162" s="2">
        <v>3.4028230607370999E+38</v>
      </c>
      <c r="FK162">
        <v>122.95310974121099</v>
      </c>
      <c r="FL162">
        <v>2.0339641720056499E-2</v>
      </c>
      <c r="FM162">
        <v>0</v>
      </c>
      <c r="FN162">
        <v>0</v>
      </c>
      <c r="FO162">
        <v>0</v>
      </c>
      <c r="FP162">
        <v>-9.0606266167014805E-4</v>
      </c>
      <c r="FQ162">
        <v>1.9407019019126899E-2</v>
      </c>
      <c r="FR162" s="2">
        <v>1.44630457725725E-5</v>
      </c>
      <c r="FS162" s="2">
        <v>1.5396027208680599E-7</v>
      </c>
      <c r="FT162" s="2">
        <v>2.8066563118045499E-7</v>
      </c>
      <c r="FU162" s="2">
        <v>6.4698156165832201E-8</v>
      </c>
      <c r="FV162">
        <v>50.023670196533203</v>
      </c>
      <c r="FW162">
        <v>-20.918418884277301</v>
      </c>
      <c r="FX162">
        <v>0.555184006690979</v>
      </c>
      <c r="FY162" s="2">
        <v>3.4028230607370999E+38</v>
      </c>
      <c r="FZ162">
        <v>175.55679321289099</v>
      </c>
      <c r="GA162">
        <v>229.97300720214801</v>
      </c>
      <c r="GB162" s="2">
        <v>1.8966510140217E-8</v>
      </c>
      <c r="GC162">
        <v>3.3138191793113899E-3</v>
      </c>
      <c r="GD162" s="2">
        <v>-1.2798044846107401E-9</v>
      </c>
      <c r="GE162">
        <v>-1.3300679856911299E-3</v>
      </c>
      <c r="GF162" s="2">
        <v>3.4028230607370999E+38</v>
      </c>
      <c r="GG162" s="2">
        <v>3.4028230607370999E+38</v>
      </c>
      <c r="GH162">
        <v>23000.56640625</v>
      </c>
      <c r="GI162">
        <v>23000.58203125</v>
      </c>
      <c r="GJ162">
        <v>1.09892761707306</v>
      </c>
      <c r="GK162" s="2">
        <v>3.4028230607370999E+38</v>
      </c>
      <c r="GL162" s="2">
        <v>3.4028230607370999E+38</v>
      </c>
      <c r="GM162" s="2">
        <v>3.4028230607370999E+38</v>
      </c>
      <c r="GN162" s="2">
        <v>3.4028230607370999E+38</v>
      </c>
      <c r="GO162" s="2">
        <v>3.4028230607370999E+38</v>
      </c>
      <c r="GP162" s="2">
        <v>3.4028230607370999E+38</v>
      </c>
      <c r="GQ162">
        <v>23001.0078125</v>
      </c>
      <c r="GR162">
        <v>23001.01953125</v>
      </c>
      <c r="GS162">
        <v>1.8896967172622701</v>
      </c>
      <c r="GT162">
        <v>5.9274718165397602E-2</v>
      </c>
      <c r="GX162">
        <f t="shared" si="15"/>
        <v>230.00320434570298</v>
      </c>
      <c r="GY162">
        <f t="shared" si="16"/>
        <v>100.00095062255861</v>
      </c>
      <c r="GZ162">
        <f t="shared" si="17"/>
        <v>23000.51953125</v>
      </c>
      <c r="HA162">
        <f t="shared" si="18"/>
        <v>23000.54296875</v>
      </c>
      <c r="HB162">
        <f t="shared" si="19"/>
        <v>1.112583684921264</v>
      </c>
      <c r="HC162">
        <f t="shared" si="20"/>
        <v>49.999949645996125</v>
      </c>
      <c r="HD162">
        <f t="shared" si="21"/>
        <v>-2.768763341009616E-3</v>
      </c>
      <c r="HW162" s="10">
        <f>(GX162/Data!$S162-1)*1000000</f>
        <v>28.71540581828036</v>
      </c>
      <c r="HX162" s="10">
        <f>(GY162/Data!$T162-1)*1000000</f>
        <v>-8.6876163515325899</v>
      </c>
      <c r="HY162" s="10">
        <f>(GZ162/Data!$BW162-1)*1000000</f>
        <v>19.171727977607134</v>
      </c>
      <c r="HZ162" s="10">
        <f>(HA162/(Data!$S162*Data!$T162)-1)*1000000</f>
        <v>20.196580513331952</v>
      </c>
      <c r="IA162" s="7">
        <f>(HB162/IF(HD162&gt;0, -Data!$BX162,Data!$BX162)-1)*1000000</f>
        <v>5321423.0351298377</v>
      </c>
      <c r="IB162" s="10"/>
      <c r="IC162" s="9">
        <f>(HD162-Data!$U162)</f>
        <v>-2.3303223410096161E-3</v>
      </c>
    </row>
    <row r="163" spans="1:237" x14ac:dyDescent="0.2">
      <c r="A163">
        <v>163</v>
      </c>
      <c r="B163">
        <v>230.00666809082</v>
      </c>
      <c r="C163">
        <v>100.000984191895</v>
      </c>
      <c r="D163">
        <v>11499.7060546875</v>
      </c>
      <c r="E163">
        <v>23000.880859375</v>
      </c>
      <c r="F163">
        <v>19919.814453125</v>
      </c>
      <c r="G163">
        <v>49.999927520752003</v>
      </c>
      <c r="H163">
        <v>-60.002182006835902</v>
      </c>
      <c r="I163">
        <v>1.6340356320142701E-2</v>
      </c>
      <c r="J163" s="2">
        <v>1.5870693459873999E-5</v>
      </c>
      <c r="K163" s="2">
        <v>8.8800902631192002E-8</v>
      </c>
      <c r="L163" s="2">
        <v>2.57254043845023E-7</v>
      </c>
      <c r="M163" s="2">
        <v>9.6653074876940095E-8</v>
      </c>
      <c r="N163">
        <v>50.032154083252003</v>
      </c>
      <c r="O163">
        <v>-47.424488067627003</v>
      </c>
      <c r="P163">
        <v>1.7438795417547202E-2</v>
      </c>
      <c r="Q163" s="2">
        <v>1.4951354387449101E-5</v>
      </c>
      <c r="R163" s="2">
        <v>-6.2193713290525894E-8</v>
      </c>
      <c r="S163" s="2">
        <v>2.6070969738611899E-7</v>
      </c>
      <c r="T163" s="2">
        <v>1.14935076567235E-7</v>
      </c>
      <c r="U163">
        <v>49.922325134277301</v>
      </c>
      <c r="V163">
        <v>-119.203742980957</v>
      </c>
      <c r="W163" s="2">
        <v>3.4028230607370999E+38</v>
      </c>
      <c r="X163" s="2">
        <v>3.4028230607370999E+38</v>
      </c>
      <c r="Y163">
        <v>11499.705078125</v>
      </c>
      <c r="Z163">
        <v>23000.880859375</v>
      </c>
      <c r="AA163">
        <v>19919.814453125</v>
      </c>
      <c r="AB163" s="2">
        <v>3.4028230607370999E+38</v>
      </c>
      <c r="AC163" s="2">
        <v>3.4028230607370999E+38</v>
      </c>
      <c r="AD163">
        <v>230.00636291503901</v>
      </c>
      <c r="AE163">
        <v>100.000968933105</v>
      </c>
      <c r="AF163">
        <v>11499.7314453125</v>
      </c>
      <c r="AG163">
        <v>23000.845703125</v>
      </c>
      <c r="AH163">
        <v>19919.76953125</v>
      </c>
      <c r="AI163">
        <v>49.999931335449197</v>
      </c>
      <c r="AJ163">
        <v>-60.002059936523402</v>
      </c>
      <c r="AK163">
        <v>1.62472892552614E-2</v>
      </c>
      <c r="AL163" s="2">
        <v>1.62190281116636E-5</v>
      </c>
      <c r="AM163" s="2">
        <v>1.3541145449380599E-7</v>
      </c>
      <c r="AN163" s="2">
        <v>2.6353922066846302E-7</v>
      </c>
      <c r="AO163" s="2">
        <v>-7.5958759282457306E-9</v>
      </c>
      <c r="AP163">
        <v>49.990730285644503</v>
      </c>
      <c r="AQ163">
        <v>3.3091616630554199</v>
      </c>
      <c r="AR163">
        <v>1.7251493409276002E-2</v>
      </c>
      <c r="AS163" s="2">
        <v>1.4365896277013199E-5</v>
      </c>
      <c r="AT163" s="2">
        <v>4.92448641864485E-8</v>
      </c>
      <c r="AU163" s="2">
        <v>2.5016339577632602E-7</v>
      </c>
      <c r="AV163" s="2">
        <v>1.14288575048249E-7</v>
      </c>
      <c r="AW163">
        <v>50.055080413818402</v>
      </c>
      <c r="AX163">
        <v>-67.1822509765625</v>
      </c>
      <c r="AY163" s="2">
        <v>3.4028230607370999E+38</v>
      </c>
      <c r="AZ163" s="2">
        <v>3.4028230607370999E+38</v>
      </c>
      <c r="BA163">
        <v>11499.7314453125</v>
      </c>
      <c r="BB163">
        <v>23000.845703125</v>
      </c>
      <c r="BC163">
        <v>19919.767578125</v>
      </c>
      <c r="BD163" s="2">
        <v>3.4028230607370999E+38</v>
      </c>
      <c r="BE163" s="2">
        <v>3.4028230607370999E+38</v>
      </c>
      <c r="BF163">
        <v>230.00645446777301</v>
      </c>
      <c r="BG163">
        <v>100.001098632812</v>
      </c>
      <c r="BH163">
        <v>11499.71875</v>
      </c>
      <c r="BI163">
        <v>23000.83203125</v>
      </c>
      <c r="BJ163">
        <v>19919.765625</v>
      </c>
      <c r="BK163">
        <v>49.999988555908203</v>
      </c>
      <c r="BL163">
        <v>-60.001998901367202</v>
      </c>
      <c r="BM163">
        <v>1.52664724737406E-2</v>
      </c>
      <c r="BN163" s="2">
        <v>1.6488875189679699E-5</v>
      </c>
      <c r="BO163" s="2">
        <v>9.8824727956525696E-8</v>
      </c>
      <c r="BP163" s="2">
        <v>2.5173693529723101E-7</v>
      </c>
      <c r="BQ163" s="2">
        <v>-4.9273802815719103E-9</v>
      </c>
      <c r="BR163">
        <v>50.001838684082003</v>
      </c>
      <c r="BS163">
        <v>1.38559150695801</v>
      </c>
      <c r="BT163">
        <v>1.61939337849617E-2</v>
      </c>
      <c r="BU163" s="2">
        <v>1.4337259926833201E-5</v>
      </c>
      <c r="BV163" s="2">
        <v>3.6341354814339899E-8</v>
      </c>
      <c r="BW163" s="2">
        <v>2.3214010980154901E-7</v>
      </c>
      <c r="BX163" s="2">
        <v>7.7838301137944694E-8</v>
      </c>
      <c r="BY163">
        <v>49.993278503417997</v>
      </c>
      <c r="BZ163">
        <v>-66.794479370117202</v>
      </c>
      <c r="CA163" s="2">
        <v>3.4028230607370999E+38</v>
      </c>
      <c r="CB163" s="2">
        <v>3.4028230607370999E+38</v>
      </c>
      <c r="CC163">
        <v>11499.71875</v>
      </c>
      <c r="CD163">
        <v>23000.83203125</v>
      </c>
      <c r="CE163">
        <v>19919.763671875</v>
      </c>
      <c r="CF163" s="2">
        <v>3.4028230607370999E+38</v>
      </c>
      <c r="CG163" s="2">
        <v>3.4028230607370999E+38</v>
      </c>
      <c r="CH163">
        <v>230.00621032714801</v>
      </c>
      <c r="CI163">
        <v>100.000816345215</v>
      </c>
      <c r="CJ163">
        <v>11499.7294921875</v>
      </c>
      <c r="CK163">
        <v>23000.8046875</v>
      </c>
      <c r="CL163">
        <v>19919.728515625</v>
      </c>
      <c r="CM163">
        <v>49.999912261962898</v>
      </c>
      <c r="CN163">
        <v>-60.002052307128899</v>
      </c>
      <c r="CO163">
        <v>1.8083315342664701E-2</v>
      </c>
      <c r="CP163" s="2">
        <v>1.55061970872339E-5</v>
      </c>
      <c r="CQ163" s="2">
        <v>1.5832284816497101E-7</v>
      </c>
      <c r="CR163" s="2">
        <v>2.8041145583301798E-7</v>
      </c>
      <c r="CS163" s="2">
        <v>4.6425594035781601E-8</v>
      </c>
      <c r="CT163">
        <v>49.983493804931598</v>
      </c>
      <c r="CU163">
        <v>-16.228307723998999</v>
      </c>
      <c r="CV163">
        <v>1.9317733123898499E-2</v>
      </c>
      <c r="CW163" s="2">
        <v>1.4888954865455201E-5</v>
      </c>
      <c r="CX163" s="2">
        <v>-6.2339360340502001E-9</v>
      </c>
      <c r="CY163" s="2">
        <v>2.8756718961631101E-7</v>
      </c>
      <c r="CZ163" s="2">
        <v>1.7438424038118699E-7</v>
      </c>
      <c r="DA163">
        <v>50.027027130127003</v>
      </c>
      <c r="DB163">
        <v>-87.554290771484403</v>
      </c>
      <c r="DC163" s="2">
        <v>3.4028230607370999E+38</v>
      </c>
      <c r="DD163" s="2">
        <v>3.4028230607370999E+38</v>
      </c>
      <c r="DE163">
        <v>11499.728515625</v>
      </c>
      <c r="DF163">
        <v>23000.8046875</v>
      </c>
      <c r="DG163">
        <v>19919.728515625</v>
      </c>
      <c r="DH163" s="2">
        <v>3.4028230607370999E+38</v>
      </c>
      <c r="DI163" s="2">
        <v>3.4028230607370999E+38</v>
      </c>
      <c r="DJ163">
        <v>230.006103515625</v>
      </c>
      <c r="DK163">
        <v>100.0009765625</v>
      </c>
      <c r="DL163">
        <v>11499.78125</v>
      </c>
      <c r="DM163">
        <v>23000.8203125</v>
      </c>
      <c r="DN163">
        <v>19919.763671875</v>
      </c>
      <c r="DO163">
        <v>49.999923706054702</v>
      </c>
      <c r="DP163">
        <v>-60.001991271972699</v>
      </c>
      <c r="DQ163">
        <v>1.7179235816001899E-2</v>
      </c>
      <c r="DR163" s="2">
        <v>1.5893947420408898E-5</v>
      </c>
      <c r="DS163" s="2">
        <v>1.5637753847386201E-7</v>
      </c>
      <c r="DT163" s="2">
        <v>2.7309494043947801E-7</v>
      </c>
      <c r="DU163" s="2">
        <v>1.7398368967747E-8</v>
      </c>
      <c r="DV163">
        <v>50.048439025878899</v>
      </c>
      <c r="DW163">
        <v>-6.2544364929199201</v>
      </c>
      <c r="DX163">
        <v>1.85997653752565E-2</v>
      </c>
      <c r="DY163" s="2">
        <v>1.4545531485055101E-5</v>
      </c>
      <c r="DZ163" s="2">
        <v>3.6097091538067603E-8</v>
      </c>
      <c r="EA163" s="2">
        <v>2.6988533363692103E-7</v>
      </c>
      <c r="EB163" s="2">
        <v>1.5082905235885801E-7</v>
      </c>
      <c r="EC163">
        <v>50.009830474853501</v>
      </c>
      <c r="ED163">
        <v>-77.609146118164105</v>
      </c>
      <c r="EE163" s="2">
        <v>3.4028230607370999E+38</v>
      </c>
      <c r="EF163" s="2">
        <v>3.4028230607370999E+38</v>
      </c>
      <c r="EG163">
        <v>11499.78125</v>
      </c>
      <c r="EH163">
        <v>23000.8203125</v>
      </c>
      <c r="EI163">
        <v>19919.763671875</v>
      </c>
      <c r="EJ163" s="2">
        <v>3.4028230607370999E+38</v>
      </c>
      <c r="EK163" s="2">
        <v>3.4028230607370999E+38</v>
      </c>
      <c r="EL163">
        <v>123</v>
      </c>
      <c r="EM163">
        <v>230.00592041015599</v>
      </c>
      <c r="EN163">
        <v>100.001007080078</v>
      </c>
      <c r="EO163">
        <v>11499.7568359375</v>
      </c>
      <c r="EP163">
        <v>23000.83203125</v>
      </c>
      <c r="EQ163">
        <v>19919.724609375</v>
      </c>
      <c r="ER163">
        <v>49.999923706054702</v>
      </c>
      <c r="ES163">
        <v>-60.002059936523402</v>
      </c>
      <c r="ET163">
        <v>0.49996960163116499</v>
      </c>
      <c r="EU163" s="2">
        <v>3.4028230607370999E+38</v>
      </c>
      <c r="EV163">
        <v>0</v>
      </c>
      <c r="EW163">
        <v>230.01002502441401</v>
      </c>
      <c r="EX163">
        <v>11499.056640625</v>
      </c>
      <c r="EY163">
        <v>23001.193359375</v>
      </c>
      <c r="EZ163">
        <v>19920.521484375</v>
      </c>
      <c r="FA163">
        <v>-4.0811944752931602E-2</v>
      </c>
      <c r="FB163">
        <v>1.7757030203938502E-2</v>
      </c>
      <c r="FC163" s="2">
        <v>1.55966990860179E-5</v>
      </c>
      <c r="FD163" s="2">
        <v>1.6061080998497301E-7</v>
      </c>
      <c r="FE163" s="2">
        <v>2.8148446062914397E-7</v>
      </c>
      <c r="FF163" s="2">
        <v>5.4490374878923798E-8</v>
      </c>
      <c r="FG163">
        <v>50.024566650390597</v>
      </c>
      <c r="FH163">
        <v>-20.454746246337901</v>
      </c>
      <c r="FI163">
        <v>0.56842058897018399</v>
      </c>
      <c r="FJ163" s="2">
        <v>3.4028230607370999E+38</v>
      </c>
      <c r="FK163">
        <v>107.59400177002</v>
      </c>
      <c r="FL163">
        <v>2.1234003826975802E-2</v>
      </c>
      <c r="FM163">
        <v>0</v>
      </c>
      <c r="FN163">
        <v>0</v>
      </c>
      <c r="FO163">
        <v>0</v>
      </c>
      <c r="FP163">
        <v>1.15940533578396E-3</v>
      </c>
      <c r="FQ163">
        <v>1.94242037832737E-2</v>
      </c>
      <c r="FR163" s="2">
        <v>1.4936438674339999E-5</v>
      </c>
      <c r="FS163" s="2">
        <v>-2.35899761946712E-8</v>
      </c>
      <c r="FT163" s="2">
        <v>2.8798493190151899E-7</v>
      </c>
      <c r="FU163" s="2">
        <v>1.76234195237157E-7</v>
      </c>
      <c r="FV163">
        <v>50.030765533447301</v>
      </c>
      <c r="FW163">
        <v>-100.906852722168</v>
      </c>
      <c r="FX163">
        <v>-0.11435790359973901</v>
      </c>
      <c r="FY163" s="2">
        <v>3.4028230607370999E+38</v>
      </c>
      <c r="FZ163">
        <v>-178.125244140625</v>
      </c>
      <c r="GA163">
        <v>229.94976806640599</v>
      </c>
      <c r="GB163" s="2">
        <v>-5.99131277922993E-9</v>
      </c>
      <c r="GC163">
        <v>3.47001757472754E-3</v>
      </c>
      <c r="GD163" s="2">
        <v>1.4324359476347599E-8</v>
      </c>
      <c r="GE163">
        <v>-1.8890257924795201E-3</v>
      </c>
      <c r="GF163" s="2">
        <v>3.4028230607370999E+38</v>
      </c>
      <c r="GG163" s="2">
        <v>3.4028230607370999E+38</v>
      </c>
      <c r="GH163">
        <v>11499.7294921875</v>
      </c>
      <c r="GI163">
        <v>23000.818359375</v>
      </c>
      <c r="GJ163">
        <v>19919.74609375</v>
      </c>
      <c r="GK163" s="2">
        <v>3.4028230607370999E+38</v>
      </c>
      <c r="GL163" s="2">
        <v>3.4028230607370999E+38</v>
      </c>
      <c r="GM163" s="2">
        <v>3.4028230607370999E+38</v>
      </c>
      <c r="GN163" s="2">
        <v>3.4028230607370999E+38</v>
      </c>
      <c r="GO163" s="2">
        <v>3.4028230607370999E+38</v>
      </c>
      <c r="GP163" s="2">
        <v>3.4028230607370999E+38</v>
      </c>
      <c r="GQ163">
        <v>11498.8095703125</v>
      </c>
      <c r="GR163">
        <v>11498.8095703125</v>
      </c>
      <c r="GS163">
        <v>19920.25</v>
      </c>
      <c r="GT163">
        <v>-6.00474700331688E-2</v>
      </c>
      <c r="GX163">
        <f t="shared" si="15"/>
        <v>230.00635986328098</v>
      </c>
      <c r="GY163">
        <f t="shared" si="16"/>
        <v>100.0009689331054</v>
      </c>
      <c r="GZ163">
        <f t="shared" si="17"/>
        <v>11499.7333984375</v>
      </c>
      <c r="HA163">
        <f t="shared" si="18"/>
        <v>23000.836718750001</v>
      </c>
      <c r="HB163">
        <f t="shared" si="19"/>
        <v>19919.768359375001</v>
      </c>
      <c r="HC163">
        <f t="shared" si="20"/>
        <v>49.999936676025399</v>
      </c>
      <c r="HD163">
        <f t="shared" si="21"/>
        <v>-60.002056884765622</v>
      </c>
      <c r="HW163" s="10">
        <f>(GX163/Data!$S163-1)*1000000</f>
        <v>41.320405130162996</v>
      </c>
      <c r="HX163" s="10">
        <f>(GY163/Data!$T163-1)*1000000</f>
        <v>31.823135398623137</v>
      </c>
      <c r="HY163" s="10">
        <f>(GZ163/Data!$BW163-1)*1000000</f>
        <v>-60.470924360789269</v>
      </c>
      <c r="HZ163" s="10">
        <f>(HA163/(Data!$S163*Data!$T163)-1)*1000000</f>
        <v>72.182718653390765</v>
      </c>
      <c r="IA163" s="7">
        <f>(HB163/IF(HD163&gt;0, -Data!$BX163,Data!$BX163)-1)*1000000</f>
        <v>119.61104597801864</v>
      </c>
      <c r="IB163" s="10"/>
      <c r="IC163" s="9">
        <f>(HD163-Data!$U163)</f>
        <v>-4.4746647656239702E-3</v>
      </c>
    </row>
    <row r="164" spans="1:237" x14ac:dyDescent="0.2">
      <c r="A164">
        <v>164</v>
      </c>
      <c r="B164">
        <v>230.00688171386699</v>
      </c>
      <c r="C164">
        <v>100.001029968262</v>
      </c>
      <c r="D164">
        <v>11499.7236328125</v>
      </c>
      <c r="E164">
        <v>23000.9140625</v>
      </c>
      <c r="F164">
        <v>19919.751953125</v>
      </c>
      <c r="G164">
        <v>49.999935150146499</v>
      </c>
      <c r="H164">
        <v>-60.002109527587898</v>
      </c>
      <c r="I164">
        <v>1.52692534029484E-2</v>
      </c>
      <c r="J164" s="2">
        <v>1.6484560546814501E-5</v>
      </c>
      <c r="K164" s="2">
        <v>9.9564019251374702E-8</v>
      </c>
      <c r="L164" s="2">
        <v>2.5172113282678802E-7</v>
      </c>
      <c r="M164" s="2">
        <v>-6.9535383007135496E-10</v>
      </c>
      <c r="N164">
        <v>49.991493225097699</v>
      </c>
      <c r="O164">
        <v>0.43111041188240101</v>
      </c>
      <c r="P164">
        <v>1.6302844509482401E-2</v>
      </c>
      <c r="Q164" s="2">
        <v>1.4295866094471401E-5</v>
      </c>
      <c r="R164" s="2">
        <v>3.3054838866064502E-8</v>
      </c>
      <c r="S164" s="2">
        <v>2.27683258913203E-7</v>
      </c>
      <c r="T164" s="2">
        <v>7.5026235890618396E-8</v>
      </c>
      <c r="U164">
        <v>50.055545806884801</v>
      </c>
      <c r="V164">
        <v>-66.938728332519503</v>
      </c>
      <c r="W164" s="2">
        <v>3.4028230607370999E+38</v>
      </c>
      <c r="X164" s="2">
        <v>3.4028230607370999E+38</v>
      </c>
      <c r="Y164">
        <v>11499.7236328125</v>
      </c>
      <c r="Z164">
        <v>23000.9140625</v>
      </c>
      <c r="AA164">
        <v>19919.75</v>
      </c>
      <c r="AB164" s="2">
        <v>3.4028230607370999E+38</v>
      </c>
      <c r="AC164" s="2">
        <v>3.4028230607370999E+38</v>
      </c>
      <c r="AD164">
        <v>230.00677490234401</v>
      </c>
      <c r="AE164">
        <v>100.00091552734401</v>
      </c>
      <c r="AF164">
        <v>11499.7607421875</v>
      </c>
      <c r="AG164">
        <v>23000.857421875</v>
      </c>
      <c r="AH164">
        <v>19919.802734375</v>
      </c>
      <c r="AI164">
        <v>49.999885559082003</v>
      </c>
      <c r="AJ164">
        <v>-60.002182006835902</v>
      </c>
      <c r="AK164">
        <v>1.4459707774221901E-2</v>
      </c>
      <c r="AL164" s="2">
        <v>1.63875502039446E-5</v>
      </c>
      <c r="AM164" s="2">
        <v>6.2468956230077297E-8</v>
      </c>
      <c r="AN164" s="2">
        <v>2.3579906383019999E-7</v>
      </c>
      <c r="AO164" s="2">
        <v>4.2797392296734E-8</v>
      </c>
      <c r="AP164">
        <v>50.009349822997997</v>
      </c>
      <c r="AQ164">
        <v>-35.220119476318402</v>
      </c>
      <c r="AR164">
        <v>1.53407491743565E-2</v>
      </c>
      <c r="AS164" s="2">
        <v>1.4550053492712301E-5</v>
      </c>
      <c r="AT164" s="2">
        <v>-1.74877268221962E-8</v>
      </c>
      <c r="AU164" s="2">
        <v>2.2657668807823899E-7</v>
      </c>
      <c r="AV164" s="2">
        <v>5.7739203640494498E-8</v>
      </c>
      <c r="AW164">
        <v>49.995166778564503</v>
      </c>
      <c r="AX164">
        <v>-110.26067352294901</v>
      </c>
      <c r="AY164" s="2">
        <v>3.4028230607370999E+38</v>
      </c>
      <c r="AZ164" s="2">
        <v>3.4028230607370999E+38</v>
      </c>
      <c r="BA164">
        <v>11499.759765625</v>
      </c>
      <c r="BB164">
        <v>23000.857421875</v>
      </c>
      <c r="BC164">
        <v>19919.802734375</v>
      </c>
      <c r="BD164" s="2">
        <v>3.4028230607370999E+38</v>
      </c>
      <c r="BE164" s="2">
        <v>3.4028230607370999E+38</v>
      </c>
      <c r="BF164">
        <v>230.00654602050801</v>
      </c>
      <c r="BG164">
        <v>100.001022338867</v>
      </c>
      <c r="BH164">
        <v>11499.732421875</v>
      </c>
      <c r="BI164">
        <v>23000.876953125</v>
      </c>
      <c r="BJ164">
        <v>19919.751953125</v>
      </c>
      <c r="BK164">
        <v>49.999988555908203</v>
      </c>
      <c r="BL164">
        <v>-60.001964569091797</v>
      </c>
      <c r="BM164">
        <v>1.5361459925770799E-2</v>
      </c>
      <c r="BN164" s="2">
        <v>1.6088222764665302E-5</v>
      </c>
      <c r="BO164" s="2">
        <v>6.79235938605416E-8</v>
      </c>
      <c r="BP164" s="2">
        <v>2.4808400667097901E-7</v>
      </c>
      <c r="BQ164" s="2">
        <v>8.0671775037899404E-8</v>
      </c>
      <c r="BR164">
        <v>50.002994537353501</v>
      </c>
      <c r="BS164">
        <v>-49.7975463867188</v>
      </c>
      <c r="BT164">
        <v>1.6525804996490499E-2</v>
      </c>
      <c r="BU164" s="2">
        <v>1.47965056385146E-5</v>
      </c>
      <c r="BV164" s="2">
        <v>-5.2119506932513098E-8</v>
      </c>
      <c r="BW164" s="2">
        <v>2.4452100433336502E-7</v>
      </c>
      <c r="BX164" s="2">
        <v>8.5362017898660296E-8</v>
      </c>
      <c r="BY164">
        <v>49.977142333984403</v>
      </c>
      <c r="BZ164">
        <v>-123.01473236084</v>
      </c>
      <c r="CA164" s="2">
        <v>3.4028230607370999E+38</v>
      </c>
      <c r="CB164" s="2">
        <v>3.4028230607370999E+38</v>
      </c>
      <c r="CC164">
        <v>11499.7314453125</v>
      </c>
      <c r="CD164">
        <v>23000.876953125</v>
      </c>
      <c r="CE164">
        <v>19919.751953125</v>
      </c>
      <c r="CF164" s="2">
        <v>3.4028230607370999E+38</v>
      </c>
      <c r="CG164" s="2">
        <v>3.4028230607370999E+38</v>
      </c>
      <c r="CH164">
        <v>230.00669860839801</v>
      </c>
      <c r="CI164">
        <v>100.000930786133</v>
      </c>
      <c r="CJ164">
        <v>11499.7890625</v>
      </c>
      <c r="CK164">
        <v>23000.83984375</v>
      </c>
      <c r="CL164">
        <v>19919.705078125</v>
      </c>
      <c r="CM164">
        <v>49.999954223632798</v>
      </c>
      <c r="CN164">
        <v>-60.001895904541001</v>
      </c>
      <c r="CO164">
        <v>1.5806429088115699E-2</v>
      </c>
      <c r="CP164" s="2">
        <v>1.6307853002217602E-5</v>
      </c>
      <c r="CQ164" s="2">
        <v>1.2321164888362501E-7</v>
      </c>
      <c r="CR164" s="2">
        <v>2.5894340183185699E-7</v>
      </c>
      <c r="CS164" s="2">
        <v>-8.2104705256824706E-9</v>
      </c>
      <c r="CT164">
        <v>49.976852416992202</v>
      </c>
      <c r="CU164">
        <v>4.5364112854003897</v>
      </c>
      <c r="CV164">
        <v>1.6790019348263699E-2</v>
      </c>
      <c r="CW164" s="2">
        <v>1.4282521988207E-5</v>
      </c>
      <c r="CX164" s="2">
        <v>4.5224670230936701E-8</v>
      </c>
      <c r="CY164" s="2">
        <v>2.3967223228282798E-7</v>
      </c>
      <c r="CZ164" s="2">
        <v>1.00181445361613E-7</v>
      </c>
      <c r="DA164">
        <v>50.068317413330099</v>
      </c>
      <c r="DB164">
        <v>-65.704284667968807</v>
      </c>
      <c r="DC164" s="2">
        <v>3.4028230607370999E+38</v>
      </c>
      <c r="DD164" s="2">
        <v>3.4028230607370999E+38</v>
      </c>
      <c r="DE164">
        <v>11499.7890625</v>
      </c>
      <c r="DF164">
        <v>23000.83984375</v>
      </c>
      <c r="DG164">
        <v>19919.703125</v>
      </c>
      <c r="DH164" s="2">
        <v>3.4028230607370999E+38</v>
      </c>
      <c r="DI164" s="2">
        <v>3.4028230607370999E+38</v>
      </c>
      <c r="DJ164">
        <v>230.00633239746099</v>
      </c>
      <c r="DK164">
        <v>100.000846862793</v>
      </c>
      <c r="DL164">
        <v>11499.701171875</v>
      </c>
      <c r="DM164">
        <v>23000.814453125</v>
      </c>
      <c r="DN164">
        <v>19919.677734375</v>
      </c>
      <c r="DO164">
        <v>49.999931335449197</v>
      </c>
      <c r="DP164">
        <v>-60.001937866210902</v>
      </c>
      <c r="DQ164">
        <v>1.5898890793323499E-2</v>
      </c>
      <c r="DR164" s="2">
        <v>1.59045412146952E-5</v>
      </c>
      <c r="DS164" s="2">
        <v>7.8666509750746601E-8</v>
      </c>
      <c r="DT164" s="2">
        <v>2.5145934046122399E-7</v>
      </c>
      <c r="DU164" s="2">
        <v>9.0621703918713994E-8</v>
      </c>
      <c r="DV164">
        <v>50.041637420654297</v>
      </c>
      <c r="DW164">
        <v>-50.195083618164098</v>
      </c>
      <c r="DX164">
        <v>1.7300916835665699E-2</v>
      </c>
      <c r="DY164" s="2">
        <v>1.49838097058819E-5</v>
      </c>
      <c r="DZ164" s="2">
        <v>-6.06510752731992E-8</v>
      </c>
      <c r="EA164" s="2">
        <v>2.5505033818262698E-7</v>
      </c>
      <c r="EB164" s="2">
        <v>1.0364403379981E-7</v>
      </c>
      <c r="EC164">
        <v>49.986907958984403</v>
      </c>
      <c r="ED164">
        <v>-120.99875640869099</v>
      </c>
      <c r="EE164" s="2">
        <v>3.4028230607370999E+38</v>
      </c>
      <c r="EF164" s="2">
        <v>3.4028230607370999E+38</v>
      </c>
      <c r="EG164">
        <v>11499.7001953125</v>
      </c>
      <c r="EH164">
        <v>23000.814453125</v>
      </c>
      <c r="EI164">
        <v>19919.677734375</v>
      </c>
      <c r="EJ164" s="2">
        <v>3.4028230607370999E+38</v>
      </c>
      <c r="EK164" s="2">
        <v>3.4028230607370999E+38</v>
      </c>
      <c r="EL164">
        <v>123</v>
      </c>
      <c r="EM164">
        <v>230.00596618652301</v>
      </c>
      <c r="EN164">
        <v>100.000732421875</v>
      </c>
      <c r="EO164">
        <v>11499.6865234375</v>
      </c>
      <c r="EP164">
        <v>23000.775390625</v>
      </c>
      <c r="EQ164">
        <v>19919.669921875</v>
      </c>
      <c r="ER164">
        <v>49.999958038330099</v>
      </c>
      <c r="ES164">
        <v>-60.002101898193402</v>
      </c>
      <c r="ET164">
        <v>0.49996966123580899</v>
      </c>
      <c r="EU164" s="2">
        <v>3.4028230607370999E+38</v>
      </c>
      <c r="EV164">
        <v>0</v>
      </c>
      <c r="EW164">
        <v>230.00665283203099</v>
      </c>
      <c r="EX164">
        <v>11499.3486328125</v>
      </c>
      <c r="EY164">
        <v>23000.859375</v>
      </c>
      <c r="EZ164">
        <v>19919.984375</v>
      </c>
      <c r="FA164">
        <v>1.1699251830577901E-2</v>
      </c>
      <c r="FB164">
        <v>1.4302298426628101E-2</v>
      </c>
      <c r="FC164" s="2">
        <v>1.6497238902957199E-5</v>
      </c>
      <c r="FD164" s="2">
        <v>6.9032793703627196E-8</v>
      </c>
      <c r="FE164" s="2">
        <v>2.3846303065511202E-7</v>
      </c>
      <c r="FF164" s="2">
        <v>3.1282009871347301E-8</v>
      </c>
      <c r="FG164">
        <v>49.947471618652301</v>
      </c>
      <c r="FH164">
        <v>-16.086269378662099</v>
      </c>
      <c r="FI164">
        <v>0.30151262879371599</v>
      </c>
      <c r="FJ164" s="2">
        <v>3.4028230607370999E+38</v>
      </c>
      <c r="FK164">
        <v>114.99722290039099</v>
      </c>
      <c r="FL164">
        <v>1.9785339012742001E-2</v>
      </c>
      <c r="FM164">
        <v>0</v>
      </c>
      <c r="FN164">
        <v>0</v>
      </c>
      <c r="FO164">
        <v>0</v>
      </c>
      <c r="FP164">
        <v>1.2464665342122299E-3</v>
      </c>
      <c r="FQ164">
        <v>1.5366678126156301E-2</v>
      </c>
      <c r="FR164" s="2">
        <v>1.4395319340110299E-5</v>
      </c>
      <c r="FS164" s="2">
        <v>2.51949145990693E-8</v>
      </c>
      <c r="FT164" s="2">
        <v>2.23582205194361E-7</v>
      </c>
      <c r="FU164" s="2">
        <v>7.0100540483508706E-8</v>
      </c>
      <c r="FV164">
        <v>49.993968963622997</v>
      </c>
      <c r="FW164">
        <v>-65.502403259277301</v>
      </c>
      <c r="FX164">
        <v>0.15312984585761999</v>
      </c>
      <c r="FY164" s="2">
        <v>3.4028230607370999E+38</v>
      </c>
      <c r="FZ164">
        <v>-156.91419982910199</v>
      </c>
      <c r="GA164">
        <v>229.99800109863301</v>
      </c>
      <c r="GB164" s="2">
        <v>4.5874126719525099E-9</v>
      </c>
      <c r="GC164">
        <v>3.2677440904080898E-3</v>
      </c>
      <c r="GD164" s="2">
        <v>-2.2834503177193702E-9</v>
      </c>
      <c r="GE164">
        <v>-1.7815674655139401E-3</v>
      </c>
      <c r="GF164" s="2">
        <v>3.4028230607370999E+38</v>
      </c>
      <c r="GG164" s="2">
        <v>3.4028230607370999E+38</v>
      </c>
      <c r="GH164">
        <v>11499.7607421875</v>
      </c>
      <c r="GI164">
        <v>23000.83203125</v>
      </c>
      <c r="GJ164">
        <v>19919.65625</v>
      </c>
      <c r="GK164" s="2">
        <v>3.4028230607370999E+38</v>
      </c>
      <c r="GL164" s="2">
        <v>3.4028230607370999E+38</v>
      </c>
      <c r="GM164" s="2">
        <v>3.4028230607370999E+38</v>
      </c>
      <c r="GN164" s="2">
        <v>3.4028230607370999E+38</v>
      </c>
      <c r="GO164" s="2">
        <v>3.4028230607370999E+38</v>
      </c>
      <c r="GP164" s="2">
        <v>3.4028230607370999E+38</v>
      </c>
      <c r="GQ164">
        <v>11499.3525390625</v>
      </c>
      <c r="GR164">
        <v>11499.3525390625</v>
      </c>
      <c r="GS164">
        <v>19920.58203125</v>
      </c>
      <c r="GT164">
        <v>-5.0174859352409796E-3</v>
      </c>
      <c r="GX164">
        <f t="shared" si="15"/>
        <v>230.00664672851559</v>
      </c>
      <c r="GY164">
        <f t="shared" si="16"/>
        <v>100.0009490966798</v>
      </c>
      <c r="GZ164">
        <f t="shared" si="17"/>
        <v>11499.741406249999</v>
      </c>
      <c r="HA164">
        <f t="shared" si="18"/>
        <v>23000.860546874999</v>
      </c>
      <c r="HB164">
        <f t="shared" si="19"/>
        <v>19919.737890625001</v>
      </c>
      <c r="HC164">
        <f t="shared" si="20"/>
        <v>49.999938964843743</v>
      </c>
      <c r="HD164">
        <f t="shared" si="21"/>
        <v>-60.002017974853494</v>
      </c>
      <c r="HW164" s="10">
        <f>(GX164/Data!$S164-1)*1000000</f>
        <v>43.126389712044855</v>
      </c>
      <c r="HX164" s="10">
        <f>(GY164/Data!$T164-1)*1000000</f>
        <v>34.018301147797914</v>
      </c>
      <c r="HY164" s="10">
        <f>(GZ164/Data!$BW164-1)*1000000</f>
        <v>-55.951497038964071</v>
      </c>
      <c r="HZ164" s="10">
        <f>(HA164/(Data!$S164*Data!$T164)-1)*1000000</f>
        <v>76.171140974468088</v>
      </c>
      <c r="IA164" s="7">
        <f>(HB164/IF(HD164&gt;0, -Data!$BX164,Data!$BX164)-1)*1000000</f>
        <v>120.74360683755891</v>
      </c>
      <c r="IB164" s="10"/>
      <c r="IC164" s="9">
        <f>(HD164-Data!$U164)</f>
        <v>-4.4069248534910344E-3</v>
      </c>
    </row>
    <row r="165" spans="1:237" x14ac:dyDescent="0.2">
      <c r="A165">
        <v>165</v>
      </c>
      <c r="B165">
        <v>230.00016784668</v>
      </c>
      <c r="C165">
        <v>100.00066375732401</v>
      </c>
      <c r="D165">
        <v>18400.814453125</v>
      </c>
      <c r="E165">
        <v>23000.1796875</v>
      </c>
      <c r="F165">
        <v>-13799.5791015625</v>
      </c>
      <c r="G165">
        <v>49.999958038330099</v>
      </c>
      <c r="H165">
        <v>36.867889404296903</v>
      </c>
      <c r="I165">
        <v>1.7339790239930201E-2</v>
      </c>
      <c r="J165" s="2">
        <v>1.58520779223181E-5</v>
      </c>
      <c r="K165" s="2">
        <v>7.73041861634738E-8</v>
      </c>
      <c r="L165" s="2">
        <v>2.7228253429711902E-7</v>
      </c>
      <c r="M165" s="2">
        <v>-1.34485532043982E-7</v>
      </c>
      <c r="N165">
        <v>49.981536865234403</v>
      </c>
      <c r="O165">
        <v>57.711750030517599</v>
      </c>
      <c r="P165">
        <v>1.91285163164139E-2</v>
      </c>
      <c r="Q165" s="2">
        <v>1.4716767509526101E-5</v>
      </c>
      <c r="R165" s="2">
        <v>1.6315399875566099E-7</v>
      </c>
      <c r="S165" s="2">
        <v>2.8148380692982797E-7</v>
      </c>
      <c r="T165" s="2">
        <v>3.8966796012118701E-8</v>
      </c>
      <c r="U165">
        <v>50.015575408935497</v>
      </c>
      <c r="V165">
        <v>-13.672509193420399</v>
      </c>
      <c r="W165" s="2">
        <v>3.4028230607370999E+38</v>
      </c>
      <c r="X165" s="2">
        <v>3.4028230607370999E+38</v>
      </c>
      <c r="Y165">
        <v>18400.814453125</v>
      </c>
      <c r="Z165">
        <v>23000.1796875</v>
      </c>
      <c r="AA165">
        <v>-13799.580078125</v>
      </c>
      <c r="AB165" s="2">
        <v>3.4028230607370999E+38</v>
      </c>
      <c r="AC165" s="2">
        <v>3.4028230607370999E+38</v>
      </c>
      <c r="AD165">
        <v>229.99981689453099</v>
      </c>
      <c r="AE165">
        <v>100.000732421875</v>
      </c>
      <c r="AF165">
        <v>18400.7734375</v>
      </c>
      <c r="AG165">
        <v>23000.134765625</v>
      </c>
      <c r="AH165">
        <v>-13799.5390625</v>
      </c>
      <c r="AI165">
        <v>49.999931335449197</v>
      </c>
      <c r="AJ165">
        <v>36.867752075195298</v>
      </c>
      <c r="AK165">
        <v>1.7669091001152999E-2</v>
      </c>
      <c r="AL165" s="2">
        <v>1.61422303790459E-5</v>
      </c>
      <c r="AM165" s="2">
        <v>5.8395571045366497E-8</v>
      </c>
      <c r="AN165" s="2">
        <v>2.8805308716073299E-7</v>
      </c>
      <c r="AO165" s="2">
        <v>-1.59990435122381E-7</v>
      </c>
      <c r="AP165">
        <v>49.950103759765597</v>
      </c>
      <c r="AQ165">
        <v>72.750068664550795</v>
      </c>
      <c r="AR165">
        <v>1.9695157185196901E-2</v>
      </c>
      <c r="AS165" s="2">
        <v>1.45619032991817E-5</v>
      </c>
      <c r="AT165" s="2">
        <v>1.7786543082820601E-7</v>
      </c>
      <c r="AU165" s="2">
        <v>2.8619305680877E-7</v>
      </c>
      <c r="AV165" s="2">
        <v>-4.7004328207478404E-10</v>
      </c>
      <c r="AW165">
        <v>49.9986763000488</v>
      </c>
      <c r="AX165">
        <v>3.0200505256652801</v>
      </c>
      <c r="AY165" s="2">
        <v>3.4028230607370999E+38</v>
      </c>
      <c r="AZ165" s="2">
        <v>3.4028230607370999E+38</v>
      </c>
      <c r="BA165">
        <v>18400.7734375</v>
      </c>
      <c r="BB165">
        <v>23000.134765625</v>
      </c>
      <c r="BC165">
        <v>-13799.5400390625</v>
      </c>
      <c r="BD165" s="2">
        <v>3.4028230607370999E+38</v>
      </c>
      <c r="BE165" s="2">
        <v>3.4028230607370999E+38</v>
      </c>
      <c r="BF165">
        <v>229.99977111816401</v>
      </c>
      <c r="BG165">
        <v>100.000770568848</v>
      </c>
      <c r="BH165">
        <v>18400.8125</v>
      </c>
      <c r="BI165">
        <v>23000.1640625</v>
      </c>
      <c r="BJ165">
        <v>-13799.55078125</v>
      </c>
      <c r="BK165">
        <v>49.9999389648438</v>
      </c>
      <c r="BL165">
        <v>36.8676948547363</v>
      </c>
      <c r="BM165">
        <v>1.78790241479874E-2</v>
      </c>
      <c r="BN165" s="2">
        <v>1.64051325555192E-5</v>
      </c>
      <c r="BO165" s="2">
        <v>2.8409067098777999E-8</v>
      </c>
      <c r="BP165" s="2">
        <v>2.9330507800295901E-7</v>
      </c>
      <c r="BQ165" s="2">
        <v>-1.6715542017209399E-7</v>
      </c>
      <c r="BR165">
        <v>50.034393310546903</v>
      </c>
      <c r="BS165">
        <v>82.116058349609403</v>
      </c>
      <c r="BT165">
        <v>1.9537048414349601E-2</v>
      </c>
      <c r="BU165" s="2">
        <v>1.4404463399841901E-5</v>
      </c>
      <c r="BV165" s="2">
        <v>1.69085254242418E-7</v>
      </c>
      <c r="BW165" s="2">
        <v>2.81422614989424E-7</v>
      </c>
      <c r="BX165" s="2">
        <v>-4.2434802338675601E-8</v>
      </c>
      <c r="BY165">
        <v>50.019527435302699</v>
      </c>
      <c r="BZ165">
        <v>14.148191452026399</v>
      </c>
      <c r="CA165" s="2">
        <v>3.4028230607370999E+38</v>
      </c>
      <c r="CB165" s="2">
        <v>3.4028230607370999E+38</v>
      </c>
      <c r="CC165">
        <v>18400.8125</v>
      </c>
      <c r="CD165">
        <v>23000.1640625</v>
      </c>
      <c r="CE165">
        <v>-13799.5517578125</v>
      </c>
      <c r="CF165" s="2">
        <v>3.4028230607370999E+38</v>
      </c>
      <c r="CG165" s="2">
        <v>3.4028230607370999E+38</v>
      </c>
      <c r="CH165">
        <v>230.000076293945</v>
      </c>
      <c r="CI165">
        <v>100.00079345703099</v>
      </c>
      <c r="CJ165">
        <v>18400.853515625</v>
      </c>
      <c r="CK165">
        <v>23000.19921875</v>
      </c>
      <c r="CL165">
        <v>-13799.4990234375</v>
      </c>
      <c r="CM165">
        <v>49.999927520752003</v>
      </c>
      <c r="CN165">
        <v>36.867794036865199</v>
      </c>
      <c r="CO165">
        <v>1.70291848480701E-2</v>
      </c>
      <c r="CP165" s="2">
        <v>1.6522550140507499E-5</v>
      </c>
      <c r="CQ165" s="2">
        <v>-5.0912225546539999E-9</v>
      </c>
      <c r="CR165" s="2">
        <v>2.8087688974665102E-7</v>
      </c>
      <c r="CS165" s="2">
        <v>-1.51178284113485E-7</v>
      </c>
      <c r="CT165">
        <v>50.035133361816399</v>
      </c>
      <c r="CU165">
        <v>92.285354614257798</v>
      </c>
      <c r="CV165">
        <v>1.8818264827132201E-2</v>
      </c>
      <c r="CW165" s="2">
        <v>1.4507793821394399E-5</v>
      </c>
      <c r="CX165" s="2">
        <v>1.3837973256158899E-7</v>
      </c>
      <c r="CY165" s="2">
        <v>2.6993589585799798E-7</v>
      </c>
      <c r="CZ165" s="2">
        <v>-6.51868816703427E-8</v>
      </c>
      <c r="DA165">
        <v>49.986324310302699</v>
      </c>
      <c r="DB165">
        <v>27.7464485168457</v>
      </c>
      <c r="DC165" s="2">
        <v>3.4028230607370999E+38</v>
      </c>
      <c r="DD165" s="2">
        <v>3.4028230607370999E+38</v>
      </c>
      <c r="DE165">
        <v>18400.8515625</v>
      </c>
      <c r="DF165">
        <v>23000.19921875</v>
      </c>
      <c r="DG165">
        <v>-13799.5</v>
      </c>
      <c r="DH165" s="2">
        <v>3.4028230607370999E+38</v>
      </c>
      <c r="DI165" s="2">
        <v>3.4028230607370999E+38</v>
      </c>
      <c r="DJ165">
        <v>230.00045776367199</v>
      </c>
      <c r="DK165">
        <v>100.000732421875</v>
      </c>
      <c r="DL165">
        <v>18400.814453125</v>
      </c>
      <c r="DM165">
        <v>23000.185546875</v>
      </c>
      <c r="DN165">
        <v>-13799.5107421875</v>
      </c>
      <c r="DO165">
        <v>49.999923706054702</v>
      </c>
      <c r="DP165">
        <v>36.867660522460902</v>
      </c>
      <c r="DQ165">
        <v>1.53689188882709E-2</v>
      </c>
      <c r="DR165" s="2">
        <v>1.62671840371331E-5</v>
      </c>
      <c r="DS165" s="2">
        <v>-1.35296751579972E-8</v>
      </c>
      <c r="DT165" s="2">
        <v>2.5002336201396199E-7</v>
      </c>
      <c r="DU165" s="2">
        <v>-1.02207046381864E-7</v>
      </c>
      <c r="DV165">
        <v>50.041366577148402</v>
      </c>
      <c r="DW165">
        <v>97.054588317871094</v>
      </c>
      <c r="DX165">
        <v>1.6734814271330799E-2</v>
      </c>
      <c r="DY165" s="2">
        <v>1.48121353049646E-5</v>
      </c>
      <c r="DZ165" s="2">
        <v>8.8360550876131998E-8</v>
      </c>
      <c r="EA165" s="2">
        <v>2.4795861008897202E-7</v>
      </c>
      <c r="EB165" s="2">
        <v>-5.9448783673588001E-8</v>
      </c>
      <c r="EC165">
        <v>50.0066528320312</v>
      </c>
      <c r="ED165">
        <v>33.798530578613303</v>
      </c>
      <c r="EE165" s="2">
        <v>3.4028230607370999E+38</v>
      </c>
      <c r="EF165" s="2">
        <v>3.4028230607370999E+38</v>
      </c>
      <c r="EG165">
        <v>18400.8125</v>
      </c>
      <c r="EH165">
        <v>23000.185546875</v>
      </c>
      <c r="EI165">
        <v>-13799.51171875</v>
      </c>
      <c r="EJ165" s="2">
        <v>3.4028230607370999E+38</v>
      </c>
      <c r="EK165" s="2">
        <v>3.4028230607370999E+38</v>
      </c>
      <c r="EL165">
        <v>123</v>
      </c>
      <c r="EM165">
        <v>230.00042724609401</v>
      </c>
      <c r="EN165">
        <v>100.00065612793</v>
      </c>
      <c r="EO165">
        <v>18400.802734375</v>
      </c>
      <c r="EP165">
        <v>23000.158203125</v>
      </c>
      <c r="EQ165">
        <v>-13799.505859375</v>
      </c>
      <c r="ER165">
        <v>49.9999809265137</v>
      </c>
      <c r="ES165">
        <v>36.867759704589801</v>
      </c>
      <c r="ET165">
        <v>0.800029516220093</v>
      </c>
      <c r="EU165" s="2">
        <v>3.4028230607370999E+38</v>
      </c>
      <c r="EV165">
        <v>0</v>
      </c>
      <c r="EW165">
        <v>230.00418090820301</v>
      </c>
      <c r="EX165">
        <v>18401.447265625</v>
      </c>
      <c r="EY165">
        <v>23000.5703125</v>
      </c>
      <c r="EZ165">
        <v>-13799.3505859375</v>
      </c>
      <c r="FA165">
        <v>4.4316940009593998E-2</v>
      </c>
      <c r="FB165">
        <v>1.52308540418744E-2</v>
      </c>
      <c r="FC165" s="2">
        <v>1.6223821148742E-5</v>
      </c>
      <c r="FD165" s="2">
        <v>-1.03803703410676E-8</v>
      </c>
      <c r="FE165" s="2">
        <v>2.4241606411123902E-7</v>
      </c>
      <c r="FF165" s="2">
        <v>-9.35752240138754E-8</v>
      </c>
      <c r="FG165">
        <v>49.964473724365199</v>
      </c>
      <c r="FH165">
        <v>97.113365173339801</v>
      </c>
      <c r="FI165">
        <v>-3.7632890045642901E-2</v>
      </c>
      <c r="FJ165" s="2">
        <v>3.4028230607370999E+38</v>
      </c>
      <c r="FK165">
        <v>-108.18157196044901</v>
      </c>
      <c r="FL165">
        <v>2.0199077203869799E-2</v>
      </c>
      <c r="FM165">
        <v>0</v>
      </c>
      <c r="FN165">
        <v>0</v>
      </c>
      <c r="FO165">
        <v>0</v>
      </c>
      <c r="FP165">
        <v>-1.7793908482417499E-3</v>
      </c>
      <c r="FQ165">
        <v>1.61948017776012E-2</v>
      </c>
      <c r="FR165" s="2">
        <v>1.5070768313307799E-5</v>
      </c>
      <c r="FS165" s="2">
        <v>7.5360127027579398E-8</v>
      </c>
      <c r="FT165" s="2">
        <v>2.3787313807588399E-7</v>
      </c>
      <c r="FU165" s="2">
        <v>-4.5660978997830197E-8</v>
      </c>
      <c r="FV165">
        <v>49.992439270019503</v>
      </c>
      <c r="FW165">
        <v>30.7367248535156</v>
      </c>
      <c r="FX165">
        <v>0.30506819486617998</v>
      </c>
      <c r="FY165" s="2">
        <v>3.4028230607370999E+38</v>
      </c>
      <c r="FZ165">
        <v>99.104400634765597</v>
      </c>
      <c r="GA165">
        <v>230.00439453125</v>
      </c>
      <c r="GB165" s="2">
        <v>3.3975315893996999E-9</v>
      </c>
      <c r="GC165">
        <v>3.4639823716133798E-3</v>
      </c>
      <c r="GD165" s="2">
        <v>-6.0910454457996399E-9</v>
      </c>
      <c r="GE165">
        <v>-2.4681503418833001E-4</v>
      </c>
      <c r="GF165" s="2">
        <v>3.4028230607370999E+38</v>
      </c>
      <c r="GG165" s="2">
        <v>3.4028230607370999E+38</v>
      </c>
      <c r="GH165">
        <v>18400.798828125</v>
      </c>
      <c r="GI165">
        <v>23000.134765625</v>
      </c>
      <c r="GJ165">
        <v>-13799.4716796875</v>
      </c>
      <c r="GK165" s="2">
        <v>3.4028230607370999E+38</v>
      </c>
      <c r="GL165" s="2">
        <v>3.4028230607370999E+38</v>
      </c>
      <c r="GM165" s="2">
        <v>3.4028230607370999E+38</v>
      </c>
      <c r="GN165" s="2">
        <v>3.4028230607370999E+38</v>
      </c>
      <c r="GO165" s="2">
        <v>3.4028230607370999E+38</v>
      </c>
      <c r="GP165" s="2">
        <v>3.4028230607370999E+38</v>
      </c>
      <c r="GQ165">
        <v>18401.154296875</v>
      </c>
      <c r="GR165">
        <v>18401.154296875</v>
      </c>
      <c r="GS165">
        <v>-13799.248046875</v>
      </c>
      <c r="GT165">
        <v>1.27532538026571E-2</v>
      </c>
      <c r="GX165">
        <f t="shared" si="15"/>
        <v>230.00005798339839</v>
      </c>
      <c r="GY165">
        <f t="shared" si="16"/>
        <v>100.0007385253906</v>
      </c>
      <c r="GZ165">
        <f t="shared" si="17"/>
        <v>18400.813671874999</v>
      </c>
      <c r="HA165">
        <f t="shared" si="18"/>
        <v>23000.172656250001</v>
      </c>
      <c r="HB165">
        <f t="shared" si="19"/>
        <v>-13799.5357421875</v>
      </c>
      <c r="HC165">
        <f t="shared" si="20"/>
        <v>49.999935913085963</v>
      </c>
      <c r="HD165">
        <f t="shared" si="21"/>
        <v>36.867758178710922</v>
      </c>
      <c r="HW165" s="10">
        <f>(GX165/Data!$S165-1)*1000000</f>
        <v>13.882290947675457</v>
      </c>
      <c r="HX165" s="10">
        <f>(GY165/Data!$T165-1)*1000000</f>
        <v>27.191692461903116</v>
      </c>
      <c r="HY165" s="10">
        <f>(GZ165/Data!$BW165-1)*1000000</f>
        <v>50.045502058448932</v>
      </c>
      <c r="HZ165" s="10">
        <f>(HA165/(Data!$S165*Data!$T165)-1)*1000000</f>
        <v>40.943792505299115</v>
      </c>
      <c r="IA165" s="7">
        <f>(HB165/IF(HD165&gt;0, -Data!$BX165,Data!$BX165)-1)*1000000</f>
        <v>48.870132719036619</v>
      </c>
      <c r="IB165" s="10"/>
      <c r="IC165" s="9">
        <f>(HD165-Data!$U165)</f>
        <v>-3.0431289076204848E-5</v>
      </c>
    </row>
    <row r="166" spans="1:237" x14ac:dyDescent="0.2">
      <c r="A166">
        <v>166</v>
      </c>
      <c r="B166">
        <v>230.00015258789099</v>
      </c>
      <c r="C166">
        <v>100.00066375732401</v>
      </c>
      <c r="D166">
        <v>18400.841796875</v>
      </c>
      <c r="E166">
        <v>23000.1953125</v>
      </c>
      <c r="F166">
        <v>-13799.490234375</v>
      </c>
      <c r="G166">
        <v>50.0000190734863</v>
      </c>
      <c r="H166">
        <v>36.867576599121101</v>
      </c>
      <c r="I166">
        <v>1.7730472609400701E-2</v>
      </c>
      <c r="J166" s="2">
        <v>1.6146013877005299E-5</v>
      </c>
      <c r="K166" s="2">
        <v>6.31267909056987E-8</v>
      </c>
      <c r="L166" s="2">
        <v>2.8403937335497202E-7</v>
      </c>
      <c r="M166" s="2">
        <v>-1.5548837950518601E-7</v>
      </c>
      <c r="N166">
        <v>49.988964080810497</v>
      </c>
      <c r="O166">
        <v>67.7467041015625</v>
      </c>
      <c r="P166">
        <v>1.9409410655498501E-2</v>
      </c>
      <c r="Q166" s="2">
        <v>1.46067413879791E-5</v>
      </c>
      <c r="R166" s="2">
        <v>1.7758564752057301E-7</v>
      </c>
      <c r="S166" s="2">
        <v>2.8568359766723001E-7</v>
      </c>
      <c r="T166" s="2">
        <v>7.8619670773605305E-9</v>
      </c>
      <c r="U166">
        <v>49.963352203369098</v>
      </c>
      <c r="V166">
        <v>-2.1557052135467498</v>
      </c>
      <c r="W166" s="2">
        <v>3.4028230607370999E+38</v>
      </c>
      <c r="X166" s="2">
        <v>3.4028230607370999E+38</v>
      </c>
      <c r="Y166">
        <v>18400.841796875</v>
      </c>
      <c r="Z166">
        <v>23000.1953125</v>
      </c>
      <c r="AA166">
        <v>-13799.4912109375</v>
      </c>
      <c r="AB166" s="2">
        <v>3.4028230607370999E+38</v>
      </c>
      <c r="AC166" s="2">
        <v>3.4028230607370999E+38</v>
      </c>
      <c r="AD166">
        <v>229.99996948242199</v>
      </c>
      <c r="AE166">
        <v>100.00051116943401</v>
      </c>
      <c r="AF166">
        <v>18400.75</v>
      </c>
      <c r="AG166">
        <v>23000.099609375</v>
      </c>
      <c r="AH166">
        <v>-13799.5390625</v>
      </c>
      <c r="AI166">
        <v>49.999889373779297</v>
      </c>
      <c r="AJ166">
        <v>36.867874145507798</v>
      </c>
      <c r="AK166">
        <v>1.69880352914333E-2</v>
      </c>
      <c r="AL166" s="2">
        <v>1.56773239723407E-5</v>
      </c>
      <c r="AM166" s="2">
        <v>8.4626819329969294E-8</v>
      </c>
      <c r="AN166" s="2">
        <v>2.6857048851525199E-7</v>
      </c>
      <c r="AO166" s="2">
        <v>-1.2279934935577301E-7</v>
      </c>
      <c r="AP166">
        <v>50.005542755127003</v>
      </c>
      <c r="AQ166">
        <v>58.522144317627003</v>
      </c>
      <c r="AR166">
        <v>1.8539713695645301E-2</v>
      </c>
      <c r="AS166" s="2">
        <v>1.48464441735996E-5</v>
      </c>
      <c r="AT166" s="2">
        <v>1.5077920068051801E-7</v>
      </c>
      <c r="AU166" s="2">
        <v>2.7719278250515302E-7</v>
      </c>
      <c r="AV166" s="2">
        <v>3.9711949284537702E-8</v>
      </c>
      <c r="AW166">
        <v>50.005809783935497</v>
      </c>
      <c r="AX166">
        <v>-14.210034370422401</v>
      </c>
      <c r="AY166" s="2">
        <v>3.4028230607370999E+38</v>
      </c>
      <c r="AZ166" s="2">
        <v>3.4028230607370999E+38</v>
      </c>
      <c r="BA166">
        <v>18400.75</v>
      </c>
      <c r="BB166">
        <v>23000.099609375</v>
      </c>
      <c r="BC166">
        <v>-13799.5400390625</v>
      </c>
      <c r="BD166" s="2">
        <v>3.4028230607370999E+38</v>
      </c>
      <c r="BE166" s="2">
        <v>3.4028230607370999E+38</v>
      </c>
      <c r="BF166">
        <v>230.00061035156199</v>
      </c>
      <c r="BG166">
        <v>100.00064086914099</v>
      </c>
      <c r="BH166">
        <v>18400.791015625</v>
      </c>
      <c r="BI166">
        <v>23000.12890625</v>
      </c>
      <c r="BJ166">
        <v>-13799.49609375</v>
      </c>
      <c r="BK166">
        <v>49.9999809265137</v>
      </c>
      <c r="BL166">
        <v>36.867645263671903</v>
      </c>
      <c r="BM166">
        <v>1.5118030831217801E-2</v>
      </c>
      <c r="BN166" s="2">
        <v>1.63022195920348E-5</v>
      </c>
      <c r="BO166" s="2">
        <v>-1.16337774969111E-8</v>
      </c>
      <c r="BP166" s="2">
        <v>2.4437167667201699E-7</v>
      </c>
      <c r="BQ166" s="2">
        <v>-9.4861434263293605E-8</v>
      </c>
      <c r="BR166">
        <v>49.932437896728501</v>
      </c>
      <c r="BS166">
        <v>96.018211364746094</v>
      </c>
      <c r="BT166">
        <v>1.66812930256128E-2</v>
      </c>
      <c r="BU166" s="2">
        <v>1.4903541341482199E-5</v>
      </c>
      <c r="BV166" s="2">
        <v>8.4751057727316894E-8</v>
      </c>
      <c r="BW166" s="2">
        <v>2.43307283653849E-7</v>
      </c>
      <c r="BX166" s="2">
        <v>-5.6960427485819303E-8</v>
      </c>
      <c r="BY166">
        <v>49.9735107421875</v>
      </c>
      <c r="BZ166">
        <v>32.584201812744098</v>
      </c>
      <c r="CA166" s="2">
        <v>3.4028230607370999E+38</v>
      </c>
      <c r="CB166" s="2">
        <v>3.4028230607370999E+38</v>
      </c>
      <c r="CC166">
        <v>18400.7890625</v>
      </c>
      <c r="CD166">
        <v>23000.12890625</v>
      </c>
      <c r="CE166">
        <v>-13799.4970703125</v>
      </c>
      <c r="CF166" s="2">
        <v>3.4028230607370999E+38</v>
      </c>
      <c r="CG166" s="2">
        <v>3.4028230607370999E+38</v>
      </c>
      <c r="CH166">
        <v>230.00047302246099</v>
      </c>
      <c r="CI166">
        <v>100.000518798828</v>
      </c>
      <c r="CJ166">
        <v>18400.767578125</v>
      </c>
      <c r="CK166">
        <v>23000.140625</v>
      </c>
      <c r="CL166">
        <v>-13799.5302734375</v>
      </c>
      <c r="CM166">
        <v>49.999912261962898</v>
      </c>
      <c r="CN166">
        <v>36.867767333984403</v>
      </c>
      <c r="CO166">
        <v>1.4702370390296E-2</v>
      </c>
      <c r="CP166" s="2">
        <v>1.5567122318316298E-5</v>
      </c>
      <c r="CQ166" s="2">
        <v>5.36567092979112E-8</v>
      </c>
      <c r="CR166" s="2">
        <v>2.28326953788383E-7</v>
      </c>
      <c r="CS166" s="2">
        <v>-5.8242655143203599E-8</v>
      </c>
      <c r="CT166">
        <v>50.027523040771499</v>
      </c>
      <c r="CU166">
        <v>55.456298828125</v>
      </c>
      <c r="CV166">
        <v>1.5949634835123998E-2</v>
      </c>
      <c r="CW166" s="2">
        <v>1.51664153236197E-5</v>
      </c>
      <c r="CX166" s="2">
        <v>7.1045747063180897E-8</v>
      </c>
      <c r="CY166" s="2">
        <v>2.3576291141580399E-7</v>
      </c>
      <c r="CZ166" s="2">
        <v>1.6875894459644799E-8</v>
      </c>
      <c r="DA166">
        <v>50.024127960205099</v>
      </c>
      <c r="DB166">
        <v>0.50117713212966897</v>
      </c>
      <c r="DC166" s="2">
        <v>3.4028230607370999E+38</v>
      </c>
      <c r="DD166" s="2">
        <v>3.4028230607370999E+38</v>
      </c>
      <c r="DE166">
        <v>18400.767578125</v>
      </c>
      <c r="DF166">
        <v>23000.140625</v>
      </c>
      <c r="DG166">
        <v>-13799.53125</v>
      </c>
      <c r="DH166" s="2">
        <v>3.4028230607370999E+38</v>
      </c>
      <c r="DI166" s="2">
        <v>3.4028230607370999E+38</v>
      </c>
      <c r="DJ166">
        <v>230.00059509277301</v>
      </c>
      <c r="DK166">
        <v>100.000648498535</v>
      </c>
      <c r="DL166">
        <v>18400.849609375</v>
      </c>
      <c r="DM166">
        <v>23000.197265625</v>
      </c>
      <c r="DN166">
        <v>-13799.517578125</v>
      </c>
      <c r="DO166">
        <v>49.999969482421903</v>
      </c>
      <c r="DP166">
        <v>36.8674507141113</v>
      </c>
      <c r="DQ166">
        <v>1.46031277254224E-2</v>
      </c>
      <c r="DR166" s="2">
        <v>1.61030820891028E-5</v>
      </c>
      <c r="DS166" s="2">
        <v>-5.67283464647517E-9</v>
      </c>
      <c r="DT166" s="2">
        <v>2.3796087589289501E-7</v>
      </c>
      <c r="DU166" s="2">
        <v>-8.4461127869417396E-8</v>
      </c>
      <c r="DV166">
        <v>49.9692192077637</v>
      </c>
      <c r="DW166">
        <v>94.996734619140597</v>
      </c>
      <c r="DX166">
        <v>1.5824740752577799E-2</v>
      </c>
      <c r="DY166" s="2">
        <v>1.50238074638764E-5</v>
      </c>
      <c r="DZ166" s="2">
        <v>7.7623802496873395E-8</v>
      </c>
      <c r="EA166" s="2">
        <v>2.4362336148442399E-7</v>
      </c>
      <c r="EB166" s="2">
        <v>-4.64288945067892E-8</v>
      </c>
      <c r="EC166">
        <v>50.012718200683601</v>
      </c>
      <c r="ED166">
        <v>31.552089691162099</v>
      </c>
      <c r="EE166" s="2">
        <v>3.4028230607370999E+38</v>
      </c>
      <c r="EF166" s="2">
        <v>3.4028230607370999E+38</v>
      </c>
      <c r="EG166">
        <v>18400.84765625</v>
      </c>
      <c r="EH166">
        <v>23000.197265625</v>
      </c>
      <c r="EI166">
        <v>-13799.5185546875</v>
      </c>
      <c r="EJ166" s="2">
        <v>3.4028230607370999E+38</v>
      </c>
      <c r="EK166" s="2">
        <v>3.4028230607370999E+38</v>
      </c>
      <c r="EL166">
        <v>123</v>
      </c>
      <c r="EM166">
        <v>230.00039672851599</v>
      </c>
      <c r="EN166">
        <v>100.000679016113</v>
      </c>
      <c r="EO166">
        <v>18400.84375</v>
      </c>
      <c r="EP166">
        <v>23000.169921875</v>
      </c>
      <c r="EQ166">
        <v>-13799.5400390625</v>
      </c>
      <c r="ER166">
        <v>49.999870300292997</v>
      </c>
      <c r="ES166">
        <v>36.867771148681598</v>
      </c>
      <c r="ET166">
        <v>0.80002909898757901</v>
      </c>
      <c r="EU166" s="2">
        <v>3.4028230607370999E+38</v>
      </c>
      <c r="EV166">
        <v>0</v>
      </c>
      <c r="EW166">
        <v>230.00410461425801</v>
      </c>
      <c r="EX166">
        <v>18401.3984375</v>
      </c>
      <c r="EY166">
        <v>23000.544921875</v>
      </c>
      <c r="EZ166">
        <v>-13799.3154296875</v>
      </c>
      <c r="FA166">
        <v>4.2428743094205898E-2</v>
      </c>
      <c r="FB166">
        <v>1.4989040791988401E-2</v>
      </c>
      <c r="FC166" s="2">
        <v>1.61482912517386E-5</v>
      </c>
      <c r="FD166" s="2">
        <v>-8.6262454956909096E-9</v>
      </c>
      <c r="FE166" s="2">
        <v>2.3906517299110398E-7</v>
      </c>
      <c r="FF166" s="2">
        <v>-8.8312077650698497E-8</v>
      </c>
      <c r="FG166">
        <v>49.976997375488303</v>
      </c>
      <c r="FH166">
        <v>95.624137878417997</v>
      </c>
      <c r="FI166">
        <v>-2.6755210012197501E-2</v>
      </c>
      <c r="FJ166" s="2">
        <v>3.4028230607370999E+38</v>
      </c>
      <c r="FK166">
        <v>131.930587768555</v>
      </c>
      <c r="FL166">
        <v>2.0034996792674099E-2</v>
      </c>
      <c r="FM166">
        <v>0</v>
      </c>
      <c r="FN166">
        <v>0</v>
      </c>
      <c r="FO166">
        <v>0</v>
      </c>
      <c r="FP166">
        <v>-1.79045554250479E-3</v>
      </c>
      <c r="FQ166">
        <v>1.5915850177407299E-2</v>
      </c>
      <c r="FR166" s="2">
        <v>1.5065867955854599E-5</v>
      </c>
      <c r="FS166" s="2">
        <v>7.5015535117017902E-8</v>
      </c>
      <c r="FT166" s="2">
        <v>2.4228020834016201E-7</v>
      </c>
      <c r="FU166" s="2">
        <v>-4.3088434154015003E-8</v>
      </c>
      <c r="FV166">
        <v>49.993751525878899</v>
      </c>
      <c r="FW166">
        <v>28.169204711914102</v>
      </c>
      <c r="FX166">
        <v>0.31482508778572099</v>
      </c>
      <c r="FY166" s="2">
        <v>3.4028230607370999E+38</v>
      </c>
      <c r="FZ166">
        <v>-114.34221649169901</v>
      </c>
      <c r="GA166">
        <v>229.75468444824199</v>
      </c>
      <c r="GB166" s="2">
        <v>8.5201410371382702E-9</v>
      </c>
      <c r="GC166">
        <v>3.4713074564933799E-3</v>
      </c>
      <c r="GD166" s="2">
        <v>-5.7197357961058498E-9</v>
      </c>
      <c r="GE166">
        <v>-2.5617124629206999E-4</v>
      </c>
      <c r="GF166" s="2">
        <v>3.4028230607370999E+38</v>
      </c>
      <c r="GG166" s="2">
        <v>3.4028230607370999E+38</v>
      </c>
      <c r="GH166">
        <v>18400.8515625</v>
      </c>
      <c r="GI166">
        <v>23000.177734375</v>
      </c>
      <c r="GJ166">
        <v>-13799.439453125</v>
      </c>
      <c r="GK166" s="2">
        <v>3.4028230607370999E+38</v>
      </c>
      <c r="GL166" s="2">
        <v>3.4028230607370999E+38</v>
      </c>
      <c r="GM166" s="2">
        <v>3.4028230607370999E+38</v>
      </c>
      <c r="GN166" s="2">
        <v>3.4028230607370999E+38</v>
      </c>
      <c r="GO166" s="2">
        <v>3.4028230607370999E+38</v>
      </c>
      <c r="GP166" s="2">
        <v>3.4028230607370999E+38</v>
      </c>
      <c r="GQ166">
        <v>18401.166015625</v>
      </c>
      <c r="GR166">
        <v>18401.16796875</v>
      </c>
      <c r="GS166">
        <v>-13799.2646484375</v>
      </c>
      <c r="GT166">
        <v>5.1697581075131902E-3</v>
      </c>
      <c r="GX166">
        <f t="shared" si="15"/>
        <v>230.00036010742178</v>
      </c>
      <c r="GY166">
        <f t="shared" si="16"/>
        <v>100.00059661865239</v>
      </c>
      <c r="GZ166">
        <f t="shared" si="17"/>
        <v>18400.8</v>
      </c>
      <c r="HA166">
        <f t="shared" si="18"/>
        <v>23000.15234375</v>
      </c>
      <c r="HB166">
        <f t="shared" si="19"/>
        <v>-13799.5146484375</v>
      </c>
      <c r="HC166">
        <f t="shared" si="20"/>
        <v>49.99995422363282</v>
      </c>
      <c r="HD166">
        <f t="shared" si="21"/>
        <v>36.867662811279303</v>
      </c>
      <c r="HW166" s="10">
        <f>(GX166/Data!$S166-1)*1000000</f>
        <v>16.225487518450876</v>
      </c>
      <c r="HX166" s="10">
        <f>(GY166/Data!$T166-1)*1000000</f>
        <v>27.044956583122115</v>
      </c>
      <c r="HY166" s="10">
        <f>(GZ166/Data!$BW166-1)*1000000</f>
        <v>51.576504614070373</v>
      </c>
      <c r="HZ166" s="10">
        <f>(HA166/(Data!$S166*Data!$T166)-1)*1000000</f>
        <v>42.362611456514543</v>
      </c>
      <c r="IA166" s="7">
        <f>(HB166/IF(HD166&gt;0, -Data!$BX166,Data!$BX166)-1)*1000000</f>
        <v>49.695408354644144</v>
      </c>
      <c r="IB166" s="10"/>
      <c r="IC166" s="9">
        <f>(HD166-Data!$U166)</f>
        <v>-1.2360872069905326E-4</v>
      </c>
    </row>
  </sheetData>
  <customSheetViews>
    <customSheetView guid="{1F7EA7B0-7CBB-4C85-991C-384D0AE2B3A5}" showRuler="0">
      <pageMargins left="0.75" right="0.75" top="1" bottom="1" header="0.5" footer="0.5"/>
      <printOptions gridLines="1"/>
      <headerFooter alignWithMargins="0">
        <oddHeader>&amp;A</oddHeader>
        <oddFooter>Page &amp;P</oddFooter>
      </headerFooter>
    </customSheetView>
  </customSheetViews>
  <mergeCells count="52">
    <mergeCell ref="AD11:AJ11"/>
    <mergeCell ref="AK11:AQ11"/>
    <mergeCell ref="AR11:AX11"/>
    <mergeCell ref="AY11:BE11"/>
    <mergeCell ref="B11:H11"/>
    <mergeCell ref="I11:O11"/>
    <mergeCell ref="P11:V11"/>
    <mergeCell ref="W11:AC11"/>
    <mergeCell ref="BF11:BL11"/>
    <mergeCell ref="BM11:BS11"/>
    <mergeCell ref="BT11:BZ11"/>
    <mergeCell ref="CA11:CG11"/>
    <mergeCell ref="CH11:CN11"/>
    <mergeCell ref="CO11:CU11"/>
    <mergeCell ref="CV9:DB9"/>
    <mergeCell ref="DC9:DI9"/>
    <mergeCell ref="CH9:CN9"/>
    <mergeCell ref="CO9:CU9"/>
    <mergeCell ref="CV11:DB11"/>
    <mergeCell ref="DC11:DI11"/>
    <mergeCell ref="B9:H9"/>
    <mergeCell ref="I9:O9"/>
    <mergeCell ref="P9:V9"/>
    <mergeCell ref="W9:AC9"/>
    <mergeCell ref="AD9:AJ9"/>
    <mergeCell ref="AK9:AQ9"/>
    <mergeCell ref="AR9:AX9"/>
    <mergeCell ref="AY9:BE9"/>
    <mergeCell ref="BF9:BL9"/>
    <mergeCell ref="BM9:BS9"/>
    <mergeCell ref="BT9:BZ9"/>
    <mergeCell ref="CA9:CG9"/>
    <mergeCell ref="DJ9:DP9"/>
    <mergeCell ref="DQ9:DW9"/>
    <mergeCell ref="DX9:ED9"/>
    <mergeCell ref="DJ11:DP11"/>
    <mergeCell ref="DQ11:DW11"/>
    <mergeCell ref="DX11:ED11"/>
    <mergeCell ref="FQ11:GE11"/>
    <mergeCell ref="GF11:GT11"/>
    <mergeCell ref="EE9:EK9"/>
    <mergeCell ref="EE11:EK11"/>
    <mergeCell ref="EM11:FA11"/>
    <mergeCell ref="FB11:FP11"/>
    <mergeCell ref="IK11:IQ11"/>
    <mergeCell ref="IR11:IT11"/>
    <mergeCell ref="GX11:HD11"/>
    <mergeCell ref="HE11:HK11"/>
    <mergeCell ref="HL11:HR11"/>
    <mergeCell ref="HS11:HU11"/>
    <mergeCell ref="HW11:IC11"/>
    <mergeCell ref="ID11:IJ11"/>
  </mergeCells>
  <phoneticPr fontId="13" type="noConversion"/>
  <printOptions gridLines="1" gridLinesSet="0"/>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8:IV10"/>
  <sheetViews>
    <sheetView zoomScale="75" workbookViewId="0">
      <pane ySplit="10" topLeftCell="A11" activePane="bottomLeft" state="frozen"/>
      <selection pane="bottomLeft" activeCell="J43" sqref="J43"/>
    </sheetView>
  </sheetViews>
  <sheetFormatPr defaultRowHeight="12.75" x14ac:dyDescent="0.2"/>
  <sheetData>
    <row r="8" spans="1:256" s="648" customFormat="1" x14ac:dyDescent="0.2">
      <c r="A8" s="892" t="s">
        <v>1073</v>
      </c>
      <c r="B8" s="892"/>
      <c r="C8" s="892"/>
      <c r="D8" s="892"/>
      <c r="E8" s="892"/>
      <c r="F8" s="892"/>
      <c r="G8" s="892"/>
      <c r="H8" s="892"/>
      <c r="I8" s="892"/>
      <c r="J8" s="892"/>
      <c r="K8" s="892"/>
      <c r="L8" s="892"/>
      <c r="M8" s="892"/>
      <c r="N8" s="892"/>
      <c r="O8" s="892"/>
      <c r="P8" s="892"/>
      <c r="Q8" s="892"/>
      <c r="R8" s="892"/>
      <c r="S8" s="892"/>
      <c r="T8" s="892"/>
      <c r="U8" s="892"/>
      <c r="V8" s="892"/>
      <c r="W8" s="892"/>
      <c r="X8" s="892"/>
      <c r="Y8" s="892"/>
      <c r="Z8" s="892"/>
      <c r="AA8" s="892"/>
      <c r="AB8" s="892"/>
      <c r="AC8" s="891" t="s">
        <v>1074</v>
      </c>
      <c r="AD8" s="891"/>
      <c r="AE8" s="891"/>
      <c r="AF8" s="891"/>
      <c r="AG8" s="891"/>
      <c r="AH8" s="891"/>
      <c r="AI8" s="891"/>
      <c r="AJ8" s="891"/>
      <c r="AK8" s="891"/>
      <c r="AL8" s="891"/>
      <c r="AM8" s="891"/>
      <c r="AN8" s="891"/>
      <c r="AO8" s="891"/>
      <c r="AP8" s="891"/>
      <c r="AQ8" s="891"/>
      <c r="AR8" s="891"/>
      <c r="AS8" s="891"/>
      <c r="AT8" s="891"/>
      <c r="AU8" s="891"/>
      <c r="AV8" s="891"/>
      <c r="AW8" s="891"/>
      <c r="AX8" s="891"/>
      <c r="AY8" s="891"/>
      <c r="AZ8" s="891"/>
      <c r="BA8" s="891"/>
      <c r="BB8" s="891"/>
      <c r="BC8" s="891"/>
      <c r="BD8" s="891"/>
      <c r="BE8" s="892" t="s">
        <v>1075</v>
      </c>
      <c r="BF8" s="892"/>
      <c r="BG8" s="892"/>
      <c r="BH8" s="892"/>
      <c r="BI8" s="892"/>
      <c r="BJ8" s="892"/>
      <c r="BK8" s="892"/>
      <c r="BL8" s="892"/>
      <c r="BM8" s="892"/>
      <c r="BN8" s="892"/>
      <c r="BO8" s="892"/>
      <c r="BP8" s="892"/>
      <c r="BQ8" s="892"/>
      <c r="BR8" s="892"/>
      <c r="BS8" s="892"/>
      <c r="BT8" s="892"/>
      <c r="BU8" s="892"/>
      <c r="BV8" s="892"/>
      <c r="BW8" s="892"/>
      <c r="BX8" s="892"/>
      <c r="BY8" s="892"/>
      <c r="BZ8" s="892"/>
      <c r="CA8" s="892"/>
      <c r="CB8" s="892"/>
      <c r="CC8" s="892"/>
      <c r="CD8" s="892"/>
      <c r="CE8" s="892"/>
      <c r="CF8" s="892"/>
      <c r="CG8" s="891" t="s">
        <v>1076</v>
      </c>
      <c r="CH8" s="891"/>
      <c r="CI8" s="891"/>
      <c r="CJ8" s="891"/>
      <c r="CK8" s="891"/>
      <c r="CL8" s="891"/>
      <c r="CM8" s="891"/>
      <c r="CN8" s="891"/>
      <c r="CO8" s="891"/>
      <c r="CP8" s="891"/>
      <c r="CQ8" s="891"/>
      <c r="CR8" s="891"/>
      <c r="CS8" s="891"/>
      <c r="CT8" s="891"/>
      <c r="CU8" s="891"/>
      <c r="CV8" s="891"/>
      <c r="CW8" s="891"/>
      <c r="CX8" s="891"/>
      <c r="CY8" s="891"/>
      <c r="CZ8" s="891"/>
      <c r="DA8" s="891"/>
      <c r="DB8" s="891"/>
      <c r="DC8" s="891"/>
      <c r="DD8" s="891"/>
      <c r="DE8" s="891"/>
      <c r="DF8" s="891"/>
      <c r="DG8" s="891"/>
      <c r="DH8" s="891"/>
      <c r="DI8" s="892" t="s">
        <v>1077</v>
      </c>
      <c r="DJ8" s="892"/>
      <c r="DK8" s="892"/>
      <c r="DL8" s="892"/>
      <c r="DM8" s="892"/>
      <c r="DN8" s="892"/>
      <c r="DO8" s="892"/>
      <c r="DP8" s="892"/>
      <c r="DQ8" s="892"/>
      <c r="DR8" s="892"/>
      <c r="DS8" s="892"/>
      <c r="DT8" s="892"/>
      <c r="DU8" s="892"/>
      <c r="DV8" s="892"/>
      <c r="DW8" s="892"/>
      <c r="DX8" s="892"/>
      <c r="DY8" s="892"/>
      <c r="DZ8" s="892"/>
      <c r="EA8" s="892"/>
      <c r="EB8" s="892"/>
      <c r="EC8" s="892"/>
      <c r="ED8" s="892"/>
      <c r="EE8" s="892"/>
      <c r="EF8" s="892"/>
      <c r="EG8" s="892"/>
      <c r="EH8" s="892"/>
      <c r="EI8" s="892"/>
      <c r="EJ8" s="877"/>
      <c r="EK8" s="893" t="s">
        <v>1087</v>
      </c>
      <c r="EL8" s="894"/>
      <c r="EM8" s="894"/>
      <c r="EN8" s="894"/>
      <c r="EO8" s="894"/>
      <c r="EP8" s="894"/>
      <c r="EQ8" s="894"/>
      <c r="ER8" s="894"/>
      <c r="ES8" s="894"/>
      <c r="ET8" s="895"/>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row>
    <row r="9" spans="1:256" s="649" customFormat="1" ht="51" customHeight="1" x14ac:dyDescent="0.2">
      <c r="A9" s="890" t="s">
        <v>1088</v>
      </c>
      <c r="B9" s="890"/>
      <c r="C9" s="890"/>
      <c r="D9" s="890" t="s">
        <v>1089</v>
      </c>
      <c r="E9" s="890"/>
      <c r="F9" s="890"/>
      <c r="G9" s="890" t="s">
        <v>1090</v>
      </c>
      <c r="H9" s="890"/>
      <c r="I9" s="890"/>
      <c r="J9" s="890" t="s">
        <v>1091</v>
      </c>
      <c r="K9" s="890"/>
      <c r="L9" s="890"/>
      <c r="M9" s="890" t="s">
        <v>1092</v>
      </c>
      <c r="N9" s="890"/>
      <c r="O9" s="890"/>
      <c r="P9" s="178" t="s">
        <v>1093</v>
      </c>
      <c r="Q9" s="178" t="s">
        <v>1094</v>
      </c>
      <c r="R9" s="178" t="s">
        <v>1095</v>
      </c>
      <c r="S9" s="890" t="s">
        <v>1096</v>
      </c>
      <c r="T9" s="890"/>
      <c r="U9" s="890"/>
      <c r="V9" s="178" t="s">
        <v>1097</v>
      </c>
      <c r="W9" s="890" t="s">
        <v>1098</v>
      </c>
      <c r="X9" s="890"/>
      <c r="Y9" s="890"/>
      <c r="Z9" s="890" t="s">
        <v>1099</v>
      </c>
      <c r="AA9" s="890"/>
      <c r="AB9" s="890"/>
      <c r="AC9" s="890" t="s">
        <v>1088</v>
      </c>
      <c r="AD9" s="890"/>
      <c r="AE9" s="890"/>
      <c r="AF9" s="890" t="s">
        <v>1089</v>
      </c>
      <c r="AG9" s="890"/>
      <c r="AH9" s="890"/>
      <c r="AI9" s="890" t="s">
        <v>1090</v>
      </c>
      <c r="AJ9" s="890"/>
      <c r="AK9" s="890"/>
      <c r="AL9" s="890" t="s">
        <v>1091</v>
      </c>
      <c r="AM9" s="890"/>
      <c r="AN9" s="890"/>
      <c r="AO9" s="890" t="s">
        <v>1092</v>
      </c>
      <c r="AP9" s="890"/>
      <c r="AQ9" s="890"/>
      <c r="AR9" s="178" t="s">
        <v>1093</v>
      </c>
      <c r="AS9" s="178" t="s">
        <v>1094</v>
      </c>
      <c r="AT9" s="178" t="s">
        <v>1095</v>
      </c>
      <c r="AU9" s="890" t="s">
        <v>1096</v>
      </c>
      <c r="AV9" s="890"/>
      <c r="AW9" s="890"/>
      <c r="AX9" s="178" t="s">
        <v>1097</v>
      </c>
      <c r="AY9" s="890" t="s">
        <v>1098</v>
      </c>
      <c r="AZ9" s="890"/>
      <c r="BA9" s="890"/>
      <c r="BB9" s="890" t="s">
        <v>1099</v>
      </c>
      <c r="BC9" s="890"/>
      <c r="BD9" s="890"/>
      <c r="BE9" s="890" t="s">
        <v>1088</v>
      </c>
      <c r="BF9" s="890"/>
      <c r="BG9" s="890"/>
      <c r="BH9" s="890" t="s">
        <v>1089</v>
      </c>
      <c r="BI9" s="890"/>
      <c r="BJ9" s="890"/>
      <c r="BK9" s="890" t="s">
        <v>1090</v>
      </c>
      <c r="BL9" s="890"/>
      <c r="BM9" s="890"/>
      <c r="BN9" s="890" t="s">
        <v>1091</v>
      </c>
      <c r="BO9" s="890"/>
      <c r="BP9" s="890"/>
      <c r="BQ9" s="890" t="s">
        <v>1092</v>
      </c>
      <c r="BR9" s="890"/>
      <c r="BS9" s="890"/>
      <c r="BT9" s="178" t="s">
        <v>1093</v>
      </c>
      <c r="BU9" s="178" t="s">
        <v>1094</v>
      </c>
      <c r="BV9" s="178" t="s">
        <v>1095</v>
      </c>
      <c r="BW9" s="890" t="s">
        <v>1096</v>
      </c>
      <c r="BX9" s="890"/>
      <c r="BY9" s="890"/>
      <c r="BZ9" s="178" t="s">
        <v>1097</v>
      </c>
      <c r="CA9" s="890" t="s">
        <v>1098</v>
      </c>
      <c r="CB9" s="890"/>
      <c r="CC9" s="890"/>
      <c r="CD9" s="890" t="s">
        <v>1099</v>
      </c>
      <c r="CE9" s="890"/>
      <c r="CF9" s="890"/>
      <c r="CG9" s="890" t="s">
        <v>1088</v>
      </c>
      <c r="CH9" s="890"/>
      <c r="CI9" s="890"/>
      <c r="CJ9" s="890" t="s">
        <v>1089</v>
      </c>
      <c r="CK9" s="890"/>
      <c r="CL9" s="890"/>
      <c r="CM9" s="890" t="s">
        <v>1090</v>
      </c>
      <c r="CN9" s="890"/>
      <c r="CO9" s="890"/>
      <c r="CP9" s="890" t="s">
        <v>1091</v>
      </c>
      <c r="CQ9" s="890"/>
      <c r="CR9" s="890"/>
      <c r="CS9" s="890" t="s">
        <v>1092</v>
      </c>
      <c r="CT9" s="890"/>
      <c r="CU9" s="890"/>
      <c r="CV9" s="178" t="s">
        <v>1093</v>
      </c>
      <c r="CW9" s="178" t="s">
        <v>1094</v>
      </c>
      <c r="CX9" s="178" t="s">
        <v>1095</v>
      </c>
      <c r="CY9" s="890" t="s">
        <v>1096</v>
      </c>
      <c r="CZ9" s="890"/>
      <c r="DA9" s="890"/>
      <c r="DB9" s="178" t="s">
        <v>1097</v>
      </c>
      <c r="DC9" s="890" t="s">
        <v>1098</v>
      </c>
      <c r="DD9" s="890"/>
      <c r="DE9" s="890"/>
      <c r="DF9" s="890" t="s">
        <v>1099</v>
      </c>
      <c r="DG9" s="890"/>
      <c r="DH9" s="890"/>
      <c r="DI9" s="890" t="s">
        <v>1088</v>
      </c>
      <c r="DJ9" s="890"/>
      <c r="DK9" s="890"/>
      <c r="DL9" s="890" t="s">
        <v>1089</v>
      </c>
      <c r="DM9" s="890"/>
      <c r="DN9" s="890"/>
      <c r="DO9" s="890" t="s">
        <v>1090</v>
      </c>
      <c r="DP9" s="890"/>
      <c r="DQ9" s="890"/>
      <c r="DR9" s="890" t="s">
        <v>1091</v>
      </c>
      <c r="DS9" s="890"/>
      <c r="DT9" s="890"/>
      <c r="DU9" s="890" t="s">
        <v>1092</v>
      </c>
      <c r="DV9" s="890"/>
      <c r="DW9" s="890"/>
      <c r="DX9" s="178" t="s">
        <v>1093</v>
      </c>
      <c r="DY9" s="178" t="s">
        <v>1094</v>
      </c>
      <c r="DZ9" s="178" t="s">
        <v>1095</v>
      </c>
      <c r="EA9" s="890" t="s">
        <v>1096</v>
      </c>
      <c r="EB9" s="890"/>
      <c r="EC9" s="890"/>
      <c r="ED9" s="178" t="s">
        <v>1097</v>
      </c>
      <c r="EE9" s="890" t="s">
        <v>1098</v>
      </c>
      <c r="EF9" s="890"/>
      <c r="EG9" s="890"/>
      <c r="EH9" s="890" t="s">
        <v>1099</v>
      </c>
      <c r="EI9" s="890"/>
      <c r="EJ9" s="890"/>
      <c r="EK9" s="178" t="s">
        <v>1099</v>
      </c>
      <c r="EL9" s="178" t="s">
        <v>1098</v>
      </c>
      <c r="EM9" s="178" t="s">
        <v>1100</v>
      </c>
      <c r="EN9" s="178" t="s">
        <v>1101</v>
      </c>
      <c r="EO9" s="178" t="s">
        <v>1102</v>
      </c>
      <c r="EP9" s="178" t="s">
        <v>1103</v>
      </c>
      <c r="EQ9" s="178" t="s">
        <v>1104</v>
      </c>
      <c r="ER9" s="178" t="s">
        <v>1105</v>
      </c>
      <c r="ES9" s="178" t="s">
        <v>1106</v>
      </c>
      <c r="ET9" s="178" t="s">
        <v>1107</v>
      </c>
      <c r="EU9" s="650"/>
      <c r="EV9" s="650"/>
      <c r="EW9" s="650"/>
      <c r="EX9" s="650"/>
      <c r="EY9" s="650"/>
      <c r="EZ9" s="650"/>
      <c r="FA9" s="650"/>
      <c r="FB9" s="650"/>
      <c r="FC9" s="650"/>
      <c r="FD9" s="650"/>
      <c r="FE9" s="650"/>
      <c r="FF9" s="650"/>
      <c r="FG9" s="650"/>
      <c r="FH9" s="650"/>
      <c r="FI9" s="650"/>
      <c r="FJ9" s="650"/>
      <c r="FK9" s="650"/>
      <c r="FL9" s="650"/>
      <c r="FM9" s="650"/>
      <c r="FN9" s="650"/>
      <c r="FO9" s="650"/>
      <c r="FP9" s="650"/>
      <c r="FQ9" s="650"/>
      <c r="FR9" s="650"/>
      <c r="FS9" s="650"/>
      <c r="FT9" s="650"/>
      <c r="FU9" s="650"/>
      <c r="FV9" s="650"/>
      <c r="FW9" s="650"/>
      <c r="FX9" s="650"/>
      <c r="FY9" s="650"/>
      <c r="FZ9" s="650"/>
      <c r="GA9" s="650"/>
      <c r="GB9" s="650"/>
      <c r="GC9" s="650"/>
      <c r="GD9" s="650"/>
      <c r="GE9" s="650"/>
      <c r="GF9" s="650"/>
      <c r="GG9" s="650"/>
      <c r="GH9" s="650"/>
      <c r="GI9" s="650"/>
      <c r="GJ9" s="650"/>
      <c r="GK9" s="650"/>
      <c r="GL9" s="650"/>
      <c r="GM9" s="650"/>
      <c r="GN9" s="650"/>
      <c r="GO9" s="650"/>
      <c r="GP9" s="650"/>
      <c r="GQ9" s="650"/>
      <c r="GR9" s="650"/>
      <c r="GS9" s="650"/>
      <c r="GT9" s="650"/>
      <c r="GU9" s="650"/>
      <c r="GV9" s="650"/>
      <c r="GW9" s="650"/>
      <c r="GX9" s="650"/>
      <c r="GY9" s="650"/>
      <c r="GZ9" s="650"/>
      <c r="HA9" s="650"/>
      <c r="HB9" s="650"/>
      <c r="HC9" s="650"/>
      <c r="HD9" s="650"/>
      <c r="HE9" s="650"/>
      <c r="HF9" s="650"/>
      <c r="HG9" s="650"/>
      <c r="HH9" s="650"/>
      <c r="HI9" s="650"/>
      <c r="HJ9" s="650"/>
      <c r="HK9" s="650"/>
      <c r="HL9" s="650"/>
      <c r="HM9" s="650"/>
      <c r="HN9" s="650"/>
      <c r="HO9" s="650"/>
      <c r="HP9" s="650"/>
      <c r="HQ9" s="650"/>
      <c r="HR9" s="650"/>
      <c r="HS9" s="650"/>
      <c r="HT9" s="650"/>
      <c r="HU9" s="650"/>
      <c r="HV9" s="650"/>
      <c r="HW9" s="650"/>
      <c r="HX9" s="650"/>
      <c r="HY9" s="650"/>
      <c r="HZ9" s="650"/>
      <c r="IA9" s="650"/>
      <c r="IB9" s="650"/>
      <c r="IC9" s="650"/>
      <c r="ID9" s="650"/>
      <c r="IE9" s="650"/>
      <c r="IF9" s="650"/>
      <c r="IG9" s="650"/>
      <c r="IH9" s="650"/>
      <c r="II9" s="650"/>
      <c r="IJ9" s="650"/>
      <c r="IK9" s="650"/>
      <c r="IL9" s="650"/>
      <c r="IM9" s="650"/>
      <c r="IN9" s="650"/>
      <c r="IO9" s="650"/>
      <c r="IP9" s="650"/>
      <c r="IQ9" s="650"/>
      <c r="IR9" s="650"/>
      <c r="IS9" s="650"/>
      <c r="IT9" s="650"/>
      <c r="IU9" s="650"/>
      <c r="IV9" s="650"/>
    </row>
    <row r="10" spans="1:256" s="651" customFormat="1" x14ac:dyDescent="0.2">
      <c r="A10" s="651" t="s">
        <v>1108</v>
      </c>
      <c r="B10" s="651" t="s">
        <v>1109</v>
      </c>
      <c r="C10" s="651" t="s">
        <v>1110</v>
      </c>
      <c r="D10" s="651" t="s">
        <v>1111</v>
      </c>
      <c r="E10" s="651" t="s">
        <v>1112</v>
      </c>
      <c r="F10" s="651" t="s">
        <v>1113</v>
      </c>
      <c r="G10" s="651" t="s">
        <v>1114</v>
      </c>
      <c r="H10" s="651" t="s">
        <v>1115</v>
      </c>
      <c r="I10" s="651" t="s">
        <v>1116</v>
      </c>
      <c r="J10" s="651" t="s">
        <v>1117</v>
      </c>
      <c r="K10" s="651" t="s">
        <v>1118</v>
      </c>
      <c r="L10" s="651" t="s">
        <v>1119</v>
      </c>
      <c r="M10" s="651" t="s">
        <v>1120</v>
      </c>
      <c r="N10" s="651" t="s">
        <v>1121</v>
      </c>
      <c r="O10" s="651" t="s">
        <v>1122</v>
      </c>
      <c r="P10" s="652" t="s">
        <v>1123</v>
      </c>
      <c r="Q10" s="652" t="s">
        <v>1124</v>
      </c>
      <c r="R10" s="652" t="s">
        <v>1125</v>
      </c>
      <c r="S10" s="652" t="s">
        <v>1126</v>
      </c>
      <c r="T10" s="652" t="s">
        <v>1127</v>
      </c>
      <c r="U10" s="652" t="s">
        <v>1128</v>
      </c>
      <c r="W10" s="651" t="s">
        <v>1111</v>
      </c>
      <c r="X10" s="651" t="s">
        <v>1112</v>
      </c>
      <c r="Y10" s="651" t="s">
        <v>1113</v>
      </c>
      <c r="Z10" s="651" t="s">
        <v>1108</v>
      </c>
      <c r="AA10" s="651" t="s">
        <v>1109</v>
      </c>
      <c r="AB10" s="651" t="s">
        <v>1110</v>
      </c>
      <c r="AC10" s="651" t="s">
        <v>1108</v>
      </c>
      <c r="AD10" s="651" t="s">
        <v>1109</v>
      </c>
      <c r="AE10" s="651" t="s">
        <v>1110</v>
      </c>
      <c r="AF10" s="651" t="s">
        <v>1111</v>
      </c>
      <c r="AG10" s="651" t="s">
        <v>1112</v>
      </c>
      <c r="AH10" s="651" t="s">
        <v>1113</v>
      </c>
      <c r="AI10" s="651" t="s">
        <v>1114</v>
      </c>
      <c r="AJ10" s="651" t="s">
        <v>1115</v>
      </c>
      <c r="AK10" s="651" t="s">
        <v>1116</v>
      </c>
      <c r="AL10" s="651" t="s">
        <v>1117</v>
      </c>
      <c r="AM10" s="651" t="s">
        <v>1118</v>
      </c>
      <c r="AN10" s="651" t="s">
        <v>1119</v>
      </c>
      <c r="AO10" s="651" t="s">
        <v>1120</v>
      </c>
      <c r="AP10" s="651" t="s">
        <v>1121</v>
      </c>
      <c r="AQ10" s="651" t="s">
        <v>1122</v>
      </c>
      <c r="AR10" s="652" t="s">
        <v>1123</v>
      </c>
      <c r="AS10" s="652" t="s">
        <v>1124</v>
      </c>
      <c r="AT10" s="652" t="s">
        <v>1125</v>
      </c>
      <c r="AU10" s="652" t="s">
        <v>1126</v>
      </c>
      <c r="AV10" s="652" t="s">
        <v>1127</v>
      </c>
      <c r="AW10" s="652" t="s">
        <v>1128</v>
      </c>
      <c r="AY10" s="651" t="s">
        <v>1111</v>
      </c>
      <c r="AZ10" s="651" t="s">
        <v>1112</v>
      </c>
      <c r="BA10" s="651" t="s">
        <v>1113</v>
      </c>
      <c r="BB10" s="651" t="s">
        <v>1108</v>
      </c>
      <c r="BC10" s="651" t="s">
        <v>1109</v>
      </c>
      <c r="BD10" s="651" t="s">
        <v>1110</v>
      </c>
      <c r="BE10" s="651" t="s">
        <v>1108</v>
      </c>
      <c r="BF10" s="651" t="s">
        <v>1109</v>
      </c>
      <c r="BG10" s="651" t="s">
        <v>1110</v>
      </c>
      <c r="BH10" s="651" t="s">
        <v>1111</v>
      </c>
      <c r="BI10" s="651" t="s">
        <v>1112</v>
      </c>
      <c r="BJ10" s="651" t="s">
        <v>1113</v>
      </c>
      <c r="BK10" s="651" t="s">
        <v>1114</v>
      </c>
      <c r="BL10" s="651" t="s">
        <v>1115</v>
      </c>
      <c r="BM10" s="651" t="s">
        <v>1116</v>
      </c>
      <c r="BN10" s="651" t="s">
        <v>1117</v>
      </c>
      <c r="BO10" s="651" t="s">
        <v>1118</v>
      </c>
      <c r="BP10" s="651" t="s">
        <v>1119</v>
      </c>
      <c r="BQ10" s="651" t="s">
        <v>1120</v>
      </c>
      <c r="BR10" s="651" t="s">
        <v>1121</v>
      </c>
      <c r="BS10" s="651" t="s">
        <v>1122</v>
      </c>
      <c r="BT10" s="652" t="s">
        <v>1123</v>
      </c>
      <c r="BU10" s="652" t="s">
        <v>1124</v>
      </c>
      <c r="BV10" s="652" t="s">
        <v>1125</v>
      </c>
      <c r="BW10" s="652" t="s">
        <v>1126</v>
      </c>
      <c r="BX10" s="652" t="s">
        <v>1127</v>
      </c>
      <c r="BY10" s="652" t="s">
        <v>1128</v>
      </c>
      <c r="CA10" s="651" t="s">
        <v>1111</v>
      </c>
      <c r="CB10" s="651" t="s">
        <v>1112</v>
      </c>
      <c r="CC10" s="651" t="s">
        <v>1113</v>
      </c>
      <c r="CD10" s="651" t="s">
        <v>1108</v>
      </c>
      <c r="CE10" s="651" t="s">
        <v>1109</v>
      </c>
      <c r="CF10" s="651" t="s">
        <v>1110</v>
      </c>
      <c r="CG10" s="651" t="s">
        <v>1108</v>
      </c>
      <c r="CH10" s="651" t="s">
        <v>1109</v>
      </c>
      <c r="CI10" s="651" t="s">
        <v>1110</v>
      </c>
      <c r="CJ10" s="651" t="s">
        <v>1111</v>
      </c>
      <c r="CK10" s="651" t="s">
        <v>1112</v>
      </c>
      <c r="CL10" s="651" t="s">
        <v>1113</v>
      </c>
      <c r="CM10" s="651" t="s">
        <v>1114</v>
      </c>
      <c r="CN10" s="651" t="s">
        <v>1115</v>
      </c>
      <c r="CO10" s="651" t="s">
        <v>1116</v>
      </c>
      <c r="CP10" s="651" t="s">
        <v>1117</v>
      </c>
      <c r="CQ10" s="651" t="s">
        <v>1118</v>
      </c>
      <c r="CR10" s="651" t="s">
        <v>1119</v>
      </c>
      <c r="CS10" s="651" t="s">
        <v>1120</v>
      </c>
      <c r="CT10" s="651" t="s">
        <v>1121</v>
      </c>
      <c r="CU10" s="651" t="s">
        <v>1122</v>
      </c>
      <c r="CV10" s="652" t="s">
        <v>1123</v>
      </c>
      <c r="CW10" s="652" t="s">
        <v>1124</v>
      </c>
      <c r="CX10" s="652" t="s">
        <v>1125</v>
      </c>
      <c r="CY10" s="652" t="s">
        <v>1126</v>
      </c>
      <c r="CZ10" s="652" t="s">
        <v>1127</v>
      </c>
      <c r="DA10" s="652" t="s">
        <v>1128</v>
      </c>
      <c r="DC10" s="651" t="s">
        <v>1111</v>
      </c>
      <c r="DD10" s="651" t="s">
        <v>1112</v>
      </c>
      <c r="DE10" s="651" t="s">
        <v>1113</v>
      </c>
      <c r="DF10" s="651" t="s">
        <v>1108</v>
      </c>
      <c r="DG10" s="651" t="s">
        <v>1109</v>
      </c>
      <c r="DH10" s="651" t="s">
        <v>1110</v>
      </c>
      <c r="DI10" s="651" t="s">
        <v>1108</v>
      </c>
      <c r="DJ10" s="651" t="s">
        <v>1109</v>
      </c>
      <c r="DK10" s="651" t="s">
        <v>1110</v>
      </c>
      <c r="DL10" s="651" t="s">
        <v>1111</v>
      </c>
      <c r="DM10" s="651" t="s">
        <v>1112</v>
      </c>
      <c r="DN10" s="651" t="s">
        <v>1113</v>
      </c>
      <c r="DO10" s="651" t="s">
        <v>1114</v>
      </c>
      <c r="DP10" s="651" t="s">
        <v>1115</v>
      </c>
      <c r="DQ10" s="651" t="s">
        <v>1116</v>
      </c>
      <c r="DR10" s="651" t="s">
        <v>1117</v>
      </c>
      <c r="DS10" s="651" t="s">
        <v>1118</v>
      </c>
      <c r="DT10" s="651" t="s">
        <v>1119</v>
      </c>
      <c r="DU10" s="651" t="s">
        <v>1120</v>
      </c>
      <c r="DV10" s="651" t="s">
        <v>1121</v>
      </c>
      <c r="DW10" s="651" t="s">
        <v>1122</v>
      </c>
      <c r="DX10" s="652" t="s">
        <v>1123</v>
      </c>
      <c r="DY10" s="652" t="s">
        <v>1124</v>
      </c>
      <c r="DZ10" s="652" t="s">
        <v>1125</v>
      </c>
      <c r="EA10" s="652" t="s">
        <v>1126</v>
      </c>
      <c r="EB10" s="652" t="s">
        <v>1127</v>
      </c>
      <c r="EC10" s="652" t="s">
        <v>1128</v>
      </c>
      <c r="EE10" s="651" t="s">
        <v>1111</v>
      </c>
      <c r="EF10" s="651" t="s">
        <v>1112</v>
      </c>
      <c r="EG10" s="651" t="s">
        <v>1113</v>
      </c>
      <c r="EH10" s="651" t="s">
        <v>1108</v>
      </c>
      <c r="EI10" s="651" t="s">
        <v>1109</v>
      </c>
      <c r="EJ10" s="651" t="s">
        <v>1110</v>
      </c>
      <c r="EK10" s="896"/>
      <c r="EL10" s="897"/>
      <c r="EM10" s="897"/>
      <c r="EN10" s="897"/>
      <c r="EO10" s="897"/>
      <c r="EP10" s="897"/>
      <c r="EQ10" s="897"/>
      <c r="ER10" s="897"/>
      <c r="ES10" s="897"/>
      <c r="ET10" s="898"/>
      <c r="EU10" s="653"/>
      <c r="EV10" s="646"/>
      <c r="EW10" s="646"/>
      <c r="EX10" s="646"/>
      <c r="EY10" s="646"/>
      <c r="EZ10" s="646"/>
      <c r="FA10" s="646"/>
      <c r="FB10" s="646"/>
      <c r="FC10" s="646"/>
      <c r="FD10" s="646"/>
      <c r="FE10" s="646"/>
      <c r="FF10" s="646"/>
      <c r="FG10" s="646"/>
      <c r="FH10" s="646"/>
      <c r="FI10" s="646"/>
      <c r="FJ10" s="646"/>
      <c r="FK10" s="646"/>
      <c r="FL10" s="646"/>
      <c r="FM10" s="646"/>
      <c r="FN10" s="646"/>
      <c r="FO10" s="646"/>
      <c r="FP10" s="646"/>
      <c r="FQ10" s="646"/>
      <c r="FR10" s="646"/>
      <c r="FS10" s="646"/>
      <c r="FT10" s="646"/>
      <c r="FU10" s="646"/>
      <c r="FV10" s="646"/>
      <c r="FW10" s="646"/>
      <c r="FX10" s="646"/>
      <c r="FY10" s="646"/>
      <c r="FZ10" s="646"/>
      <c r="GA10" s="646"/>
      <c r="GB10" s="646"/>
      <c r="GC10" s="646"/>
      <c r="GD10" s="646"/>
      <c r="GE10" s="646"/>
      <c r="GF10" s="646"/>
      <c r="GG10" s="646"/>
      <c r="GH10" s="646"/>
      <c r="GI10" s="646"/>
      <c r="GJ10" s="646"/>
      <c r="GK10" s="646"/>
      <c r="GL10" s="646"/>
      <c r="GM10" s="646"/>
      <c r="GN10" s="646"/>
      <c r="GO10" s="646"/>
      <c r="GP10" s="646"/>
      <c r="GQ10" s="646"/>
      <c r="GR10" s="646"/>
      <c r="GS10" s="646"/>
      <c r="GT10" s="646"/>
      <c r="GU10" s="646"/>
      <c r="GV10" s="646"/>
      <c r="GW10" s="646"/>
      <c r="GX10" s="646"/>
      <c r="GY10" s="646"/>
      <c r="GZ10" s="646"/>
      <c r="HA10" s="646"/>
      <c r="HB10" s="646"/>
      <c r="HC10" s="646"/>
      <c r="HD10" s="646"/>
      <c r="HE10" s="646"/>
      <c r="HF10" s="646"/>
      <c r="HG10" s="646"/>
      <c r="HH10" s="646"/>
      <c r="HI10" s="646"/>
      <c r="HJ10" s="646"/>
      <c r="HK10" s="646"/>
      <c r="HL10" s="646"/>
      <c r="HM10" s="646"/>
      <c r="HN10" s="646"/>
      <c r="HO10" s="646"/>
      <c r="HP10" s="646"/>
      <c r="HQ10" s="646"/>
      <c r="HR10" s="646"/>
      <c r="HS10" s="646"/>
      <c r="HT10" s="646"/>
      <c r="HU10" s="646"/>
      <c r="HV10" s="646"/>
      <c r="HW10" s="646"/>
      <c r="HX10" s="646"/>
      <c r="HY10" s="646"/>
      <c r="HZ10" s="646"/>
      <c r="IA10" s="646"/>
      <c r="IB10" s="646"/>
      <c r="IC10" s="646"/>
      <c r="ID10" s="646"/>
      <c r="IE10" s="646"/>
      <c r="IF10" s="646"/>
      <c r="IG10" s="646"/>
      <c r="IH10" s="646"/>
      <c r="II10" s="646"/>
      <c r="IJ10" s="646"/>
      <c r="IK10" s="646"/>
      <c r="IL10" s="646"/>
      <c r="IM10" s="646"/>
      <c r="IN10" s="646"/>
      <c r="IO10" s="646"/>
      <c r="IP10" s="646"/>
      <c r="IQ10" s="646"/>
      <c r="IR10" s="646"/>
      <c r="IS10" s="646"/>
      <c r="IT10" s="646"/>
      <c r="IU10" s="646"/>
      <c r="IV10" s="646"/>
    </row>
  </sheetData>
  <mergeCells count="47">
    <mergeCell ref="DR9:DT9"/>
    <mergeCell ref="CA9:CC9"/>
    <mergeCell ref="CD9:CF9"/>
    <mergeCell ref="CS9:CU9"/>
    <mergeCell ref="CY9:DA9"/>
    <mergeCell ref="DO9:DQ9"/>
    <mergeCell ref="CG9:CI9"/>
    <mergeCell ref="CJ9:CL9"/>
    <mergeCell ref="CM9:CO9"/>
    <mergeCell ref="CP9:CR9"/>
    <mergeCell ref="DL9:DN9"/>
    <mergeCell ref="EK10:ET10"/>
    <mergeCell ref="DU9:DW9"/>
    <mergeCell ref="EA9:EC9"/>
    <mergeCell ref="EE9:EG9"/>
    <mergeCell ref="EH9:EJ9"/>
    <mergeCell ref="BE8:CF8"/>
    <mergeCell ref="BW9:BY9"/>
    <mergeCell ref="BK9:BM9"/>
    <mergeCell ref="BN9:BP9"/>
    <mergeCell ref="DI9:DK9"/>
    <mergeCell ref="BQ9:BS9"/>
    <mergeCell ref="CG8:DH8"/>
    <mergeCell ref="DF9:DH9"/>
    <mergeCell ref="DI8:EJ8"/>
    <mergeCell ref="EK8:ET8"/>
    <mergeCell ref="M9:O9"/>
    <mergeCell ref="S9:U9"/>
    <mergeCell ref="A8:AB8"/>
    <mergeCell ref="AC8:BD8"/>
    <mergeCell ref="A9:C9"/>
    <mergeCell ref="D9:F9"/>
    <mergeCell ref="BE9:BG9"/>
    <mergeCell ref="DC9:DE9"/>
    <mergeCell ref="G9:I9"/>
    <mergeCell ref="J9:L9"/>
    <mergeCell ref="AY9:BA9"/>
    <mergeCell ref="BB9:BD9"/>
    <mergeCell ref="W9:Y9"/>
    <mergeCell ref="Z9:AB9"/>
    <mergeCell ref="AC9:AE9"/>
    <mergeCell ref="AF9:AH9"/>
    <mergeCell ref="BH9:BJ9"/>
    <mergeCell ref="AI9:AK9"/>
    <mergeCell ref="AL9:AN9"/>
    <mergeCell ref="AO9:AQ9"/>
    <mergeCell ref="AU9:AW9"/>
  </mergeCells>
  <phoneticPr fontId="1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HE85"/>
  <sheetViews>
    <sheetView zoomScale="75" workbookViewId="0">
      <selection activeCell="FU31" sqref="FU31"/>
    </sheetView>
  </sheetViews>
  <sheetFormatPr defaultRowHeight="12.75" x14ac:dyDescent="0.2"/>
  <cols>
    <col min="6" max="6" width="12.140625" customWidth="1"/>
    <col min="12" max="12" width="12.7109375" customWidth="1"/>
    <col min="13" max="13" width="16.28515625" customWidth="1"/>
    <col min="14" max="116" width="12.7109375" customWidth="1"/>
    <col min="117" max="117" width="11.140625" customWidth="1"/>
    <col min="119" max="119" width="12.5703125" customWidth="1"/>
    <col min="120" max="149" width="12.7109375" customWidth="1"/>
    <col min="150" max="150" width="14" customWidth="1"/>
    <col min="151" max="170" width="12.7109375" customWidth="1"/>
    <col min="171" max="171" width="13.28515625" customWidth="1"/>
    <col min="172" max="175" width="12.7109375" customWidth="1"/>
    <col min="176" max="177" width="13.7109375" customWidth="1"/>
    <col min="178" max="178" width="11.5703125" style="6" customWidth="1"/>
    <col min="179" max="179" width="12.42578125" style="6" customWidth="1"/>
    <col min="180" max="180" width="10.28515625" customWidth="1"/>
    <col min="181" max="181" width="11.85546875" customWidth="1"/>
  </cols>
  <sheetData>
    <row r="1" spans="1:213" x14ac:dyDescent="0.2">
      <c r="FV1"/>
      <c r="FW1"/>
    </row>
    <row r="2" spans="1:213" x14ac:dyDescent="0.2">
      <c r="AA2" t="e">
        <f>#REF!</f>
        <v>#REF!</v>
      </c>
      <c r="AV2" t="e">
        <f>#REF!</f>
        <v>#REF!</v>
      </c>
      <c r="BQ2" t="e">
        <f>#REF!</f>
        <v>#REF!</v>
      </c>
      <c r="DG2" t="e">
        <f>#REF!</f>
        <v>#REF!</v>
      </c>
      <c r="FV2"/>
      <c r="FW2"/>
    </row>
    <row r="3" spans="1:213" x14ac:dyDescent="0.2">
      <c r="FV3"/>
      <c r="FW3"/>
    </row>
    <row r="4" spans="1:213" x14ac:dyDescent="0.2">
      <c r="A4">
        <v>1</v>
      </c>
      <c r="B4">
        <v>2</v>
      </c>
      <c r="C4">
        <v>3</v>
      </c>
      <c r="D4">
        <v>4</v>
      </c>
      <c r="E4">
        <v>5</v>
      </c>
      <c r="F4">
        <v>6</v>
      </c>
      <c r="G4">
        <v>7</v>
      </c>
      <c r="H4">
        <v>8</v>
      </c>
      <c r="I4">
        <v>9</v>
      </c>
      <c r="J4">
        <v>10</v>
      </c>
      <c r="K4">
        <v>11</v>
      </c>
      <c r="L4">
        <v>12</v>
      </c>
      <c r="M4">
        <v>13</v>
      </c>
      <c r="N4">
        <v>14</v>
      </c>
      <c r="O4">
        <v>15</v>
      </c>
      <c r="P4">
        <v>16</v>
      </c>
      <c r="Q4">
        <v>17</v>
      </c>
      <c r="R4">
        <v>18</v>
      </c>
      <c r="S4">
        <v>19</v>
      </c>
      <c r="T4">
        <v>20</v>
      </c>
      <c r="U4">
        <v>21</v>
      </c>
      <c r="V4">
        <v>22</v>
      </c>
      <c r="W4">
        <v>23</v>
      </c>
      <c r="X4">
        <v>24</v>
      </c>
      <c r="Y4">
        <v>25</v>
      </c>
      <c r="Z4">
        <v>26</v>
      </c>
      <c r="AA4">
        <v>27</v>
      </c>
      <c r="AB4">
        <v>28</v>
      </c>
      <c r="AC4">
        <v>29</v>
      </c>
      <c r="AD4">
        <v>30</v>
      </c>
      <c r="AE4">
        <v>31</v>
      </c>
      <c r="AF4">
        <v>32</v>
      </c>
      <c r="AG4">
        <v>33</v>
      </c>
      <c r="AH4">
        <v>34</v>
      </c>
      <c r="AI4">
        <v>35</v>
      </c>
      <c r="AJ4">
        <v>36</v>
      </c>
      <c r="AK4">
        <v>37</v>
      </c>
      <c r="AL4">
        <v>38</v>
      </c>
      <c r="AM4">
        <v>39</v>
      </c>
      <c r="AN4">
        <v>40</v>
      </c>
      <c r="AO4">
        <v>41</v>
      </c>
      <c r="AP4">
        <v>42</v>
      </c>
      <c r="AQ4">
        <v>43</v>
      </c>
      <c r="AR4">
        <v>44</v>
      </c>
      <c r="AS4">
        <v>45</v>
      </c>
      <c r="AT4">
        <v>46</v>
      </c>
      <c r="AU4">
        <v>47</v>
      </c>
      <c r="AV4">
        <v>48</v>
      </c>
      <c r="AW4">
        <v>49</v>
      </c>
      <c r="AX4">
        <v>50</v>
      </c>
      <c r="AY4">
        <v>51</v>
      </c>
      <c r="AZ4">
        <v>52</v>
      </c>
      <c r="BA4">
        <v>53</v>
      </c>
      <c r="BB4">
        <v>54</v>
      </c>
      <c r="BC4">
        <v>55</v>
      </c>
      <c r="BD4">
        <v>56</v>
      </c>
      <c r="BE4">
        <v>57</v>
      </c>
      <c r="BF4">
        <v>58</v>
      </c>
      <c r="BG4">
        <v>59</v>
      </c>
      <c r="BH4">
        <v>60</v>
      </c>
      <c r="BI4">
        <v>61</v>
      </c>
      <c r="BJ4">
        <v>62</v>
      </c>
      <c r="BK4">
        <v>63</v>
      </c>
      <c r="BL4">
        <v>64</v>
      </c>
      <c r="BM4">
        <v>65</v>
      </c>
      <c r="BN4">
        <v>66</v>
      </c>
      <c r="BO4">
        <v>67</v>
      </c>
      <c r="BP4">
        <v>68</v>
      </c>
      <c r="BQ4">
        <v>69</v>
      </c>
      <c r="BR4">
        <v>70</v>
      </c>
      <c r="BS4">
        <v>71</v>
      </c>
      <c r="BT4">
        <v>72</v>
      </c>
      <c r="BU4">
        <v>73</v>
      </c>
      <c r="BV4">
        <v>74</v>
      </c>
      <c r="BW4">
        <v>75</v>
      </c>
      <c r="BX4">
        <v>76</v>
      </c>
      <c r="BY4">
        <v>77</v>
      </c>
      <c r="BZ4">
        <v>78</v>
      </c>
      <c r="CA4">
        <v>79</v>
      </c>
      <c r="CB4">
        <v>80</v>
      </c>
      <c r="CC4">
        <v>81</v>
      </c>
      <c r="CD4">
        <v>82</v>
      </c>
      <c r="CE4">
        <v>83</v>
      </c>
      <c r="CF4">
        <v>84</v>
      </c>
      <c r="CG4">
        <v>85</v>
      </c>
      <c r="CH4">
        <v>86</v>
      </c>
      <c r="CI4">
        <v>87</v>
      </c>
      <c r="CJ4">
        <v>88</v>
      </c>
      <c r="CK4">
        <v>89</v>
      </c>
      <c r="CL4">
        <v>90</v>
      </c>
      <c r="CM4">
        <v>91</v>
      </c>
      <c r="CN4">
        <v>92</v>
      </c>
      <c r="CO4">
        <v>93</v>
      </c>
      <c r="CP4">
        <v>94</v>
      </c>
      <c r="CQ4">
        <v>95</v>
      </c>
      <c r="CR4">
        <v>96</v>
      </c>
      <c r="CS4">
        <v>97</v>
      </c>
      <c r="CT4">
        <v>98</v>
      </c>
      <c r="CU4">
        <v>99</v>
      </c>
      <c r="CV4">
        <v>100</v>
      </c>
      <c r="CW4">
        <v>101</v>
      </c>
      <c r="CX4">
        <v>102</v>
      </c>
      <c r="CY4">
        <v>103</v>
      </c>
      <c r="CZ4">
        <v>104</v>
      </c>
      <c r="DA4">
        <v>105</v>
      </c>
      <c r="DB4">
        <v>106</v>
      </c>
      <c r="DC4">
        <v>107</v>
      </c>
      <c r="DD4">
        <v>108</v>
      </c>
      <c r="DE4">
        <v>109</v>
      </c>
      <c r="DF4">
        <v>110</v>
      </c>
      <c r="DG4">
        <v>111</v>
      </c>
      <c r="DH4">
        <v>112</v>
      </c>
      <c r="DI4">
        <v>113</v>
      </c>
      <c r="DJ4">
        <v>114</v>
      </c>
      <c r="DK4">
        <v>115</v>
      </c>
      <c r="DL4">
        <v>116</v>
      </c>
      <c r="DM4">
        <v>117</v>
      </c>
      <c r="DN4">
        <v>118</v>
      </c>
      <c r="DO4">
        <v>119</v>
      </c>
      <c r="DP4">
        <v>120</v>
      </c>
      <c r="DQ4">
        <v>121</v>
      </c>
      <c r="DR4">
        <v>122</v>
      </c>
      <c r="DS4">
        <v>123</v>
      </c>
      <c r="DT4">
        <v>124</v>
      </c>
      <c r="DU4">
        <v>125</v>
      </c>
      <c r="DV4">
        <v>126</v>
      </c>
      <c r="DW4">
        <v>127</v>
      </c>
      <c r="DX4">
        <v>128</v>
      </c>
      <c r="DY4">
        <v>129</v>
      </c>
      <c r="DZ4">
        <v>130</v>
      </c>
      <c r="EA4">
        <v>131</v>
      </c>
      <c r="EB4">
        <v>132</v>
      </c>
      <c r="EC4">
        <v>133</v>
      </c>
      <c r="ED4">
        <v>134</v>
      </c>
      <c r="EE4">
        <v>135</v>
      </c>
      <c r="EF4">
        <v>136</v>
      </c>
      <c r="EG4">
        <v>137</v>
      </c>
      <c r="EH4">
        <v>138</v>
      </c>
      <c r="EI4">
        <v>139</v>
      </c>
      <c r="EJ4">
        <v>140</v>
      </c>
      <c r="EK4">
        <v>141</v>
      </c>
      <c r="EL4">
        <v>142</v>
      </c>
      <c r="EM4">
        <v>143</v>
      </c>
      <c r="EN4">
        <v>144</v>
      </c>
      <c r="EO4">
        <v>145</v>
      </c>
      <c r="EP4">
        <v>146</v>
      </c>
      <c r="EQ4">
        <v>147</v>
      </c>
      <c r="ER4">
        <v>148</v>
      </c>
      <c r="ES4">
        <v>149</v>
      </c>
      <c r="ET4">
        <v>150</v>
      </c>
      <c r="EU4">
        <v>151</v>
      </c>
      <c r="EV4">
        <v>152</v>
      </c>
      <c r="EW4">
        <v>153</v>
      </c>
      <c r="EX4">
        <v>154</v>
      </c>
      <c r="EY4">
        <v>155</v>
      </c>
      <c r="EZ4">
        <v>156</v>
      </c>
      <c r="FA4">
        <v>157</v>
      </c>
      <c r="FB4">
        <v>158</v>
      </c>
      <c r="FC4">
        <v>159</v>
      </c>
      <c r="FD4">
        <v>160</v>
      </c>
      <c r="FE4">
        <v>161</v>
      </c>
      <c r="FF4">
        <v>162</v>
      </c>
      <c r="FG4">
        <v>163</v>
      </c>
      <c r="FH4">
        <v>164</v>
      </c>
      <c r="FI4">
        <v>165</v>
      </c>
      <c r="FJ4">
        <v>166</v>
      </c>
      <c r="FK4">
        <v>167</v>
      </c>
      <c r="FL4">
        <v>168</v>
      </c>
      <c r="FM4">
        <v>169</v>
      </c>
      <c r="FN4">
        <v>170</v>
      </c>
      <c r="FO4">
        <v>171</v>
      </c>
      <c r="FP4">
        <v>172</v>
      </c>
      <c r="FQ4">
        <v>173</v>
      </c>
      <c r="FR4">
        <v>174</v>
      </c>
      <c r="FS4">
        <v>175</v>
      </c>
      <c r="FT4">
        <v>176</v>
      </c>
      <c r="FU4">
        <v>177</v>
      </c>
      <c r="FV4">
        <v>178</v>
      </c>
      <c r="FW4">
        <v>179</v>
      </c>
      <c r="FX4">
        <v>180</v>
      </c>
      <c r="FY4">
        <v>181</v>
      </c>
      <c r="FZ4">
        <v>182</v>
      </c>
    </row>
    <row r="5" spans="1:213" x14ac:dyDescent="0.2">
      <c r="C5" s="35">
        <v>11</v>
      </c>
      <c r="D5" s="35">
        <v>7</v>
      </c>
      <c r="E5" s="35">
        <v>6</v>
      </c>
      <c r="F5" s="35">
        <v>8</v>
      </c>
      <c r="G5" s="35">
        <v>29</v>
      </c>
      <c r="H5" s="35">
        <v>30</v>
      </c>
      <c r="I5" s="35">
        <v>31</v>
      </c>
      <c r="J5" s="35">
        <v>32</v>
      </c>
      <c r="K5" s="35">
        <v>28</v>
      </c>
      <c r="L5" s="35">
        <v>14</v>
      </c>
      <c r="M5" s="35">
        <v>15</v>
      </c>
      <c r="N5" s="113">
        <v>35</v>
      </c>
      <c r="O5" s="35"/>
      <c r="P5" s="35"/>
      <c r="Q5" s="35"/>
      <c r="R5" s="35"/>
      <c r="S5" s="35"/>
      <c r="T5" s="35"/>
      <c r="U5" s="35"/>
      <c r="V5" s="35"/>
      <c r="W5" s="35"/>
      <c r="X5" s="35"/>
      <c r="Y5" s="35"/>
      <c r="Z5" s="35"/>
      <c r="AA5" s="113">
        <v>33</v>
      </c>
      <c r="AB5" s="113">
        <v>34</v>
      </c>
      <c r="AC5" s="35"/>
      <c r="AD5" s="35"/>
      <c r="AE5" s="35"/>
      <c r="AF5" s="35"/>
      <c r="AG5" s="35"/>
      <c r="AH5" s="35"/>
      <c r="AI5" s="67">
        <v>42</v>
      </c>
      <c r="AJ5" s="35"/>
      <c r="AK5" s="35"/>
      <c r="AL5" s="35"/>
      <c r="AM5" s="35"/>
      <c r="AN5" s="35"/>
      <c r="AO5" s="35"/>
      <c r="AP5" s="35"/>
      <c r="AQ5" s="35"/>
      <c r="AR5" s="35"/>
      <c r="AS5" s="35"/>
      <c r="AT5" s="35"/>
      <c r="AU5" s="35"/>
      <c r="AV5" s="67">
        <v>40</v>
      </c>
      <c r="AW5" s="67">
        <v>41</v>
      </c>
      <c r="AX5" s="35"/>
      <c r="AY5" s="35"/>
      <c r="AZ5" s="35"/>
      <c r="BA5" s="35"/>
      <c r="BB5" s="35"/>
      <c r="BC5" s="35"/>
      <c r="BD5" s="113">
        <v>49</v>
      </c>
      <c r="BE5" s="35"/>
      <c r="BF5" s="35"/>
      <c r="BG5" s="35"/>
      <c r="BH5" s="35"/>
      <c r="BI5" s="35"/>
      <c r="BJ5" s="35"/>
      <c r="BK5" s="35"/>
      <c r="BL5" s="35"/>
      <c r="BM5" s="35"/>
      <c r="BN5" s="35"/>
      <c r="BO5" s="35"/>
      <c r="BP5" s="35"/>
      <c r="BQ5" s="113">
        <v>47</v>
      </c>
      <c r="BR5" s="113">
        <v>48</v>
      </c>
      <c r="BS5" s="35"/>
      <c r="BT5" s="35"/>
      <c r="BU5" s="35"/>
      <c r="BV5" s="35"/>
      <c r="BW5" s="35"/>
      <c r="BX5" s="35"/>
      <c r="BY5" s="67">
        <v>56</v>
      </c>
      <c r="BZ5" s="35"/>
      <c r="CA5" s="35"/>
      <c r="CB5" s="35"/>
      <c r="CC5" s="35"/>
      <c r="CD5" s="35"/>
      <c r="CE5" s="35"/>
      <c r="CF5" s="35"/>
      <c r="CG5" s="35"/>
      <c r="CH5" s="35"/>
      <c r="CI5" s="35"/>
      <c r="CJ5" s="35"/>
      <c r="CK5" s="35"/>
      <c r="CL5" s="67">
        <v>54</v>
      </c>
      <c r="CM5" s="67">
        <v>55</v>
      </c>
      <c r="CN5" s="35"/>
      <c r="CO5" s="35"/>
      <c r="CP5" s="35"/>
      <c r="CQ5" s="35"/>
      <c r="CR5" s="35"/>
      <c r="CS5" s="35"/>
      <c r="CT5" s="113">
        <v>63</v>
      </c>
      <c r="CU5" s="35"/>
      <c r="CV5" s="35"/>
      <c r="CW5" s="35"/>
      <c r="CX5" s="35"/>
      <c r="CY5" s="35"/>
      <c r="CZ5" s="35"/>
      <c r="DA5" s="35"/>
      <c r="DB5" s="35"/>
      <c r="DC5" s="35"/>
      <c r="DD5" s="35"/>
      <c r="DE5" s="35"/>
      <c r="DF5" s="35"/>
      <c r="DG5" s="113">
        <v>61</v>
      </c>
      <c r="DH5" s="113">
        <v>62</v>
      </c>
      <c r="DI5" s="35"/>
      <c r="DJ5" s="35"/>
      <c r="DK5" s="35"/>
      <c r="DL5" s="35"/>
      <c r="DM5">
        <v>13</v>
      </c>
      <c r="DN5">
        <v>12</v>
      </c>
      <c r="DO5" s="35">
        <v>15</v>
      </c>
      <c r="DP5" s="35">
        <v>38</v>
      </c>
      <c r="DQ5" s="35">
        <v>45</v>
      </c>
      <c r="DR5" s="35">
        <v>52</v>
      </c>
      <c r="DS5" s="35">
        <v>59</v>
      </c>
      <c r="DT5" s="35">
        <v>66</v>
      </c>
      <c r="DU5" s="35">
        <v>39</v>
      </c>
      <c r="DV5" s="35">
        <v>46</v>
      </c>
      <c r="DW5" s="35">
        <v>53</v>
      </c>
      <c r="DX5" s="35">
        <v>60</v>
      </c>
      <c r="DY5" s="35">
        <v>67</v>
      </c>
      <c r="FO5" s="35">
        <v>38</v>
      </c>
      <c r="FP5" s="35">
        <v>45</v>
      </c>
      <c r="FQ5" s="35">
        <v>52</v>
      </c>
      <c r="FR5" s="35">
        <v>59</v>
      </c>
      <c r="FS5" s="35">
        <v>66</v>
      </c>
      <c r="FV5"/>
      <c r="FW5"/>
      <c r="FX5" s="35">
        <v>96</v>
      </c>
    </row>
    <row r="6" spans="1:213" x14ac:dyDescent="0.2">
      <c r="AB6" s="113">
        <v>37</v>
      </c>
      <c r="AW6" s="67">
        <v>44</v>
      </c>
      <c r="BR6" s="113">
        <v>51</v>
      </c>
      <c r="CM6" s="67">
        <v>58</v>
      </c>
      <c r="DH6" s="113">
        <v>65</v>
      </c>
      <c r="DJ6" s="15"/>
      <c r="DK6" s="15"/>
      <c r="DL6" s="15"/>
      <c r="DO6" s="15"/>
      <c r="DP6" s="15"/>
      <c r="DQ6" s="15"/>
      <c r="DR6" s="15"/>
      <c r="DS6" s="15"/>
      <c r="DT6" s="15"/>
      <c r="DU6" s="15"/>
      <c r="DV6" s="15"/>
      <c r="DW6" s="15"/>
      <c r="DX6" s="15"/>
      <c r="DY6" s="15"/>
      <c r="FV6"/>
      <c r="FW6"/>
    </row>
    <row r="7" spans="1:213" x14ac:dyDescent="0.2">
      <c r="K7" s="14"/>
      <c r="L7" s="14"/>
      <c r="M7" s="63"/>
      <c r="N7" s="28"/>
      <c r="O7" s="15"/>
      <c r="P7" s="28"/>
      <c r="Q7" s="15"/>
      <c r="R7" s="15"/>
      <c r="S7" s="15"/>
      <c r="U7" s="15"/>
      <c r="V7" s="15"/>
      <c r="Y7" s="15"/>
      <c r="Z7" s="15"/>
      <c r="AA7" s="15"/>
      <c r="AB7" s="15"/>
      <c r="AC7" s="15"/>
      <c r="AD7" s="89"/>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6"/>
      <c r="CK7" s="16"/>
      <c r="CL7" s="29"/>
      <c r="CM7" s="40"/>
      <c r="CN7" s="17"/>
      <c r="CO7" s="40"/>
      <c r="CR7" s="40"/>
      <c r="CS7" s="40"/>
      <c r="CT7" s="40"/>
      <c r="CU7" s="40"/>
      <c r="CV7" s="40"/>
      <c r="CW7" s="40"/>
      <c r="CX7" s="40"/>
      <c r="CY7" s="40"/>
      <c r="CZ7" s="40"/>
      <c r="DA7" s="29"/>
      <c r="DB7" s="40"/>
      <c r="DC7" s="17"/>
      <c r="DD7" s="17"/>
      <c r="DE7" s="17"/>
      <c r="DF7" s="17"/>
      <c r="DG7" s="17"/>
      <c r="DH7" s="17"/>
      <c r="DI7" s="17"/>
      <c r="DJ7" s="17"/>
      <c r="DK7" s="17"/>
      <c r="DL7" s="17"/>
      <c r="DO7" s="17"/>
      <c r="DP7" s="162"/>
      <c r="DQ7" s="162"/>
      <c r="DR7" s="162"/>
      <c r="DS7" s="162"/>
      <c r="DT7" s="162"/>
      <c r="FV7"/>
      <c r="FW7"/>
    </row>
    <row r="8" spans="1:213" ht="38.25" x14ac:dyDescent="0.2">
      <c r="A8" s="19" t="s">
        <v>274</v>
      </c>
      <c r="C8" s="98" t="s">
        <v>431</v>
      </c>
      <c r="D8" t="s">
        <v>140</v>
      </c>
      <c r="E8" s="98" t="s">
        <v>429</v>
      </c>
      <c r="F8" s="98" t="s">
        <v>430</v>
      </c>
      <c r="G8" s="98" t="s">
        <v>142</v>
      </c>
      <c r="H8" s="98" t="s">
        <v>143</v>
      </c>
      <c r="I8" s="98" t="s">
        <v>144</v>
      </c>
      <c r="J8" s="98" t="s">
        <v>145</v>
      </c>
      <c r="K8" s="98" t="s">
        <v>147</v>
      </c>
      <c r="L8" s="102" t="s">
        <v>196</v>
      </c>
      <c r="M8" s="102" t="s">
        <v>196</v>
      </c>
      <c r="N8" s="102" t="s">
        <v>197</v>
      </c>
      <c r="O8" s="102" t="s">
        <v>249</v>
      </c>
      <c r="P8" s="102" t="s">
        <v>250</v>
      </c>
      <c r="Q8" s="102" t="s">
        <v>198</v>
      </c>
      <c r="R8" s="102" t="s">
        <v>199</v>
      </c>
      <c r="S8" s="13" t="s">
        <v>180</v>
      </c>
      <c r="T8" s="90" t="s">
        <v>180</v>
      </c>
      <c r="U8" s="90" t="s">
        <v>200</v>
      </c>
      <c r="V8" s="90" t="s">
        <v>201</v>
      </c>
      <c r="W8" s="90" t="s">
        <v>208</v>
      </c>
      <c r="X8" s="90" t="s">
        <v>207</v>
      </c>
      <c r="Y8" s="90" t="s">
        <v>251</v>
      </c>
      <c r="Z8" s="90" t="s">
        <v>251</v>
      </c>
      <c r="AA8" s="90" t="s">
        <v>202</v>
      </c>
      <c r="AB8" s="90" t="s">
        <v>203</v>
      </c>
      <c r="AC8" s="90" t="s">
        <v>204</v>
      </c>
      <c r="AD8" s="90" t="s">
        <v>205</v>
      </c>
      <c r="AE8" s="90" t="s">
        <v>206</v>
      </c>
      <c r="AF8" s="90" t="s">
        <v>255</v>
      </c>
      <c r="AG8" s="103" t="s">
        <v>196</v>
      </c>
      <c r="AH8" s="103" t="s">
        <v>196</v>
      </c>
      <c r="AI8" s="103" t="s">
        <v>197</v>
      </c>
      <c r="AJ8" s="103" t="s">
        <v>249</v>
      </c>
      <c r="AK8" s="103" t="s">
        <v>250</v>
      </c>
      <c r="AL8" s="103" t="s">
        <v>198</v>
      </c>
      <c r="AM8" s="103" t="s">
        <v>199</v>
      </c>
      <c r="AN8" s="92" t="s">
        <v>180</v>
      </c>
      <c r="AO8" s="91" t="s">
        <v>180</v>
      </c>
      <c r="AP8" s="91" t="s">
        <v>200</v>
      </c>
      <c r="AQ8" s="91" t="s">
        <v>201</v>
      </c>
      <c r="AR8" s="91" t="s">
        <v>208</v>
      </c>
      <c r="AS8" s="91" t="s">
        <v>207</v>
      </c>
      <c r="AT8" s="91" t="s">
        <v>251</v>
      </c>
      <c r="AU8" s="91" t="s">
        <v>251</v>
      </c>
      <c r="AV8" s="91" t="s">
        <v>202</v>
      </c>
      <c r="AW8" s="91" t="s">
        <v>203</v>
      </c>
      <c r="AX8" s="91" t="s">
        <v>204</v>
      </c>
      <c r="AY8" s="91" t="s">
        <v>205</v>
      </c>
      <c r="AZ8" s="91" t="s">
        <v>206</v>
      </c>
      <c r="BA8" s="91" t="s">
        <v>255</v>
      </c>
      <c r="BB8" s="102" t="s">
        <v>196</v>
      </c>
      <c r="BC8" s="102" t="s">
        <v>196</v>
      </c>
      <c r="BD8" s="102" t="s">
        <v>197</v>
      </c>
      <c r="BE8" s="102" t="s">
        <v>249</v>
      </c>
      <c r="BF8" s="102" t="s">
        <v>250</v>
      </c>
      <c r="BG8" s="102" t="s">
        <v>198</v>
      </c>
      <c r="BH8" s="102" t="s">
        <v>199</v>
      </c>
      <c r="BI8" s="13" t="s">
        <v>180</v>
      </c>
      <c r="BJ8" s="90" t="s">
        <v>180</v>
      </c>
      <c r="BK8" s="90" t="s">
        <v>200</v>
      </c>
      <c r="BL8" s="90" t="s">
        <v>201</v>
      </c>
      <c r="BM8" s="90" t="s">
        <v>208</v>
      </c>
      <c r="BN8" s="90" t="s">
        <v>207</v>
      </c>
      <c r="BO8" s="90" t="s">
        <v>251</v>
      </c>
      <c r="BP8" s="90" t="s">
        <v>251</v>
      </c>
      <c r="BQ8" s="90" t="s">
        <v>202</v>
      </c>
      <c r="BR8" s="90" t="s">
        <v>203</v>
      </c>
      <c r="BS8" s="90" t="s">
        <v>204</v>
      </c>
      <c r="BT8" s="90" t="s">
        <v>205</v>
      </c>
      <c r="BU8" s="90" t="s">
        <v>206</v>
      </c>
      <c r="BV8" s="90" t="s">
        <v>255</v>
      </c>
      <c r="BW8" s="103" t="s">
        <v>196</v>
      </c>
      <c r="BX8" s="103" t="s">
        <v>196</v>
      </c>
      <c r="BY8" s="103" t="s">
        <v>197</v>
      </c>
      <c r="BZ8" s="103" t="s">
        <v>249</v>
      </c>
      <c r="CA8" s="103" t="s">
        <v>250</v>
      </c>
      <c r="CB8" s="103" t="s">
        <v>198</v>
      </c>
      <c r="CC8" s="103" t="s">
        <v>199</v>
      </c>
      <c r="CD8" s="92" t="s">
        <v>180</v>
      </c>
      <c r="CE8" s="91" t="s">
        <v>180</v>
      </c>
      <c r="CF8" s="91" t="s">
        <v>200</v>
      </c>
      <c r="CG8" s="91" t="s">
        <v>201</v>
      </c>
      <c r="CH8" s="91" t="s">
        <v>208</v>
      </c>
      <c r="CI8" s="91" t="s">
        <v>207</v>
      </c>
      <c r="CJ8" s="91" t="s">
        <v>251</v>
      </c>
      <c r="CK8" s="91" t="s">
        <v>251</v>
      </c>
      <c r="CL8" s="91" t="s">
        <v>202</v>
      </c>
      <c r="CM8" s="91" t="s">
        <v>203</v>
      </c>
      <c r="CN8" s="91" t="s">
        <v>204</v>
      </c>
      <c r="CO8" s="91" t="s">
        <v>205</v>
      </c>
      <c r="CP8" s="91" t="s">
        <v>206</v>
      </c>
      <c r="CQ8" s="91" t="s">
        <v>255</v>
      </c>
      <c r="CR8" s="102" t="s">
        <v>196</v>
      </c>
      <c r="CS8" s="102" t="s">
        <v>196</v>
      </c>
      <c r="CT8" s="102" t="s">
        <v>197</v>
      </c>
      <c r="CU8" s="102" t="s">
        <v>249</v>
      </c>
      <c r="CV8" s="102" t="s">
        <v>250</v>
      </c>
      <c r="CW8" s="102" t="s">
        <v>198</v>
      </c>
      <c r="CX8" s="102" t="s">
        <v>199</v>
      </c>
      <c r="CY8" s="13" t="s">
        <v>180</v>
      </c>
      <c r="CZ8" s="90" t="s">
        <v>180</v>
      </c>
      <c r="DA8" s="90" t="s">
        <v>200</v>
      </c>
      <c r="DB8" s="90" t="s">
        <v>201</v>
      </c>
      <c r="DC8" s="90" t="s">
        <v>208</v>
      </c>
      <c r="DD8" s="90" t="s">
        <v>207</v>
      </c>
      <c r="DE8" s="90" t="s">
        <v>251</v>
      </c>
      <c r="DF8" s="90" t="s">
        <v>251</v>
      </c>
      <c r="DG8" s="90" t="s">
        <v>202</v>
      </c>
      <c r="DH8" s="90" t="s">
        <v>203</v>
      </c>
      <c r="DI8" s="90" t="s">
        <v>204</v>
      </c>
      <c r="DJ8" s="90" t="s">
        <v>205</v>
      </c>
      <c r="DK8" s="90" t="s">
        <v>206</v>
      </c>
      <c r="DL8" s="90" t="s">
        <v>255</v>
      </c>
      <c r="DM8" s="213"/>
      <c r="DN8" s="213"/>
      <c r="DO8" s="118" t="s">
        <v>434</v>
      </c>
      <c r="DP8" t="s">
        <v>455</v>
      </c>
      <c r="DQ8" t="s">
        <v>455</v>
      </c>
      <c r="DR8" t="s">
        <v>455</v>
      </c>
      <c r="DS8" t="s">
        <v>455</v>
      </c>
      <c r="DT8" t="s">
        <v>455</v>
      </c>
      <c r="DU8" t="s">
        <v>438</v>
      </c>
      <c r="DV8" t="s">
        <v>438</v>
      </c>
      <c r="DW8" t="s">
        <v>438</v>
      </c>
      <c r="DX8" t="s">
        <v>438</v>
      </c>
      <c r="DY8" t="s">
        <v>438</v>
      </c>
      <c r="DZ8" t="s">
        <v>439</v>
      </c>
      <c r="EA8" t="s">
        <v>439</v>
      </c>
      <c r="EB8" t="s">
        <v>439</v>
      </c>
      <c r="EC8" t="s">
        <v>439</v>
      </c>
      <c r="ED8" t="s">
        <v>439</v>
      </c>
      <c r="EE8" t="s">
        <v>450</v>
      </c>
      <c r="EF8" t="s">
        <v>450</v>
      </c>
      <c r="EG8" t="s">
        <v>450</v>
      </c>
      <c r="EH8" t="s">
        <v>450</v>
      </c>
      <c r="EI8" t="s">
        <v>450</v>
      </c>
      <c r="EJ8" t="s">
        <v>210</v>
      </c>
      <c r="EK8" t="s">
        <v>210</v>
      </c>
      <c r="EL8" t="s">
        <v>210</v>
      </c>
      <c r="EM8" t="s">
        <v>210</v>
      </c>
      <c r="EN8" t="s">
        <v>210</v>
      </c>
      <c r="EO8" s="19" t="s">
        <v>1052</v>
      </c>
      <c r="EP8" s="19" t="s">
        <v>1052</v>
      </c>
      <c r="EQ8" s="19" t="s">
        <v>1052</v>
      </c>
      <c r="ER8" s="19" t="s">
        <v>1052</v>
      </c>
      <c r="ES8" s="19" t="s">
        <v>1052</v>
      </c>
      <c r="ET8" s="213" t="s">
        <v>497</v>
      </c>
      <c r="EY8" t="s">
        <v>1053</v>
      </c>
      <c r="EZ8" s="213" t="s">
        <v>497</v>
      </c>
      <c r="FE8" s="213"/>
      <c r="FF8" s="213" t="s">
        <v>499</v>
      </c>
      <c r="FO8" s="213" t="s">
        <v>539</v>
      </c>
      <c r="FP8" s="213" t="s">
        <v>539</v>
      </c>
      <c r="FQ8" s="213" t="s">
        <v>539</v>
      </c>
      <c r="FR8" s="213" t="s">
        <v>539</v>
      </c>
      <c r="FS8" s="213" t="s">
        <v>539</v>
      </c>
      <c r="FT8" s="213" t="s">
        <v>540</v>
      </c>
      <c r="FU8" s="213" t="s">
        <v>541</v>
      </c>
      <c r="FV8" s="213" t="s">
        <v>546</v>
      </c>
      <c r="FW8" s="213" t="s">
        <v>545</v>
      </c>
      <c r="FX8" s="420" t="s">
        <v>605</v>
      </c>
      <c r="FY8" s="213" t="s">
        <v>590</v>
      </c>
      <c r="FZ8" s="213" t="s">
        <v>592</v>
      </c>
      <c r="HA8" s="15"/>
      <c r="HB8" s="15"/>
      <c r="HC8" s="15"/>
      <c r="HD8" s="15"/>
      <c r="HE8" s="15"/>
    </row>
    <row r="9" spans="1:213" ht="23.85" customHeight="1" x14ac:dyDescent="0.2">
      <c r="K9" s="14"/>
      <c r="L9" s="102" t="s">
        <v>235</v>
      </c>
      <c r="M9" s="102" t="s">
        <v>236</v>
      </c>
      <c r="N9" s="102" t="s">
        <v>176</v>
      </c>
      <c r="O9" s="102" t="s">
        <v>237</v>
      </c>
      <c r="P9" s="102" t="s">
        <v>238</v>
      </c>
      <c r="Q9" s="102"/>
      <c r="R9" s="13"/>
      <c r="S9" s="13" t="s">
        <v>235</v>
      </c>
      <c r="T9" s="13" t="s">
        <v>236</v>
      </c>
      <c r="U9" s="13"/>
      <c r="V9" s="13"/>
      <c r="W9" s="13" t="s">
        <v>252</v>
      </c>
      <c r="X9" s="13" t="s">
        <v>253</v>
      </c>
      <c r="Y9" s="13" t="s">
        <v>239</v>
      </c>
      <c r="Z9" s="13" t="s">
        <v>254</v>
      </c>
      <c r="AA9" s="13" t="s">
        <v>176</v>
      </c>
      <c r="AB9" s="13" t="s">
        <v>177</v>
      </c>
      <c r="AC9" s="13"/>
      <c r="AD9" s="13" t="s">
        <v>177</v>
      </c>
      <c r="AE9" s="13" t="s">
        <v>252</v>
      </c>
      <c r="AF9" s="13" t="s">
        <v>253</v>
      </c>
      <c r="AG9" s="103" t="s">
        <v>235</v>
      </c>
      <c r="AH9" s="103" t="s">
        <v>236</v>
      </c>
      <c r="AI9" s="103" t="s">
        <v>176</v>
      </c>
      <c r="AJ9" s="103" t="s">
        <v>237</v>
      </c>
      <c r="AK9" s="103" t="s">
        <v>238</v>
      </c>
      <c r="AL9" s="103"/>
      <c r="AM9" s="92"/>
      <c r="AN9" s="92" t="s">
        <v>235</v>
      </c>
      <c r="AO9" s="92" t="s">
        <v>236</v>
      </c>
      <c r="AP9" s="92"/>
      <c r="AQ9" s="92"/>
      <c r="AR9" s="92" t="s">
        <v>252</v>
      </c>
      <c r="AS9" s="92" t="s">
        <v>253</v>
      </c>
      <c r="AT9" s="92" t="s">
        <v>239</v>
      </c>
      <c r="AU9" s="92" t="s">
        <v>254</v>
      </c>
      <c r="AV9" s="92" t="s">
        <v>176</v>
      </c>
      <c r="AW9" s="92" t="s">
        <v>177</v>
      </c>
      <c r="AX9" s="92"/>
      <c r="AY9" s="92" t="s">
        <v>177</v>
      </c>
      <c r="AZ9" s="92" t="s">
        <v>252</v>
      </c>
      <c r="BA9" s="92" t="s">
        <v>253</v>
      </c>
      <c r="BB9" s="102" t="s">
        <v>235</v>
      </c>
      <c r="BC9" s="102" t="s">
        <v>236</v>
      </c>
      <c r="BD9" s="102" t="s">
        <v>176</v>
      </c>
      <c r="BE9" s="102" t="s">
        <v>237</v>
      </c>
      <c r="BF9" s="102" t="s">
        <v>238</v>
      </c>
      <c r="BG9" s="102"/>
      <c r="BH9" s="13"/>
      <c r="BI9" s="13" t="s">
        <v>235</v>
      </c>
      <c r="BJ9" s="13" t="s">
        <v>236</v>
      </c>
      <c r="BK9" s="13"/>
      <c r="BL9" s="13"/>
      <c r="BM9" s="13" t="s">
        <v>252</v>
      </c>
      <c r="BN9" s="13" t="s">
        <v>253</v>
      </c>
      <c r="BO9" s="13" t="s">
        <v>239</v>
      </c>
      <c r="BP9" s="13" t="s">
        <v>254</v>
      </c>
      <c r="BQ9" s="13" t="s">
        <v>176</v>
      </c>
      <c r="BR9" s="13" t="s">
        <v>177</v>
      </c>
      <c r="BS9" s="13"/>
      <c r="BT9" s="13" t="s">
        <v>177</v>
      </c>
      <c r="BU9" s="13" t="s">
        <v>252</v>
      </c>
      <c r="BV9" s="13" t="s">
        <v>253</v>
      </c>
      <c r="BW9" s="103" t="s">
        <v>235</v>
      </c>
      <c r="BX9" s="103" t="s">
        <v>236</v>
      </c>
      <c r="BY9" s="103" t="s">
        <v>176</v>
      </c>
      <c r="BZ9" s="103" t="s">
        <v>237</v>
      </c>
      <c r="CA9" s="103" t="s">
        <v>238</v>
      </c>
      <c r="CB9" s="103"/>
      <c r="CC9" s="92"/>
      <c r="CD9" s="92" t="s">
        <v>235</v>
      </c>
      <c r="CE9" s="92" t="s">
        <v>236</v>
      </c>
      <c r="CF9" s="92"/>
      <c r="CG9" s="92"/>
      <c r="CH9" s="92" t="s">
        <v>252</v>
      </c>
      <c r="CI9" s="92" t="s">
        <v>253</v>
      </c>
      <c r="CJ9" s="92" t="s">
        <v>239</v>
      </c>
      <c r="CK9" s="92" t="s">
        <v>254</v>
      </c>
      <c r="CL9" s="92" t="s">
        <v>176</v>
      </c>
      <c r="CM9" s="92" t="s">
        <v>177</v>
      </c>
      <c r="CN9" s="92"/>
      <c r="CO9" s="92" t="s">
        <v>177</v>
      </c>
      <c r="CP9" s="92" t="s">
        <v>252</v>
      </c>
      <c r="CQ9" s="92" t="s">
        <v>253</v>
      </c>
      <c r="CR9" s="102" t="s">
        <v>235</v>
      </c>
      <c r="CS9" s="102" t="s">
        <v>236</v>
      </c>
      <c r="CT9" s="102" t="s">
        <v>176</v>
      </c>
      <c r="CU9" s="102" t="s">
        <v>237</v>
      </c>
      <c r="CV9" s="102" t="s">
        <v>238</v>
      </c>
      <c r="CW9" s="102"/>
      <c r="CX9" s="13"/>
      <c r="CY9" s="13" t="s">
        <v>235</v>
      </c>
      <c r="CZ9" s="13" t="s">
        <v>236</v>
      </c>
      <c r="DA9" s="13"/>
      <c r="DB9" s="13"/>
      <c r="DC9" s="13" t="s">
        <v>252</v>
      </c>
      <c r="DD9" s="13" t="s">
        <v>253</v>
      </c>
      <c r="DE9" s="13" t="s">
        <v>239</v>
      </c>
      <c r="DF9" s="13" t="s">
        <v>254</v>
      </c>
      <c r="DG9" s="13" t="s">
        <v>176</v>
      </c>
      <c r="DH9" s="13" t="s">
        <v>177</v>
      </c>
      <c r="DI9" s="13"/>
      <c r="DJ9" s="13" t="s">
        <v>177</v>
      </c>
      <c r="DK9" s="13" t="s">
        <v>252</v>
      </c>
      <c r="DL9" s="13" t="s">
        <v>253</v>
      </c>
      <c r="DM9" t="s">
        <v>487</v>
      </c>
      <c r="DN9" t="s">
        <v>495</v>
      </c>
      <c r="DO9" s="117" t="s">
        <v>456</v>
      </c>
      <c r="DP9" s="14">
        <v>1</v>
      </c>
      <c r="DQ9">
        <v>2</v>
      </c>
      <c r="DR9">
        <v>3</v>
      </c>
      <c r="DS9">
        <v>4</v>
      </c>
      <c r="DT9">
        <v>5</v>
      </c>
      <c r="DU9">
        <v>1</v>
      </c>
      <c r="DV9">
        <v>2</v>
      </c>
      <c r="DW9">
        <v>3</v>
      </c>
      <c r="DX9">
        <v>4</v>
      </c>
      <c r="DY9">
        <v>5</v>
      </c>
      <c r="DZ9">
        <v>1</v>
      </c>
      <c r="EA9">
        <v>2</v>
      </c>
      <c r="EB9">
        <v>3</v>
      </c>
      <c r="EC9">
        <v>4</v>
      </c>
      <c r="ED9">
        <v>5</v>
      </c>
      <c r="EE9">
        <v>1</v>
      </c>
      <c r="EF9">
        <v>2</v>
      </c>
      <c r="EG9">
        <v>3</v>
      </c>
      <c r="EH9">
        <v>4</v>
      </c>
      <c r="EI9">
        <v>5</v>
      </c>
      <c r="EJ9">
        <v>1</v>
      </c>
      <c r="EK9">
        <v>2</v>
      </c>
      <c r="EL9">
        <v>3</v>
      </c>
      <c r="EM9">
        <v>4</v>
      </c>
      <c r="EN9">
        <v>5</v>
      </c>
      <c r="EO9">
        <v>1</v>
      </c>
      <c r="EP9">
        <v>2</v>
      </c>
      <c r="EQ9">
        <v>3</v>
      </c>
      <c r="ER9">
        <v>4</v>
      </c>
      <c r="ES9">
        <v>5</v>
      </c>
      <c r="ET9" t="s">
        <v>496</v>
      </c>
      <c r="EU9" t="s">
        <v>441</v>
      </c>
      <c r="EV9" t="s">
        <v>442</v>
      </c>
      <c r="EW9" t="s">
        <v>453</v>
      </c>
      <c r="EX9" t="s">
        <v>452</v>
      </c>
      <c r="EY9" t="s">
        <v>454</v>
      </c>
      <c r="EZ9" t="s">
        <v>542</v>
      </c>
      <c r="FA9" t="s">
        <v>468</v>
      </c>
      <c r="FB9" t="s">
        <v>469</v>
      </c>
      <c r="FC9" t="s">
        <v>470</v>
      </c>
      <c r="FD9" t="s">
        <v>471</v>
      </c>
      <c r="FE9" t="s">
        <v>467</v>
      </c>
      <c r="FF9" t="s">
        <v>498</v>
      </c>
      <c r="FG9" t="s">
        <v>503</v>
      </c>
      <c r="FH9" t="s">
        <v>533</v>
      </c>
      <c r="FI9" t="s">
        <v>534</v>
      </c>
      <c r="FV9"/>
      <c r="FW9"/>
      <c r="HA9" s="15"/>
      <c r="HB9" s="15"/>
      <c r="HC9" s="15"/>
      <c r="HD9" s="15"/>
      <c r="HE9" s="15"/>
    </row>
    <row r="10" spans="1:213" x14ac:dyDescent="0.2">
      <c r="A10">
        <f>current_row_number</f>
        <v>166</v>
      </c>
      <c r="C10" s="433">
        <f t="shared" ref="C10:K12" si="0">VLOOKUP($A10,Data,C$5,FALSE)</f>
        <v>5</v>
      </c>
      <c r="D10" s="433" t="str">
        <f t="shared" si="0"/>
        <v>ESI(1)</v>
      </c>
      <c r="E10" s="433">
        <f t="shared" si="0"/>
        <v>230</v>
      </c>
      <c r="F10" s="433">
        <f t="shared" si="0"/>
        <v>100</v>
      </c>
      <c r="G10" s="433">
        <f t="shared" si="0"/>
        <v>0.7060546875</v>
      </c>
      <c r="H10" s="433" t="str">
        <f t="shared" si="0"/>
        <v>WP-</v>
      </c>
      <c r="I10" s="433">
        <f t="shared" si="0"/>
        <v>0.521484375</v>
      </c>
      <c r="J10" s="433" t="str">
        <f t="shared" si="0"/>
        <v>VP-</v>
      </c>
      <c r="K10" s="433">
        <f t="shared" si="0"/>
        <v>49.9999669897513</v>
      </c>
      <c r="L10" s="95">
        <f>VLOOKUP($E10,constants!$C$38:$AV$41,2,FALSE)</f>
        <v>202.98163333776961</v>
      </c>
      <c r="M10" s="434">
        <f>L10*($K10*VLOOKUP($E10,constants!$C$39:$AV$41,3,FALSE)+VLOOKUP($E10,constants!$C$39:$AV$41,4,FALSE))</f>
        <v>2.1862032520981223E-2</v>
      </c>
      <c r="N10" s="435">
        <f>VLOOKUP($A10,Data,N$5,FALSE)*HP3458corectn</f>
        <v>1.1330909330018806</v>
      </c>
      <c r="O10" s="435">
        <f>VLOOKUP($D10,constants!$C$22:$AN$29,2,FALSE)</f>
        <v>0.99999356100000003</v>
      </c>
      <c r="P10" s="284">
        <f>$K10*2*PI()*VLOOKUP($D10,constants!$C$22:$AN$29,3,FALSE)*0.000001</f>
        <v>1.0367248912332499E-5</v>
      </c>
      <c r="Q10" s="95">
        <f>$G10</f>
        <v>0.7060546875</v>
      </c>
      <c r="R10" s="436">
        <f>VLOOKUP($H10,constants!$C$32:$AQ$35,2,FALSE)</f>
        <v>-1.0003321326818189</v>
      </c>
      <c r="S10" s="436">
        <f>R_2byR_1</f>
        <v>1.0000061000006735</v>
      </c>
      <c r="T10" s="95">
        <f>TCR2_R1*$K10*2*PI()</f>
        <v>-1.8847820824150481E-7</v>
      </c>
      <c r="U10" s="436">
        <f>$I10</f>
        <v>0.521484375</v>
      </c>
      <c r="V10" s="436">
        <f>VLOOKUP($J10,constants!$C$32:$AQ$35,2,FALSE)</f>
        <v>-1.0003321326818189</v>
      </c>
      <c r="W10" s="95">
        <f>g_1</f>
        <v>1.8310937238858183E-8</v>
      </c>
      <c r="X10" s="95">
        <f>$K10*2*PI()*$FZ10*0.000001</f>
        <v>1.0145126938311122E-4</v>
      </c>
      <c r="Y10" s="95">
        <f>R_2</f>
        <v>10000.059896105333</v>
      </c>
      <c r="Z10" s="95">
        <f>2*PI()*$K10*L_2</f>
        <v>-3.0159269563149089E-2</v>
      </c>
      <c r="AA10" s="95">
        <f>VLOOKUP($A10,Data,AA$5,FALSE)</f>
        <v>0.31350361290488499</v>
      </c>
      <c r="AB10" s="95">
        <f>RADIANS((VLOOKUP($A10,Data,AB$5,FALSE))-VLOOKUP($A10,Data,AB$6,FALSE))</f>
        <v>-4.3436719058620312</v>
      </c>
      <c r="AC10" s="95">
        <f>DetAmpGain</f>
        <v>1135.2723906249857</v>
      </c>
      <c r="AD10" s="95">
        <f>RADIANS(VLOOKUP(ROUND($K10,0),constants!$C$46:$AR$64,2,FALSE))</f>
        <v>-4.5846697999810247E-2</v>
      </c>
      <c r="AE10" s="95">
        <f>g_d</f>
        <v>9.9999999999999995E-8</v>
      </c>
      <c r="AF10" s="95">
        <f>C_d*0.000000000001*2*PI()*$K10</f>
        <v>6.2831811589893947E-8</v>
      </c>
      <c r="AG10" s="95">
        <f>VLOOKUP($E10,constants!$C$38:$AV$41,2,FALSE)</f>
        <v>202.98163333776961</v>
      </c>
      <c r="AH10" s="435">
        <f>AG10*($K10*VLOOKUP($E10,constants!$C$39:$AV$41,3,FALSE)+VLOOKUP($E10,constants!$C$39:$AV$41,4,FALSE))</f>
        <v>2.1862032520981223E-2</v>
      </c>
      <c r="AI10" s="284">
        <f>VLOOKUP($A10,Data,AI$5,FALSE)*HP3458corectn</f>
        <v>1.1330902419117692</v>
      </c>
      <c r="AJ10" s="95">
        <f>VLOOKUP($D10,constants!$C$22:$AN$29,2,FALSE)</f>
        <v>0.99999356100000003</v>
      </c>
      <c r="AK10" s="284">
        <f>$K10*2*PI()*VLOOKUP($D10,constants!$C$22:$AN$29,3,FALSE)*0.000001</f>
        <v>1.0367248912332499E-5</v>
      </c>
      <c r="AL10" s="95">
        <f>$G10</f>
        <v>0.7060546875</v>
      </c>
      <c r="AM10" s="95">
        <f>VLOOKUP($H10,constants!$C$32:$AQ$35,2,FALSE)</f>
        <v>-1.0003321326818189</v>
      </c>
      <c r="AN10" s="95">
        <f>R_2byR_1</f>
        <v>1.0000061000006735</v>
      </c>
      <c r="AO10" s="95">
        <f>TCR2_R1*$K10*2*PI()</f>
        <v>-1.8847820824150481E-7</v>
      </c>
      <c r="AP10" s="95">
        <f>$I10</f>
        <v>0.521484375</v>
      </c>
      <c r="AQ10" s="95">
        <f>VLOOKUP($J10,constants!$C$32:$AQ$35,2,FALSE)</f>
        <v>-1.0003321326818189</v>
      </c>
      <c r="AR10" s="95">
        <f>g_1</f>
        <v>1.8310937238858183E-8</v>
      </c>
      <c r="AS10" s="95">
        <f>$K10*2*PI()*$FZ10*0.000001</f>
        <v>1.0145126938311122E-4</v>
      </c>
      <c r="AT10" s="95">
        <f>R_2</f>
        <v>10000.059896105333</v>
      </c>
      <c r="AU10" s="95">
        <f>2*PI()*$K10*L_2</f>
        <v>-3.0159269563149089E-2</v>
      </c>
      <c r="AV10" s="95">
        <f>VLOOKUP($A10,Data,AV$5,FALSE)</f>
        <v>0.31257906782171002</v>
      </c>
      <c r="AW10" s="95">
        <f>RADIANS((VLOOKUP($A10,Data,AW$5,FALSE))-VLOOKUP($A10,Data,AW$6,FALSE))</f>
        <v>-4.3327056579559606</v>
      </c>
      <c r="AX10" s="95">
        <f>DetAmpGain</f>
        <v>1135.2723906249857</v>
      </c>
      <c r="AY10" s="95">
        <f>RADIANS(VLOOKUP(ROUND($K10,0),constants!$C$46:$AR$64,2,FALSE))</f>
        <v>-4.5846697999810247E-2</v>
      </c>
      <c r="AZ10" s="95">
        <f>g_d</f>
        <v>9.9999999999999995E-8</v>
      </c>
      <c r="BA10" s="95">
        <f>C_d*0.000000000001*2*PI()*$K10</f>
        <v>6.2831811589893947E-8</v>
      </c>
      <c r="BB10" s="95">
        <f>VLOOKUP($E10,constants!$C$38:$AV$41,2,FALSE)</f>
        <v>202.98163333776961</v>
      </c>
      <c r="BC10" s="435">
        <f>BB10*($K10*VLOOKUP($E10,constants!$C$39:$AV$41,3,FALSE)+VLOOKUP($E10,constants!$C$39:$AV$41,4,FALSE))</f>
        <v>2.1862032520981223E-2</v>
      </c>
      <c r="BD10" s="284">
        <f>VLOOKUP($A10,Data,BD$5,FALSE)*HP3458corectn</f>
        <v>1.1330901138740503</v>
      </c>
      <c r="BE10" s="95">
        <f>VLOOKUP($D10,constants!$C$22:$AN$29,2,FALSE)</f>
        <v>0.99999356100000003</v>
      </c>
      <c r="BF10" s="284">
        <f>$K10*2*PI()*VLOOKUP($D10,constants!$C$22:$AN$29,3,FALSE)*0.000001</f>
        <v>1.0367248912332499E-5</v>
      </c>
      <c r="BG10" s="95">
        <f>$G10</f>
        <v>0.7060546875</v>
      </c>
      <c r="BH10" s="95">
        <f>VLOOKUP($H10,constants!$C$32:$AQ$35,2,FALSE)</f>
        <v>-1.0003321326818189</v>
      </c>
      <c r="BI10" s="95">
        <f>R_2byR_1</f>
        <v>1.0000061000006735</v>
      </c>
      <c r="BJ10" s="95">
        <f>TCR2_R1*$K10*2*PI()</f>
        <v>-1.8847820824150481E-7</v>
      </c>
      <c r="BK10" s="95">
        <f>$I10</f>
        <v>0.521484375</v>
      </c>
      <c r="BL10" s="95">
        <f>VLOOKUP($J10,constants!$C$32:$AQ$35,2,FALSE)</f>
        <v>-1.0003321326818189</v>
      </c>
      <c r="BM10" s="95">
        <f>g_1</f>
        <v>1.8310937238858183E-8</v>
      </c>
      <c r="BN10" s="95">
        <f>$K10*2*PI()*$FZ10*0.000001</f>
        <v>1.0145126938311122E-4</v>
      </c>
      <c r="BO10" s="95">
        <f>R_2</f>
        <v>10000.059896105333</v>
      </c>
      <c r="BP10" s="95">
        <f>2*PI()*$K10*L_2</f>
        <v>-3.0159269563149089E-2</v>
      </c>
      <c r="BQ10" s="95">
        <f>VLOOKUP($A10,Data,BQ$5,FALSE)</f>
        <v>0.31359696944971799</v>
      </c>
      <c r="BR10" s="95">
        <f>RADIANS((VLOOKUP($A10,Data,BR$5,FALSE))-VLOOKUP($A10,Data,BR$6,FALSE))</f>
        <v>-4.3463404058838702</v>
      </c>
      <c r="BS10" s="95">
        <f>DetAmpGain</f>
        <v>1135.2723906249857</v>
      </c>
      <c r="BT10" s="95">
        <f>RADIANS(VLOOKUP(ROUND($K10,0),constants!$C$46:$AR$64,2,FALSE))</f>
        <v>-4.5846697999810247E-2</v>
      </c>
      <c r="BU10" s="95">
        <f>g_d</f>
        <v>9.9999999999999995E-8</v>
      </c>
      <c r="BV10" s="95">
        <f>C_d*0.000000000001*2*PI()*$K10</f>
        <v>6.2831811589893947E-8</v>
      </c>
      <c r="BW10" s="95">
        <f>VLOOKUP($E10,constants!$C$38:$AV$41,2,FALSE)</f>
        <v>202.98163333776961</v>
      </c>
      <c r="BX10" s="435">
        <f>BW10*($K10*VLOOKUP($E10,constants!$C$39:$AV$41,3,FALSE)+VLOOKUP($E10,constants!$C$39:$AV$41,4,FALSE))</f>
        <v>2.1862032520981223E-2</v>
      </c>
      <c r="BY10" s="284">
        <f>VLOOKUP($A10,Data,BY$5,FALSE)*HP3458corectn</f>
        <v>1.1330909170725905</v>
      </c>
      <c r="BZ10" s="95">
        <f>VLOOKUP($D10,constants!$C$22:$AN$29,2,FALSE)</f>
        <v>0.99999356100000003</v>
      </c>
      <c r="CA10" s="284">
        <f>$K10*2*PI()*VLOOKUP($D10,constants!$C$22:$AN$29,3,FALSE)*0.000001</f>
        <v>1.0367248912332499E-5</v>
      </c>
      <c r="CB10" s="95">
        <f>$G10</f>
        <v>0.7060546875</v>
      </c>
      <c r="CC10" s="95">
        <f>VLOOKUP($H10,constants!$C$32:$AQ$35,2,FALSE)</f>
        <v>-1.0003321326818189</v>
      </c>
      <c r="CD10" s="95">
        <f>R_2byR_1</f>
        <v>1.0000061000006735</v>
      </c>
      <c r="CE10" s="95">
        <f>TCR2_R1*$K10*2*PI()</f>
        <v>-1.8847820824150481E-7</v>
      </c>
      <c r="CF10" s="95">
        <f>$I10</f>
        <v>0.521484375</v>
      </c>
      <c r="CG10" s="95">
        <f>VLOOKUP($J10,constants!$C$32:$AQ$35,2,FALSE)</f>
        <v>-1.0003321326818189</v>
      </c>
      <c r="CH10" s="95">
        <f>g_1</f>
        <v>1.8310937238858183E-8</v>
      </c>
      <c r="CI10" s="95">
        <f>$K10*2*PI()*$FZ10*0.000001</f>
        <v>1.0145126938311122E-4</v>
      </c>
      <c r="CJ10" s="95">
        <f>R_2</f>
        <v>10000.059896105333</v>
      </c>
      <c r="CK10" s="95">
        <f>2*PI()*$K10*L_2</f>
        <v>-3.0159269563149089E-2</v>
      </c>
      <c r="CL10" s="95">
        <f>VLOOKUP($A10,Data,CL$5,FALSE)</f>
        <v>0.31247594528116102</v>
      </c>
      <c r="CM10" s="95">
        <f>RADIANS((VLOOKUP($A10,Data,CM$5,FALSE))-VLOOKUP($A10,Data,CM$6,FALSE))</f>
        <v>-4.3388227980651894</v>
      </c>
      <c r="CN10" s="95">
        <f>DetAmpGain</f>
        <v>1135.2723906249857</v>
      </c>
      <c r="CO10" s="95">
        <f>RADIANS(VLOOKUP(ROUND($K10,0),constants!$C$46:$AR$64,2,FALSE))</f>
        <v>-4.5846697999810247E-2</v>
      </c>
      <c r="CP10" s="95">
        <f>g_d</f>
        <v>9.9999999999999995E-8</v>
      </c>
      <c r="CQ10" s="95">
        <f>C_d*0.000000000001*2*PI()*$K10</f>
        <v>6.2831811589893947E-8</v>
      </c>
      <c r="CR10" s="95">
        <f>VLOOKUP($E10,constants!$C$38:$AV$41,2,FALSE)</f>
        <v>202.98163333776961</v>
      </c>
      <c r="CS10" s="435">
        <f>CR10*($K10*VLOOKUP($E10,constants!$C$39:$AV$41,3,FALSE)+VLOOKUP($E10,constants!$C$39:$AV$41,4,FALSE))</f>
        <v>2.1862032520981223E-2</v>
      </c>
      <c r="CT10" s="284">
        <f>VLOOKUP($A10,Data,CT$5,FALSE)*HP3458corectn</f>
        <v>1.1330919653380667</v>
      </c>
      <c r="CU10" s="95">
        <f>VLOOKUP($D10,constants!$C$22:$AN$29,2,FALSE)</f>
        <v>0.99999356100000003</v>
      </c>
      <c r="CV10" s="284">
        <f>$K10*2*PI()*VLOOKUP($D10,constants!$C$22:$AN$29,3,FALSE)*0.000001</f>
        <v>1.0367248912332499E-5</v>
      </c>
      <c r="CW10" s="95">
        <f>$G10</f>
        <v>0.7060546875</v>
      </c>
      <c r="CX10" s="95">
        <f>VLOOKUP($H10,constants!$C$32:$AQ$35,2,FALSE)</f>
        <v>-1.0003321326818189</v>
      </c>
      <c r="CY10" s="95">
        <f>R_2byR_1</f>
        <v>1.0000061000006735</v>
      </c>
      <c r="CZ10" s="95">
        <f>TCR2_R1*$K10*2*PI()</f>
        <v>-1.8847820824150481E-7</v>
      </c>
      <c r="DA10" s="95">
        <f>$I10</f>
        <v>0.521484375</v>
      </c>
      <c r="DB10" s="95">
        <f>VLOOKUP($J10,constants!$C$32:$AQ$35,2,FALSE)</f>
        <v>-1.0003321326818189</v>
      </c>
      <c r="DC10" s="95">
        <f>g_1</f>
        <v>1.8310937238858183E-8</v>
      </c>
      <c r="DD10" s="95">
        <f>$K10*2*PI()*$FZ10*0.000001</f>
        <v>1.0145126938311122E-4</v>
      </c>
      <c r="DE10" s="95">
        <f>R_2</f>
        <v>10000.059896105333</v>
      </c>
      <c r="DF10" s="95">
        <f>2*PI()*$K10*L_2</f>
        <v>-3.0159269563149089E-2</v>
      </c>
      <c r="DG10" s="95">
        <f>VLOOKUP($A10,Data,DG$5,FALSE)</f>
        <v>0.31356844874232198</v>
      </c>
      <c r="DH10" s="95">
        <f>RADIANS((VLOOKUP($A10,Data,DH$5,FALSE))-VLOOKUP($A10,Data,DH$6,FALSE))</f>
        <v>-4.3403373864381285</v>
      </c>
      <c r="DI10" s="95">
        <f>DetAmpGain</f>
        <v>1135.2723906249857</v>
      </c>
      <c r="DJ10" s="95">
        <f>RADIANS(VLOOKUP(ROUND($K10,0),constants!$C$46:$AR$64,2,FALSE))</f>
        <v>-4.5846697999810247E-2</v>
      </c>
      <c r="DK10" s="95">
        <f>g_d</f>
        <v>9.9999999999999995E-8</v>
      </c>
      <c r="DL10" s="95">
        <f>C_d*0.000000000001*2*PI()*$K10</f>
        <v>6.2831811589893947E-8</v>
      </c>
      <c r="DM10" s="6" t="str">
        <f>VLOOKUP($A10,Data,DM$5,FALSE)</f>
        <v>watts</v>
      </c>
      <c r="DN10" s="6">
        <f>VLOOKUP($A10,Data,DN$5,FALSE)</f>
        <v>100000</v>
      </c>
      <c r="DO10" s="214"/>
      <c r="DP10" s="162" t="e">
        <f ca="1">3600*VLOOKUP($A10,Data,DP$5,FALSE)*(1+CountCorr/1000000)/DU10</f>
        <v>#NAME?</v>
      </c>
      <c r="DQ10" s="162" t="e">
        <f ca="1">3600*VLOOKUP($A10,Data,DQ$5,FALSE)*(1+CountCorr/1000000)/DV10</f>
        <v>#NAME?</v>
      </c>
      <c r="DR10" s="162" t="e">
        <f ca="1">3600*VLOOKUP($A10,Data,DR$5,FALSE)*(1+CountCorr/1000000)/DW10</f>
        <v>#NAME?</v>
      </c>
      <c r="DS10" s="162" t="e">
        <f ca="1">3600*VLOOKUP($A10,Data,DS$5,FALSE)*(1+CountCorr/1000000)/DX10</f>
        <v>#NAME?</v>
      </c>
      <c r="DT10" s="162" t="e">
        <f ca="1">3600*VLOOKUP($A10,Data,DT$5,FALSE)*(1+CountCorr/1000000)/DY10</f>
        <v>#NAME?</v>
      </c>
      <c r="DU10" s="6" t="e">
        <f ca="1">Watts($L10:$AF10)*$F10</f>
        <v>#NAME?</v>
      </c>
      <c r="DV10" s="6" t="e">
        <f ca="1">Watts($AG10:$BA10)*$F10</f>
        <v>#NAME?</v>
      </c>
      <c r="DW10" s="6" t="e">
        <f ca="1">Watts($BB10:$BV10)*$F10</f>
        <v>#NAME?</v>
      </c>
      <c r="DX10" s="6" t="e">
        <f ca="1">Watts($BW10:$CQ10)*$F10</f>
        <v>#NAME?</v>
      </c>
      <c r="DY10" s="6" t="e">
        <f ca="1">Watts($CR10:$DL10)*$F10</f>
        <v>#NAME?</v>
      </c>
      <c r="DZ10" s="6" t="e">
        <f ca="1">ABS(Vars($L10:$AF10)*$F10)</f>
        <v>#NAME?</v>
      </c>
      <c r="EA10" s="6" t="e">
        <f ca="1">ABS(Vars($AG10:$BA10)*$F10)</f>
        <v>#NAME?</v>
      </c>
      <c r="EB10" s="6" t="e">
        <f ca="1">ABS(Vars($BB10:$BV10)*$F10)</f>
        <v>#NAME?</v>
      </c>
      <c r="EC10" s="6" t="e">
        <f ca="1">ABS(Vars($BW10:$CQ10)*$F10)</f>
        <v>#NAME?</v>
      </c>
      <c r="ED10" s="6" t="e">
        <f ca="1">ABS(Vars($CR10:$DL10)*$F10)</f>
        <v>#NAME?</v>
      </c>
      <c r="EE10" s="349" t="e">
        <f ca="1">Volts(L10,N10)</f>
        <v>#NAME?</v>
      </c>
      <c r="EF10" s="349" t="e">
        <f ca="1">Volts(AG10,AI10)</f>
        <v>#NAME?</v>
      </c>
      <c r="EG10" s="349" t="e">
        <f ca="1">Volts(BB10,BD10)</f>
        <v>#NAME?</v>
      </c>
      <c r="EH10" s="349" t="e">
        <f ca="1">Volts(BW10,BY10)</f>
        <v>#NAME?</v>
      </c>
      <c r="EI10" s="349" t="e">
        <f ca="1">Volts(CR10,CT10)</f>
        <v>#NAME?</v>
      </c>
      <c r="EJ10" s="437" t="e">
        <f ca="1">Amps($L10:$AF10)*$F10</f>
        <v>#NAME?</v>
      </c>
      <c r="EK10" s="437" t="e">
        <f ca="1">Amps($AG10:$BA10)*$F10</f>
        <v>#NAME?</v>
      </c>
      <c r="EL10" s="437" t="e">
        <f ca="1">Amps($BB10:$BV10)*$F10</f>
        <v>#NAME?</v>
      </c>
      <c r="EM10" s="437" t="e">
        <f ca="1">Amps($BW10:$CQ10)*$F10</f>
        <v>#NAME?</v>
      </c>
      <c r="EN10" s="437" t="e">
        <f ca="1">Amps($CR10:$DL10)*$F10</f>
        <v>#NAME?</v>
      </c>
      <c r="EO10" s="6" t="e">
        <f ca="1">Phase($L10:$AF10)</f>
        <v>#NAME?</v>
      </c>
      <c r="EP10" s="6" t="e">
        <f ca="1">Phase($AG10:$BA10)</f>
        <v>#NAME?</v>
      </c>
      <c r="EQ10" s="6" t="e">
        <f ca="1">Phase($BB10:$BV10)</f>
        <v>#NAME?</v>
      </c>
      <c r="ER10" s="6" t="e">
        <f ca="1">Phase($BW10:$CQ10)</f>
        <v>#NAME?</v>
      </c>
      <c r="ES10" s="6" t="e">
        <f ca="1">Phase($CR10:$DL10)</f>
        <v>#NAME?</v>
      </c>
      <c r="ET10" s="349" t="e">
        <f ca="1">IF(DM10="watts",FU10,(IF(DM10="vars",FT10,"NA")))</f>
        <v>#NAME?</v>
      </c>
      <c r="EU10" s="6" t="e">
        <f ca="1">AVERAGE(CHOOSE(C10,DU10,DU10:DV10,DU10:DW10,DU10:DX10,DU10:DY10))</f>
        <v>#NAME?</v>
      </c>
      <c r="EV10" s="6" t="e">
        <f ca="1">AVERAGE(CHOOSE(C10,DZ10,DZ10:EA10,DZ10:EB10,DZ10:EC10,DZ10:ED10))</f>
        <v>#NAME?</v>
      </c>
      <c r="EW10" s="6" t="e">
        <f ca="1">AVERAGE(CHOOSE(C10,EE10,EE10:EF10,EE10:EG10,EE10:EH10,EE10:EI10))</f>
        <v>#NAME?</v>
      </c>
      <c r="EX10" s="438" t="e">
        <f ca="1">AVERAGE(CHOOSE(C10,EJ10,EJ10:EK10,EJ10:EL10,EJ10:EM10,EJ10:EN10))</f>
        <v>#NAME?</v>
      </c>
      <c r="EY10" s="6" t="e">
        <f ca="1">AVERAGE(CHOOSE(C10,EO10,EO10:EP10,EO10:EQ10,EO10:ER10,EO10:ES10))</f>
        <v>#NAME?</v>
      </c>
      <c r="EZ10" s="439" t="e">
        <f ca="1">IF(DM10="watts",FW10,IF(DM10="vars",FV10,"NA"))/SQRT(C10)</f>
        <v>#NAME?</v>
      </c>
      <c r="FA10" s="6" t="e">
        <f ca="1">STDEV(CHOOSE(C10,DU10,DU10:DV10,DU10:DW10,DU10:DX10,DU10:DY10))/SQRT(C10)</f>
        <v>#NAME?</v>
      </c>
      <c r="FB10" s="6" t="e">
        <f ca="1">STDEV(CHOOSE(C10,DZ10,DZ10:EA10,DZ10:EB10,DZ10:EC10,DZ10:ED10))/SQRT(C10)</f>
        <v>#NAME?</v>
      </c>
      <c r="FC10" s="6" t="e">
        <f ca="1">STDEV(CHOOSE(C10,EE10,EE10:EF10,EE10:EG10,EE10:EH10,EE10:EI10))/SQRT(C10)</f>
        <v>#NAME?</v>
      </c>
      <c r="FD10" s="6" t="e">
        <f ca="1">STDEV(CHOOSE(C10,EJ10,EJ10:EK10,EJ10:EL10,EJ10:EM10,EJ10:EN10))/SQRT(C10)</f>
        <v>#NAME?</v>
      </c>
      <c r="FE10" s="6" t="e">
        <f ca="1">STDEV(CHOOSE(C10,EO10,EO10:EP10,EO10:EQ10,EO10:ER10,EO10:ES10))/SQRT(C10)</f>
        <v>#NAME?</v>
      </c>
      <c r="FF10" s="6" t="e">
        <f ca="1">100*(ET10/DN10-1)</f>
        <v>#NAME?</v>
      </c>
      <c r="FG10" s="6" t="e">
        <f ca="1">IF(DM10="watts",COS(RADIANS(-EY10)),IF(DM10="vars",SIN(RADIANS(-EY10)),"NA"))</f>
        <v>#NAME?</v>
      </c>
      <c r="FH10" s="6" t="e">
        <f ca="1">AVERAGE(CHOOSE(C10,FJ10,FJ10:FK10,FJ10:FL10,FJ10:FM10,FJ10:FN10))</f>
        <v>#NAME?</v>
      </c>
      <c r="FI10" s="6" t="e">
        <f ca="1">STDEV(CHOOSE(C10,FJ10,FJ10:FK10,FJ10:FL10,FJ10:FM10,FJ10:FN10))</f>
        <v>#NAME?</v>
      </c>
      <c r="FJ10" s="284" t="e">
        <f ca="1">EE10/EJ10</f>
        <v>#NAME?</v>
      </c>
      <c r="FK10" s="284" t="e">
        <f ca="1">EF10/EK10</f>
        <v>#NAME?</v>
      </c>
      <c r="FL10" s="284" t="e">
        <f ca="1">EG10/EL10</f>
        <v>#NAME?</v>
      </c>
      <c r="FM10" s="283" t="e">
        <f ca="1">EH10/EM10</f>
        <v>#NAME?</v>
      </c>
      <c r="FN10" s="283" t="e">
        <f ca="1">EI10/EN10</f>
        <v>#NAME?</v>
      </c>
      <c r="FO10" s="162" t="e">
        <f ca="1">3600*VLOOKUP($A10,Data,FO$5,FALSE)*(1+CountCorr/1000000)/DZ10</f>
        <v>#NAME?</v>
      </c>
      <c r="FP10" s="162" t="e">
        <f ca="1">3600*VLOOKUP($A10,Data,FP$5,FALSE)*(1+CountCorr/1000000)/EA10</f>
        <v>#NAME?</v>
      </c>
      <c r="FQ10" s="162" t="e">
        <f ca="1">3600*VLOOKUP($A10,Data,FQ$5,FALSE)*(1+CountCorr/1000000)/EB10</f>
        <v>#NAME?</v>
      </c>
      <c r="FR10" s="162" t="e">
        <f ca="1">3600*VLOOKUP($A10,Data,FR$5,FALSE)*(1+CountCorr/1000000)/EC10</f>
        <v>#NAME?</v>
      </c>
      <c r="FS10" s="162" t="e">
        <f ca="1">3600*VLOOKUP($A10,Data,FS$5,FALSE)*(1+CountCorr/1000000)/ED10</f>
        <v>#NAME?</v>
      </c>
      <c r="FT10" s="6" t="e">
        <f ca="1">AVERAGE(CHOOSE(C10,FO10,FO10:FP10,FO10:FQ10,FO10:FR10,FO10:FS10))</f>
        <v>#NAME?</v>
      </c>
      <c r="FU10" s="349" t="e">
        <f ca="1">AVERAGE(CHOOSE($C10,$DP10,$DP10:$DQ10,$DP10:$DR10,$DP10:$DS10,$DP10:$DT10))</f>
        <v>#NAME?</v>
      </c>
      <c r="FV10" s="390" t="e">
        <f ca="1">100*STDEV(CHOOSE(C10,FO10,FO10:FP10,FO10:FQ10,FO10:FR10,FO10:FS10))/(FT10)/SQRT(C10)</f>
        <v>#NAME?</v>
      </c>
      <c r="FW10" s="391" t="e">
        <f ca="1">100*STDEV(CHOOSE($C10,$DP10,$DP10:$DQ10,$DP10:$DR10,$DP10:$DS10,$DP10:$DT10))/(FU10)/SQRT(C10)</f>
        <v>#NAME?</v>
      </c>
      <c r="FX10" s="6">
        <f>IF(ABS(VLOOKUP($A10,Data,FX$5,FALSE) - 109)&gt;3,NA(),VLOOKUP($A10,Data,FX$5,FALSE))</f>
        <v>109.11499999999999</v>
      </c>
      <c r="FY10" s="6">
        <f>(-Alpha + SQRT(Alpha*Alpha + 4*Beta*(FX10*(1-0.000001*Error3478A)/R0 - 1)))/(2*Beta)</f>
        <v>23.524926482543638</v>
      </c>
      <c r="FZ10" s="6">
        <f>C_1*(1-0.000126*($FY10 - C_1_CalTemp))</f>
        <v>0.32292963330514241</v>
      </c>
      <c r="HA10" s="15"/>
      <c r="HB10" s="15"/>
      <c r="HC10" s="15"/>
      <c r="HD10" s="15"/>
      <c r="HE10" s="15"/>
    </row>
    <row r="11" spans="1:213" x14ac:dyDescent="0.2">
      <c r="A11" s="392" t="s">
        <v>582</v>
      </c>
      <c r="B11" s="220"/>
      <c r="C11" s="220"/>
      <c r="D11" s="220"/>
      <c r="E11" s="220"/>
      <c r="F11" s="220"/>
      <c r="G11" s="220"/>
      <c r="H11" s="220"/>
      <c r="I11" s="220"/>
      <c r="J11" s="220"/>
      <c r="K11" s="220"/>
      <c r="L11" s="220"/>
      <c r="M11" s="375"/>
      <c r="N11" s="220"/>
      <c r="O11" s="220"/>
      <c r="P11" s="220"/>
      <c r="Q11" s="220"/>
      <c r="R11" s="220"/>
      <c r="S11" s="220"/>
      <c r="T11" s="220"/>
      <c r="U11" s="220"/>
      <c r="V11" s="220"/>
      <c r="W11" s="220"/>
      <c r="X11" s="220"/>
      <c r="Y11" s="220"/>
      <c r="Z11" s="220"/>
      <c r="AA11" s="220"/>
      <c r="AB11" s="220"/>
      <c r="AC11" s="220"/>
      <c r="AD11" s="220"/>
      <c r="AE11" s="220"/>
      <c r="AF11" s="220"/>
      <c r="AG11" s="220"/>
      <c r="AH11" s="220"/>
      <c r="AI11" s="220"/>
      <c r="AJ11" s="220"/>
      <c r="AK11" s="220"/>
      <c r="AL11" s="220"/>
      <c r="AM11" s="220"/>
      <c r="AN11" s="220"/>
      <c r="AO11" s="220"/>
      <c r="AP11" s="220"/>
      <c r="AQ11" s="220"/>
      <c r="AR11" s="220"/>
      <c r="AS11" s="220"/>
      <c r="AT11" s="220"/>
      <c r="AU11" s="220"/>
      <c r="AV11" s="220"/>
      <c r="AW11" s="220"/>
      <c r="AX11" s="220"/>
      <c r="AY11" s="220"/>
      <c r="AZ11" s="220"/>
      <c r="BA11" s="220"/>
      <c r="BB11" s="220"/>
      <c r="BC11" s="220"/>
      <c r="BD11" s="220"/>
      <c r="BE11" s="220"/>
      <c r="BF11" s="220"/>
      <c r="BG11" s="220"/>
      <c r="BH11" s="220"/>
      <c r="BI11" s="220"/>
      <c r="BJ11" s="220"/>
      <c r="BK11" s="220"/>
      <c r="BL11" s="220"/>
      <c r="BM11" s="220"/>
      <c r="BN11" s="220"/>
      <c r="BO11" s="220"/>
      <c r="BP11" s="220"/>
      <c r="BQ11" s="220"/>
      <c r="BR11" s="220"/>
      <c r="BS11" s="220"/>
      <c r="BT11" s="220"/>
      <c r="BU11" s="220"/>
      <c r="BV11" s="220"/>
      <c r="BW11" s="220"/>
      <c r="BX11" s="220"/>
      <c r="BY11" s="220"/>
      <c r="BZ11" s="220"/>
      <c r="CA11" s="220"/>
      <c r="CB11" s="220"/>
      <c r="CC11" s="220"/>
      <c r="CD11" s="220"/>
      <c r="CE11" s="220"/>
      <c r="CF11" s="220"/>
      <c r="CG11" s="220"/>
      <c r="CH11" s="220"/>
      <c r="CI11" s="220"/>
      <c r="CJ11" s="220"/>
      <c r="CK11" s="220"/>
      <c r="CL11" s="220"/>
      <c r="CM11" s="220"/>
      <c r="CN11" s="220"/>
      <c r="CO11" s="220"/>
      <c r="CP11" s="220"/>
      <c r="CQ11" s="220"/>
      <c r="CR11" s="220"/>
      <c r="CS11" s="220"/>
      <c r="CT11" s="220"/>
      <c r="CU11" s="220"/>
      <c r="CV11" s="220"/>
      <c r="CW11" s="220"/>
      <c r="CX11" s="220"/>
      <c r="CY11" s="220"/>
      <c r="CZ11" s="220"/>
      <c r="DA11" s="220"/>
      <c r="DB11" s="220"/>
      <c r="DC11" s="220"/>
      <c r="DD11" s="220"/>
      <c r="DE11" s="220"/>
      <c r="DF11" s="220"/>
      <c r="DG11" s="220"/>
      <c r="DH11" s="220"/>
      <c r="DI11" s="220"/>
      <c r="DJ11" s="220"/>
      <c r="DK11" s="220"/>
      <c r="DL11" s="220"/>
      <c r="DM11" s="220"/>
      <c r="DN11" s="220"/>
      <c r="DO11" s="220"/>
      <c r="DP11" s="220"/>
      <c r="DQ11" s="220"/>
      <c r="DR11" s="220"/>
      <c r="DS11" s="220"/>
      <c r="DT11" s="220"/>
      <c r="DU11" s="220"/>
      <c r="DV11" s="220"/>
      <c r="DW11" s="220"/>
      <c r="DX11" s="220"/>
      <c r="DY11" s="220"/>
      <c r="DZ11" s="220"/>
      <c r="EA11" s="220"/>
      <c r="EB11" s="220"/>
      <c r="EC11" s="220"/>
      <c r="ED11" s="220"/>
      <c r="EE11" s="220"/>
      <c r="EF11" s="220"/>
      <c r="EG11" s="220"/>
      <c r="EH11" s="220"/>
      <c r="EI11" s="376"/>
      <c r="EJ11" s="220"/>
      <c r="EK11" s="220"/>
      <c r="EL11" s="220"/>
      <c r="EM11" s="220"/>
      <c r="EN11" s="220"/>
      <c r="EO11" s="220"/>
      <c r="EP11" s="220"/>
      <c r="EQ11" s="220"/>
      <c r="ER11" s="220"/>
      <c r="ES11" s="220"/>
      <c r="ET11" s="220"/>
      <c r="EU11" s="220"/>
      <c r="EV11" s="220"/>
      <c r="EW11" s="220"/>
      <c r="EX11" s="220"/>
      <c r="EY11" s="220"/>
      <c r="EZ11" s="335"/>
      <c r="FA11" s="220"/>
      <c r="FB11" s="220"/>
      <c r="FC11" s="220"/>
      <c r="FD11" s="220"/>
      <c r="FE11" s="220"/>
      <c r="FF11" s="220"/>
      <c r="FG11" s="220"/>
      <c r="FH11" s="220"/>
      <c r="FI11" s="220"/>
      <c r="FJ11" s="220"/>
      <c r="FK11" s="220"/>
      <c r="FL11" s="220"/>
      <c r="FM11" s="220"/>
      <c r="FN11" s="377"/>
      <c r="FO11" s="220"/>
      <c r="FP11" s="220"/>
      <c r="FQ11" s="220"/>
      <c r="FR11" s="220"/>
      <c r="FS11" s="220"/>
      <c r="FT11" s="220"/>
      <c r="FU11" s="220"/>
      <c r="FV11" s="220"/>
      <c r="FW11" s="220"/>
      <c r="FX11" s="220"/>
      <c r="FY11" s="220"/>
      <c r="FZ11" s="220"/>
    </row>
    <row r="12" spans="1:213" x14ac:dyDescent="0.2">
      <c r="A12" s="366">
        <f>ROW()</f>
        <v>12</v>
      </c>
      <c r="B12" s="220"/>
      <c r="C12" s="373">
        <f t="shared" si="0"/>
        <v>5</v>
      </c>
      <c r="D12" s="373" t="str">
        <f t="shared" si="0"/>
        <v>C(.2)</v>
      </c>
      <c r="E12" s="373">
        <f t="shared" si="0"/>
        <v>230</v>
      </c>
      <c r="F12" s="373">
        <f t="shared" si="0"/>
        <v>1</v>
      </c>
      <c r="G12" s="373">
        <f t="shared" si="0"/>
        <v>0.3525390625</v>
      </c>
      <c r="H12" s="373" t="str">
        <f t="shared" si="0"/>
        <v>WP-</v>
      </c>
      <c r="I12" s="373">
        <f t="shared" si="0"/>
        <v>0</v>
      </c>
      <c r="J12" s="373" t="str">
        <f t="shared" si="0"/>
        <v>VP+</v>
      </c>
      <c r="K12" s="373">
        <f t="shared" si="0"/>
        <v>50.000188681421498</v>
      </c>
      <c r="L12" s="378">
        <f>VLOOKUP($E12,constants!$C$38:$AV$41,2,FALSE)</f>
        <v>202.98163333776961</v>
      </c>
      <c r="M12" s="375">
        <f>L12*($K12*VLOOKUP($E12,constants!$C$39:$AV$41,3,FALSE)+VLOOKUP($E12,constants!$C$39:$AV$41,4,FALSE))</f>
        <v>2.1862152946712388E-2</v>
      </c>
      <c r="N12" s="379">
        <f>VLOOKUP($A12,Data,N$5,FALSE)*HP3458corectn</f>
        <v>1.1330900328214755</v>
      </c>
      <c r="O12" s="379">
        <f>VLOOKUP($D12,constants!$C$22:$AN$29,2,FALSE)</f>
        <v>0.19999480000000003</v>
      </c>
      <c r="P12" s="380">
        <f>$K12*2*PI()*VLOOKUP($D12,constants!$C$22:$AN$29,3,FALSE)*0.000001</f>
        <v>0</v>
      </c>
      <c r="Q12" s="378">
        <f>$G12</f>
        <v>0.3525390625</v>
      </c>
      <c r="R12" s="381">
        <f>VLOOKUP($H12,constants!$C$32:$AQ$35,2,FALSE)</f>
        <v>-1.0003321326818189</v>
      </c>
      <c r="S12" s="381">
        <f>R_2byR_1</f>
        <v>1.0000061000006735</v>
      </c>
      <c r="T12" s="378">
        <f>TCR2_R1*$K12*2*PI()</f>
        <v>-1.8847904392303218E-7</v>
      </c>
      <c r="U12" s="381">
        <f>$I12</f>
        <v>0</v>
      </c>
      <c r="V12" s="381">
        <f>VLOOKUP($J12,constants!$C$32:$AQ$35,2,FALSE)</f>
        <v>0.99999960445558456</v>
      </c>
      <c r="W12" s="378">
        <f>g_1</f>
        <v>1.8310937238858183E-8</v>
      </c>
      <c r="X12" s="378">
        <f>$K12*2*PI()*$FZ12*0.000001</f>
        <v>1.0145066520984161E-4</v>
      </c>
      <c r="Y12" s="378">
        <f>R_2</f>
        <v>10000.059896105333</v>
      </c>
      <c r="Z12" s="378">
        <f>2*PI()*$K12*L_2</f>
        <v>-3.0159403284414205E-2</v>
      </c>
      <c r="AA12" s="378">
        <f>VLOOKUP($A12,Data,AA$5,FALSE)</f>
        <v>0.21170772075333699</v>
      </c>
      <c r="AB12" s="378">
        <f>RADIANS((VLOOKUP($A12,Data,AB$5,FALSE))-VLOOKUP($A12,Data,AB$6,FALSE))</f>
        <v>-0.42403123244751184</v>
      </c>
      <c r="AC12" s="378">
        <f>DetAmpGain</f>
        <v>1135.2723906249857</v>
      </c>
      <c r="AD12" s="378">
        <f>RADIANS(VLOOKUP(ROUND($K12,0),constants!$C$46:$AR$64,2,FALSE))</f>
        <v>-4.5846697999810247E-2</v>
      </c>
      <c r="AE12" s="378">
        <f>g_d</f>
        <v>9.9999999999999995E-8</v>
      </c>
      <c r="AF12" s="378">
        <f>C_d*0.000000000001*2*PI()*$K12</f>
        <v>6.2832090175862925E-8</v>
      </c>
      <c r="AG12" s="378">
        <f>VLOOKUP($E12,constants!$C$38:$AV$41,2,FALSE)</f>
        <v>202.98163333776961</v>
      </c>
      <c r="AH12" s="379">
        <f>AG12*($K12*VLOOKUP($E12,constants!$C$39:$AV$41,3,FALSE)+VLOOKUP($E12,constants!$C$39:$AV$41,4,FALSE))</f>
        <v>2.1862152946712388E-2</v>
      </c>
      <c r="AI12" s="380">
        <f>VLOOKUP($A12,Data,AI$5,FALSE)*HP3458corectn</f>
        <v>1.1330907973480451</v>
      </c>
      <c r="AJ12" s="378">
        <f>VLOOKUP($D12,constants!$C$22:$AN$29,2,FALSE)</f>
        <v>0.19999480000000003</v>
      </c>
      <c r="AK12" s="380">
        <f>$K12*2*PI()*VLOOKUP($D12,constants!$C$22:$AN$29,3,FALSE)*0.000001</f>
        <v>0</v>
      </c>
      <c r="AL12" s="378">
        <f>$G12</f>
        <v>0.3525390625</v>
      </c>
      <c r="AM12" s="378">
        <f>VLOOKUP($H12,constants!$C$32:$AQ$35,2,FALSE)</f>
        <v>-1.0003321326818189</v>
      </c>
      <c r="AN12" s="378">
        <f>R_2byR_1</f>
        <v>1.0000061000006735</v>
      </c>
      <c r="AO12" s="378">
        <f>TCR2_R1*$K12*2*PI()</f>
        <v>-1.8847904392303218E-7</v>
      </c>
      <c r="AP12" s="378">
        <f>$I12</f>
        <v>0</v>
      </c>
      <c r="AQ12" s="378">
        <f>VLOOKUP($J12,constants!$C$32:$AQ$35,2,FALSE)</f>
        <v>0.99999960445558456</v>
      </c>
      <c r="AR12" s="378">
        <f>g_1</f>
        <v>1.8310937238858183E-8</v>
      </c>
      <c r="AS12" s="378">
        <f>$K12*2*PI()*$FZ12*0.000001</f>
        <v>1.0145066520984161E-4</v>
      </c>
      <c r="AT12" s="378">
        <f>R_2</f>
        <v>10000.059896105333</v>
      </c>
      <c r="AU12" s="378">
        <f>2*PI()*$K12*L_2</f>
        <v>-3.0159403284414205E-2</v>
      </c>
      <c r="AV12" s="378">
        <f>VLOOKUP($A12,Data,AV$5,FALSE)</f>
        <v>0.21379983673585101</v>
      </c>
      <c r="AW12" s="378">
        <f>RADIANS((VLOOKUP($A12,Data,AW$5,FALSE))-VLOOKUP($A12,Data,AW$6,FALSE))</f>
        <v>-0.41320347745985958</v>
      </c>
      <c r="AX12" s="378">
        <f>DetAmpGain</f>
        <v>1135.2723906249857</v>
      </c>
      <c r="AY12" s="378">
        <f>RADIANS(VLOOKUP(ROUND($K12,0),constants!$C$46:$AR$64,2,FALSE))</f>
        <v>-4.5846697999810247E-2</v>
      </c>
      <c r="AZ12" s="378">
        <f>g_d</f>
        <v>9.9999999999999995E-8</v>
      </c>
      <c r="BA12" s="378">
        <f>C_d*0.000000000001*2*PI()*$K12</f>
        <v>6.2832090175862925E-8</v>
      </c>
      <c r="BB12" s="378">
        <f>VLOOKUP($E12,constants!$C$38:$AV$41,2,FALSE)</f>
        <v>202.98163333776961</v>
      </c>
      <c r="BC12" s="379">
        <f>BB12*($K12*VLOOKUP($E12,constants!$C$39:$AV$41,3,FALSE)+VLOOKUP($E12,constants!$C$39:$AV$41,4,FALSE))</f>
        <v>2.1862152946712388E-2</v>
      </c>
      <c r="BD12" s="380">
        <f>VLOOKUP($A12,Data,BD$5,FALSE)*HP3458corectn</f>
        <v>1.1330889017267523</v>
      </c>
      <c r="BE12" s="378">
        <f>VLOOKUP($D12,constants!$C$22:$AN$29,2,FALSE)</f>
        <v>0.19999480000000003</v>
      </c>
      <c r="BF12" s="380">
        <f>$K12*2*PI()*VLOOKUP($D12,constants!$C$22:$AN$29,3,FALSE)*0.000001</f>
        <v>0</v>
      </c>
      <c r="BG12" s="378">
        <f>$G12</f>
        <v>0.3525390625</v>
      </c>
      <c r="BH12" s="378">
        <f>VLOOKUP($H12,constants!$C$32:$AQ$35,2,FALSE)</f>
        <v>-1.0003321326818189</v>
      </c>
      <c r="BI12" s="378">
        <f>R_2byR_1</f>
        <v>1.0000061000006735</v>
      </c>
      <c r="BJ12" s="378">
        <f>TCR2_R1*$K12*2*PI()</f>
        <v>-1.8847904392303218E-7</v>
      </c>
      <c r="BK12" s="378">
        <f>$I12</f>
        <v>0</v>
      </c>
      <c r="BL12" s="378">
        <f>VLOOKUP($J12,constants!$C$32:$AQ$35,2,FALSE)</f>
        <v>0.99999960445558456</v>
      </c>
      <c r="BM12" s="378">
        <f>g_1</f>
        <v>1.8310937238858183E-8</v>
      </c>
      <c r="BN12" s="378">
        <f>$K12*2*PI()*$FZ12*0.000001</f>
        <v>1.0145066520984161E-4</v>
      </c>
      <c r="BO12" s="378">
        <f>R_2</f>
        <v>10000.059896105333</v>
      </c>
      <c r="BP12" s="378">
        <f>2*PI()*$K12*L_2</f>
        <v>-3.0159403284414205E-2</v>
      </c>
      <c r="BQ12" s="378">
        <f>VLOOKUP($A12,Data,BQ$5,FALSE)</f>
        <v>0.21233439683138799</v>
      </c>
      <c r="BR12" s="378">
        <f>RADIANS((VLOOKUP($A12,Data,BR$5,FALSE))-VLOOKUP($A12,Data,BR$6,FALSE))</f>
        <v>-0.42817400542238715</v>
      </c>
      <c r="BS12" s="378">
        <f>DetAmpGain</f>
        <v>1135.2723906249857</v>
      </c>
      <c r="BT12" s="378">
        <f>RADIANS(VLOOKUP(ROUND($K12,0),constants!$C$46:$AR$64,2,FALSE))</f>
        <v>-4.5846697999810247E-2</v>
      </c>
      <c r="BU12" s="378">
        <f>g_d</f>
        <v>9.9999999999999995E-8</v>
      </c>
      <c r="BV12" s="378">
        <f>C_d*0.000000000001*2*PI()*$K12</f>
        <v>6.2832090175862925E-8</v>
      </c>
      <c r="BW12" s="378">
        <f>VLOOKUP($E12,constants!$C$38:$AV$41,2,FALSE)</f>
        <v>202.98163333776961</v>
      </c>
      <c r="BX12" s="379">
        <f>BW12*($K12*VLOOKUP($E12,constants!$C$39:$AV$41,3,FALSE)+VLOOKUP($E12,constants!$C$39:$AV$41,4,FALSE))</f>
        <v>2.1862152946712388E-2</v>
      </c>
      <c r="BY12" s="380">
        <f>VLOOKUP($A12,Data,BY$5,FALSE)*HP3458corectn</f>
        <v>1.1330902098892295</v>
      </c>
      <c r="BZ12" s="378">
        <f>VLOOKUP($D12,constants!$C$22:$AN$29,2,FALSE)</f>
        <v>0.19999480000000003</v>
      </c>
      <c r="CA12" s="380">
        <f>$K12*2*PI()*VLOOKUP($D12,constants!$C$22:$AN$29,3,FALSE)*0.000001</f>
        <v>0</v>
      </c>
      <c r="CB12" s="378">
        <f>$G12</f>
        <v>0.3525390625</v>
      </c>
      <c r="CC12" s="378">
        <f>VLOOKUP($H12,constants!$C$32:$AQ$35,2,FALSE)</f>
        <v>-1.0003321326818189</v>
      </c>
      <c r="CD12" s="378">
        <f>R_2byR_1</f>
        <v>1.0000061000006735</v>
      </c>
      <c r="CE12" s="378">
        <f>TCR2_R1*$K12*2*PI()</f>
        <v>-1.8847904392303218E-7</v>
      </c>
      <c r="CF12" s="378">
        <f>$I12</f>
        <v>0</v>
      </c>
      <c r="CG12" s="378">
        <f>VLOOKUP($J12,constants!$C$32:$AQ$35,2,FALSE)</f>
        <v>0.99999960445558456</v>
      </c>
      <c r="CH12" s="378">
        <f>g_1</f>
        <v>1.8310937238858183E-8</v>
      </c>
      <c r="CI12" s="378">
        <f>$K12*2*PI()*$FZ12*0.000001</f>
        <v>1.0145066520984161E-4</v>
      </c>
      <c r="CJ12" s="378">
        <f>R_2</f>
        <v>10000.059896105333</v>
      </c>
      <c r="CK12" s="378">
        <f>2*PI()*$K12*L_2</f>
        <v>-3.0159403284414205E-2</v>
      </c>
      <c r="CL12" s="378">
        <f>VLOOKUP($A12,Data,CL$5,FALSE)</f>
        <v>0.21146660742002499</v>
      </c>
      <c r="CM12" s="378">
        <f>RADIANS((VLOOKUP($A12,Data,CM$5,FALSE))-VLOOKUP($A12,Data,CM$6,FALSE))</f>
        <v>-0.41482042643147543</v>
      </c>
      <c r="CN12" s="378">
        <f>DetAmpGain</f>
        <v>1135.2723906249857</v>
      </c>
      <c r="CO12" s="378">
        <f>RADIANS(VLOOKUP(ROUND($K12,0),constants!$C$46:$AR$64,2,FALSE))</f>
        <v>-4.5846697999810247E-2</v>
      </c>
      <c r="CP12" s="378">
        <f>g_d</f>
        <v>9.9999999999999995E-8</v>
      </c>
      <c r="CQ12" s="378">
        <f>C_d*0.000000000001*2*PI()*$K12</f>
        <v>6.2832090175862925E-8</v>
      </c>
      <c r="CR12" s="378">
        <f>VLOOKUP($E12,constants!$C$38:$AV$41,2,FALSE)</f>
        <v>202.98163333776961</v>
      </c>
      <c r="CS12" s="379">
        <f>CR12*($K12*VLOOKUP($E12,constants!$C$39:$AV$41,3,FALSE)+VLOOKUP($E12,constants!$C$39:$AV$41,4,FALSE))</f>
        <v>2.1862152946712388E-2</v>
      </c>
      <c r="CT12" s="380">
        <f>VLOOKUP($A12,Data,CT$5,FALSE)*HP3458corectn</f>
        <v>1.1330916007991043</v>
      </c>
      <c r="CU12" s="378">
        <f>VLOOKUP($D12,constants!$C$22:$AN$29,2,FALSE)</f>
        <v>0.19999480000000003</v>
      </c>
      <c r="CV12" s="380">
        <f>$K12*2*PI()*VLOOKUP($D12,constants!$C$22:$AN$29,3,FALSE)*0.000001</f>
        <v>0</v>
      </c>
      <c r="CW12" s="378">
        <f>$G12</f>
        <v>0.3525390625</v>
      </c>
      <c r="CX12" s="378">
        <f>VLOOKUP($H12,constants!$C$32:$AQ$35,2,FALSE)</f>
        <v>-1.0003321326818189</v>
      </c>
      <c r="CY12" s="378">
        <f>R_2byR_1</f>
        <v>1.0000061000006735</v>
      </c>
      <c r="CZ12" s="378">
        <f>TCR2_R1*$K12*2*PI()</f>
        <v>-1.8847904392303218E-7</v>
      </c>
      <c r="DA12" s="378">
        <f>$I12</f>
        <v>0</v>
      </c>
      <c r="DB12" s="378">
        <f>VLOOKUP($J12,constants!$C$32:$AQ$35,2,FALSE)</f>
        <v>0.99999960445558456</v>
      </c>
      <c r="DC12" s="378">
        <f>g_1</f>
        <v>1.8310937238858183E-8</v>
      </c>
      <c r="DD12" s="378">
        <f>$K12*2*PI()*$FZ12*0.000001</f>
        <v>1.0145066520984161E-4</v>
      </c>
      <c r="DE12" s="378">
        <f>R_2</f>
        <v>10000.059896105333</v>
      </c>
      <c r="DF12" s="378">
        <f>2*PI()*$K12*L_2</f>
        <v>-3.0159403284414205E-2</v>
      </c>
      <c r="DG12" s="378">
        <f>VLOOKUP($A12,Data,DG$5,FALSE)</f>
        <v>0.215628177449221</v>
      </c>
      <c r="DH12" s="378">
        <f>RADIANS((VLOOKUP($A12,Data,DH$5,FALSE))-VLOOKUP($A12,Data,DH$6,FALSE))</f>
        <v>-0.41147327309159248</v>
      </c>
      <c r="DI12" s="378">
        <f>DetAmpGain</f>
        <v>1135.2723906249857</v>
      </c>
      <c r="DJ12" s="378">
        <f>RADIANS(VLOOKUP(ROUND($K12,0),constants!$C$46:$AR$64,2,FALSE))</f>
        <v>-4.5846697999810247E-2</v>
      </c>
      <c r="DK12" s="378">
        <f>g_d</f>
        <v>9.9999999999999995E-8</v>
      </c>
      <c r="DL12" s="378">
        <f>C_d*0.000000000001*2*PI()*$K12</f>
        <v>6.2832090175862925E-8</v>
      </c>
      <c r="DM12" s="220" t="str">
        <f>VLOOKUP($A12,Data,DM$5,FALSE)</f>
        <v>watts</v>
      </c>
      <c r="DN12" s="220">
        <f>VLOOKUP($A12,Data,DN$5,FALSE)</f>
        <v>100000</v>
      </c>
      <c r="DO12" s="382"/>
      <c r="DP12" s="383" t="e">
        <f ca="1">3600*VLOOKUP($A12,Data,DP$5,FALSE)*(1+CountCorr/1000000)/DU12</f>
        <v>#NAME?</v>
      </c>
      <c r="DQ12" s="383" t="e">
        <f ca="1">3600*VLOOKUP($A12,Data,DQ$5,FALSE)*(1+CountCorr/1000000)/DV12</f>
        <v>#NAME?</v>
      </c>
      <c r="DR12" s="383" t="e">
        <f ca="1">3600*VLOOKUP($A12,Data,DR$5,FALSE)*(1+CountCorr/1000000)/DW12</f>
        <v>#NAME?</v>
      </c>
      <c r="DS12" s="383" t="e">
        <f ca="1">3600*VLOOKUP($A12,Data,DS$5,FALSE)*(1+CountCorr/1000000)/DX12</f>
        <v>#NAME?</v>
      </c>
      <c r="DT12" s="383" t="e">
        <f ca="1">3600*VLOOKUP($A12,Data,DT$5,FALSE)*(1+CountCorr/1000000)/DY12</f>
        <v>#NAME?</v>
      </c>
      <c r="DU12" s="220" t="e">
        <f ca="1">Watts($L12:$AF12)*$F12</f>
        <v>#NAME?</v>
      </c>
      <c r="DV12" s="220" t="e">
        <f ca="1">Watts($AG12:$BA12)*$F12</f>
        <v>#NAME?</v>
      </c>
      <c r="DW12" s="220" t="e">
        <f ca="1">Watts($BB12:$BV12)*$F12</f>
        <v>#NAME?</v>
      </c>
      <c r="DX12" s="220" t="e">
        <f ca="1">Watts($BW12:$CQ12)*$F12</f>
        <v>#NAME?</v>
      </c>
      <c r="DY12" s="220" t="e">
        <f ca="1">Watts($CR12:$DL12)*$F12</f>
        <v>#NAME?</v>
      </c>
      <c r="DZ12" s="220" t="e">
        <f ca="1">ABS(Vars($L12:$AF12)*$F12)</f>
        <v>#NAME?</v>
      </c>
      <c r="EA12" s="220" t="e">
        <f ca="1">ABS(Vars($AG12:$BA12)*$F12)</f>
        <v>#NAME?</v>
      </c>
      <c r="EB12" s="220" t="e">
        <f ca="1">ABS(Vars($BB12:$BV12)*$F12)</f>
        <v>#NAME?</v>
      </c>
      <c r="EC12" s="220" t="e">
        <f ca="1">ABS(Vars($BW12:$CQ12)*$F12)</f>
        <v>#NAME?</v>
      </c>
      <c r="ED12" s="220" t="e">
        <f ca="1">ABS(Vars($CR12:$DL12)*$F12)</f>
        <v>#NAME?</v>
      </c>
      <c r="EE12" s="384" t="e">
        <f ca="1">Volts(L12,N12)</f>
        <v>#NAME?</v>
      </c>
      <c r="EF12" s="384" t="e">
        <f ca="1">Volts(AG12,AI12)</f>
        <v>#NAME?</v>
      </c>
      <c r="EG12" s="384" t="e">
        <f ca="1">Volts(BB12,BD12)</f>
        <v>#NAME?</v>
      </c>
      <c r="EH12" s="384" t="e">
        <f ca="1">Volts(BW12,BY12)</f>
        <v>#NAME?</v>
      </c>
      <c r="EI12" s="384" t="e">
        <f ca="1">Volts(CR12,CT12)</f>
        <v>#NAME?</v>
      </c>
      <c r="EJ12" s="385" t="e">
        <f ca="1">Amps($L12:$AF12)*$F12</f>
        <v>#NAME?</v>
      </c>
      <c r="EK12" s="385" t="e">
        <f ca="1">Amps($AG12:$BA12)*$F12</f>
        <v>#NAME?</v>
      </c>
      <c r="EL12" s="385" t="e">
        <f ca="1">Amps($BB12:$BV12)*$F12</f>
        <v>#NAME?</v>
      </c>
      <c r="EM12" s="385" t="e">
        <f ca="1">Amps($BW12:$CQ12)*$F12</f>
        <v>#NAME?</v>
      </c>
      <c r="EN12" s="385" t="e">
        <f ca="1">Amps($CR12:$DL12)*$F12</f>
        <v>#NAME?</v>
      </c>
      <c r="EO12" s="220" t="e">
        <f ca="1">Phase($L12:$AF12)</f>
        <v>#NAME?</v>
      </c>
      <c r="EP12" s="220" t="e">
        <f ca="1">Phase($AG12:$BA12)</f>
        <v>#NAME?</v>
      </c>
      <c r="EQ12" s="220" t="e">
        <f ca="1">Phase($BB12:$BV12)</f>
        <v>#NAME?</v>
      </c>
      <c r="ER12" s="220" t="e">
        <f ca="1">Phase($BW12:$CQ12)</f>
        <v>#NAME?</v>
      </c>
      <c r="ES12" s="220" t="e">
        <f ca="1">Phase($CR12:$DL12)</f>
        <v>#NAME?</v>
      </c>
      <c r="ET12" s="384" t="e">
        <f ca="1">IF(DM12="watts",FU12,(IF(DM12="vars",FT12,"NA")))</f>
        <v>#NAME?</v>
      </c>
      <c r="EU12" s="220" t="e">
        <f ca="1">AVERAGE(CHOOSE(C12,DU12,DU12:DV12,DU12:DW12,DU12:DX12,DU12:DY12))</f>
        <v>#NAME?</v>
      </c>
      <c r="EV12" s="220" t="e">
        <f ca="1">AVERAGE(CHOOSE(C12,DZ12,DZ12:EA12,DZ12:EB12,DZ12:EC12,DZ12:ED12))</f>
        <v>#NAME?</v>
      </c>
      <c r="EW12" s="220" t="e">
        <f ca="1">AVERAGE(CHOOSE(C12,EE12,EE12:EF12,EE12:EG12,EE12:EH12,EE12:EI12))</f>
        <v>#NAME?</v>
      </c>
      <c r="EX12" s="335" t="e">
        <f ca="1">AVERAGE(CHOOSE(C12,EJ12,EJ12:EK12,EJ12:EL12,EJ12:EM12,EJ12:EN12))</f>
        <v>#NAME?</v>
      </c>
      <c r="EY12" s="220" t="e">
        <f ca="1">AVERAGE(CHOOSE(C12,EO12,EO12:EP12,EO12:EQ12,EO12:ER12,EO12:ES12))</f>
        <v>#NAME?</v>
      </c>
      <c r="EZ12" s="376" t="e">
        <f ca="1">IF(DM12="watts",FW12,IF(DM12="vars",FV12,"NA"))/SQRT(C12)</f>
        <v>#NAME?</v>
      </c>
      <c r="FA12" s="220" t="e">
        <f ca="1">STDEV(CHOOSE(C12,DU12,DU12:DV12,DU12:DW12,DU12:DX12,DU12:DY12))/SQRT(C12)</f>
        <v>#NAME?</v>
      </c>
      <c r="FB12" s="220" t="e">
        <f ca="1">STDEV(CHOOSE(C12,DZ12,DZ12:EA12,DZ12:EB12,DZ12:EC12,DZ12:ED12))/SQRT(C12)</f>
        <v>#NAME?</v>
      </c>
      <c r="FC12" s="220" t="e">
        <f ca="1">STDEV(CHOOSE(C12,EE12,EE12:EF12,EE12:EG12,EE12:EH12,EE12:EI12))/SQRT(C12)</f>
        <v>#NAME?</v>
      </c>
      <c r="FD12" s="220" t="e">
        <f ca="1">STDEV(CHOOSE(C12,EJ12,EJ12:EK12,EJ12:EL12,EJ12:EM12,EJ12:EN12))/SQRT(C12)</f>
        <v>#NAME?</v>
      </c>
      <c r="FE12" s="220" t="e">
        <f ca="1">STDEV(CHOOSE(C12,EO12,EO12:EP12,EO12:EQ12,EO12:ER12,EO12:ES12))/SQRT(C12)</f>
        <v>#NAME?</v>
      </c>
      <c r="FF12" s="220" t="e">
        <f ca="1">100*(ET12/DN12-1)</f>
        <v>#NAME?</v>
      </c>
      <c r="FG12" s="220" t="e">
        <f ca="1">IF(DM12="watts",COS(RADIANS(-EY12)),IF(DM12="vars",SIN(RADIANS(-EY12)),"NA"))</f>
        <v>#NAME?</v>
      </c>
      <c r="FH12" s="220" t="e">
        <f ca="1">AVERAGE(CHOOSE(C12,FJ12,FJ12:FK12,FJ12:FL12,FJ12:FM12,FJ12:FN12))</f>
        <v>#NAME?</v>
      </c>
      <c r="FI12" s="220" t="e">
        <f ca="1">STDEV(CHOOSE(C12,FJ12,FJ12:FK12,FJ12:FL12,FJ12:FM12,FJ12:FN12))</f>
        <v>#NAME?</v>
      </c>
      <c r="FJ12" s="380" t="e">
        <f ca="1">EE12/EJ12</f>
        <v>#NAME?</v>
      </c>
      <c r="FK12" s="380" t="e">
        <f ca="1">EF12/EK12</f>
        <v>#NAME?</v>
      </c>
      <c r="FL12" s="380" t="e">
        <f ca="1">EG12/EL12</f>
        <v>#NAME?</v>
      </c>
      <c r="FM12" s="377" t="e">
        <f ca="1">EH12/EM12</f>
        <v>#NAME?</v>
      </c>
      <c r="FN12" s="377" t="e">
        <f ca="1">EI12/EN12</f>
        <v>#NAME?</v>
      </c>
      <c r="FO12" s="383" t="e">
        <f ca="1">3600*VLOOKUP($A12,Data,FO$5,FALSE)*(1+CountCorr/1000000)/DZ12</f>
        <v>#NAME?</v>
      </c>
      <c r="FP12" s="383" t="e">
        <f ca="1">3600*VLOOKUP($A12,Data,FP$5,FALSE)*(1+CountCorr/1000000)/EA12</f>
        <v>#NAME?</v>
      </c>
      <c r="FQ12" s="383" t="e">
        <f ca="1">3600*VLOOKUP($A12,Data,FQ$5,FALSE)*(1+CountCorr/1000000)/EB12</f>
        <v>#NAME?</v>
      </c>
      <c r="FR12" s="383" t="e">
        <f ca="1">3600*VLOOKUP($A12,Data,FR$5,FALSE)*(1+CountCorr/1000000)/EC12</f>
        <v>#NAME?</v>
      </c>
      <c r="FS12" s="383" t="e">
        <f ca="1">3600*VLOOKUP($A12,Data,FS$5,FALSE)*(1+CountCorr/1000000)/ED12</f>
        <v>#NAME?</v>
      </c>
      <c r="FT12" s="220" t="e">
        <f ca="1">AVERAGE(CHOOSE(C12,FO12,FO12:FP12,FO12:FQ12,FO12:FR12,FO12:FS12))</f>
        <v>#NAME?</v>
      </c>
      <c r="FU12" s="384" t="e">
        <f ca="1">AVERAGE(CHOOSE($C12,$DP12,$DP12:$DQ12,$DP12:$DR12,$DP12:$DS12,$DP12:$DT12))</f>
        <v>#NAME?</v>
      </c>
      <c r="FV12" s="386" t="e">
        <f ca="1">100*STDEV(CHOOSE(C12,FO12,FO12:FP12,FO12:FQ12,FO12:FR12,FO12:FS12))/(FT12)/SQRT(C12)</f>
        <v>#NAME?</v>
      </c>
      <c r="FW12" s="387" t="e">
        <f ca="1">100*STDEV(CHOOSE($C12,$DP12,$DP12:$DQ12,$DP12:$DR12,$DP12:$DS12,$DP12:$DT12))/(FU12)/SQRT(C12)</f>
        <v>#NAME?</v>
      </c>
      <c r="FX12" s="220">
        <f>IF(ABS(VLOOKUP($A12,Data,FX$5,FALSE) - 109)&gt;3,NA(),VLOOKUP($A12,Data,FX$5,FALSE))</f>
        <v>109.14700000000001</v>
      </c>
      <c r="FY12" s="220">
        <f>(-Alpha + SQRT(Alpha*Alpha + 4*Beta*(FX12*(1-0.000001*Error3478A)/R0 - 1)))/(2*Beta)</f>
        <v>23.607379479911273</v>
      </c>
      <c r="FZ12" s="220">
        <f>C_1*(1-0.000126*($FY12 - C_1_CalTemp))</f>
        <v>0.32292627835836057</v>
      </c>
    </row>
    <row r="13" spans="1:213" x14ac:dyDescent="0.2">
      <c r="A13" s="374"/>
      <c r="C13" s="21"/>
      <c r="D13" s="21"/>
      <c r="E13" s="21"/>
      <c r="F13" s="21"/>
      <c r="G13" s="21"/>
      <c r="H13" s="21"/>
      <c r="I13" s="21"/>
      <c r="J13" s="21"/>
      <c r="K13" s="21"/>
      <c r="L13" s="95"/>
      <c r="M13" s="278"/>
      <c r="N13" s="96"/>
      <c r="O13" s="96"/>
      <c r="P13" s="97"/>
      <c r="Q13" s="89"/>
      <c r="R13" s="279"/>
      <c r="S13" s="279"/>
      <c r="T13" s="89"/>
      <c r="U13" s="279"/>
      <c r="V13" s="279"/>
      <c r="W13" s="89"/>
      <c r="X13" s="89"/>
      <c r="Y13" s="89"/>
      <c r="Z13" s="89"/>
      <c r="AA13" s="89"/>
      <c r="AB13" s="89"/>
      <c r="AC13" s="89"/>
      <c r="AD13" s="89"/>
      <c r="AE13" s="89"/>
      <c r="AF13" s="89"/>
      <c r="AG13" s="95"/>
      <c r="AH13" s="96"/>
      <c r="AI13" s="97"/>
      <c r="AJ13" s="89"/>
      <c r="AK13" s="97"/>
      <c r="AL13" s="89"/>
      <c r="AM13" s="89"/>
      <c r="AN13" s="89"/>
      <c r="AO13" s="89"/>
      <c r="AP13" s="89"/>
      <c r="AQ13" s="89"/>
      <c r="AR13" s="89"/>
      <c r="AS13" s="89"/>
      <c r="AT13" s="89"/>
      <c r="AU13" s="89"/>
      <c r="AV13" s="89"/>
      <c r="AW13" s="89"/>
      <c r="AX13" s="89"/>
      <c r="AY13" s="89"/>
      <c r="AZ13" s="89"/>
      <c r="BA13" s="89"/>
      <c r="BB13" s="95"/>
      <c r="BC13" s="96"/>
      <c r="BD13" s="97"/>
      <c r="BE13" s="89"/>
      <c r="BF13" s="97"/>
      <c r="BG13" s="89"/>
      <c r="BH13" s="89"/>
      <c r="BI13" s="89"/>
      <c r="BJ13" s="89"/>
      <c r="BK13" s="89"/>
      <c r="BL13" s="89"/>
      <c r="BM13" s="89"/>
      <c r="BN13" s="89"/>
      <c r="BO13" s="89"/>
      <c r="BP13" s="89"/>
      <c r="BQ13" s="89"/>
      <c r="BR13" s="89"/>
      <c r="BS13" s="89"/>
      <c r="BT13" s="89"/>
      <c r="BU13" s="89"/>
      <c r="BV13" s="89"/>
      <c r="BW13" s="95"/>
      <c r="BX13" s="96"/>
      <c r="BY13" s="97"/>
      <c r="BZ13" s="89"/>
      <c r="CA13" s="97"/>
      <c r="CB13" s="89"/>
      <c r="CC13" s="89"/>
      <c r="CD13" s="89"/>
      <c r="CE13" s="89"/>
      <c r="CF13" s="89"/>
      <c r="CG13" s="89"/>
      <c r="CH13" s="89"/>
      <c r="CI13" s="89"/>
      <c r="CJ13" s="89"/>
      <c r="CK13" s="89"/>
      <c r="CL13" s="89"/>
      <c r="CM13" s="89"/>
      <c r="CN13" s="89"/>
      <c r="CO13" s="89"/>
      <c r="CP13" s="89"/>
      <c r="CQ13" s="89"/>
      <c r="CR13" s="95"/>
      <c r="CS13" s="96"/>
      <c r="CT13" s="97"/>
      <c r="CU13" s="89"/>
      <c r="CV13" s="97"/>
      <c r="CW13" s="89"/>
      <c r="CX13" s="89"/>
      <c r="CY13" s="89"/>
      <c r="CZ13" s="89"/>
      <c r="DA13" s="89"/>
      <c r="DB13" s="89"/>
      <c r="DC13" s="89"/>
      <c r="DD13" s="89"/>
      <c r="DE13" s="89"/>
      <c r="DF13" s="89"/>
      <c r="DG13" s="89"/>
      <c r="DH13" s="89"/>
      <c r="DI13" s="89"/>
      <c r="DJ13" s="89"/>
      <c r="DK13" s="89"/>
      <c r="DL13" s="89"/>
      <c r="DO13" s="214"/>
      <c r="DP13" s="162"/>
      <c r="DQ13" s="162"/>
      <c r="DR13" s="162"/>
      <c r="DS13" s="162"/>
      <c r="DT13" s="162"/>
      <c r="EE13" s="258"/>
      <c r="EF13" s="258"/>
      <c r="EG13" s="258"/>
      <c r="EH13" s="258"/>
      <c r="EI13" s="258"/>
      <c r="EJ13" s="56"/>
      <c r="EK13" s="56"/>
      <c r="EL13" s="56"/>
      <c r="EM13" s="56"/>
      <c r="EN13" s="56"/>
      <c r="ET13" s="258"/>
      <c r="EX13" s="10"/>
      <c r="EZ13" s="119"/>
      <c r="FJ13" s="284"/>
      <c r="FK13" s="284"/>
      <c r="FL13" s="284"/>
      <c r="FM13" s="283"/>
      <c r="FN13" s="283"/>
      <c r="FO13" s="162"/>
      <c r="FP13" s="162"/>
      <c r="FQ13" s="162"/>
      <c r="FR13" s="162"/>
      <c r="FS13" s="162"/>
      <c r="FU13" s="258"/>
      <c r="FV13" s="388"/>
      <c r="FW13" s="389"/>
    </row>
    <row r="14" spans="1:213" x14ac:dyDescent="0.2">
      <c r="A14" s="173"/>
      <c r="C14" s="21"/>
      <c r="D14" s="21"/>
      <c r="E14" s="21"/>
      <c r="F14" s="21"/>
      <c r="G14" s="21"/>
      <c r="H14" s="21"/>
      <c r="I14" s="21"/>
      <c r="J14" s="21"/>
      <c r="K14" s="21"/>
      <c r="L14" s="95"/>
      <c r="M14" s="278"/>
      <c r="N14" s="96"/>
      <c r="O14" s="96"/>
      <c r="P14" s="97"/>
      <c r="Q14" s="89"/>
      <c r="R14" s="279"/>
      <c r="S14" s="279"/>
      <c r="T14" s="89"/>
      <c r="U14" s="279"/>
      <c r="V14" s="279"/>
      <c r="W14" s="89"/>
      <c r="X14" s="89"/>
      <c r="Y14" s="89"/>
      <c r="Z14" s="89"/>
      <c r="AA14" s="89"/>
      <c r="AB14" s="89"/>
      <c r="AC14" s="89"/>
      <c r="AD14" s="89"/>
      <c r="AE14" s="89"/>
      <c r="AF14" s="89"/>
      <c r="AG14" s="95"/>
      <c r="AH14" s="96"/>
      <c r="AI14" s="97"/>
      <c r="AJ14" s="89"/>
      <c r="AK14" s="97"/>
      <c r="AL14" s="89"/>
      <c r="AM14" s="89"/>
      <c r="AN14" s="89"/>
      <c r="AO14" s="89"/>
      <c r="AP14" s="89"/>
      <c r="AQ14" s="89"/>
      <c r="AR14" s="89"/>
      <c r="AS14" s="89"/>
      <c r="AT14" s="89"/>
      <c r="AU14" s="89"/>
      <c r="AV14" s="89"/>
      <c r="AW14" s="89"/>
      <c r="AX14" s="89"/>
      <c r="AY14" s="89"/>
      <c r="AZ14" s="89"/>
      <c r="BA14" s="89"/>
      <c r="BB14" s="95"/>
      <c r="BC14" s="96"/>
      <c r="BD14" s="97"/>
      <c r="BE14" s="89"/>
      <c r="BF14" s="97"/>
      <c r="BG14" s="89"/>
      <c r="BH14" s="89"/>
      <c r="BI14" s="89"/>
      <c r="BJ14" s="89"/>
      <c r="BK14" s="89"/>
      <c r="BL14" s="89"/>
      <c r="BM14" s="89"/>
      <c r="BN14" s="89"/>
      <c r="BO14" s="89"/>
      <c r="BP14" s="89"/>
      <c r="BQ14" s="89"/>
      <c r="BR14" s="89"/>
      <c r="BS14" s="89"/>
      <c r="BT14" s="89"/>
      <c r="BU14" s="89"/>
      <c r="BV14" s="89"/>
      <c r="BW14" s="95"/>
      <c r="BX14" s="96"/>
      <c r="BY14" s="97"/>
      <c r="BZ14" s="89"/>
      <c r="CA14" s="97"/>
      <c r="CB14" s="89"/>
      <c r="CC14" s="89"/>
      <c r="CD14" s="89"/>
      <c r="CE14" s="89"/>
      <c r="CF14" s="89"/>
      <c r="CG14" s="89"/>
      <c r="CH14" s="89"/>
      <c r="CI14" s="89"/>
      <c r="CJ14" s="89"/>
      <c r="CK14" s="89"/>
      <c r="CL14" s="89"/>
      <c r="CM14" s="89"/>
      <c r="CN14" s="89"/>
      <c r="CO14" s="89"/>
      <c r="CP14" s="89"/>
      <c r="CQ14" s="89"/>
      <c r="CR14" s="95"/>
      <c r="CS14" s="96"/>
      <c r="CT14" s="97"/>
      <c r="CU14" s="89"/>
      <c r="CV14" s="97"/>
      <c r="CW14" s="89"/>
      <c r="CX14" s="89"/>
      <c r="CY14" s="89"/>
      <c r="CZ14" s="89"/>
      <c r="DA14" s="89"/>
      <c r="DB14" s="89"/>
      <c r="DC14" s="89"/>
      <c r="DD14" s="89"/>
      <c r="DE14" s="89"/>
      <c r="DF14" s="89"/>
      <c r="DG14" s="89"/>
      <c r="DH14" s="89"/>
      <c r="DI14" s="89"/>
      <c r="DJ14" s="89"/>
      <c r="DK14" s="89"/>
      <c r="DL14" s="89"/>
      <c r="DO14" s="214"/>
      <c r="DP14" s="162"/>
      <c r="DQ14" s="162"/>
      <c r="DR14" s="162"/>
      <c r="DS14" s="162"/>
      <c r="DT14" s="162"/>
      <c r="EE14" s="258"/>
      <c r="EF14" s="258"/>
      <c r="EG14" s="258"/>
      <c r="EH14" s="258"/>
      <c r="EI14" s="258"/>
      <c r="EJ14" s="56"/>
      <c r="EK14" s="56"/>
      <c r="EL14" s="56"/>
      <c r="EM14" s="56"/>
      <c r="EN14" s="56"/>
      <c r="ET14" s="258"/>
      <c r="EX14" s="10"/>
      <c r="EZ14" s="119"/>
      <c r="FJ14" s="284"/>
      <c r="FK14" s="284"/>
      <c r="FL14" s="284"/>
      <c r="FM14" s="283"/>
      <c r="FN14" s="283"/>
      <c r="FO14" s="162"/>
      <c r="FP14" s="162"/>
      <c r="FQ14" s="162"/>
      <c r="FR14" s="162"/>
      <c r="FS14" s="162"/>
      <c r="FU14" s="258"/>
      <c r="FV14" s="388"/>
      <c r="FW14" s="389"/>
    </row>
    <row r="15" spans="1:213" x14ac:dyDescent="0.2">
      <c r="A15" s="173"/>
      <c r="C15" s="21"/>
      <c r="D15" s="21"/>
      <c r="E15" s="21"/>
      <c r="F15" s="21"/>
      <c r="G15" s="21"/>
      <c r="H15" s="21"/>
      <c r="I15" s="21"/>
      <c r="J15" s="21"/>
      <c r="K15" s="21"/>
      <c r="L15" s="95"/>
      <c r="M15" s="278"/>
      <c r="N15" s="96"/>
      <c r="O15" s="96"/>
      <c r="P15" s="97"/>
      <c r="Q15" s="89"/>
      <c r="R15" s="279"/>
      <c r="S15" s="279"/>
      <c r="T15" s="89"/>
      <c r="U15" s="279"/>
      <c r="V15" s="279"/>
      <c r="W15" s="89"/>
      <c r="X15" s="89"/>
      <c r="Y15" s="89"/>
      <c r="Z15" s="89"/>
      <c r="AA15" s="89"/>
      <c r="AB15" s="89"/>
      <c r="AC15" s="89"/>
      <c r="AD15" s="89"/>
      <c r="AE15" s="89"/>
      <c r="AF15" s="89"/>
      <c r="AG15" s="95"/>
      <c r="AH15" s="96"/>
      <c r="AI15" s="97"/>
      <c r="AJ15" s="89"/>
      <c r="AK15" s="97"/>
      <c r="AL15" s="89"/>
      <c r="AM15" s="89"/>
      <c r="AN15" s="89"/>
      <c r="AO15" s="89"/>
      <c r="AP15" s="89"/>
      <c r="AQ15" s="89"/>
      <c r="AR15" s="89"/>
      <c r="AS15" s="89"/>
      <c r="AT15" s="89"/>
      <c r="AU15" s="89"/>
      <c r="AV15" s="89"/>
      <c r="AW15" s="89"/>
      <c r="AX15" s="89"/>
      <c r="AY15" s="89"/>
      <c r="AZ15" s="89"/>
      <c r="BA15" s="89"/>
      <c r="BB15" s="95"/>
      <c r="BC15" s="96"/>
      <c r="BD15" s="97"/>
      <c r="BE15" s="89"/>
      <c r="BF15" s="97"/>
      <c r="BG15" s="89"/>
      <c r="BH15" s="89"/>
      <c r="BI15" s="89"/>
      <c r="BJ15" s="89"/>
      <c r="BK15" s="89"/>
      <c r="BL15" s="89"/>
      <c r="BM15" s="89"/>
      <c r="BN15" s="89"/>
      <c r="BO15" s="89"/>
      <c r="BP15" s="89"/>
      <c r="BQ15" s="89"/>
      <c r="BR15" s="89"/>
      <c r="BS15" s="89"/>
      <c r="BT15" s="89"/>
      <c r="BU15" s="89"/>
      <c r="BV15" s="89"/>
      <c r="BW15" s="95"/>
      <c r="BX15" s="96"/>
      <c r="BY15" s="97"/>
      <c r="BZ15" s="89"/>
      <c r="CA15" s="97"/>
      <c r="CB15" s="89"/>
      <c r="CC15" s="89"/>
      <c r="CD15" s="89"/>
      <c r="CE15" s="89"/>
      <c r="CF15" s="89"/>
      <c r="CG15" s="89"/>
      <c r="CH15" s="89"/>
      <c r="CI15" s="89"/>
      <c r="CJ15" s="89"/>
      <c r="CK15" s="89"/>
      <c r="CL15" s="89"/>
      <c r="CM15" s="89"/>
      <c r="CN15" s="89"/>
      <c r="CO15" s="89"/>
      <c r="CP15" s="89"/>
      <c r="CQ15" s="89"/>
      <c r="CR15" s="95"/>
      <c r="CS15" s="96"/>
      <c r="CT15" s="97"/>
      <c r="CU15" s="89"/>
      <c r="CV15" s="97"/>
      <c r="CW15" s="89"/>
      <c r="CX15" s="89"/>
      <c r="CY15" s="89"/>
      <c r="CZ15" s="89"/>
      <c r="DA15" s="89"/>
      <c r="DB15" s="89"/>
      <c r="DC15" s="89"/>
      <c r="DD15" s="89"/>
      <c r="DE15" s="89"/>
      <c r="DF15" s="89"/>
      <c r="DG15" s="89"/>
      <c r="DH15" s="89"/>
      <c r="DI15" s="89"/>
      <c r="DJ15" s="89"/>
      <c r="DK15" s="89"/>
      <c r="DL15" s="89"/>
      <c r="DO15" s="214"/>
      <c r="DP15" s="162"/>
      <c r="DQ15" s="162"/>
      <c r="DR15" s="162"/>
      <c r="DS15" s="162"/>
      <c r="DT15" s="162"/>
      <c r="EE15" s="258"/>
      <c r="EF15" s="258"/>
      <c r="EG15" s="258"/>
      <c r="EH15" s="258"/>
      <c r="EI15" s="258"/>
      <c r="EJ15" s="56"/>
      <c r="EK15" s="56"/>
      <c r="EL15" s="56"/>
      <c r="EM15" s="56"/>
      <c r="EN15" s="56"/>
      <c r="ET15" s="258"/>
      <c r="EX15" s="10"/>
      <c r="EZ15" s="119"/>
      <c r="FJ15" s="284"/>
      <c r="FK15" s="284"/>
      <c r="FL15" s="284"/>
      <c r="FM15" s="283"/>
      <c r="FN15" s="283"/>
      <c r="FO15" s="162"/>
      <c r="FP15" s="162"/>
      <c r="FQ15" s="162"/>
      <c r="FR15" s="162"/>
      <c r="FS15" s="162"/>
      <c r="FU15" s="258"/>
      <c r="FV15" s="388"/>
      <c r="FW15" s="389"/>
    </row>
    <row r="16" spans="1:213" x14ac:dyDescent="0.2">
      <c r="A16" s="173"/>
      <c r="C16" s="21"/>
      <c r="D16" s="21"/>
      <c r="E16" s="21"/>
      <c r="F16" s="21"/>
      <c r="G16" s="21"/>
      <c r="H16" s="21"/>
      <c r="I16" s="21"/>
      <c r="J16" s="21"/>
      <c r="L16" s="95"/>
      <c r="M16" s="278"/>
      <c r="N16" s="96"/>
      <c r="O16" s="96"/>
      <c r="P16" s="97"/>
      <c r="Q16" s="89"/>
      <c r="R16" s="279"/>
      <c r="S16" s="279"/>
      <c r="T16" s="89"/>
      <c r="U16" s="279"/>
      <c r="V16" s="279"/>
      <c r="W16" s="89"/>
      <c r="X16" s="89"/>
      <c r="Y16" s="89"/>
      <c r="Z16" s="89"/>
      <c r="AA16" s="89"/>
      <c r="AB16" s="89"/>
      <c r="AC16" s="89"/>
      <c r="AD16" s="89"/>
      <c r="AE16" s="89"/>
      <c r="AF16" s="89"/>
      <c r="AG16" s="95"/>
      <c r="AH16" s="96"/>
      <c r="AI16" s="97"/>
      <c r="AJ16" s="89"/>
      <c r="AK16" s="97"/>
      <c r="AL16" s="89"/>
      <c r="AM16" s="89"/>
      <c r="AN16" s="89"/>
      <c r="AO16" s="89"/>
      <c r="AP16" s="89"/>
      <c r="AQ16" s="89"/>
      <c r="AR16" s="89"/>
      <c r="AS16" s="89"/>
      <c r="AT16" s="89"/>
      <c r="AU16" s="89"/>
      <c r="AV16" s="89"/>
      <c r="AW16" s="89"/>
      <c r="AX16" s="89"/>
      <c r="AY16" s="89"/>
      <c r="AZ16" s="89"/>
      <c r="BA16" s="89"/>
      <c r="BB16" s="95"/>
      <c r="BC16" s="96"/>
      <c r="BD16" s="97"/>
      <c r="BE16" s="89"/>
      <c r="BF16" s="97"/>
      <c r="BG16" s="89"/>
      <c r="BH16" s="89"/>
      <c r="BI16" s="89"/>
      <c r="BJ16" s="89"/>
      <c r="BK16" s="89"/>
      <c r="BL16" s="89"/>
      <c r="BM16" s="89"/>
      <c r="BN16" s="89"/>
      <c r="BO16" s="89"/>
      <c r="BP16" s="89"/>
      <c r="BQ16" s="89"/>
      <c r="BR16" s="89"/>
      <c r="BS16" s="89"/>
      <c r="BT16" s="89"/>
      <c r="BU16" s="89"/>
      <c r="BV16" s="89"/>
      <c r="BW16" s="95"/>
      <c r="BX16" s="96"/>
      <c r="BY16" s="97"/>
      <c r="BZ16" s="89"/>
      <c r="CA16" s="97"/>
      <c r="CB16" s="89"/>
      <c r="CC16" s="89"/>
      <c r="CD16" s="89"/>
      <c r="CE16" s="89"/>
      <c r="CF16" s="89"/>
      <c r="CG16" s="89"/>
      <c r="CH16" s="89"/>
      <c r="CI16" s="89"/>
      <c r="CJ16" s="89"/>
      <c r="CK16" s="89"/>
      <c r="CL16" s="89"/>
      <c r="CM16" s="89"/>
      <c r="CN16" s="89"/>
      <c r="CO16" s="89"/>
      <c r="CP16" s="89"/>
      <c r="CQ16" s="89"/>
      <c r="CR16" s="95"/>
      <c r="CS16" s="96"/>
      <c r="CT16" s="97"/>
      <c r="CU16" s="89"/>
      <c r="CV16" s="97"/>
      <c r="CW16" s="89"/>
      <c r="CX16" s="89"/>
      <c r="CY16" s="89"/>
      <c r="CZ16" s="89"/>
      <c r="DA16" s="89"/>
      <c r="DB16" s="89"/>
      <c r="DC16" s="89"/>
      <c r="DD16" s="89"/>
      <c r="DE16" s="89"/>
      <c r="DF16" s="89"/>
      <c r="DG16" s="89"/>
      <c r="DH16" s="89"/>
      <c r="DI16" s="89"/>
      <c r="DJ16" s="89"/>
      <c r="DK16" s="89"/>
      <c r="DL16" s="89"/>
      <c r="DO16" s="214"/>
      <c r="DP16" s="162"/>
      <c r="DQ16" s="162"/>
      <c r="DR16" s="162"/>
      <c r="DS16" s="162"/>
      <c r="DT16" s="162"/>
      <c r="EE16" s="258"/>
      <c r="EF16" s="258"/>
      <c r="EG16" s="258"/>
      <c r="EH16" s="258"/>
      <c r="EI16" s="258"/>
      <c r="EJ16" s="56"/>
      <c r="EK16" s="56"/>
      <c r="EL16" s="56"/>
      <c r="EM16" s="56"/>
      <c r="EN16" s="56"/>
      <c r="ET16" s="258"/>
      <c r="EX16" s="10"/>
      <c r="EZ16" s="119"/>
      <c r="FJ16" s="284"/>
      <c r="FK16" s="284"/>
      <c r="FL16" s="284"/>
      <c r="FM16" s="283"/>
      <c r="FN16" s="283"/>
      <c r="FO16" s="162"/>
      <c r="FP16" s="162"/>
      <c r="FQ16" s="162"/>
      <c r="FR16" s="162"/>
      <c r="FS16" s="162"/>
      <c r="FU16" s="258"/>
      <c r="FV16" s="388"/>
      <c r="FW16" s="389"/>
    </row>
    <row r="17" spans="1:179" x14ac:dyDescent="0.2">
      <c r="A17" s="173"/>
      <c r="C17" s="21"/>
      <c r="D17" s="21"/>
      <c r="E17" s="21"/>
      <c r="F17" s="21"/>
      <c r="G17" s="21"/>
      <c r="H17" s="21"/>
      <c r="I17" s="21"/>
      <c r="J17" s="21"/>
      <c r="K17" s="21"/>
      <c r="L17" s="95"/>
      <c r="M17" s="278"/>
      <c r="N17" s="96"/>
      <c r="O17" s="96"/>
      <c r="P17" s="97"/>
      <c r="Q17" s="89"/>
      <c r="R17" s="279"/>
      <c r="S17" s="279"/>
      <c r="T17" s="89"/>
      <c r="U17" s="279"/>
      <c r="V17" s="279"/>
      <c r="W17" s="89"/>
      <c r="X17" s="89"/>
      <c r="Y17" s="89"/>
      <c r="Z17" s="89"/>
      <c r="AA17" s="89"/>
      <c r="AB17" s="89"/>
      <c r="AC17" s="89"/>
      <c r="AD17" s="89"/>
      <c r="AE17" s="89"/>
      <c r="AF17" s="89"/>
      <c r="AG17" s="95"/>
      <c r="AH17" s="96"/>
      <c r="AI17" s="97"/>
      <c r="AJ17" s="89"/>
      <c r="AK17" s="97"/>
      <c r="AL17" s="89"/>
      <c r="AM17" s="89"/>
      <c r="AN17" s="89"/>
      <c r="AO17" s="89"/>
      <c r="AP17" s="89"/>
      <c r="AQ17" s="89"/>
      <c r="AR17" s="89"/>
      <c r="AS17" s="89"/>
      <c r="AT17" s="89"/>
      <c r="AU17" s="89"/>
      <c r="AV17" s="89"/>
      <c r="AW17" s="89"/>
      <c r="AX17" s="89"/>
      <c r="AY17" s="89"/>
      <c r="AZ17" s="89"/>
      <c r="BA17" s="89"/>
      <c r="BB17" s="95"/>
      <c r="BC17" s="96"/>
      <c r="BD17" s="97"/>
      <c r="BE17" s="89"/>
      <c r="BF17" s="97"/>
      <c r="BG17" s="89"/>
      <c r="BH17" s="89"/>
      <c r="BI17" s="89"/>
      <c r="BJ17" s="89"/>
      <c r="BK17" s="89"/>
      <c r="BL17" s="89"/>
      <c r="BM17" s="89"/>
      <c r="BN17" s="89"/>
      <c r="BO17" s="89"/>
      <c r="BP17" s="89"/>
      <c r="BQ17" s="89"/>
      <c r="BR17" s="89"/>
      <c r="BS17" s="89"/>
      <c r="BT17" s="89"/>
      <c r="BU17" s="89"/>
      <c r="BV17" s="89"/>
      <c r="BW17" s="95"/>
      <c r="BX17" s="96"/>
      <c r="BY17" s="97"/>
      <c r="BZ17" s="89"/>
      <c r="CA17" s="97"/>
      <c r="CB17" s="89"/>
      <c r="CC17" s="89"/>
      <c r="CD17" s="89"/>
      <c r="CE17" s="89"/>
      <c r="CF17" s="89"/>
      <c r="CG17" s="89"/>
      <c r="CH17" s="89"/>
      <c r="CI17" s="89"/>
      <c r="CJ17" s="89"/>
      <c r="CK17" s="89"/>
      <c r="CL17" s="89"/>
      <c r="CM17" s="89"/>
      <c r="CN17" s="89"/>
      <c r="CO17" s="89"/>
      <c r="CP17" s="89"/>
      <c r="CQ17" s="89"/>
      <c r="CR17" s="95"/>
      <c r="CS17" s="96"/>
      <c r="CT17" s="97"/>
      <c r="CU17" s="89"/>
      <c r="CV17" s="97"/>
      <c r="CW17" s="89"/>
      <c r="CX17" s="89"/>
      <c r="CY17" s="89"/>
      <c r="CZ17" s="89"/>
      <c r="DA17" s="89"/>
      <c r="DB17" s="89"/>
      <c r="DC17" s="89"/>
      <c r="DD17" s="89"/>
      <c r="DE17" s="89"/>
      <c r="DF17" s="89"/>
      <c r="DG17" s="89"/>
      <c r="DH17" s="89"/>
      <c r="DI17" s="89"/>
      <c r="DJ17" s="89"/>
      <c r="DK17" s="89"/>
      <c r="DL17" s="89"/>
      <c r="DO17" s="214"/>
      <c r="DP17" s="162"/>
      <c r="DQ17" s="162"/>
      <c r="DR17" s="162"/>
      <c r="DS17" s="162"/>
      <c r="DT17" s="162"/>
      <c r="EE17" s="258"/>
      <c r="EF17" s="258"/>
      <c r="EG17" s="258"/>
      <c r="EH17" s="258"/>
      <c r="EI17" s="258"/>
      <c r="EJ17" s="56"/>
      <c r="EK17" s="56"/>
      <c r="EL17" s="56"/>
      <c r="EM17" s="56"/>
      <c r="EN17" s="56"/>
      <c r="ET17" s="258"/>
      <c r="EX17" s="10"/>
      <c r="EZ17" s="119"/>
      <c r="FJ17" s="284"/>
      <c r="FK17" s="284"/>
      <c r="FL17" s="284"/>
      <c r="FM17" s="283"/>
      <c r="FN17" s="283"/>
      <c r="FO17" s="162"/>
      <c r="FP17" s="162"/>
      <c r="FQ17" s="162"/>
      <c r="FR17" s="162"/>
      <c r="FS17" s="162"/>
      <c r="FU17" s="258"/>
      <c r="FV17" s="388"/>
      <c r="FW17" s="389"/>
    </row>
    <row r="18" spans="1:179" x14ac:dyDescent="0.2">
      <c r="A18" s="173"/>
      <c r="C18" s="21"/>
      <c r="D18" s="21"/>
      <c r="E18" s="21"/>
      <c r="F18" s="21"/>
      <c r="G18" s="21"/>
      <c r="H18" s="21"/>
      <c r="I18" s="21"/>
      <c r="J18" s="21"/>
      <c r="K18" s="21"/>
      <c r="L18" s="95"/>
      <c r="M18" s="278"/>
      <c r="N18" s="96"/>
      <c r="O18" s="96"/>
      <c r="P18" s="97"/>
      <c r="Q18" s="89"/>
      <c r="R18" s="279"/>
      <c r="S18" s="279"/>
      <c r="T18" s="89"/>
      <c r="U18" s="279"/>
      <c r="V18" s="279"/>
      <c r="W18" s="89"/>
      <c r="X18" s="89"/>
      <c r="Y18" s="89"/>
      <c r="Z18" s="89"/>
      <c r="AA18" s="89"/>
      <c r="AB18" s="89"/>
      <c r="AC18" s="89"/>
      <c r="AD18" s="89"/>
      <c r="AE18" s="89"/>
      <c r="AF18" s="89"/>
      <c r="AG18" s="95"/>
      <c r="AH18" s="96"/>
      <c r="AI18" s="97"/>
      <c r="AJ18" s="89"/>
      <c r="AK18" s="97"/>
      <c r="AL18" s="89"/>
      <c r="AM18" s="89"/>
      <c r="AN18" s="89"/>
      <c r="AO18" s="89"/>
      <c r="AP18" s="89"/>
      <c r="AQ18" s="89"/>
      <c r="AR18" s="89"/>
      <c r="AS18" s="89"/>
      <c r="AT18" s="89"/>
      <c r="AU18" s="89"/>
      <c r="AV18" s="89"/>
      <c r="AW18" s="89"/>
      <c r="AX18" s="89"/>
      <c r="AY18" s="89"/>
      <c r="AZ18" s="89"/>
      <c r="BA18" s="89"/>
      <c r="BB18" s="95"/>
      <c r="BC18" s="96"/>
      <c r="BD18" s="97"/>
      <c r="BE18" s="89"/>
      <c r="BF18" s="97"/>
      <c r="BG18" s="89"/>
      <c r="BH18" s="89"/>
      <c r="BI18" s="89"/>
      <c r="BJ18" s="89"/>
      <c r="BK18" s="89"/>
      <c r="BL18" s="89"/>
      <c r="BM18" s="89"/>
      <c r="BN18" s="89"/>
      <c r="BO18" s="89"/>
      <c r="BP18" s="89"/>
      <c r="BQ18" s="89"/>
      <c r="BR18" s="89"/>
      <c r="BS18" s="89"/>
      <c r="BT18" s="89"/>
      <c r="BU18" s="89"/>
      <c r="BV18" s="89"/>
      <c r="BW18" s="95"/>
      <c r="BX18" s="96"/>
      <c r="BY18" s="97"/>
      <c r="BZ18" s="89"/>
      <c r="CA18" s="97"/>
      <c r="CB18" s="89"/>
      <c r="CC18" s="89"/>
      <c r="CD18" s="89"/>
      <c r="CE18" s="89"/>
      <c r="CF18" s="89"/>
      <c r="CG18" s="89"/>
      <c r="CH18" s="89"/>
      <c r="CI18" s="89"/>
      <c r="CJ18" s="89"/>
      <c r="CK18" s="89"/>
      <c r="CL18" s="89"/>
      <c r="CM18" s="89"/>
      <c r="CN18" s="89"/>
      <c r="CO18" s="89"/>
      <c r="CP18" s="89"/>
      <c r="CQ18" s="89"/>
      <c r="CR18" s="95"/>
      <c r="CS18" s="96"/>
      <c r="CT18" s="97"/>
      <c r="CU18" s="89"/>
      <c r="CV18" s="97"/>
      <c r="CW18" s="89"/>
      <c r="CX18" s="89"/>
      <c r="CY18" s="89"/>
      <c r="CZ18" s="89"/>
      <c r="DA18" s="89"/>
      <c r="DB18" s="89"/>
      <c r="DC18" s="89"/>
      <c r="DD18" s="89"/>
      <c r="DE18" s="89"/>
      <c r="DF18" s="89"/>
      <c r="DG18" s="89"/>
      <c r="DH18" s="89"/>
      <c r="DI18" s="89"/>
      <c r="DJ18" s="89"/>
      <c r="DK18" s="89"/>
      <c r="DL18" s="89"/>
      <c r="DO18" s="214"/>
      <c r="DP18" s="162"/>
      <c r="DQ18" s="162"/>
      <c r="DR18" s="162"/>
      <c r="DS18" s="162"/>
      <c r="DT18" s="162"/>
      <c r="EE18" s="258"/>
      <c r="EF18" s="258"/>
      <c r="EG18" s="258"/>
      <c r="EH18" s="258"/>
      <c r="EI18" s="258"/>
      <c r="EJ18" s="56"/>
      <c r="EK18" s="56"/>
      <c r="EL18" s="56"/>
      <c r="EM18" s="56"/>
      <c r="EN18" s="56"/>
      <c r="ET18" s="258"/>
      <c r="EX18" s="10"/>
      <c r="EZ18" s="119"/>
      <c r="FJ18" s="284"/>
      <c r="FK18" s="284"/>
      <c r="FL18" s="284"/>
      <c r="FM18" s="283"/>
      <c r="FN18" s="283"/>
      <c r="FO18" s="162"/>
      <c r="FP18" s="162"/>
      <c r="FQ18" s="162"/>
      <c r="FR18" s="162"/>
      <c r="FS18" s="162"/>
      <c r="FU18" s="258"/>
      <c r="FV18" s="388"/>
      <c r="FW18" s="389"/>
    </row>
    <row r="19" spans="1:179" x14ac:dyDescent="0.2">
      <c r="A19" s="173"/>
      <c r="C19" s="21"/>
      <c r="D19" s="21"/>
      <c r="E19" s="21"/>
      <c r="F19" s="21"/>
      <c r="G19" s="21"/>
      <c r="H19" s="21"/>
      <c r="I19" s="21"/>
      <c r="J19" s="21"/>
      <c r="K19" s="21"/>
      <c r="L19" s="95"/>
      <c r="M19" s="278"/>
      <c r="N19" s="96"/>
      <c r="O19" s="96"/>
      <c r="P19" s="97"/>
      <c r="Q19" s="89"/>
      <c r="R19" s="279"/>
      <c r="S19" s="279"/>
      <c r="T19" s="89"/>
      <c r="U19" s="279"/>
      <c r="V19" s="279"/>
      <c r="W19" s="89"/>
      <c r="X19" s="89"/>
      <c r="Y19" s="89"/>
      <c r="Z19" s="89"/>
      <c r="AA19" s="89"/>
      <c r="AB19" s="89"/>
      <c r="AC19" s="89"/>
      <c r="AD19" s="89"/>
      <c r="AE19" s="89"/>
      <c r="AF19" s="89"/>
      <c r="AG19" s="95"/>
      <c r="AH19" s="96"/>
      <c r="AI19" s="97"/>
      <c r="AJ19" s="89"/>
      <c r="AK19" s="97"/>
      <c r="AL19" s="89"/>
      <c r="AM19" s="89"/>
      <c r="AN19" s="89"/>
      <c r="AO19" s="89"/>
      <c r="AP19" s="89"/>
      <c r="AQ19" s="89"/>
      <c r="AR19" s="89"/>
      <c r="AS19" s="89"/>
      <c r="AT19" s="89"/>
      <c r="AU19" s="89"/>
      <c r="AV19" s="89"/>
      <c r="AW19" s="89"/>
      <c r="AX19" s="89"/>
      <c r="AY19" s="89"/>
      <c r="AZ19" s="89"/>
      <c r="BA19" s="89"/>
      <c r="BB19" s="95"/>
      <c r="BC19" s="96"/>
      <c r="BD19" s="97"/>
      <c r="BE19" s="89"/>
      <c r="BF19" s="97"/>
      <c r="BG19" s="89"/>
      <c r="BH19" s="89"/>
      <c r="BI19" s="89"/>
      <c r="BJ19" s="89"/>
      <c r="BK19" s="89"/>
      <c r="BL19" s="89"/>
      <c r="BM19" s="89"/>
      <c r="BN19" s="89"/>
      <c r="BO19" s="89"/>
      <c r="BP19" s="89"/>
      <c r="BQ19" s="89"/>
      <c r="BR19" s="89"/>
      <c r="BS19" s="89"/>
      <c r="BT19" s="89"/>
      <c r="BU19" s="89"/>
      <c r="BV19" s="89"/>
      <c r="BW19" s="95"/>
      <c r="BX19" s="96"/>
      <c r="BY19" s="97"/>
      <c r="BZ19" s="89"/>
      <c r="CA19" s="97"/>
      <c r="CB19" s="89"/>
      <c r="CC19" s="89"/>
      <c r="CD19" s="89"/>
      <c r="CE19" s="89"/>
      <c r="CF19" s="89"/>
      <c r="CG19" s="89"/>
      <c r="CH19" s="89"/>
      <c r="CI19" s="89"/>
      <c r="CJ19" s="89"/>
      <c r="CK19" s="89"/>
      <c r="CL19" s="89"/>
      <c r="CM19" s="89"/>
      <c r="CN19" s="89"/>
      <c r="CO19" s="89"/>
      <c r="CP19" s="89"/>
      <c r="CQ19" s="89"/>
      <c r="CR19" s="95"/>
      <c r="CS19" s="96"/>
      <c r="CT19" s="97"/>
      <c r="CU19" s="89"/>
      <c r="CV19" s="97"/>
      <c r="CW19" s="89"/>
      <c r="CX19" s="89"/>
      <c r="CY19" s="89"/>
      <c r="CZ19" s="89"/>
      <c r="DA19" s="89"/>
      <c r="DB19" s="89"/>
      <c r="DC19" s="89"/>
      <c r="DD19" s="89"/>
      <c r="DE19" s="89"/>
      <c r="DF19" s="89"/>
      <c r="DG19" s="89"/>
      <c r="DH19" s="89"/>
      <c r="DI19" s="89"/>
      <c r="DJ19" s="89"/>
      <c r="DK19" s="89"/>
      <c r="DL19" s="89"/>
      <c r="DO19" s="214"/>
      <c r="DP19" s="162"/>
      <c r="DQ19" s="162"/>
      <c r="DR19" s="162"/>
      <c r="DS19" s="162"/>
      <c r="DT19" s="162"/>
      <c r="EE19" s="258"/>
      <c r="EF19" s="258"/>
      <c r="EG19" s="258"/>
      <c r="EH19" s="258"/>
      <c r="EI19" s="258"/>
      <c r="EJ19" s="56"/>
      <c r="EK19" s="56"/>
      <c r="EL19" s="56"/>
      <c r="EM19" s="56"/>
      <c r="EN19" s="56"/>
      <c r="ET19" s="258"/>
      <c r="EX19" s="10"/>
      <c r="EZ19" s="119"/>
      <c r="FJ19" s="284"/>
      <c r="FK19" s="284"/>
      <c r="FL19" s="284"/>
      <c r="FM19" s="283"/>
      <c r="FN19" s="283"/>
      <c r="FO19" s="162"/>
      <c r="FP19" s="162"/>
      <c r="FQ19" s="162"/>
      <c r="FR19" s="162"/>
      <c r="FS19" s="162"/>
      <c r="FU19" s="258"/>
      <c r="FV19" s="388"/>
      <c r="FW19" s="389"/>
    </row>
    <row r="20" spans="1:179" x14ac:dyDescent="0.2">
      <c r="A20" s="173"/>
      <c r="C20" s="21"/>
      <c r="D20" s="21"/>
      <c r="E20" s="21"/>
      <c r="F20" s="21"/>
      <c r="G20" s="21"/>
      <c r="H20" s="21"/>
      <c r="I20" s="21"/>
      <c r="J20" s="21"/>
      <c r="K20" s="21"/>
      <c r="L20" s="95"/>
      <c r="M20" s="278"/>
      <c r="N20" s="96"/>
      <c r="O20" s="96"/>
      <c r="P20" s="97"/>
      <c r="Q20" s="89"/>
      <c r="R20" s="279"/>
      <c r="S20" s="279"/>
      <c r="T20" s="89"/>
      <c r="U20" s="279"/>
      <c r="V20" s="279"/>
      <c r="W20" s="89"/>
      <c r="X20" s="89"/>
      <c r="Y20" s="89"/>
      <c r="Z20" s="89"/>
      <c r="AA20" s="89"/>
      <c r="AB20" s="89"/>
      <c r="AC20" s="89"/>
      <c r="AD20" s="89"/>
      <c r="AE20" s="89"/>
      <c r="AF20" s="89"/>
      <c r="AG20" s="95"/>
      <c r="AH20" s="96"/>
      <c r="AI20" s="97"/>
      <c r="AJ20" s="89"/>
      <c r="AK20" s="97"/>
      <c r="AL20" s="89"/>
      <c r="AM20" s="89"/>
      <c r="AN20" s="89"/>
      <c r="AO20" s="89"/>
      <c r="AP20" s="89"/>
      <c r="AQ20" s="89"/>
      <c r="AR20" s="89"/>
      <c r="AS20" s="89"/>
      <c r="AT20" s="89"/>
      <c r="AU20" s="89"/>
      <c r="AV20" s="89"/>
      <c r="AW20" s="89"/>
      <c r="AX20" s="89"/>
      <c r="AY20" s="89"/>
      <c r="AZ20" s="89"/>
      <c r="BA20" s="89"/>
      <c r="BB20" s="95"/>
      <c r="BC20" s="96"/>
      <c r="BD20" s="97"/>
      <c r="BE20" s="89"/>
      <c r="BF20" s="97"/>
      <c r="BG20" s="89"/>
      <c r="BH20" s="89"/>
      <c r="BI20" s="89"/>
      <c r="BJ20" s="89"/>
      <c r="BK20" s="89"/>
      <c r="BL20" s="89"/>
      <c r="BM20" s="89"/>
      <c r="BN20" s="89"/>
      <c r="BO20" s="89"/>
      <c r="BP20" s="89"/>
      <c r="BQ20" s="89"/>
      <c r="BR20" s="89"/>
      <c r="BS20" s="89"/>
      <c r="BT20" s="89"/>
      <c r="BU20" s="89"/>
      <c r="BV20" s="89"/>
      <c r="BW20" s="95"/>
      <c r="BX20" s="96"/>
      <c r="BY20" s="97"/>
      <c r="BZ20" s="89"/>
      <c r="CA20" s="97"/>
      <c r="CB20" s="89"/>
      <c r="CC20" s="89"/>
      <c r="CD20" s="89"/>
      <c r="CE20" s="89"/>
      <c r="CF20" s="89"/>
      <c r="CG20" s="89"/>
      <c r="CH20" s="89"/>
      <c r="CI20" s="89"/>
      <c r="CJ20" s="89"/>
      <c r="CK20" s="89"/>
      <c r="CL20" s="89"/>
      <c r="CM20" s="89"/>
      <c r="CN20" s="89"/>
      <c r="CO20" s="89"/>
      <c r="CP20" s="89"/>
      <c r="CQ20" s="89"/>
      <c r="CR20" s="95"/>
      <c r="CS20" s="96"/>
      <c r="CT20" s="97"/>
      <c r="CU20" s="89"/>
      <c r="CV20" s="97"/>
      <c r="CW20" s="89"/>
      <c r="CX20" s="89"/>
      <c r="CY20" s="89"/>
      <c r="CZ20" s="89"/>
      <c r="DA20" s="89"/>
      <c r="DB20" s="89"/>
      <c r="DC20" s="89"/>
      <c r="DD20" s="89"/>
      <c r="DE20" s="89"/>
      <c r="DF20" s="89"/>
      <c r="DG20" s="89"/>
      <c r="DH20" s="89"/>
      <c r="DI20" s="89"/>
      <c r="DJ20" s="89"/>
      <c r="DK20" s="89"/>
      <c r="DL20" s="89"/>
      <c r="DO20" s="214"/>
      <c r="DP20" s="162"/>
      <c r="DQ20" s="162"/>
      <c r="DR20" s="162"/>
      <c r="DS20" s="162"/>
      <c r="DT20" s="162"/>
      <c r="EE20" s="258"/>
      <c r="EF20" s="258"/>
      <c r="EG20" s="258"/>
      <c r="EH20" s="258"/>
      <c r="EI20" s="258"/>
      <c r="EJ20" s="56"/>
      <c r="EK20" s="56"/>
      <c r="EL20" s="56"/>
      <c r="EM20" s="56"/>
      <c r="EN20" s="56"/>
      <c r="ET20" s="258"/>
      <c r="EX20" s="10"/>
      <c r="EZ20" s="119"/>
      <c r="FJ20" s="284"/>
      <c r="FK20" s="284"/>
      <c r="FL20" s="284"/>
      <c r="FM20" s="283"/>
      <c r="FN20" s="283"/>
      <c r="FO20" s="162"/>
      <c r="FP20" s="162"/>
      <c r="FQ20" s="162"/>
      <c r="FR20" s="162"/>
      <c r="FS20" s="162"/>
      <c r="FU20" s="258"/>
      <c r="FV20" s="388"/>
      <c r="FW20" s="389"/>
    </row>
    <row r="21" spans="1:179" x14ac:dyDescent="0.2">
      <c r="A21" s="173"/>
      <c r="C21" s="21"/>
      <c r="D21" s="21"/>
      <c r="E21" s="21"/>
      <c r="F21" s="21"/>
      <c r="G21" s="21"/>
      <c r="H21" s="21"/>
      <c r="I21" s="21"/>
      <c r="J21" s="21"/>
      <c r="K21" s="21"/>
      <c r="L21" s="95"/>
      <c r="M21" s="278"/>
      <c r="N21" s="96"/>
      <c r="O21" s="96"/>
      <c r="P21" s="97"/>
      <c r="Q21" s="89"/>
      <c r="R21" s="279"/>
      <c r="S21" s="279"/>
      <c r="T21" s="89"/>
      <c r="U21" s="279"/>
      <c r="V21" s="279"/>
      <c r="W21" s="89"/>
      <c r="X21" s="89"/>
      <c r="Y21" s="89"/>
      <c r="Z21" s="89"/>
      <c r="AA21" s="89"/>
      <c r="AB21" s="89"/>
      <c r="AC21" s="89"/>
      <c r="AD21" s="89"/>
      <c r="AE21" s="89"/>
      <c r="AF21" s="89"/>
      <c r="AG21" s="95"/>
      <c r="AH21" s="96"/>
      <c r="AI21" s="97"/>
      <c r="AJ21" s="89"/>
      <c r="AK21" s="97"/>
      <c r="AL21" s="89"/>
      <c r="AM21" s="89"/>
      <c r="AN21" s="89"/>
      <c r="AO21" s="89"/>
      <c r="AP21" s="89"/>
      <c r="AQ21" s="89"/>
      <c r="AR21" s="89"/>
      <c r="AS21" s="89"/>
      <c r="AT21" s="89"/>
      <c r="AU21" s="89"/>
      <c r="AV21" s="89"/>
      <c r="AW21" s="89"/>
      <c r="AX21" s="89"/>
      <c r="AY21" s="89"/>
      <c r="AZ21" s="89"/>
      <c r="BA21" s="89"/>
      <c r="BB21" s="95"/>
      <c r="BC21" s="96"/>
      <c r="BD21" s="97"/>
      <c r="BE21" s="89"/>
      <c r="BF21" s="97"/>
      <c r="BG21" s="89"/>
      <c r="BH21" s="89"/>
      <c r="BI21" s="89"/>
      <c r="BJ21" s="89"/>
      <c r="BK21" s="89"/>
      <c r="BL21" s="89"/>
      <c r="BM21" s="89"/>
      <c r="BN21" s="89"/>
      <c r="BO21" s="89"/>
      <c r="BP21" s="89"/>
      <c r="BQ21" s="89"/>
      <c r="BR21" s="89"/>
      <c r="BS21" s="89"/>
      <c r="BT21" s="89"/>
      <c r="BU21" s="89"/>
      <c r="BV21" s="89"/>
      <c r="BW21" s="95"/>
      <c r="BX21" s="96"/>
      <c r="BY21" s="97"/>
      <c r="BZ21" s="89"/>
      <c r="CA21" s="97"/>
      <c r="CB21" s="89"/>
      <c r="CC21" s="89"/>
      <c r="CD21" s="89"/>
      <c r="CE21" s="89"/>
      <c r="CF21" s="89"/>
      <c r="CG21" s="89"/>
      <c r="CH21" s="89"/>
      <c r="CI21" s="89"/>
      <c r="CJ21" s="89"/>
      <c r="CK21" s="89"/>
      <c r="CL21" s="89"/>
      <c r="CM21" s="89"/>
      <c r="CN21" s="89"/>
      <c r="CO21" s="89"/>
      <c r="CP21" s="89"/>
      <c r="CQ21" s="89"/>
      <c r="CR21" s="95"/>
      <c r="CS21" s="96"/>
      <c r="CT21" s="97"/>
      <c r="CU21" s="89"/>
      <c r="CV21" s="97"/>
      <c r="CW21" s="89"/>
      <c r="CX21" s="89"/>
      <c r="CY21" s="89"/>
      <c r="CZ21" s="89"/>
      <c r="DA21" s="89"/>
      <c r="DB21" s="89"/>
      <c r="DC21" s="89"/>
      <c r="DD21" s="89"/>
      <c r="DE21" s="89"/>
      <c r="DF21" s="89"/>
      <c r="DG21" s="89"/>
      <c r="DH21" s="89"/>
      <c r="DI21" s="89"/>
      <c r="DJ21" s="89"/>
      <c r="DK21" s="89"/>
      <c r="DL21" s="89"/>
      <c r="DO21" s="214"/>
      <c r="DP21" s="162"/>
      <c r="DQ21" s="162"/>
      <c r="DR21" s="162"/>
      <c r="DS21" s="162"/>
      <c r="DT21" s="162"/>
      <c r="EE21" s="258"/>
      <c r="EF21" s="258"/>
      <c r="EG21" s="258"/>
      <c r="EH21" s="258"/>
      <c r="EI21" s="258"/>
      <c r="EJ21" s="56"/>
      <c r="EK21" s="56"/>
      <c r="EL21" s="56"/>
      <c r="EM21" s="56"/>
      <c r="EN21" s="56"/>
      <c r="ET21" s="258"/>
      <c r="EX21" s="10"/>
      <c r="EZ21" s="119"/>
      <c r="FJ21" s="284"/>
      <c r="FK21" s="284"/>
      <c r="FL21" s="284"/>
      <c r="FM21" s="283"/>
      <c r="FN21" s="283"/>
      <c r="FO21" s="162"/>
      <c r="FP21" s="162"/>
      <c r="FQ21" s="162"/>
      <c r="FR21" s="162"/>
      <c r="FS21" s="162"/>
      <c r="FU21" s="258"/>
      <c r="FV21" s="388"/>
      <c r="FW21" s="389"/>
    </row>
    <row r="22" spans="1:179" x14ac:dyDescent="0.2">
      <c r="A22" s="173"/>
      <c r="C22" s="21"/>
      <c r="D22" s="21"/>
      <c r="E22" s="21"/>
      <c r="F22" s="21"/>
      <c r="G22" s="21"/>
      <c r="H22" s="21"/>
      <c r="I22" s="21"/>
      <c r="J22" s="21"/>
      <c r="K22" s="21"/>
      <c r="L22" s="95"/>
      <c r="M22" s="278"/>
      <c r="N22" s="96"/>
      <c r="O22" s="96"/>
      <c r="P22" s="97"/>
      <c r="Q22" s="89"/>
      <c r="R22" s="279"/>
      <c r="S22" s="279"/>
      <c r="T22" s="89"/>
      <c r="U22" s="279"/>
      <c r="V22" s="279"/>
      <c r="W22" s="89"/>
      <c r="X22" s="89"/>
      <c r="Y22" s="89"/>
      <c r="Z22" s="89"/>
      <c r="AA22" s="89"/>
      <c r="AB22" s="89"/>
      <c r="AC22" s="89"/>
      <c r="AD22" s="89"/>
      <c r="AE22" s="89"/>
      <c r="AF22" s="89"/>
      <c r="AG22" s="95"/>
      <c r="AH22" s="96"/>
      <c r="AI22" s="97"/>
      <c r="AJ22" s="89"/>
      <c r="AK22" s="97"/>
      <c r="AL22" s="89"/>
      <c r="AM22" s="89"/>
      <c r="AN22" s="89"/>
      <c r="AO22" s="89"/>
      <c r="AP22" s="89"/>
      <c r="AQ22" s="89"/>
      <c r="AR22" s="89"/>
      <c r="AS22" s="89"/>
      <c r="AT22" s="89"/>
      <c r="AU22" s="89"/>
      <c r="AV22" s="89"/>
      <c r="AW22" s="89"/>
      <c r="AX22" s="89"/>
      <c r="AY22" s="89"/>
      <c r="AZ22" s="89"/>
      <c r="BA22" s="89"/>
      <c r="BB22" s="95"/>
      <c r="BC22" s="96"/>
      <c r="BD22" s="97"/>
      <c r="BE22" s="89"/>
      <c r="BF22" s="97"/>
      <c r="BG22" s="89"/>
      <c r="BH22" s="89"/>
      <c r="BI22" s="89"/>
      <c r="BJ22" s="89"/>
      <c r="BK22" s="89"/>
      <c r="BL22" s="89"/>
      <c r="BM22" s="89"/>
      <c r="BN22" s="89"/>
      <c r="BO22" s="89"/>
      <c r="BP22" s="89"/>
      <c r="BQ22" s="89"/>
      <c r="BR22" s="89"/>
      <c r="BS22" s="89"/>
      <c r="BT22" s="89"/>
      <c r="BU22" s="89"/>
      <c r="BV22" s="89"/>
      <c r="BW22" s="95"/>
      <c r="BX22" s="96"/>
      <c r="BY22" s="97"/>
      <c r="BZ22" s="89"/>
      <c r="CA22" s="97"/>
      <c r="CB22" s="89"/>
      <c r="CC22" s="89"/>
      <c r="CD22" s="89"/>
      <c r="CE22" s="89"/>
      <c r="CF22" s="89"/>
      <c r="CG22" s="89"/>
      <c r="CH22" s="89"/>
      <c r="CI22" s="89"/>
      <c r="CJ22" s="89"/>
      <c r="CK22" s="89"/>
      <c r="CL22" s="89"/>
      <c r="CM22" s="89"/>
      <c r="CN22" s="89"/>
      <c r="CO22" s="89"/>
      <c r="CP22" s="89"/>
      <c r="CQ22" s="89"/>
      <c r="CR22" s="95"/>
      <c r="CS22" s="96"/>
      <c r="CT22" s="97"/>
      <c r="CU22" s="89"/>
      <c r="CV22" s="97"/>
      <c r="CW22" s="89"/>
      <c r="CX22" s="89"/>
      <c r="CY22" s="89"/>
      <c r="CZ22" s="89"/>
      <c r="DA22" s="89"/>
      <c r="DB22" s="89"/>
      <c r="DC22" s="89"/>
      <c r="DD22" s="89"/>
      <c r="DE22" s="89"/>
      <c r="DF22" s="89"/>
      <c r="DG22" s="89"/>
      <c r="DH22" s="89"/>
      <c r="DI22" s="89"/>
      <c r="DJ22" s="89"/>
      <c r="DK22" s="89"/>
      <c r="DL22" s="89"/>
      <c r="DO22" s="214"/>
      <c r="DP22" s="162"/>
      <c r="DQ22" s="162"/>
      <c r="DR22" s="162"/>
      <c r="DS22" s="162"/>
      <c r="DT22" s="162"/>
      <c r="EE22" s="258"/>
      <c r="EF22" s="258"/>
      <c r="EG22" s="258"/>
      <c r="EH22" s="258"/>
      <c r="EI22" s="258"/>
      <c r="EJ22" s="56"/>
      <c r="EK22" s="56"/>
      <c r="EL22" s="56"/>
      <c r="EM22" s="56"/>
      <c r="EN22" s="56"/>
      <c r="ET22" s="258"/>
      <c r="EX22" s="10"/>
      <c r="EZ22" s="119"/>
      <c r="FJ22" s="284"/>
      <c r="FK22" s="284"/>
      <c r="FL22" s="284"/>
      <c r="FM22" s="283"/>
      <c r="FN22" s="283"/>
      <c r="FO22" s="162"/>
      <c r="FP22" s="162"/>
      <c r="FQ22" s="162"/>
      <c r="FR22" s="162"/>
      <c r="FS22" s="162"/>
      <c r="FU22" s="258"/>
      <c r="FV22" s="388"/>
      <c r="FW22" s="389"/>
    </row>
    <row r="23" spans="1:179" x14ac:dyDescent="0.2">
      <c r="A23" s="173"/>
      <c r="C23" s="21"/>
      <c r="D23" s="21"/>
      <c r="E23" s="21"/>
      <c r="F23" s="21"/>
      <c r="G23" s="21"/>
      <c r="H23" s="21"/>
      <c r="I23" s="21"/>
      <c r="J23" s="21"/>
      <c r="K23" s="21"/>
      <c r="L23" s="95"/>
      <c r="M23" s="278"/>
      <c r="N23" s="96"/>
      <c r="O23" s="96"/>
      <c r="P23" s="97"/>
      <c r="Q23" s="89"/>
      <c r="R23" s="279"/>
      <c r="S23" s="279"/>
      <c r="T23" s="89"/>
      <c r="U23" s="279"/>
      <c r="V23" s="279"/>
      <c r="W23" s="89"/>
      <c r="X23" s="89"/>
      <c r="Y23" s="89"/>
      <c r="Z23" s="89"/>
      <c r="AA23" s="89"/>
      <c r="AB23" s="89"/>
      <c r="AC23" s="89"/>
      <c r="AD23" s="89"/>
      <c r="AE23" s="89"/>
      <c r="AF23" s="89"/>
      <c r="AG23" s="95"/>
      <c r="AH23" s="96"/>
      <c r="AI23" s="97"/>
      <c r="AJ23" s="89"/>
      <c r="AK23" s="97"/>
      <c r="AL23" s="89"/>
      <c r="AM23" s="89"/>
      <c r="AN23" s="89"/>
      <c r="AO23" s="89"/>
      <c r="AP23" s="89"/>
      <c r="AQ23" s="89"/>
      <c r="AR23" s="89"/>
      <c r="AS23" s="89"/>
      <c r="AT23" s="89"/>
      <c r="AU23" s="89"/>
      <c r="AV23" s="89"/>
      <c r="AW23" s="89"/>
      <c r="AX23" s="89"/>
      <c r="AY23" s="89"/>
      <c r="AZ23" s="89"/>
      <c r="BA23" s="89"/>
      <c r="BB23" s="95"/>
      <c r="BC23" s="96"/>
      <c r="BD23" s="97"/>
      <c r="BE23" s="89"/>
      <c r="BF23" s="97"/>
      <c r="BG23" s="89"/>
      <c r="BH23" s="89"/>
      <c r="BI23" s="89"/>
      <c r="BJ23" s="89"/>
      <c r="BK23" s="89"/>
      <c r="BL23" s="89"/>
      <c r="BM23" s="89"/>
      <c r="BN23" s="89"/>
      <c r="BO23" s="89"/>
      <c r="BP23" s="89"/>
      <c r="BQ23" s="89"/>
      <c r="BR23" s="89"/>
      <c r="BS23" s="89"/>
      <c r="BT23" s="89"/>
      <c r="BU23" s="89"/>
      <c r="BV23" s="89"/>
      <c r="BW23" s="95"/>
      <c r="BX23" s="96"/>
      <c r="BY23" s="97"/>
      <c r="BZ23" s="89"/>
      <c r="CA23" s="97"/>
      <c r="CB23" s="89"/>
      <c r="CC23" s="89"/>
      <c r="CD23" s="89"/>
      <c r="CE23" s="89"/>
      <c r="CF23" s="89"/>
      <c r="CG23" s="89"/>
      <c r="CH23" s="89"/>
      <c r="CI23" s="89"/>
      <c r="CJ23" s="89"/>
      <c r="CK23" s="89"/>
      <c r="CL23" s="89"/>
      <c r="CM23" s="89"/>
      <c r="CN23" s="89"/>
      <c r="CO23" s="89"/>
      <c r="CP23" s="89"/>
      <c r="CQ23" s="89"/>
      <c r="CR23" s="95"/>
      <c r="CS23" s="96"/>
      <c r="CT23" s="97"/>
      <c r="CU23" s="89"/>
      <c r="CV23" s="97"/>
      <c r="CW23" s="89"/>
      <c r="CX23" s="89"/>
      <c r="CY23" s="89"/>
      <c r="CZ23" s="89"/>
      <c r="DA23" s="89"/>
      <c r="DB23" s="89"/>
      <c r="DC23" s="89"/>
      <c r="DD23" s="89"/>
      <c r="DE23" s="89"/>
      <c r="DF23" s="89"/>
      <c r="DG23" s="89"/>
      <c r="DH23" s="89"/>
      <c r="DI23" s="89"/>
      <c r="DJ23" s="89"/>
      <c r="DK23" s="89"/>
      <c r="DL23" s="89"/>
      <c r="DO23" s="214"/>
      <c r="DP23" s="162"/>
      <c r="DQ23" s="162"/>
      <c r="DR23" s="162"/>
      <c r="DS23" s="162"/>
      <c r="DT23" s="162"/>
      <c r="EE23" s="258"/>
      <c r="EF23" s="258"/>
      <c r="EG23" s="258"/>
      <c r="EH23" s="258"/>
      <c r="EI23" s="258"/>
      <c r="EJ23" s="56"/>
      <c r="EK23" s="56"/>
      <c r="EL23" s="56"/>
      <c r="EM23" s="56"/>
      <c r="EN23" s="56"/>
      <c r="ET23" s="258"/>
      <c r="EX23" s="10"/>
      <c r="EZ23" s="119"/>
      <c r="FJ23" s="284"/>
      <c r="FK23" s="284"/>
      <c r="FL23" s="284"/>
      <c r="FM23" s="283"/>
      <c r="FN23" s="283"/>
      <c r="FO23" s="162"/>
      <c r="FP23" s="162"/>
      <c r="FQ23" s="162"/>
      <c r="FR23" s="162"/>
      <c r="FS23" s="162"/>
      <c r="FU23" s="258"/>
      <c r="FV23" s="388"/>
      <c r="FW23" s="389"/>
    </row>
    <row r="24" spans="1:179" x14ac:dyDescent="0.2">
      <c r="A24" s="173"/>
      <c r="C24" s="21"/>
      <c r="D24" s="21"/>
      <c r="E24" s="21"/>
      <c r="F24" s="21"/>
      <c r="G24" s="21"/>
      <c r="H24" s="21"/>
      <c r="I24" s="21"/>
      <c r="J24" s="21"/>
      <c r="K24" s="21"/>
      <c r="L24" s="95"/>
      <c r="M24" s="278"/>
      <c r="N24" s="96"/>
      <c r="O24" s="96"/>
      <c r="P24" s="97"/>
      <c r="Q24" s="89"/>
      <c r="R24" s="279"/>
      <c r="S24" s="279"/>
      <c r="T24" s="89"/>
      <c r="U24" s="279"/>
      <c r="V24" s="279"/>
      <c r="W24" s="89"/>
      <c r="X24" s="89"/>
      <c r="Y24" s="89"/>
      <c r="Z24" s="89"/>
      <c r="AA24" s="89"/>
      <c r="AB24" s="89"/>
      <c r="AC24" s="89"/>
      <c r="AD24" s="89"/>
      <c r="AE24" s="89"/>
      <c r="AF24" s="89"/>
      <c r="AG24" s="95"/>
      <c r="AH24" s="96"/>
      <c r="AI24" s="97"/>
      <c r="AJ24" s="89"/>
      <c r="AK24" s="97"/>
      <c r="AL24" s="89"/>
      <c r="AM24" s="89"/>
      <c r="AN24" s="89"/>
      <c r="AO24" s="89"/>
      <c r="AP24" s="89"/>
      <c r="AQ24" s="89"/>
      <c r="AR24" s="89"/>
      <c r="AS24" s="89"/>
      <c r="AT24" s="89"/>
      <c r="AU24" s="89"/>
      <c r="AV24" s="89"/>
      <c r="AW24" s="89"/>
      <c r="AX24" s="89"/>
      <c r="AY24" s="89"/>
      <c r="AZ24" s="89"/>
      <c r="BA24" s="89"/>
      <c r="BB24" s="95"/>
      <c r="BC24" s="96"/>
      <c r="BD24" s="97"/>
      <c r="BE24" s="89"/>
      <c r="BF24" s="97"/>
      <c r="BG24" s="89"/>
      <c r="BH24" s="89"/>
      <c r="BI24" s="89"/>
      <c r="BJ24" s="89"/>
      <c r="BK24" s="89"/>
      <c r="BL24" s="89"/>
      <c r="BM24" s="89"/>
      <c r="BN24" s="89"/>
      <c r="BO24" s="89"/>
      <c r="BP24" s="89"/>
      <c r="BQ24" s="89"/>
      <c r="BR24" s="89"/>
      <c r="BS24" s="89"/>
      <c r="BT24" s="89"/>
      <c r="BU24" s="89"/>
      <c r="BV24" s="89"/>
      <c r="BW24" s="95"/>
      <c r="BX24" s="96"/>
      <c r="BY24" s="97"/>
      <c r="BZ24" s="89"/>
      <c r="CA24" s="97"/>
      <c r="CB24" s="89"/>
      <c r="CC24" s="89"/>
      <c r="CD24" s="89"/>
      <c r="CE24" s="89"/>
      <c r="CF24" s="89"/>
      <c r="CG24" s="89"/>
      <c r="CH24" s="89"/>
      <c r="CI24" s="89"/>
      <c r="CJ24" s="89"/>
      <c r="CK24" s="89"/>
      <c r="CL24" s="89"/>
      <c r="CM24" s="89"/>
      <c r="CN24" s="89"/>
      <c r="CO24" s="89"/>
      <c r="CP24" s="89"/>
      <c r="CQ24" s="89"/>
      <c r="CR24" s="95"/>
      <c r="CS24" s="96"/>
      <c r="CT24" s="97"/>
      <c r="CU24" s="89"/>
      <c r="CV24" s="97"/>
      <c r="CW24" s="89"/>
      <c r="CX24" s="89"/>
      <c r="CY24" s="89"/>
      <c r="CZ24" s="89"/>
      <c r="DA24" s="89"/>
      <c r="DB24" s="89"/>
      <c r="DC24" s="89"/>
      <c r="DD24" s="89"/>
      <c r="DE24" s="89"/>
      <c r="DF24" s="89"/>
      <c r="DG24" s="89"/>
      <c r="DH24" s="89"/>
      <c r="DI24" s="89"/>
      <c r="DJ24" s="89"/>
      <c r="DK24" s="89"/>
      <c r="DL24" s="89"/>
      <c r="DO24" s="214"/>
      <c r="DP24" s="162"/>
      <c r="DQ24" s="162"/>
      <c r="DR24" s="162"/>
      <c r="DS24" s="162"/>
      <c r="DT24" s="162"/>
      <c r="EE24" s="258"/>
      <c r="EF24" s="258"/>
      <c r="EG24" s="258"/>
      <c r="EH24" s="258"/>
      <c r="EI24" s="258"/>
      <c r="EJ24" s="56"/>
      <c r="EK24" s="56"/>
      <c r="EL24" s="56"/>
      <c r="EM24" s="56"/>
      <c r="EN24" s="56"/>
      <c r="ET24" s="258"/>
      <c r="EX24" s="10"/>
      <c r="EZ24" s="119"/>
      <c r="FJ24" s="284"/>
      <c r="FK24" s="284"/>
      <c r="FL24" s="284"/>
      <c r="FM24" s="283"/>
      <c r="FN24" s="283"/>
      <c r="FO24" s="162"/>
      <c r="FP24" s="162"/>
      <c r="FQ24" s="162"/>
      <c r="FR24" s="162"/>
      <c r="FS24" s="162"/>
      <c r="FU24" s="258"/>
      <c r="FV24" s="388"/>
      <c r="FW24" s="389"/>
    </row>
    <row r="25" spans="1:179" x14ac:dyDescent="0.2">
      <c r="A25" s="173"/>
      <c r="C25" s="21"/>
      <c r="D25" s="21"/>
      <c r="E25" s="21"/>
      <c r="F25" s="21"/>
      <c r="G25" s="21"/>
      <c r="H25" s="21"/>
      <c r="I25" s="21"/>
      <c r="J25" s="21"/>
      <c r="K25" s="21"/>
      <c r="L25" s="95"/>
      <c r="M25" s="278"/>
      <c r="N25" s="96"/>
      <c r="O25" s="96"/>
      <c r="P25" s="97"/>
      <c r="Q25" s="89"/>
      <c r="R25" s="279"/>
      <c r="S25" s="279"/>
      <c r="T25" s="89"/>
      <c r="U25" s="279"/>
      <c r="V25" s="279"/>
      <c r="W25" s="89"/>
      <c r="X25" s="89"/>
      <c r="Y25" s="89"/>
      <c r="Z25" s="89"/>
      <c r="AA25" s="89"/>
      <c r="AB25" s="89"/>
      <c r="AC25" s="89"/>
      <c r="AD25" s="89"/>
      <c r="AE25" s="89"/>
      <c r="AF25" s="89"/>
      <c r="AG25" s="95"/>
      <c r="AH25" s="96"/>
      <c r="AI25" s="97"/>
      <c r="AJ25" s="89"/>
      <c r="AK25" s="97"/>
      <c r="AL25" s="89"/>
      <c r="AM25" s="89"/>
      <c r="AN25" s="89"/>
      <c r="AO25" s="89"/>
      <c r="AP25" s="89"/>
      <c r="AQ25" s="89"/>
      <c r="AR25" s="89"/>
      <c r="AS25" s="89"/>
      <c r="AT25" s="89"/>
      <c r="AU25" s="89"/>
      <c r="AV25" s="89"/>
      <c r="AW25" s="89"/>
      <c r="AX25" s="89"/>
      <c r="AY25" s="89"/>
      <c r="AZ25" s="89"/>
      <c r="BA25" s="89"/>
      <c r="BB25" s="95"/>
      <c r="BC25" s="96"/>
      <c r="BD25" s="97"/>
      <c r="BE25" s="89"/>
      <c r="BF25" s="97"/>
      <c r="BG25" s="89"/>
      <c r="BH25" s="89"/>
      <c r="BI25" s="89"/>
      <c r="BJ25" s="89"/>
      <c r="BK25" s="89"/>
      <c r="BL25" s="89"/>
      <c r="BM25" s="89"/>
      <c r="BN25" s="89"/>
      <c r="BO25" s="89"/>
      <c r="BP25" s="89"/>
      <c r="BQ25" s="89"/>
      <c r="BR25" s="89"/>
      <c r="BS25" s="89"/>
      <c r="BT25" s="89"/>
      <c r="BU25" s="89"/>
      <c r="BV25" s="89"/>
      <c r="BW25" s="95"/>
      <c r="BX25" s="96"/>
      <c r="BY25" s="97"/>
      <c r="BZ25" s="89"/>
      <c r="CA25" s="97"/>
      <c r="CB25" s="89"/>
      <c r="CC25" s="89"/>
      <c r="CD25" s="89"/>
      <c r="CE25" s="89"/>
      <c r="CF25" s="89"/>
      <c r="CG25" s="89"/>
      <c r="CH25" s="89"/>
      <c r="CI25" s="89"/>
      <c r="CJ25" s="89"/>
      <c r="CK25" s="89"/>
      <c r="CL25" s="89"/>
      <c r="CM25" s="89"/>
      <c r="CN25" s="89"/>
      <c r="CO25" s="89"/>
      <c r="CP25" s="89"/>
      <c r="CQ25" s="89"/>
      <c r="CR25" s="95"/>
      <c r="CS25" s="96"/>
      <c r="CT25" s="97"/>
      <c r="CU25" s="89"/>
      <c r="CV25" s="97"/>
      <c r="CW25" s="89"/>
      <c r="CX25" s="89"/>
      <c r="CY25" s="89"/>
      <c r="CZ25" s="89"/>
      <c r="DA25" s="89"/>
      <c r="DB25" s="89"/>
      <c r="DC25" s="89"/>
      <c r="DD25" s="89"/>
      <c r="DE25" s="89"/>
      <c r="DF25" s="89"/>
      <c r="DG25" s="89"/>
      <c r="DH25" s="89"/>
      <c r="DI25" s="89"/>
      <c r="DJ25" s="89"/>
      <c r="DK25" s="89"/>
      <c r="DL25" s="89"/>
      <c r="DO25" s="214"/>
      <c r="DP25" s="162"/>
      <c r="DQ25" s="162"/>
      <c r="DR25" s="162"/>
      <c r="DS25" s="162"/>
      <c r="DT25" s="162"/>
      <c r="EE25" s="258"/>
      <c r="EF25" s="258"/>
      <c r="EG25" s="258"/>
      <c r="EH25" s="258"/>
      <c r="EI25" s="258"/>
      <c r="EJ25" s="56"/>
      <c r="EK25" s="56"/>
      <c r="EL25" s="56"/>
      <c r="EM25" s="56"/>
      <c r="EN25" s="56"/>
      <c r="ET25" s="258"/>
      <c r="EX25" s="10"/>
      <c r="EZ25" s="119"/>
      <c r="FJ25" s="284"/>
      <c r="FK25" s="284"/>
      <c r="FL25" s="284"/>
      <c r="FM25" s="283"/>
      <c r="FN25" s="283"/>
      <c r="FO25" s="162"/>
      <c r="FP25" s="162"/>
      <c r="FQ25" s="162"/>
      <c r="FR25" s="162"/>
      <c r="FS25" s="162"/>
      <c r="FU25" s="258"/>
      <c r="FV25" s="388"/>
      <c r="FW25" s="389"/>
    </row>
    <row r="26" spans="1:179" x14ac:dyDescent="0.2">
      <c r="A26" s="173"/>
      <c r="C26" s="21"/>
      <c r="D26" s="21"/>
      <c r="E26" s="21"/>
      <c r="F26" s="21"/>
      <c r="G26" s="21"/>
      <c r="H26" s="21"/>
      <c r="I26" s="21"/>
      <c r="J26" s="21"/>
      <c r="K26" s="21"/>
      <c r="L26" s="95"/>
      <c r="M26" s="278"/>
      <c r="N26" s="96"/>
      <c r="O26" s="96"/>
      <c r="P26" s="97"/>
      <c r="Q26" s="89"/>
      <c r="R26" s="279"/>
      <c r="S26" s="279"/>
      <c r="T26" s="89"/>
      <c r="U26" s="279"/>
      <c r="V26" s="279"/>
      <c r="W26" s="89"/>
      <c r="X26" s="89"/>
      <c r="Y26" s="89"/>
      <c r="Z26" s="89"/>
      <c r="AA26" s="89"/>
      <c r="AB26" s="89"/>
      <c r="AC26" s="89"/>
      <c r="AD26" s="89"/>
      <c r="AE26" s="89"/>
      <c r="AF26" s="89"/>
      <c r="AG26" s="95"/>
      <c r="AH26" s="96"/>
      <c r="AI26" s="97"/>
      <c r="AJ26" s="89"/>
      <c r="AK26" s="97"/>
      <c r="AL26" s="89"/>
      <c r="AM26" s="89"/>
      <c r="AN26" s="89"/>
      <c r="AO26" s="89"/>
      <c r="AP26" s="89"/>
      <c r="AQ26" s="89"/>
      <c r="AR26" s="89"/>
      <c r="AS26" s="89"/>
      <c r="AT26" s="89"/>
      <c r="AU26" s="89"/>
      <c r="AV26" s="89"/>
      <c r="AW26" s="89"/>
      <c r="AX26" s="89"/>
      <c r="AY26" s="89"/>
      <c r="AZ26" s="89"/>
      <c r="BA26" s="89"/>
      <c r="BB26" s="95"/>
      <c r="BC26" s="96"/>
      <c r="BD26" s="97"/>
      <c r="BE26" s="89"/>
      <c r="BF26" s="97"/>
      <c r="BG26" s="89"/>
      <c r="BH26" s="89"/>
      <c r="BI26" s="89"/>
      <c r="BJ26" s="89"/>
      <c r="BK26" s="89"/>
      <c r="BL26" s="89"/>
      <c r="BM26" s="89"/>
      <c r="BN26" s="89"/>
      <c r="BO26" s="89"/>
      <c r="BP26" s="89"/>
      <c r="BQ26" s="89"/>
      <c r="BR26" s="89"/>
      <c r="BS26" s="89"/>
      <c r="BT26" s="89"/>
      <c r="BU26" s="89"/>
      <c r="BV26" s="89"/>
      <c r="BW26" s="95"/>
      <c r="BX26" s="96"/>
      <c r="BY26" s="97"/>
      <c r="BZ26" s="89"/>
      <c r="CA26" s="97"/>
      <c r="CB26" s="89"/>
      <c r="CC26" s="89"/>
      <c r="CD26" s="89"/>
      <c r="CE26" s="89"/>
      <c r="CF26" s="89"/>
      <c r="CG26" s="89"/>
      <c r="CH26" s="89"/>
      <c r="CI26" s="89"/>
      <c r="CJ26" s="89"/>
      <c r="CK26" s="89"/>
      <c r="CL26" s="89"/>
      <c r="CM26" s="89"/>
      <c r="CN26" s="89"/>
      <c r="CO26" s="89"/>
      <c r="CP26" s="89"/>
      <c r="CQ26" s="89"/>
      <c r="CR26" s="95"/>
      <c r="CS26" s="96"/>
      <c r="CT26" s="97"/>
      <c r="CU26" s="89"/>
      <c r="CV26" s="97"/>
      <c r="CW26" s="89"/>
      <c r="CX26" s="89"/>
      <c r="CY26" s="89"/>
      <c r="CZ26" s="89"/>
      <c r="DA26" s="89"/>
      <c r="DB26" s="89"/>
      <c r="DC26" s="89"/>
      <c r="DD26" s="89"/>
      <c r="DE26" s="89"/>
      <c r="DF26" s="89"/>
      <c r="DG26" s="89"/>
      <c r="DH26" s="89"/>
      <c r="DI26" s="89"/>
      <c r="DJ26" s="89"/>
      <c r="DK26" s="89"/>
      <c r="DL26" s="89"/>
      <c r="DO26" s="214"/>
      <c r="DP26" s="162"/>
      <c r="DQ26" s="162"/>
      <c r="DR26" s="162"/>
      <c r="DS26" s="162"/>
      <c r="DT26" s="162"/>
      <c r="EE26" s="258"/>
      <c r="EF26" s="258"/>
      <c r="EG26" s="258"/>
      <c r="EH26" s="258"/>
      <c r="EI26" s="258"/>
      <c r="EJ26" s="56"/>
      <c r="EK26" s="56"/>
      <c r="EL26" s="56"/>
      <c r="EM26" s="56"/>
      <c r="EN26" s="56"/>
      <c r="ET26" s="258"/>
      <c r="EX26" s="10"/>
      <c r="EZ26" s="119"/>
      <c r="FJ26" s="284"/>
      <c r="FK26" s="284"/>
      <c r="FL26" s="284"/>
      <c r="FM26" s="283"/>
      <c r="FN26" s="283"/>
      <c r="FO26" s="162"/>
      <c r="FP26" s="162"/>
      <c r="FQ26" s="162"/>
      <c r="FR26" s="162"/>
      <c r="FS26" s="162"/>
      <c r="FU26" s="258"/>
      <c r="FV26" s="388"/>
      <c r="FW26" s="389"/>
    </row>
    <row r="27" spans="1:179" x14ac:dyDescent="0.2">
      <c r="A27" s="173"/>
      <c r="C27" s="21"/>
      <c r="D27" s="21"/>
      <c r="E27" s="21"/>
      <c r="F27" s="21"/>
      <c r="G27" s="21"/>
      <c r="H27" s="21"/>
      <c r="I27" s="21"/>
      <c r="J27" s="21"/>
      <c r="K27" s="21"/>
      <c r="L27" s="95"/>
      <c r="M27" s="278"/>
      <c r="N27" s="96"/>
      <c r="O27" s="96"/>
      <c r="P27" s="97"/>
      <c r="Q27" s="89"/>
      <c r="R27" s="279"/>
      <c r="S27" s="279"/>
      <c r="T27" s="89"/>
      <c r="U27" s="279"/>
      <c r="V27" s="279"/>
      <c r="W27" s="89"/>
      <c r="X27" s="89"/>
      <c r="Y27" s="89"/>
      <c r="Z27" s="89"/>
      <c r="AA27" s="89"/>
      <c r="AB27" s="89"/>
      <c r="AC27" s="89"/>
      <c r="AD27" s="89"/>
      <c r="AE27" s="89"/>
      <c r="AF27" s="89"/>
      <c r="AG27" s="95"/>
      <c r="AH27" s="96"/>
      <c r="AI27" s="97"/>
      <c r="AJ27" s="89"/>
      <c r="AK27" s="97"/>
      <c r="AL27" s="89"/>
      <c r="AM27" s="89"/>
      <c r="AN27" s="89"/>
      <c r="AO27" s="89"/>
      <c r="AP27" s="89"/>
      <c r="AQ27" s="89"/>
      <c r="AR27" s="89"/>
      <c r="AS27" s="89"/>
      <c r="AT27" s="89"/>
      <c r="AU27" s="89"/>
      <c r="AV27" s="89"/>
      <c r="AW27" s="89"/>
      <c r="AX27" s="89"/>
      <c r="AY27" s="89"/>
      <c r="AZ27" s="89"/>
      <c r="BA27" s="89"/>
      <c r="BB27" s="95"/>
      <c r="BC27" s="96"/>
      <c r="BD27" s="97"/>
      <c r="BE27" s="89"/>
      <c r="BF27" s="97"/>
      <c r="BG27" s="89"/>
      <c r="BH27" s="89"/>
      <c r="BI27" s="89"/>
      <c r="BJ27" s="89"/>
      <c r="BK27" s="89"/>
      <c r="BL27" s="89"/>
      <c r="BM27" s="89"/>
      <c r="BN27" s="89"/>
      <c r="BO27" s="89"/>
      <c r="BP27" s="89"/>
      <c r="BQ27" s="89"/>
      <c r="BR27" s="89"/>
      <c r="BS27" s="89"/>
      <c r="BT27" s="89"/>
      <c r="BU27" s="89"/>
      <c r="BV27" s="89"/>
      <c r="BW27" s="95"/>
      <c r="BX27" s="96"/>
      <c r="BY27" s="97"/>
      <c r="BZ27" s="89"/>
      <c r="CA27" s="97"/>
      <c r="CB27" s="89"/>
      <c r="CC27" s="89"/>
      <c r="CD27" s="89"/>
      <c r="CE27" s="89"/>
      <c r="CF27" s="89"/>
      <c r="CG27" s="89"/>
      <c r="CH27" s="89"/>
      <c r="CI27" s="89"/>
      <c r="CJ27" s="89"/>
      <c r="CK27" s="89"/>
      <c r="CL27" s="89"/>
      <c r="CM27" s="89"/>
      <c r="CN27" s="89"/>
      <c r="CO27" s="89"/>
      <c r="CP27" s="89"/>
      <c r="CQ27" s="89"/>
      <c r="CR27" s="95"/>
      <c r="CS27" s="96"/>
      <c r="CT27" s="97"/>
      <c r="CU27" s="89"/>
      <c r="CV27" s="97"/>
      <c r="CW27" s="89"/>
      <c r="CX27" s="89"/>
      <c r="CY27" s="89"/>
      <c r="CZ27" s="89"/>
      <c r="DA27" s="89"/>
      <c r="DB27" s="89"/>
      <c r="DC27" s="89"/>
      <c r="DD27" s="89"/>
      <c r="DE27" s="89"/>
      <c r="DF27" s="89"/>
      <c r="DG27" s="89"/>
      <c r="DH27" s="89"/>
      <c r="DI27" s="89"/>
      <c r="DJ27" s="89"/>
      <c r="DK27" s="89"/>
      <c r="DL27" s="89"/>
      <c r="DO27" s="214"/>
      <c r="DP27" s="162"/>
      <c r="DQ27" s="162"/>
      <c r="DR27" s="162"/>
      <c r="DS27" s="162"/>
      <c r="DT27" s="162"/>
      <c r="EE27" s="258"/>
      <c r="EF27" s="258"/>
      <c r="EG27" s="258"/>
      <c r="EH27" s="258"/>
      <c r="EI27" s="258"/>
      <c r="EJ27" s="56"/>
      <c r="EK27" s="56"/>
      <c r="EL27" s="56"/>
      <c r="EM27" s="56"/>
      <c r="EN27" s="56"/>
      <c r="ET27" s="258"/>
      <c r="EX27" s="10"/>
      <c r="EZ27" s="119"/>
      <c r="FJ27" s="284"/>
      <c r="FK27" s="284"/>
      <c r="FL27" s="284"/>
      <c r="FM27" s="283"/>
      <c r="FN27" s="283"/>
      <c r="FO27" s="162"/>
      <c r="FP27" s="162"/>
      <c r="FQ27" s="162"/>
      <c r="FR27" s="162"/>
      <c r="FS27" s="162"/>
      <c r="FU27" s="258"/>
      <c r="FV27" s="388"/>
      <c r="FW27" s="389"/>
    </row>
    <row r="28" spans="1:179" x14ac:dyDescent="0.2">
      <c r="A28" s="173"/>
      <c r="C28" s="21"/>
      <c r="D28" s="21"/>
      <c r="E28" s="21"/>
      <c r="F28" s="21"/>
      <c r="G28" s="21"/>
      <c r="H28" s="21"/>
      <c r="I28" s="21"/>
      <c r="J28" s="21"/>
      <c r="K28" s="21"/>
      <c r="L28" s="95"/>
      <c r="M28" s="278"/>
      <c r="N28" s="96"/>
      <c r="O28" s="96"/>
      <c r="P28" s="97"/>
      <c r="Q28" s="89"/>
      <c r="R28" s="279"/>
      <c r="S28" s="279"/>
      <c r="T28" s="89"/>
      <c r="U28" s="279"/>
      <c r="V28" s="279"/>
      <c r="W28" s="89"/>
      <c r="X28" s="89"/>
      <c r="Y28" s="89"/>
      <c r="Z28" s="89"/>
      <c r="AA28" s="89"/>
      <c r="AB28" s="89"/>
      <c r="AC28" s="89"/>
      <c r="AD28" s="89"/>
      <c r="AE28" s="89"/>
      <c r="AF28" s="89"/>
      <c r="AG28" s="95"/>
      <c r="AH28" s="96"/>
      <c r="AI28" s="97"/>
      <c r="AJ28" s="89"/>
      <c r="AK28" s="97"/>
      <c r="AL28" s="89"/>
      <c r="AM28" s="89"/>
      <c r="AN28" s="89"/>
      <c r="AO28" s="89"/>
      <c r="AP28" s="89"/>
      <c r="AQ28" s="89"/>
      <c r="AR28" s="89"/>
      <c r="AS28" s="89"/>
      <c r="AT28" s="89"/>
      <c r="AU28" s="89"/>
      <c r="AV28" s="89"/>
      <c r="AW28" s="89"/>
      <c r="AX28" s="89"/>
      <c r="AY28" s="89"/>
      <c r="AZ28" s="89"/>
      <c r="BA28" s="89"/>
      <c r="BB28" s="95"/>
      <c r="BC28" s="96"/>
      <c r="BD28" s="97"/>
      <c r="BE28" s="89"/>
      <c r="BF28" s="97"/>
      <c r="BG28" s="89"/>
      <c r="BH28" s="89"/>
      <c r="BI28" s="89"/>
      <c r="BJ28" s="89"/>
      <c r="BK28" s="89"/>
      <c r="BL28" s="89"/>
      <c r="BM28" s="89"/>
      <c r="BN28" s="89"/>
      <c r="BO28" s="89"/>
      <c r="BP28" s="89"/>
      <c r="BQ28" s="89"/>
      <c r="BR28" s="89"/>
      <c r="BS28" s="89"/>
      <c r="BT28" s="89"/>
      <c r="BU28" s="89"/>
      <c r="BV28" s="89"/>
      <c r="BW28" s="95"/>
      <c r="BX28" s="96"/>
      <c r="BY28" s="97"/>
      <c r="BZ28" s="89"/>
      <c r="CA28" s="97"/>
      <c r="CB28" s="89"/>
      <c r="CC28" s="89"/>
      <c r="CD28" s="89"/>
      <c r="CE28" s="89"/>
      <c r="CF28" s="89"/>
      <c r="CG28" s="89"/>
      <c r="CH28" s="89"/>
      <c r="CI28" s="89"/>
      <c r="CJ28" s="89"/>
      <c r="CK28" s="89"/>
      <c r="CL28" s="89"/>
      <c r="CM28" s="89"/>
      <c r="CN28" s="89"/>
      <c r="CO28" s="89"/>
      <c r="CP28" s="89"/>
      <c r="CQ28" s="89"/>
      <c r="CR28" s="95"/>
      <c r="CS28" s="96"/>
      <c r="CT28" s="97"/>
      <c r="CU28" s="89"/>
      <c r="CV28" s="97"/>
      <c r="CW28" s="89"/>
      <c r="CX28" s="89"/>
      <c r="CY28" s="89"/>
      <c r="CZ28" s="89"/>
      <c r="DA28" s="89"/>
      <c r="DB28" s="89"/>
      <c r="DC28" s="89"/>
      <c r="DD28" s="89"/>
      <c r="DE28" s="89"/>
      <c r="DF28" s="89"/>
      <c r="DG28" s="89"/>
      <c r="DH28" s="89"/>
      <c r="DI28" s="89"/>
      <c r="DJ28" s="89"/>
      <c r="DK28" s="89"/>
      <c r="DL28" s="89"/>
      <c r="DO28" s="214"/>
      <c r="DP28" s="162"/>
      <c r="DQ28" s="162"/>
      <c r="DR28" s="162"/>
      <c r="DS28" s="162"/>
      <c r="DT28" s="162"/>
      <c r="EE28" s="258"/>
      <c r="EF28" s="258"/>
      <c r="EG28" s="258"/>
      <c r="EH28" s="258"/>
      <c r="EI28" s="258"/>
      <c r="EJ28" s="56"/>
      <c r="EK28" s="56"/>
      <c r="EL28" s="56"/>
      <c r="EM28" s="56"/>
      <c r="EN28" s="56"/>
      <c r="ET28" s="258"/>
      <c r="EX28" s="10"/>
      <c r="EZ28" s="119"/>
      <c r="FA28" s="10"/>
      <c r="FJ28" s="284"/>
      <c r="FK28" s="284"/>
      <c r="FL28" s="284"/>
      <c r="FM28" s="283"/>
      <c r="FN28" s="283"/>
      <c r="FO28" s="162"/>
      <c r="FP28" s="162"/>
      <c r="FQ28" s="162"/>
      <c r="FR28" s="162"/>
      <c r="FS28" s="162"/>
      <c r="FU28" s="258"/>
      <c r="FV28" s="388"/>
      <c r="FW28" s="389"/>
    </row>
    <row r="29" spans="1:179" x14ac:dyDescent="0.2">
      <c r="A29" s="173"/>
      <c r="C29" s="21"/>
      <c r="D29" s="21"/>
      <c r="E29" s="21"/>
      <c r="F29" s="21"/>
      <c r="G29" s="21"/>
      <c r="H29" s="21"/>
      <c r="I29" s="21"/>
      <c r="J29" s="21"/>
      <c r="K29" s="21"/>
      <c r="L29" s="95"/>
      <c r="M29" s="278"/>
      <c r="N29" s="96"/>
      <c r="O29" s="96"/>
      <c r="P29" s="97"/>
      <c r="Q29" s="89"/>
      <c r="R29" s="279"/>
      <c r="S29" s="279"/>
      <c r="T29" s="89"/>
      <c r="U29" s="279"/>
      <c r="V29" s="279"/>
      <c r="W29" s="89"/>
      <c r="X29" s="89"/>
      <c r="Y29" s="89"/>
      <c r="Z29" s="89"/>
      <c r="AA29" s="89"/>
      <c r="AB29" s="89"/>
      <c r="AC29" s="89"/>
      <c r="AD29" s="89"/>
      <c r="AE29" s="89"/>
      <c r="AF29" s="89"/>
      <c r="AG29" s="95"/>
      <c r="AH29" s="96"/>
      <c r="AI29" s="97"/>
      <c r="AJ29" s="89"/>
      <c r="AK29" s="97"/>
      <c r="AL29" s="89"/>
      <c r="AM29" s="89"/>
      <c r="AN29" s="89"/>
      <c r="AO29" s="89"/>
      <c r="AP29" s="89"/>
      <c r="AQ29" s="89"/>
      <c r="AR29" s="89"/>
      <c r="AS29" s="89"/>
      <c r="AT29" s="89"/>
      <c r="AU29" s="89"/>
      <c r="AV29" s="89"/>
      <c r="AW29" s="89"/>
      <c r="AX29" s="89"/>
      <c r="AY29" s="89"/>
      <c r="AZ29" s="89"/>
      <c r="BA29" s="89"/>
      <c r="BB29" s="95"/>
      <c r="BC29" s="96"/>
      <c r="BD29" s="97"/>
      <c r="BE29" s="89"/>
      <c r="BF29" s="97"/>
      <c r="BG29" s="89"/>
      <c r="BH29" s="89"/>
      <c r="BI29" s="89"/>
      <c r="BJ29" s="89"/>
      <c r="BK29" s="89"/>
      <c r="BL29" s="89"/>
      <c r="BM29" s="89"/>
      <c r="BN29" s="89"/>
      <c r="BO29" s="89"/>
      <c r="BP29" s="89"/>
      <c r="BQ29" s="89"/>
      <c r="BR29" s="89"/>
      <c r="BS29" s="89"/>
      <c r="BT29" s="89"/>
      <c r="BU29" s="89"/>
      <c r="BV29" s="89"/>
      <c r="BW29" s="95"/>
      <c r="BX29" s="96"/>
      <c r="BY29" s="97"/>
      <c r="BZ29" s="89"/>
      <c r="CA29" s="97"/>
      <c r="CB29" s="89"/>
      <c r="CC29" s="89"/>
      <c r="CD29" s="89"/>
      <c r="CE29" s="89"/>
      <c r="CF29" s="89"/>
      <c r="CG29" s="89"/>
      <c r="CH29" s="89"/>
      <c r="CI29" s="89"/>
      <c r="CJ29" s="89"/>
      <c r="CK29" s="89"/>
      <c r="CL29" s="89"/>
      <c r="CM29" s="89"/>
      <c r="CN29" s="89"/>
      <c r="CO29" s="89"/>
      <c r="CP29" s="89"/>
      <c r="CQ29" s="89"/>
      <c r="CR29" s="95"/>
      <c r="CS29" s="96"/>
      <c r="CT29" s="97"/>
      <c r="CU29" s="89"/>
      <c r="CV29" s="97"/>
      <c r="CW29" s="89"/>
      <c r="CX29" s="89"/>
      <c r="CY29" s="89"/>
      <c r="CZ29" s="89"/>
      <c r="DA29" s="89"/>
      <c r="DB29" s="89"/>
      <c r="DC29" s="89"/>
      <c r="DD29" s="89"/>
      <c r="DE29" s="89"/>
      <c r="DF29" s="89"/>
      <c r="DG29" s="89"/>
      <c r="DH29" s="89"/>
      <c r="DI29" s="89"/>
      <c r="DJ29" s="89"/>
      <c r="DK29" s="89"/>
      <c r="DL29" s="89"/>
      <c r="DO29" s="214"/>
      <c r="DP29" s="162"/>
      <c r="DQ29" s="162"/>
      <c r="DR29" s="162"/>
      <c r="DS29" s="162"/>
      <c r="DT29" s="162"/>
      <c r="EE29" s="258"/>
      <c r="EF29" s="258"/>
      <c r="EG29" s="258"/>
      <c r="EH29" s="258"/>
      <c r="EI29" s="258"/>
      <c r="EJ29" s="56"/>
      <c r="EK29" s="56"/>
      <c r="EL29" s="56"/>
      <c r="EM29" s="56"/>
      <c r="EN29" s="56"/>
      <c r="ET29" s="258"/>
      <c r="EX29" s="10"/>
      <c r="EZ29" s="119"/>
      <c r="FJ29" s="284"/>
      <c r="FK29" s="284"/>
      <c r="FL29" s="284"/>
      <c r="FM29" s="283"/>
      <c r="FN29" s="283"/>
      <c r="FO29" s="162"/>
      <c r="FP29" s="162"/>
      <c r="FQ29" s="162"/>
      <c r="FR29" s="162"/>
      <c r="FS29" s="162"/>
      <c r="FU29" s="258"/>
      <c r="FV29" s="388"/>
      <c r="FW29" s="389"/>
    </row>
    <row r="30" spans="1:179" x14ac:dyDescent="0.2">
      <c r="A30" s="173"/>
      <c r="C30" s="21"/>
      <c r="D30" s="21"/>
      <c r="E30" s="21"/>
      <c r="F30" s="21"/>
      <c r="G30" s="21"/>
      <c r="H30" s="21"/>
      <c r="I30" s="21"/>
      <c r="J30" s="21"/>
      <c r="K30" s="21"/>
      <c r="L30" s="95"/>
      <c r="M30" s="278"/>
      <c r="N30" s="96"/>
      <c r="O30" s="96"/>
      <c r="P30" s="97"/>
      <c r="Q30" s="89"/>
      <c r="R30" s="279"/>
      <c r="S30" s="279"/>
      <c r="T30" s="89"/>
      <c r="U30" s="279"/>
      <c r="V30" s="279"/>
      <c r="W30" s="89"/>
      <c r="X30" s="89"/>
      <c r="Y30" s="89"/>
      <c r="Z30" s="89"/>
      <c r="AA30" s="89"/>
      <c r="AB30" s="89"/>
      <c r="AC30" s="89"/>
      <c r="AD30" s="89"/>
      <c r="AE30" s="89"/>
      <c r="AF30" s="89"/>
      <c r="AG30" s="95"/>
      <c r="AH30" s="96"/>
      <c r="AI30" s="97"/>
      <c r="AJ30" s="89"/>
      <c r="AK30" s="97"/>
      <c r="AL30" s="89"/>
      <c r="AM30" s="89"/>
      <c r="AN30" s="89"/>
      <c r="AO30" s="89"/>
      <c r="AP30" s="89"/>
      <c r="AQ30" s="89"/>
      <c r="AR30" s="89"/>
      <c r="AS30" s="89"/>
      <c r="AT30" s="89"/>
      <c r="AU30" s="89"/>
      <c r="AV30" s="89"/>
      <c r="AW30" s="89"/>
      <c r="AX30" s="89"/>
      <c r="AY30" s="89"/>
      <c r="AZ30" s="89"/>
      <c r="BA30" s="89"/>
      <c r="BB30" s="95"/>
      <c r="BC30" s="96"/>
      <c r="BD30" s="97"/>
      <c r="BE30" s="89"/>
      <c r="BF30" s="97"/>
      <c r="BG30" s="89"/>
      <c r="BH30" s="89"/>
      <c r="BI30" s="89"/>
      <c r="BJ30" s="89"/>
      <c r="BK30" s="89"/>
      <c r="BL30" s="89"/>
      <c r="BM30" s="89"/>
      <c r="BN30" s="89"/>
      <c r="BO30" s="89"/>
      <c r="BP30" s="89"/>
      <c r="BQ30" s="89"/>
      <c r="BR30" s="89"/>
      <c r="BS30" s="89"/>
      <c r="BT30" s="89"/>
      <c r="BU30" s="89"/>
      <c r="BV30" s="89"/>
      <c r="BW30" s="95"/>
      <c r="BX30" s="96"/>
      <c r="BY30" s="97"/>
      <c r="BZ30" s="89"/>
      <c r="CA30" s="97"/>
      <c r="CB30" s="89"/>
      <c r="CC30" s="89"/>
      <c r="CD30" s="89"/>
      <c r="CE30" s="89"/>
      <c r="CF30" s="89"/>
      <c r="CG30" s="89"/>
      <c r="CH30" s="89"/>
      <c r="CI30" s="89"/>
      <c r="CJ30" s="89"/>
      <c r="CK30" s="89"/>
      <c r="CL30" s="89"/>
      <c r="CM30" s="89"/>
      <c r="CN30" s="89"/>
      <c r="CO30" s="89"/>
      <c r="CP30" s="89"/>
      <c r="CQ30" s="89"/>
      <c r="CR30" s="95"/>
      <c r="CS30" s="96"/>
      <c r="CT30" s="97"/>
      <c r="CU30" s="89"/>
      <c r="CV30" s="97"/>
      <c r="CW30" s="89"/>
      <c r="CX30" s="89"/>
      <c r="CY30" s="89"/>
      <c r="CZ30" s="89"/>
      <c r="DA30" s="89"/>
      <c r="DB30" s="89"/>
      <c r="DC30" s="89"/>
      <c r="DD30" s="89"/>
      <c r="DE30" s="89"/>
      <c r="DF30" s="89"/>
      <c r="DG30" s="89"/>
      <c r="DH30" s="89"/>
      <c r="DI30" s="89"/>
      <c r="DJ30" s="89"/>
      <c r="DK30" s="89"/>
      <c r="DL30" s="89"/>
      <c r="DO30" s="214"/>
      <c r="DP30" s="162"/>
      <c r="DQ30" s="162"/>
      <c r="DR30" s="162"/>
      <c r="DS30" s="162"/>
      <c r="DT30" s="162"/>
      <c r="EE30" s="258"/>
      <c r="EF30" s="258"/>
      <c r="EG30" s="258"/>
      <c r="EH30" s="258"/>
      <c r="EI30" s="258"/>
      <c r="EJ30" s="56"/>
      <c r="EK30" s="56"/>
      <c r="EL30" s="56"/>
      <c r="EM30" s="56"/>
      <c r="EN30" s="56"/>
      <c r="ET30" s="258"/>
      <c r="EX30" s="10"/>
      <c r="EZ30" s="119"/>
      <c r="FJ30" s="284"/>
      <c r="FK30" s="284"/>
      <c r="FL30" s="284"/>
      <c r="FM30" s="283"/>
      <c r="FN30" s="283"/>
      <c r="FO30" s="162"/>
      <c r="FP30" s="162"/>
      <c r="FQ30" s="162"/>
      <c r="FR30" s="162"/>
      <c r="FS30" s="162"/>
      <c r="FU30" s="258"/>
      <c r="FV30" s="388"/>
      <c r="FW30" s="389"/>
    </row>
    <row r="31" spans="1:179" x14ac:dyDescent="0.2">
      <c r="A31" s="173"/>
      <c r="C31" s="21"/>
      <c r="D31" s="21"/>
      <c r="E31" s="21"/>
      <c r="F31" s="21"/>
      <c r="G31" s="21"/>
      <c r="H31" s="21"/>
      <c r="I31" s="21"/>
      <c r="J31" s="21"/>
      <c r="K31" s="21"/>
      <c r="L31" s="95"/>
      <c r="M31" s="278"/>
      <c r="N31" s="96"/>
      <c r="O31" s="96"/>
      <c r="P31" s="97"/>
      <c r="Q31" s="89"/>
      <c r="R31" s="279"/>
      <c r="S31" s="279"/>
      <c r="T31" s="89"/>
      <c r="U31" s="279"/>
      <c r="V31" s="279"/>
      <c r="W31" s="89"/>
      <c r="X31" s="89"/>
      <c r="Y31" s="89"/>
      <c r="Z31" s="89"/>
      <c r="AA31" s="89"/>
      <c r="AB31" s="89"/>
      <c r="AC31" s="89"/>
      <c r="AD31" s="89"/>
      <c r="AE31" s="89"/>
      <c r="AF31" s="89"/>
      <c r="AG31" s="95"/>
      <c r="AH31" s="96"/>
      <c r="AI31" s="97"/>
      <c r="AJ31" s="89"/>
      <c r="AK31" s="97"/>
      <c r="AL31" s="89"/>
      <c r="AM31" s="89"/>
      <c r="AN31" s="89"/>
      <c r="AO31" s="89"/>
      <c r="AP31" s="89"/>
      <c r="AQ31" s="89"/>
      <c r="AR31" s="89"/>
      <c r="AS31" s="89"/>
      <c r="AT31" s="89"/>
      <c r="AU31" s="89"/>
      <c r="AV31" s="89"/>
      <c r="AW31" s="89"/>
      <c r="AX31" s="89"/>
      <c r="AY31" s="89"/>
      <c r="AZ31" s="89"/>
      <c r="BA31" s="89"/>
      <c r="BB31" s="95"/>
      <c r="BC31" s="96"/>
      <c r="BD31" s="97"/>
      <c r="BE31" s="89"/>
      <c r="BF31" s="97"/>
      <c r="BG31" s="89"/>
      <c r="BH31" s="89"/>
      <c r="BI31" s="89"/>
      <c r="BJ31" s="89"/>
      <c r="BK31" s="89"/>
      <c r="BL31" s="89"/>
      <c r="BM31" s="89"/>
      <c r="BN31" s="89"/>
      <c r="BO31" s="89"/>
      <c r="BP31" s="89"/>
      <c r="BQ31" s="89"/>
      <c r="BR31" s="89"/>
      <c r="BS31" s="89"/>
      <c r="BT31" s="89"/>
      <c r="BU31" s="89"/>
      <c r="BV31" s="89"/>
      <c r="BW31" s="95"/>
      <c r="BX31" s="96"/>
      <c r="BY31" s="97"/>
      <c r="BZ31" s="89"/>
      <c r="CA31" s="97"/>
      <c r="CB31" s="89"/>
      <c r="CC31" s="89"/>
      <c r="CD31" s="89"/>
      <c r="CE31" s="89"/>
      <c r="CF31" s="89"/>
      <c r="CG31" s="89"/>
      <c r="CH31" s="89"/>
      <c r="CI31" s="89"/>
      <c r="CJ31" s="89"/>
      <c r="CK31" s="89"/>
      <c r="CL31" s="89"/>
      <c r="CM31" s="89"/>
      <c r="CN31" s="89"/>
      <c r="CO31" s="89"/>
      <c r="CP31" s="89"/>
      <c r="CQ31" s="89"/>
      <c r="CR31" s="95"/>
      <c r="CS31" s="96"/>
      <c r="CT31" s="97"/>
      <c r="CU31" s="89"/>
      <c r="CV31" s="97"/>
      <c r="CW31" s="89"/>
      <c r="CX31" s="89"/>
      <c r="CY31" s="89"/>
      <c r="CZ31" s="89"/>
      <c r="DA31" s="89"/>
      <c r="DB31" s="89"/>
      <c r="DC31" s="89"/>
      <c r="DD31" s="89"/>
      <c r="DE31" s="89"/>
      <c r="DF31" s="89"/>
      <c r="DG31" s="89"/>
      <c r="DH31" s="89"/>
      <c r="DI31" s="89"/>
      <c r="DJ31" s="89"/>
      <c r="DK31" s="89"/>
      <c r="DL31" s="89"/>
      <c r="DO31" s="214"/>
      <c r="DP31" s="162"/>
      <c r="DQ31" s="162"/>
      <c r="DR31" s="162"/>
      <c r="DS31" s="162"/>
      <c r="DT31" s="162"/>
      <c r="EE31" s="258"/>
      <c r="EF31" s="258"/>
      <c r="EG31" s="258"/>
      <c r="EH31" s="258"/>
      <c r="EI31" s="258"/>
      <c r="EJ31" s="56"/>
      <c r="EK31" s="56"/>
      <c r="EL31" s="56"/>
      <c r="EM31" s="56"/>
      <c r="EN31" s="56"/>
      <c r="ET31" s="258"/>
      <c r="EX31" s="10"/>
      <c r="EZ31" s="119"/>
      <c r="FJ31" s="284"/>
      <c r="FK31" s="284"/>
      <c r="FL31" s="284"/>
      <c r="FM31" s="283"/>
      <c r="FN31" s="283"/>
      <c r="FO31" s="162"/>
      <c r="FP31" s="162"/>
      <c r="FQ31" s="162"/>
      <c r="FR31" s="162"/>
      <c r="FS31" s="162"/>
      <c r="FU31" s="258"/>
      <c r="FV31" s="388"/>
      <c r="FW31" s="389"/>
    </row>
    <row r="32" spans="1:179" x14ac:dyDescent="0.2">
      <c r="A32" s="173"/>
      <c r="C32" s="21"/>
      <c r="D32" s="21"/>
      <c r="E32" s="21"/>
      <c r="F32" s="21"/>
      <c r="G32" s="21"/>
      <c r="H32" s="21"/>
      <c r="I32" s="21"/>
      <c r="J32" s="21"/>
      <c r="K32" s="21"/>
      <c r="L32" s="95"/>
      <c r="M32" s="278"/>
      <c r="N32" s="96"/>
      <c r="O32" s="96"/>
      <c r="P32" s="97"/>
      <c r="Q32" s="89"/>
      <c r="R32" s="279"/>
      <c r="S32" s="279"/>
      <c r="T32" s="89"/>
      <c r="U32" s="279"/>
      <c r="V32" s="279"/>
      <c r="W32" s="89"/>
      <c r="X32" s="89"/>
      <c r="Y32" s="89"/>
      <c r="Z32" s="89"/>
      <c r="AA32" s="89"/>
      <c r="AB32" s="89"/>
      <c r="AC32" s="89"/>
      <c r="AD32" s="89"/>
      <c r="AE32" s="89"/>
      <c r="AF32" s="89"/>
      <c r="AG32" s="95"/>
      <c r="AH32" s="96"/>
      <c r="AI32" s="97"/>
      <c r="AJ32" s="89"/>
      <c r="AK32" s="97"/>
      <c r="AL32" s="89"/>
      <c r="AM32" s="89"/>
      <c r="AN32" s="89"/>
      <c r="AO32" s="89"/>
      <c r="AP32" s="89"/>
      <c r="AQ32" s="89"/>
      <c r="AR32" s="89"/>
      <c r="AS32" s="89"/>
      <c r="AT32" s="89"/>
      <c r="AU32" s="89"/>
      <c r="AV32" s="89"/>
      <c r="AW32" s="89"/>
      <c r="AX32" s="89"/>
      <c r="AY32" s="89"/>
      <c r="AZ32" s="89"/>
      <c r="BA32" s="89"/>
      <c r="BB32" s="95"/>
      <c r="BC32" s="96"/>
      <c r="BD32" s="97"/>
      <c r="BE32" s="89"/>
      <c r="BF32" s="97"/>
      <c r="BG32" s="89"/>
      <c r="BH32" s="89"/>
      <c r="BI32" s="89"/>
      <c r="BJ32" s="89"/>
      <c r="BK32" s="89"/>
      <c r="BL32" s="89"/>
      <c r="BM32" s="89"/>
      <c r="BN32" s="89"/>
      <c r="BO32" s="89"/>
      <c r="BP32" s="89"/>
      <c r="BQ32" s="89"/>
      <c r="BR32" s="89"/>
      <c r="BS32" s="89"/>
      <c r="BT32" s="89"/>
      <c r="BU32" s="89"/>
      <c r="BV32" s="89"/>
      <c r="BW32" s="95"/>
      <c r="BX32" s="96"/>
      <c r="BY32" s="97"/>
      <c r="BZ32" s="89"/>
      <c r="CA32" s="97"/>
      <c r="CB32" s="89"/>
      <c r="CC32" s="89"/>
      <c r="CD32" s="89"/>
      <c r="CE32" s="89"/>
      <c r="CF32" s="89"/>
      <c r="CG32" s="89"/>
      <c r="CH32" s="89"/>
      <c r="CI32" s="89"/>
      <c r="CJ32" s="89"/>
      <c r="CK32" s="89"/>
      <c r="CL32" s="89"/>
      <c r="CM32" s="89"/>
      <c r="CN32" s="89"/>
      <c r="CO32" s="89"/>
      <c r="CP32" s="89"/>
      <c r="CQ32" s="89"/>
      <c r="CR32" s="95"/>
      <c r="CS32" s="96"/>
      <c r="CT32" s="97"/>
      <c r="CU32" s="89"/>
      <c r="CV32" s="97"/>
      <c r="CW32" s="89"/>
      <c r="CX32" s="89"/>
      <c r="CY32" s="89"/>
      <c r="CZ32" s="89"/>
      <c r="DA32" s="89"/>
      <c r="DB32" s="89"/>
      <c r="DC32" s="89"/>
      <c r="DD32" s="89"/>
      <c r="DE32" s="89"/>
      <c r="DF32" s="89"/>
      <c r="DG32" s="89"/>
      <c r="DH32" s="89"/>
      <c r="DI32" s="89"/>
      <c r="DJ32" s="89"/>
      <c r="DK32" s="89"/>
      <c r="DL32" s="89"/>
      <c r="DO32" s="214"/>
      <c r="DP32" s="162"/>
      <c r="DQ32" s="162"/>
      <c r="DR32" s="162"/>
      <c r="DS32" s="162"/>
      <c r="DT32" s="162"/>
      <c r="EE32" s="258"/>
      <c r="EF32" s="258"/>
      <c r="EG32" s="258"/>
      <c r="EH32" s="258"/>
      <c r="EI32" s="258"/>
      <c r="EJ32" s="56"/>
      <c r="EK32" s="56"/>
      <c r="EL32" s="56"/>
      <c r="EM32" s="56"/>
      <c r="EN32" s="56"/>
      <c r="ET32" s="258"/>
      <c r="EX32" s="10"/>
      <c r="EZ32" s="119"/>
      <c r="FJ32" s="284"/>
      <c r="FK32" s="284"/>
      <c r="FL32" s="284"/>
      <c r="FM32" s="283"/>
      <c r="FN32" s="283"/>
      <c r="FO32" s="162"/>
      <c r="FP32" s="162"/>
      <c r="FQ32" s="162"/>
      <c r="FR32" s="162"/>
      <c r="FS32" s="162"/>
      <c r="FU32" s="258"/>
      <c r="FV32" s="388"/>
      <c r="FW32" s="389"/>
    </row>
    <row r="33" spans="1:179" x14ac:dyDescent="0.2">
      <c r="A33" s="173"/>
      <c r="C33" s="21"/>
      <c r="D33" s="21"/>
      <c r="E33" s="21"/>
      <c r="F33" s="21"/>
      <c r="G33" s="21"/>
      <c r="H33" s="21"/>
      <c r="I33" s="21"/>
      <c r="J33" s="21"/>
      <c r="K33" s="21"/>
      <c r="L33" s="95"/>
      <c r="M33" s="278"/>
      <c r="N33" s="96"/>
      <c r="O33" s="96"/>
      <c r="P33" s="97"/>
      <c r="Q33" s="89"/>
      <c r="R33" s="279"/>
      <c r="S33" s="279"/>
      <c r="T33" s="89"/>
      <c r="U33" s="279"/>
      <c r="V33" s="279"/>
      <c r="W33" s="89"/>
      <c r="X33" s="89"/>
      <c r="Y33" s="89"/>
      <c r="Z33" s="89"/>
      <c r="AA33" s="89"/>
      <c r="AB33" s="89"/>
      <c r="AC33" s="89"/>
      <c r="AD33" s="89"/>
      <c r="AE33" s="89"/>
      <c r="AF33" s="89"/>
      <c r="AG33" s="95"/>
      <c r="AH33" s="96"/>
      <c r="AI33" s="97"/>
      <c r="AJ33" s="89"/>
      <c r="AK33" s="97"/>
      <c r="AL33" s="89"/>
      <c r="AM33" s="89"/>
      <c r="AN33" s="89"/>
      <c r="AO33" s="89"/>
      <c r="AP33" s="89"/>
      <c r="AQ33" s="89"/>
      <c r="AR33" s="89"/>
      <c r="AS33" s="89"/>
      <c r="AT33" s="89"/>
      <c r="AU33" s="89"/>
      <c r="AV33" s="89"/>
      <c r="AW33" s="89"/>
      <c r="AX33" s="89"/>
      <c r="AY33" s="89"/>
      <c r="AZ33" s="89"/>
      <c r="BA33" s="89"/>
      <c r="BB33" s="95"/>
      <c r="BC33" s="96"/>
      <c r="BD33" s="97"/>
      <c r="BE33" s="89"/>
      <c r="BF33" s="97"/>
      <c r="BG33" s="89"/>
      <c r="BH33" s="89"/>
      <c r="BI33" s="89"/>
      <c r="BJ33" s="89"/>
      <c r="BK33" s="89"/>
      <c r="BL33" s="89"/>
      <c r="BM33" s="89"/>
      <c r="BN33" s="89"/>
      <c r="BO33" s="89"/>
      <c r="BP33" s="89"/>
      <c r="BQ33" s="89"/>
      <c r="BR33" s="89"/>
      <c r="BS33" s="89"/>
      <c r="BT33" s="89"/>
      <c r="BU33" s="89"/>
      <c r="BV33" s="89"/>
      <c r="BW33" s="95"/>
      <c r="BX33" s="96"/>
      <c r="BY33" s="97"/>
      <c r="BZ33" s="89"/>
      <c r="CA33" s="97"/>
      <c r="CB33" s="89"/>
      <c r="CC33" s="89"/>
      <c r="CD33" s="89"/>
      <c r="CE33" s="89"/>
      <c r="CF33" s="89"/>
      <c r="CG33" s="89"/>
      <c r="CH33" s="89"/>
      <c r="CI33" s="89"/>
      <c r="CJ33" s="89"/>
      <c r="CK33" s="89"/>
      <c r="CL33" s="89"/>
      <c r="CM33" s="89"/>
      <c r="CN33" s="89"/>
      <c r="CO33" s="89"/>
      <c r="CP33" s="89"/>
      <c r="CQ33" s="89"/>
      <c r="CR33" s="95"/>
      <c r="CS33" s="96"/>
      <c r="CT33" s="97"/>
      <c r="CU33" s="89"/>
      <c r="CV33" s="97"/>
      <c r="CW33" s="89"/>
      <c r="CX33" s="89"/>
      <c r="CY33" s="89"/>
      <c r="CZ33" s="89"/>
      <c r="DA33" s="89"/>
      <c r="DB33" s="89"/>
      <c r="DC33" s="89"/>
      <c r="DD33" s="89"/>
      <c r="DE33" s="89"/>
      <c r="DF33" s="89"/>
      <c r="DG33" s="89"/>
      <c r="DH33" s="89"/>
      <c r="DI33" s="89"/>
      <c r="DJ33" s="89"/>
      <c r="DK33" s="89"/>
      <c r="DL33" s="89"/>
      <c r="DO33" s="214"/>
      <c r="DP33" s="162"/>
      <c r="DQ33" s="162"/>
      <c r="DR33" s="162"/>
      <c r="DS33" s="162"/>
      <c r="DT33" s="162"/>
      <c r="EE33" s="258"/>
      <c r="EF33" s="258"/>
      <c r="EG33" s="258"/>
      <c r="EH33" s="258"/>
      <c r="EI33" s="258"/>
      <c r="EJ33" s="56"/>
      <c r="EK33" s="56"/>
      <c r="EL33" s="56"/>
      <c r="EM33" s="56"/>
      <c r="EN33" s="56"/>
      <c r="ET33" s="258"/>
      <c r="EX33" s="10"/>
      <c r="EZ33" s="119"/>
      <c r="FJ33" s="284"/>
      <c r="FK33" s="284"/>
      <c r="FL33" s="284"/>
      <c r="FM33" s="283"/>
      <c r="FN33" s="283"/>
      <c r="FO33" s="162"/>
      <c r="FP33" s="162"/>
      <c r="FQ33" s="162"/>
      <c r="FR33" s="162"/>
      <c r="FS33" s="162"/>
      <c r="FU33" s="258"/>
      <c r="FV33" s="388"/>
      <c r="FW33" s="389"/>
    </row>
    <row r="34" spans="1:179" x14ac:dyDescent="0.2">
      <c r="A34" s="173"/>
      <c r="C34" s="21"/>
      <c r="D34" s="21"/>
      <c r="E34" s="21"/>
      <c r="F34" s="21"/>
      <c r="G34" s="21"/>
      <c r="H34" s="21"/>
      <c r="I34" s="21"/>
      <c r="J34" s="21"/>
      <c r="K34" s="21"/>
      <c r="L34" s="95"/>
      <c r="M34" s="278"/>
      <c r="N34" s="96"/>
      <c r="O34" s="96"/>
      <c r="P34" s="97"/>
      <c r="Q34" s="89"/>
      <c r="R34" s="279"/>
      <c r="S34" s="279"/>
      <c r="T34" s="89"/>
      <c r="U34" s="279"/>
      <c r="V34" s="279"/>
      <c r="W34" s="89"/>
      <c r="X34" s="89"/>
      <c r="Y34" s="89"/>
      <c r="Z34" s="89"/>
      <c r="AA34" s="89"/>
      <c r="AB34" s="89"/>
      <c r="AC34" s="89"/>
      <c r="AD34" s="89"/>
      <c r="AE34" s="89"/>
      <c r="AF34" s="89"/>
      <c r="AG34" s="95"/>
      <c r="AH34" s="96"/>
      <c r="AI34" s="97"/>
      <c r="AJ34" s="89"/>
      <c r="AK34" s="97"/>
      <c r="AL34" s="89"/>
      <c r="AM34" s="89"/>
      <c r="AN34" s="89"/>
      <c r="AO34" s="89"/>
      <c r="AP34" s="89"/>
      <c r="AQ34" s="89"/>
      <c r="AR34" s="89"/>
      <c r="AS34" s="89"/>
      <c r="AT34" s="89"/>
      <c r="AU34" s="89"/>
      <c r="AV34" s="89"/>
      <c r="AW34" s="89"/>
      <c r="AX34" s="89"/>
      <c r="AY34" s="89"/>
      <c r="AZ34" s="89"/>
      <c r="BA34" s="89"/>
      <c r="BB34" s="95"/>
      <c r="BC34" s="96"/>
      <c r="BD34" s="97"/>
      <c r="BE34" s="89"/>
      <c r="BF34" s="97"/>
      <c r="BG34" s="89"/>
      <c r="BH34" s="89"/>
      <c r="BI34" s="89"/>
      <c r="BJ34" s="89"/>
      <c r="BK34" s="89"/>
      <c r="BL34" s="89"/>
      <c r="BM34" s="89"/>
      <c r="BN34" s="89"/>
      <c r="BO34" s="89"/>
      <c r="BP34" s="89"/>
      <c r="BQ34" s="89"/>
      <c r="BR34" s="89"/>
      <c r="BS34" s="89"/>
      <c r="BT34" s="89"/>
      <c r="BU34" s="89"/>
      <c r="BV34" s="89"/>
      <c r="BW34" s="95"/>
      <c r="BX34" s="96"/>
      <c r="BY34" s="97"/>
      <c r="BZ34" s="89"/>
      <c r="CA34" s="97"/>
      <c r="CB34" s="89"/>
      <c r="CC34" s="89"/>
      <c r="CD34" s="89"/>
      <c r="CE34" s="89"/>
      <c r="CF34" s="89"/>
      <c r="CG34" s="89"/>
      <c r="CH34" s="89"/>
      <c r="CI34" s="89"/>
      <c r="CJ34" s="89"/>
      <c r="CK34" s="89"/>
      <c r="CL34" s="89"/>
      <c r="CM34" s="89"/>
      <c r="CN34" s="89"/>
      <c r="CO34" s="89"/>
      <c r="CP34" s="89"/>
      <c r="CQ34" s="89"/>
      <c r="CR34" s="95"/>
      <c r="CS34" s="96"/>
      <c r="CT34" s="97"/>
      <c r="CU34" s="89"/>
      <c r="CV34" s="97"/>
      <c r="CW34" s="89"/>
      <c r="CX34" s="89"/>
      <c r="CY34" s="89"/>
      <c r="CZ34" s="89"/>
      <c r="DA34" s="89"/>
      <c r="DB34" s="89"/>
      <c r="DC34" s="89"/>
      <c r="DD34" s="89"/>
      <c r="DE34" s="89"/>
      <c r="DF34" s="89"/>
      <c r="DG34" s="89"/>
      <c r="DH34" s="89"/>
      <c r="DI34" s="89"/>
      <c r="DJ34" s="89"/>
      <c r="DK34" s="89"/>
      <c r="DL34" s="89"/>
      <c r="DO34" s="214"/>
      <c r="DP34" s="162"/>
      <c r="DQ34" s="162"/>
      <c r="DR34" s="162"/>
      <c r="DS34" s="162"/>
      <c r="DT34" s="162"/>
      <c r="EE34" s="258"/>
      <c r="EF34" s="258"/>
      <c r="EG34" s="258"/>
      <c r="EH34" s="258"/>
      <c r="EI34" s="258"/>
      <c r="EJ34" s="56"/>
      <c r="EK34" s="56"/>
      <c r="EL34" s="56"/>
      <c r="EM34" s="56"/>
      <c r="EN34" s="56"/>
      <c r="ET34" s="258"/>
      <c r="EX34" s="10"/>
      <c r="EZ34" s="119"/>
      <c r="FJ34" s="284"/>
      <c r="FK34" s="284"/>
      <c r="FL34" s="284"/>
      <c r="FM34" s="283"/>
      <c r="FN34" s="283"/>
      <c r="FO34" s="162"/>
      <c r="FP34" s="162"/>
      <c r="FQ34" s="162"/>
      <c r="FR34" s="162"/>
      <c r="FS34" s="162"/>
      <c r="FU34" s="258"/>
      <c r="FV34" s="388"/>
      <c r="FW34" s="389"/>
    </row>
    <row r="35" spans="1:179" x14ac:dyDescent="0.2">
      <c r="A35" s="173"/>
      <c r="C35" s="21"/>
      <c r="D35" s="21"/>
      <c r="E35" s="21"/>
      <c r="F35" s="21"/>
      <c r="G35" s="21"/>
      <c r="H35" s="21"/>
      <c r="I35" s="21"/>
      <c r="J35" s="21"/>
      <c r="K35" s="21"/>
      <c r="L35" s="95"/>
      <c r="M35" s="278"/>
      <c r="N35" s="96"/>
      <c r="O35" s="96"/>
      <c r="P35" s="97"/>
      <c r="Q35" s="89"/>
      <c r="R35" s="279"/>
      <c r="S35" s="279"/>
      <c r="T35" s="89"/>
      <c r="U35" s="279"/>
      <c r="V35" s="279"/>
      <c r="W35" s="89"/>
      <c r="X35" s="89"/>
      <c r="Y35" s="89"/>
      <c r="Z35" s="89"/>
      <c r="AA35" s="89"/>
      <c r="AB35" s="89"/>
      <c r="AC35" s="89"/>
      <c r="AD35" s="89"/>
      <c r="AE35" s="89"/>
      <c r="AF35" s="89"/>
      <c r="AG35" s="95"/>
      <c r="AH35" s="96"/>
      <c r="AI35" s="97"/>
      <c r="AJ35" s="89"/>
      <c r="AK35" s="97"/>
      <c r="AL35" s="89"/>
      <c r="AM35" s="89"/>
      <c r="AN35" s="89"/>
      <c r="AO35" s="89"/>
      <c r="AP35" s="89"/>
      <c r="AQ35" s="89"/>
      <c r="AR35" s="89"/>
      <c r="AS35" s="89"/>
      <c r="AT35" s="89"/>
      <c r="AU35" s="89"/>
      <c r="AV35" s="89"/>
      <c r="AW35" s="89"/>
      <c r="AX35" s="89"/>
      <c r="AY35" s="89"/>
      <c r="AZ35" s="89"/>
      <c r="BA35" s="89"/>
      <c r="BB35" s="95"/>
      <c r="BC35" s="96"/>
      <c r="BD35" s="97"/>
      <c r="BE35" s="89"/>
      <c r="BF35" s="97"/>
      <c r="BG35" s="89"/>
      <c r="BH35" s="89"/>
      <c r="BI35" s="89"/>
      <c r="BJ35" s="89"/>
      <c r="BK35" s="89"/>
      <c r="BL35" s="89"/>
      <c r="BM35" s="89"/>
      <c r="BN35" s="89"/>
      <c r="BO35" s="89"/>
      <c r="BP35" s="89"/>
      <c r="BQ35" s="89"/>
      <c r="BR35" s="89"/>
      <c r="BS35" s="89"/>
      <c r="BT35" s="89"/>
      <c r="BU35" s="89"/>
      <c r="BV35" s="89"/>
      <c r="BW35" s="95"/>
      <c r="BX35" s="96"/>
      <c r="BY35" s="97"/>
      <c r="BZ35" s="89"/>
      <c r="CA35" s="97"/>
      <c r="CB35" s="89"/>
      <c r="CC35" s="89"/>
      <c r="CD35" s="89"/>
      <c r="CE35" s="89"/>
      <c r="CF35" s="89"/>
      <c r="CG35" s="89"/>
      <c r="CH35" s="89"/>
      <c r="CI35" s="89"/>
      <c r="CJ35" s="89"/>
      <c r="CK35" s="89"/>
      <c r="CL35" s="89"/>
      <c r="CM35" s="89"/>
      <c r="CN35" s="89"/>
      <c r="CO35" s="89"/>
      <c r="CP35" s="89"/>
      <c r="CQ35" s="89"/>
      <c r="CR35" s="95"/>
      <c r="CS35" s="96"/>
      <c r="CT35" s="97"/>
      <c r="CU35" s="89"/>
      <c r="CV35" s="97"/>
      <c r="CW35" s="89"/>
      <c r="CX35" s="89"/>
      <c r="CY35" s="89"/>
      <c r="CZ35" s="89"/>
      <c r="DA35" s="89"/>
      <c r="DB35" s="89"/>
      <c r="DC35" s="89"/>
      <c r="DD35" s="89"/>
      <c r="DE35" s="89"/>
      <c r="DF35" s="89"/>
      <c r="DG35" s="89"/>
      <c r="DH35" s="89"/>
      <c r="DI35" s="89"/>
      <c r="DJ35" s="89"/>
      <c r="DK35" s="89"/>
      <c r="DL35" s="89"/>
      <c r="DO35" s="214"/>
      <c r="DP35" s="162"/>
      <c r="DQ35" s="162"/>
      <c r="DR35" s="162"/>
      <c r="DS35" s="162"/>
      <c r="DT35" s="162"/>
      <c r="EE35" s="258"/>
      <c r="EF35" s="258"/>
      <c r="EG35" s="258"/>
      <c r="EH35" s="258"/>
      <c r="EI35" s="258"/>
      <c r="EJ35" s="56"/>
      <c r="EK35" s="56"/>
      <c r="EL35" s="56"/>
      <c r="EM35" s="56"/>
      <c r="EN35" s="56"/>
      <c r="ET35" s="258"/>
      <c r="EX35" s="10"/>
      <c r="EZ35" s="119"/>
      <c r="FJ35" s="284"/>
      <c r="FK35" s="284"/>
      <c r="FL35" s="284"/>
      <c r="FM35" s="283"/>
      <c r="FN35" s="283"/>
      <c r="FO35" s="162"/>
      <c r="FP35" s="162"/>
      <c r="FQ35" s="162"/>
      <c r="FR35" s="162"/>
      <c r="FS35" s="162"/>
      <c r="FU35" s="258"/>
      <c r="FV35" s="388"/>
      <c r="FW35" s="389"/>
    </row>
    <row r="36" spans="1:179" x14ac:dyDescent="0.2">
      <c r="A36" s="173"/>
      <c r="C36" s="21"/>
      <c r="D36" s="21"/>
      <c r="E36" s="21"/>
      <c r="F36" s="21"/>
      <c r="G36" s="21"/>
      <c r="H36" s="21"/>
      <c r="I36" s="21"/>
      <c r="J36" s="21"/>
      <c r="K36" s="21"/>
      <c r="L36" s="95"/>
      <c r="M36" s="278"/>
      <c r="N36" s="96"/>
      <c r="O36" s="96"/>
      <c r="P36" s="97"/>
      <c r="Q36" s="89"/>
      <c r="R36" s="279"/>
      <c r="S36" s="279"/>
      <c r="T36" s="89"/>
      <c r="U36" s="279"/>
      <c r="V36" s="279"/>
      <c r="W36" s="89"/>
      <c r="X36" s="89"/>
      <c r="Y36" s="89"/>
      <c r="Z36" s="89"/>
      <c r="AA36" s="89"/>
      <c r="AB36" s="89"/>
      <c r="AC36" s="89"/>
      <c r="AD36" s="89"/>
      <c r="AE36" s="89"/>
      <c r="AF36" s="89"/>
      <c r="AG36" s="95"/>
      <c r="AH36" s="96"/>
      <c r="AI36" s="97"/>
      <c r="AJ36" s="89"/>
      <c r="AK36" s="97"/>
      <c r="AL36" s="89"/>
      <c r="AM36" s="89"/>
      <c r="AN36" s="89"/>
      <c r="AO36" s="89"/>
      <c r="AP36" s="89"/>
      <c r="AQ36" s="89"/>
      <c r="AR36" s="89"/>
      <c r="AS36" s="89"/>
      <c r="AT36" s="89"/>
      <c r="AU36" s="89"/>
      <c r="AV36" s="89"/>
      <c r="AW36" s="89"/>
      <c r="AX36" s="89"/>
      <c r="AY36" s="89"/>
      <c r="AZ36" s="89"/>
      <c r="BA36" s="89"/>
      <c r="BB36" s="95"/>
      <c r="BC36" s="96"/>
      <c r="BD36" s="97"/>
      <c r="BE36" s="89"/>
      <c r="BF36" s="97"/>
      <c r="BG36" s="89"/>
      <c r="BH36" s="89"/>
      <c r="BI36" s="89"/>
      <c r="BJ36" s="89"/>
      <c r="BK36" s="89"/>
      <c r="BL36" s="89"/>
      <c r="BM36" s="89"/>
      <c r="BN36" s="89"/>
      <c r="BO36" s="89"/>
      <c r="BP36" s="89"/>
      <c r="BQ36" s="89"/>
      <c r="BR36" s="89"/>
      <c r="BS36" s="89"/>
      <c r="BT36" s="89"/>
      <c r="BU36" s="89"/>
      <c r="BV36" s="89"/>
      <c r="BW36" s="95"/>
      <c r="BX36" s="96"/>
      <c r="BY36" s="97"/>
      <c r="BZ36" s="89"/>
      <c r="CA36" s="97"/>
      <c r="CB36" s="89"/>
      <c r="CC36" s="89"/>
      <c r="CD36" s="89"/>
      <c r="CE36" s="89"/>
      <c r="CF36" s="89"/>
      <c r="CG36" s="89"/>
      <c r="CH36" s="89"/>
      <c r="CI36" s="89"/>
      <c r="CJ36" s="89"/>
      <c r="CK36" s="89"/>
      <c r="CL36" s="89"/>
      <c r="CM36" s="89"/>
      <c r="CN36" s="89"/>
      <c r="CO36" s="89"/>
      <c r="CP36" s="89"/>
      <c r="CQ36" s="89"/>
      <c r="CR36" s="95"/>
      <c r="CS36" s="96"/>
      <c r="CT36" s="97"/>
      <c r="CU36" s="89"/>
      <c r="CV36" s="97"/>
      <c r="CW36" s="89"/>
      <c r="CX36" s="89"/>
      <c r="CY36" s="89"/>
      <c r="CZ36" s="89"/>
      <c r="DA36" s="89"/>
      <c r="DB36" s="89"/>
      <c r="DC36" s="89"/>
      <c r="DD36" s="89"/>
      <c r="DE36" s="89"/>
      <c r="DF36" s="89"/>
      <c r="DG36" s="89"/>
      <c r="DH36" s="89"/>
      <c r="DI36" s="89"/>
      <c r="DJ36" s="89"/>
      <c r="DK36" s="89"/>
      <c r="DL36" s="89"/>
      <c r="DO36" s="214"/>
      <c r="DP36" s="162"/>
      <c r="DQ36" s="162"/>
      <c r="DR36" s="162"/>
      <c r="DS36" s="162"/>
      <c r="DT36" s="162"/>
      <c r="EE36" s="258"/>
      <c r="EF36" s="258"/>
      <c r="EG36" s="258"/>
      <c r="EH36" s="258"/>
      <c r="EI36" s="258"/>
      <c r="EJ36" s="56"/>
      <c r="EK36" s="56"/>
      <c r="EL36" s="56"/>
      <c r="EM36" s="56"/>
      <c r="EN36" s="56"/>
      <c r="ET36" s="258"/>
      <c r="EX36" s="10"/>
      <c r="EZ36" s="119"/>
      <c r="FJ36" s="284"/>
      <c r="FK36" s="284"/>
      <c r="FL36" s="284"/>
      <c r="FM36" s="283"/>
      <c r="FN36" s="283"/>
      <c r="FO36" s="162"/>
      <c r="FP36" s="162"/>
      <c r="FQ36" s="162"/>
      <c r="FR36" s="162"/>
      <c r="FS36" s="162"/>
      <c r="FU36" s="258"/>
      <c r="FV36" s="388"/>
      <c r="FW36" s="389"/>
    </row>
    <row r="37" spans="1:179" x14ac:dyDescent="0.2">
      <c r="A37" s="173"/>
      <c r="C37" s="21"/>
      <c r="D37" s="21"/>
      <c r="E37" s="21"/>
      <c r="F37" s="21"/>
      <c r="G37" s="21"/>
      <c r="H37" s="21"/>
      <c r="I37" s="21"/>
      <c r="J37" s="21"/>
      <c r="K37" s="21"/>
      <c r="L37" s="95"/>
      <c r="M37" s="278"/>
      <c r="N37" s="96"/>
      <c r="O37" s="96"/>
      <c r="P37" s="97"/>
      <c r="Q37" s="89"/>
      <c r="R37" s="279"/>
      <c r="S37" s="279"/>
      <c r="T37" s="89"/>
      <c r="U37" s="279"/>
      <c r="V37" s="279"/>
      <c r="W37" s="89"/>
      <c r="X37" s="89"/>
      <c r="Y37" s="89"/>
      <c r="Z37" s="89"/>
      <c r="AA37" s="89"/>
      <c r="AB37" s="89"/>
      <c r="AC37" s="89"/>
      <c r="AD37" s="89"/>
      <c r="AE37" s="89"/>
      <c r="AF37" s="89"/>
      <c r="AG37" s="95"/>
      <c r="AH37" s="96"/>
      <c r="AI37" s="97"/>
      <c r="AJ37" s="89"/>
      <c r="AK37" s="97"/>
      <c r="AL37" s="89"/>
      <c r="AM37" s="89"/>
      <c r="AN37" s="89"/>
      <c r="AO37" s="89"/>
      <c r="AP37" s="89"/>
      <c r="AQ37" s="89"/>
      <c r="AR37" s="89"/>
      <c r="AS37" s="89"/>
      <c r="AT37" s="89"/>
      <c r="AU37" s="89"/>
      <c r="AV37" s="89"/>
      <c r="AW37" s="89"/>
      <c r="AX37" s="89"/>
      <c r="AY37" s="89"/>
      <c r="AZ37" s="89"/>
      <c r="BA37" s="89"/>
      <c r="BB37" s="95"/>
      <c r="BC37" s="96"/>
      <c r="BD37" s="97"/>
      <c r="BE37" s="89"/>
      <c r="BF37" s="97"/>
      <c r="BG37" s="89"/>
      <c r="BH37" s="89"/>
      <c r="BI37" s="89"/>
      <c r="BJ37" s="89"/>
      <c r="BK37" s="89"/>
      <c r="BL37" s="89"/>
      <c r="BM37" s="89"/>
      <c r="BN37" s="89"/>
      <c r="BO37" s="89"/>
      <c r="BP37" s="89"/>
      <c r="BQ37" s="89"/>
      <c r="BR37" s="89"/>
      <c r="BS37" s="89"/>
      <c r="BT37" s="89"/>
      <c r="BU37" s="89"/>
      <c r="BV37" s="89"/>
      <c r="BW37" s="95"/>
      <c r="BX37" s="96"/>
      <c r="BY37" s="97"/>
      <c r="BZ37" s="89"/>
      <c r="CA37" s="97"/>
      <c r="CB37" s="89"/>
      <c r="CC37" s="89"/>
      <c r="CD37" s="89"/>
      <c r="CE37" s="89"/>
      <c r="CF37" s="89"/>
      <c r="CG37" s="89"/>
      <c r="CH37" s="89"/>
      <c r="CI37" s="89"/>
      <c r="CJ37" s="89"/>
      <c r="CK37" s="89"/>
      <c r="CL37" s="89"/>
      <c r="CM37" s="89"/>
      <c r="CN37" s="89"/>
      <c r="CO37" s="89"/>
      <c r="CP37" s="89"/>
      <c r="CQ37" s="89"/>
      <c r="CR37" s="95"/>
      <c r="CS37" s="96"/>
      <c r="CT37" s="97"/>
      <c r="CU37" s="89"/>
      <c r="CV37" s="97"/>
      <c r="CW37" s="89"/>
      <c r="CX37" s="89"/>
      <c r="CY37" s="89"/>
      <c r="CZ37" s="89"/>
      <c r="DA37" s="89"/>
      <c r="DB37" s="89"/>
      <c r="DC37" s="89"/>
      <c r="DD37" s="89"/>
      <c r="DE37" s="89"/>
      <c r="DF37" s="89"/>
      <c r="DG37" s="89"/>
      <c r="DH37" s="89"/>
      <c r="DI37" s="89"/>
      <c r="DJ37" s="89"/>
      <c r="DK37" s="89"/>
      <c r="DL37" s="89"/>
      <c r="DO37" s="214"/>
      <c r="DP37" s="162"/>
      <c r="DQ37" s="162"/>
      <c r="DR37" s="162"/>
      <c r="DS37" s="162"/>
      <c r="DT37" s="162"/>
      <c r="EE37" s="258"/>
      <c r="EF37" s="258"/>
      <c r="EG37" s="258"/>
      <c r="EH37" s="258"/>
      <c r="EI37" s="258"/>
      <c r="EJ37" s="56"/>
      <c r="EK37" s="56"/>
      <c r="EL37" s="56"/>
      <c r="EM37" s="56"/>
      <c r="EN37" s="56"/>
      <c r="ET37" s="258"/>
      <c r="EX37" s="10"/>
      <c r="EZ37" s="119"/>
      <c r="FJ37" s="284"/>
      <c r="FK37" s="284"/>
      <c r="FL37" s="284"/>
      <c r="FM37" s="283"/>
      <c r="FN37" s="283"/>
      <c r="FO37" s="162"/>
      <c r="FP37" s="162"/>
      <c r="FQ37" s="162"/>
      <c r="FR37" s="162"/>
      <c r="FS37" s="162"/>
      <c r="FU37" s="258"/>
      <c r="FV37" s="388"/>
      <c r="FW37" s="389"/>
    </row>
    <row r="38" spans="1:179" x14ac:dyDescent="0.2">
      <c r="A38" s="173"/>
      <c r="C38" s="21"/>
      <c r="D38" s="21"/>
      <c r="E38" s="21"/>
      <c r="F38" s="21"/>
      <c r="G38" s="21"/>
      <c r="H38" s="21"/>
      <c r="I38" s="21"/>
      <c r="J38" s="21"/>
      <c r="K38" s="21"/>
      <c r="L38" s="95"/>
      <c r="M38" s="278"/>
      <c r="N38" s="96"/>
      <c r="O38" s="96"/>
      <c r="P38" s="97"/>
      <c r="Q38" s="89"/>
      <c r="R38" s="279"/>
      <c r="S38" s="279"/>
      <c r="T38" s="89"/>
      <c r="U38" s="279"/>
      <c r="V38" s="279"/>
      <c r="W38" s="89"/>
      <c r="X38" s="89"/>
      <c r="Y38" s="89"/>
      <c r="Z38" s="89"/>
      <c r="AA38" s="89"/>
      <c r="AB38" s="89"/>
      <c r="AC38" s="89"/>
      <c r="AD38" s="89"/>
      <c r="AE38" s="89"/>
      <c r="AF38" s="89"/>
      <c r="AG38" s="95"/>
      <c r="AH38" s="96"/>
      <c r="AI38" s="97"/>
      <c r="AJ38" s="89"/>
      <c r="AK38" s="97"/>
      <c r="AL38" s="89"/>
      <c r="AM38" s="89"/>
      <c r="AN38" s="89"/>
      <c r="AO38" s="89"/>
      <c r="AP38" s="89"/>
      <c r="AQ38" s="89"/>
      <c r="AR38" s="89"/>
      <c r="AS38" s="89"/>
      <c r="AT38" s="89"/>
      <c r="AU38" s="89"/>
      <c r="AV38" s="89"/>
      <c r="AW38" s="89"/>
      <c r="AX38" s="89"/>
      <c r="AY38" s="89"/>
      <c r="AZ38" s="89"/>
      <c r="BA38" s="89"/>
      <c r="BB38" s="95"/>
      <c r="BC38" s="96"/>
      <c r="BD38" s="97"/>
      <c r="BE38" s="89"/>
      <c r="BF38" s="97"/>
      <c r="BG38" s="89"/>
      <c r="BH38" s="89"/>
      <c r="BI38" s="89"/>
      <c r="BJ38" s="89"/>
      <c r="BK38" s="89"/>
      <c r="BL38" s="89"/>
      <c r="BM38" s="89"/>
      <c r="BN38" s="89"/>
      <c r="BO38" s="89"/>
      <c r="BP38" s="89"/>
      <c r="BQ38" s="89"/>
      <c r="BR38" s="89"/>
      <c r="BS38" s="89"/>
      <c r="BT38" s="89"/>
      <c r="BU38" s="89"/>
      <c r="BV38" s="89"/>
      <c r="BW38" s="95"/>
      <c r="BX38" s="96"/>
      <c r="BY38" s="97"/>
      <c r="BZ38" s="89"/>
      <c r="CA38" s="97"/>
      <c r="CB38" s="89"/>
      <c r="CC38" s="89"/>
      <c r="CD38" s="89"/>
      <c r="CE38" s="89"/>
      <c r="CF38" s="89"/>
      <c r="CG38" s="89"/>
      <c r="CH38" s="89"/>
      <c r="CI38" s="89"/>
      <c r="CJ38" s="89"/>
      <c r="CK38" s="89"/>
      <c r="CL38" s="89"/>
      <c r="CM38" s="89"/>
      <c r="CN38" s="89"/>
      <c r="CO38" s="89"/>
      <c r="CP38" s="89"/>
      <c r="CQ38" s="89"/>
      <c r="CR38" s="95"/>
      <c r="CS38" s="96"/>
      <c r="CT38" s="97"/>
      <c r="CU38" s="89"/>
      <c r="CV38" s="97"/>
      <c r="CW38" s="89"/>
      <c r="CX38" s="89"/>
      <c r="CY38" s="89"/>
      <c r="CZ38" s="89"/>
      <c r="DA38" s="89"/>
      <c r="DB38" s="89"/>
      <c r="DC38" s="89"/>
      <c r="DD38" s="89"/>
      <c r="DE38" s="89"/>
      <c r="DF38" s="89"/>
      <c r="DG38" s="89"/>
      <c r="DH38" s="89"/>
      <c r="DI38" s="89"/>
      <c r="DJ38" s="89"/>
      <c r="DK38" s="89"/>
      <c r="DL38" s="89"/>
      <c r="DO38" s="214"/>
      <c r="DP38" s="162"/>
      <c r="DQ38" s="162"/>
      <c r="DR38" s="162"/>
      <c r="DS38" s="162"/>
      <c r="DT38" s="162"/>
      <c r="EE38" s="258"/>
      <c r="EF38" s="258"/>
      <c r="EG38" s="258"/>
      <c r="EH38" s="258"/>
      <c r="EI38" s="258"/>
      <c r="EJ38" s="56"/>
      <c r="EK38" s="56"/>
      <c r="EL38" s="56"/>
      <c r="EM38" s="56"/>
      <c r="EN38" s="56"/>
      <c r="ET38" s="258"/>
      <c r="EX38" s="10"/>
      <c r="EZ38" s="119"/>
      <c r="FJ38" s="284"/>
      <c r="FK38" s="284"/>
      <c r="FL38" s="284"/>
      <c r="FM38" s="283"/>
      <c r="FN38" s="283"/>
      <c r="FO38" s="162"/>
      <c r="FP38" s="162"/>
      <c r="FQ38" s="162"/>
      <c r="FR38" s="162"/>
      <c r="FS38" s="162"/>
      <c r="FU38" s="258"/>
      <c r="FV38" s="388"/>
      <c r="FW38" s="389"/>
    </row>
    <row r="39" spans="1:179" x14ac:dyDescent="0.2">
      <c r="A39" s="173"/>
      <c r="C39" s="21"/>
      <c r="D39" s="21"/>
      <c r="E39" s="21"/>
      <c r="F39" s="21"/>
      <c r="G39" s="21"/>
      <c r="H39" s="21"/>
      <c r="I39" s="21"/>
      <c r="J39" s="21"/>
      <c r="K39" s="21"/>
      <c r="L39" s="95"/>
      <c r="M39" s="278"/>
      <c r="N39" s="96"/>
      <c r="O39" s="96"/>
      <c r="P39" s="97"/>
      <c r="Q39" s="89"/>
      <c r="R39" s="279"/>
      <c r="S39" s="279"/>
      <c r="T39" s="89"/>
      <c r="U39" s="279"/>
      <c r="V39" s="279"/>
      <c r="W39" s="89"/>
      <c r="X39" s="89"/>
      <c r="Y39" s="89"/>
      <c r="Z39" s="89"/>
      <c r="AA39" s="89"/>
      <c r="AB39" s="89"/>
      <c r="AC39" s="89"/>
      <c r="AD39" s="89"/>
      <c r="AE39" s="89"/>
      <c r="AF39" s="89"/>
      <c r="AG39" s="95"/>
      <c r="AH39" s="96"/>
      <c r="AI39" s="97"/>
      <c r="AJ39" s="89"/>
      <c r="AK39" s="97"/>
      <c r="AL39" s="89"/>
      <c r="AM39" s="89"/>
      <c r="AN39" s="89"/>
      <c r="AO39" s="89"/>
      <c r="AP39" s="89"/>
      <c r="AQ39" s="89"/>
      <c r="AR39" s="89"/>
      <c r="AS39" s="89"/>
      <c r="AT39" s="89"/>
      <c r="AU39" s="89"/>
      <c r="AV39" s="89"/>
      <c r="AW39" s="89"/>
      <c r="AX39" s="89"/>
      <c r="AY39" s="89"/>
      <c r="AZ39" s="89"/>
      <c r="BA39" s="89"/>
      <c r="BB39" s="95"/>
      <c r="BC39" s="96"/>
      <c r="BD39" s="97"/>
      <c r="BE39" s="89"/>
      <c r="BF39" s="97"/>
      <c r="BG39" s="89"/>
      <c r="BH39" s="89"/>
      <c r="BI39" s="89"/>
      <c r="BJ39" s="89"/>
      <c r="BK39" s="89"/>
      <c r="BL39" s="89"/>
      <c r="BM39" s="89"/>
      <c r="BN39" s="89"/>
      <c r="BO39" s="89"/>
      <c r="BP39" s="89"/>
      <c r="BQ39" s="89"/>
      <c r="BR39" s="89"/>
      <c r="BS39" s="89"/>
      <c r="BT39" s="89"/>
      <c r="BU39" s="89"/>
      <c r="BV39" s="89"/>
      <c r="BW39" s="95"/>
      <c r="BX39" s="96"/>
      <c r="BY39" s="97"/>
      <c r="BZ39" s="89"/>
      <c r="CA39" s="97"/>
      <c r="CB39" s="89"/>
      <c r="CC39" s="89"/>
      <c r="CD39" s="89"/>
      <c r="CE39" s="89"/>
      <c r="CF39" s="89"/>
      <c r="CG39" s="89"/>
      <c r="CH39" s="89"/>
      <c r="CI39" s="89"/>
      <c r="CJ39" s="89"/>
      <c r="CK39" s="89"/>
      <c r="CL39" s="89"/>
      <c r="CM39" s="89"/>
      <c r="CN39" s="89"/>
      <c r="CO39" s="89"/>
      <c r="CP39" s="89"/>
      <c r="CQ39" s="89"/>
      <c r="CR39" s="95"/>
      <c r="CS39" s="96"/>
      <c r="CT39" s="97"/>
      <c r="CU39" s="89"/>
      <c r="CV39" s="97"/>
      <c r="CW39" s="89"/>
      <c r="CX39" s="89"/>
      <c r="CY39" s="89"/>
      <c r="CZ39" s="89"/>
      <c r="DA39" s="89"/>
      <c r="DB39" s="89"/>
      <c r="DC39" s="89"/>
      <c r="DD39" s="89"/>
      <c r="DE39" s="89"/>
      <c r="DF39" s="89"/>
      <c r="DG39" s="89"/>
      <c r="DH39" s="89"/>
      <c r="DI39" s="89"/>
      <c r="DJ39" s="89"/>
      <c r="DK39" s="89"/>
      <c r="DL39" s="89"/>
      <c r="DO39" s="214"/>
      <c r="DP39" s="162"/>
      <c r="DQ39" s="162"/>
      <c r="DR39" s="162"/>
      <c r="DS39" s="162"/>
      <c r="DT39" s="162"/>
      <c r="EE39" s="258"/>
      <c r="EF39" s="258"/>
      <c r="EG39" s="258"/>
      <c r="EH39" s="258"/>
      <c r="EI39" s="258"/>
      <c r="EJ39" s="56"/>
      <c r="EK39" s="56"/>
      <c r="EL39" s="56"/>
      <c r="EM39" s="56"/>
      <c r="EN39" s="56"/>
      <c r="ET39" s="258"/>
      <c r="EX39" s="10"/>
      <c r="EZ39" s="119"/>
      <c r="FJ39" s="284"/>
      <c r="FK39" s="284"/>
      <c r="FL39" s="284"/>
      <c r="FM39" s="283"/>
      <c r="FN39" s="283"/>
      <c r="FO39" s="162"/>
      <c r="FP39" s="162"/>
      <c r="FQ39" s="162"/>
      <c r="FR39" s="162"/>
      <c r="FS39" s="162"/>
      <c r="FU39" s="258"/>
      <c r="FV39" s="388"/>
      <c r="FW39" s="389"/>
    </row>
    <row r="40" spans="1:179" x14ac:dyDescent="0.2">
      <c r="A40" s="173"/>
      <c r="C40" s="21"/>
      <c r="D40" s="21"/>
      <c r="E40" s="21"/>
      <c r="F40" s="21"/>
      <c r="G40" s="21"/>
      <c r="H40" s="21"/>
      <c r="I40" s="21"/>
      <c r="J40" s="21"/>
      <c r="K40" s="21"/>
      <c r="L40" s="95"/>
      <c r="M40" s="278"/>
      <c r="N40" s="96"/>
      <c r="O40" s="96"/>
      <c r="P40" s="97"/>
      <c r="Q40" s="89"/>
      <c r="R40" s="279"/>
      <c r="S40" s="279"/>
      <c r="T40" s="89"/>
      <c r="U40" s="279"/>
      <c r="V40" s="279"/>
      <c r="W40" s="89"/>
      <c r="X40" s="89"/>
      <c r="Y40" s="89"/>
      <c r="Z40" s="89"/>
      <c r="AA40" s="89"/>
      <c r="AB40" s="89"/>
      <c r="AC40" s="89"/>
      <c r="AD40" s="89"/>
      <c r="AE40" s="89"/>
      <c r="AF40" s="89"/>
      <c r="AG40" s="95"/>
      <c r="AH40" s="96"/>
      <c r="AI40" s="97"/>
      <c r="AJ40" s="89"/>
      <c r="AK40" s="97"/>
      <c r="AL40" s="89"/>
      <c r="AM40" s="89"/>
      <c r="AN40" s="89"/>
      <c r="AO40" s="89"/>
      <c r="AP40" s="89"/>
      <c r="AQ40" s="89"/>
      <c r="AR40" s="89"/>
      <c r="AS40" s="89"/>
      <c r="AT40" s="89"/>
      <c r="AU40" s="89"/>
      <c r="AV40" s="89"/>
      <c r="AW40" s="89"/>
      <c r="AX40" s="89"/>
      <c r="AY40" s="89"/>
      <c r="AZ40" s="89"/>
      <c r="BA40" s="89"/>
      <c r="BB40" s="95"/>
      <c r="BC40" s="96"/>
      <c r="BD40" s="97"/>
      <c r="BE40" s="89"/>
      <c r="BF40" s="97"/>
      <c r="BG40" s="89"/>
      <c r="BH40" s="89"/>
      <c r="BI40" s="89"/>
      <c r="BJ40" s="89"/>
      <c r="BK40" s="89"/>
      <c r="BL40" s="89"/>
      <c r="BM40" s="89"/>
      <c r="BN40" s="89"/>
      <c r="BO40" s="89"/>
      <c r="BP40" s="89"/>
      <c r="BQ40" s="89"/>
      <c r="BR40" s="89"/>
      <c r="BS40" s="89"/>
      <c r="BT40" s="89"/>
      <c r="BU40" s="89"/>
      <c r="BV40" s="89"/>
      <c r="BW40" s="95"/>
      <c r="BX40" s="96"/>
      <c r="BY40" s="97"/>
      <c r="BZ40" s="89"/>
      <c r="CA40" s="97"/>
      <c r="CB40" s="89"/>
      <c r="CC40" s="89"/>
      <c r="CD40" s="89"/>
      <c r="CE40" s="89"/>
      <c r="CF40" s="89"/>
      <c r="CG40" s="89"/>
      <c r="CH40" s="89"/>
      <c r="CI40" s="89"/>
      <c r="CJ40" s="89"/>
      <c r="CK40" s="89"/>
      <c r="CL40" s="89"/>
      <c r="CM40" s="89"/>
      <c r="CN40" s="89"/>
      <c r="CO40" s="89"/>
      <c r="CP40" s="89"/>
      <c r="CQ40" s="89"/>
      <c r="CR40" s="95"/>
      <c r="CS40" s="96"/>
      <c r="CT40" s="97"/>
      <c r="CU40" s="89"/>
      <c r="CV40" s="97"/>
      <c r="CW40" s="89"/>
      <c r="CX40" s="89"/>
      <c r="CY40" s="89"/>
      <c r="CZ40" s="89"/>
      <c r="DA40" s="89"/>
      <c r="DB40" s="89"/>
      <c r="DC40" s="89"/>
      <c r="DD40" s="89"/>
      <c r="DE40" s="89"/>
      <c r="DF40" s="89"/>
      <c r="DG40" s="89"/>
      <c r="DH40" s="89"/>
      <c r="DI40" s="89"/>
      <c r="DJ40" s="89"/>
      <c r="DK40" s="89"/>
      <c r="DL40" s="89"/>
      <c r="DO40" s="214"/>
      <c r="DP40" s="162"/>
      <c r="DQ40" s="162"/>
      <c r="DR40" s="162"/>
      <c r="DS40" s="162"/>
      <c r="DT40" s="162"/>
      <c r="EE40" s="258"/>
      <c r="EF40" s="258"/>
      <c r="EG40" s="258"/>
      <c r="EH40" s="258"/>
      <c r="EI40" s="258"/>
      <c r="EJ40" s="56"/>
      <c r="EK40" s="56"/>
      <c r="EL40" s="56"/>
      <c r="EM40" s="56"/>
      <c r="EN40" s="56"/>
      <c r="ET40" s="258"/>
      <c r="EX40" s="10"/>
      <c r="EZ40" s="119"/>
      <c r="FJ40" s="284"/>
      <c r="FK40" s="284"/>
      <c r="FL40" s="284"/>
      <c r="FM40" s="283"/>
      <c r="FN40" s="283"/>
      <c r="FO40" s="162"/>
      <c r="FP40" s="162"/>
      <c r="FQ40" s="162"/>
      <c r="FR40" s="162"/>
      <c r="FS40" s="162"/>
      <c r="FU40" s="258"/>
      <c r="FV40" s="388"/>
      <c r="FW40" s="389"/>
    </row>
    <row r="41" spans="1:179" x14ac:dyDescent="0.2">
      <c r="A41" s="173"/>
      <c r="C41" s="21"/>
      <c r="D41" s="21"/>
      <c r="E41" s="21"/>
      <c r="F41" s="21"/>
      <c r="G41" s="21"/>
      <c r="H41" s="21"/>
      <c r="I41" s="21"/>
      <c r="J41" s="21"/>
      <c r="K41" s="21"/>
      <c r="L41" s="95"/>
      <c r="M41" s="278"/>
      <c r="N41" s="96"/>
      <c r="O41" s="96"/>
      <c r="P41" s="97"/>
      <c r="Q41" s="89"/>
      <c r="R41" s="279"/>
      <c r="S41" s="279"/>
      <c r="T41" s="89"/>
      <c r="U41" s="279"/>
      <c r="V41" s="279"/>
      <c r="W41" s="89"/>
      <c r="X41" s="89"/>
      <c r="Y41" s="89"/>
      <c r="Z41" s="89"/>
      <c r="AA41" s="89"/>
      <c r="AB41" s="89"/>
      <c r="AC41" s="89"/>
      <c r="AD41" s="89"/>
      <c r="AE41" s="89"/>
      <c r="AF41" s="89"/>
      <c r="AG41" s="95"/>
      <c r="AH41" s="96"/>
      <c r="AI41" s="97"/>
      <c r="AJ41" s="89"/>
      <c r="AK41" s="97"/>
      <c r="AL41" s="89"/>
      <c r="AM41" s="89"/>
      <c r="AN41" s="89"/>
      <c r="AO41" s="89"/>
      <c r="AP41" s="89"/>
      <c r="AQ41" s="89"/>
      <c r="AR41" s="89"/>
      <c r="AS41" s="89"/>
      <c r="AT41" s="89"/>
      <c r="AU41" s="89"/>
      <c r="AV41" s="89"/>
      <c r="AW41" s="89"/>
      <c r="AX41" s="89"/>
      <c r="AY41" s="89"/>
      <c r="AZ41" s="89"/>
      <c r="BA41" s="89"/>
      <c r="BB41" s="95"/>
      <c r="BC41" s="96"/>
      <c r="BD41" s="97"/>
      <c r="BE41" s="89"/>
      <c r="BF41" s="97"/>
      <c r="BG41" s="89"/>
      <c r="BH41" s="89"/>
      <c r="BI41" s="89"/>
      <c r="BJ41" s="89"/>
      <c r="BK41" s="89"/>
      <c r="BL41" s="89"/>
      <c r="BM41" s="89"/>
      <c r="BN41" s="89"/>
      <c r="BO41" s="89"/>
      <c r="BP41" s="89"/>
      <c r="BQ41" s="89"/>
      <c r="BR41" s="89"/>
      <c r="BS41" s="89"/>
      <c r="BT41" s="89"/>
      <c r="BU41" s="89"/>
      <c r="BV41" s="89"/>
      <c r="BW41" s="95"/>
      <c r="BX41" s="96"/>
      <c r="BY41" s="97"/>
      <c r="BZ41" s="89"/>
      <c r="CA41" s="97"/>
      <c r="CB41" s="89"/>
      <c r="CC41" s="89"/>
      <c r="CD41" s="89"/>
      <c r="CE41" s="89"/>
      <c r="CF41" s="89"/>
      <c r="CG41" s="89"/>
      <c r="CH41" s="89"/>
      <c r="CI41" s="89"/>
      <c r="CJ41" s="89"/>
      <c r="CK41" s="89"/>
      <c r="CL41" s="89"/>
      <c r="CM41" s="89"/>
      <c r="CN41" s="89"/>
      <c r="CO41" s="89"/>
      <c r="CP41" s="89"/>
      <c r="CQ41" s="89"/>
      <c r="CR41" s="95"/>
      <c r="CS41" s="96"/>
      <c r="CT41" s="97"/>
      <c r="CU41" s="89"/>
      <c r="CV41" s="97"/>
      <c r="CW41" s="89"/>
      <c r="CX41" s="89"/>
      <c r="CY41" s="89"/>
      <c r="CZ41" s="89"/>
      <c r="DA41" s="89"/>
      <c r="DB41" s="89"/>
      <c r="DC41" s="89"/>
      <c r="DD41" s="89"/>
      <c r="DE41" s="89"/>
      <c r="DF41" s="89"/>
      <c r="DG41" s="89"/>
      <c r="DH41" s="89"/>
      <c r="DI41" s="89"/>
      <c r="DJ41" s="89"/>
      <c r="DK41" s="89"/>
      <c r="DL41" s="89"/>
      <c r="DO41" s="214"/>
      <c r="DP41" s="162"/>
      <c r="DQ41" s="162"/>
      <c r="DR41" s="162"/>
      <c r="DS41" s="162"/>
      <c r="DT41" s="162"/>
      <c r="EE41" s="258"/>
      <c r="EF41" s="258"/>
      <c r="EG41" s="258"/>
      <c r="EH41" s="258"/>
      <c r="EI41" s="258"/>
      <c r="EJ41" s="56"/>
      <c r="EK41" s="56"/>
      <c r="EL41" s="56"/>
      <c r="EM41" s="56"/>
      <c r="EN41" s="56"/>
      <c r="ET41" s="258"/>
      <c r="EX41" s="10"/>
      <c r="EZ41" s="119"/>
      <c r="FJ41" s="284"/>
      <c r="FK41" s="284"/>
      <c r="FL41" s="284"/>
      <c r="FM41" s="283"/>
      <c r="FN41" s="283"/>
      <c r="FO41" s="162"/>
      <c r="FP41" s="162"/>
      <c r="FQ41" s="162"/>
      <c r="FR41" s="162"/>
      <c r="FS41" s="162"/>
      <c r="FU41" s="258"/>
      <c r="FV41" s="388"/>
      <c r="FW41" s="389"/>
    </row>
    <row r="42" spans="1:179" x14ac:dyDescent="0.2">
      <c r="A42" s="173"/>
      <c r="C42" s="21"/>
      <c r="D42" s="21"/>
      <c r="E42" s="21"/>
      <c r="F42" s="21"/>
      <c r="G42" s="21"/>
      <c r="H42" s="21"/>
      <c r="I42" s="21"/>
      <c r="J42" s="21"/>
      <c r="K42" s="21"/>
      <c r="L42" s="95"/>
      <c r="M42" s="278"/>
      <c r="N42" s="96"/>
      <c r="O42" s="96"/>
      <c r="P42" s="97"/>
      <c r="Q42" s="89"/>
      <c r="R42" s="279"/>
      <c r="S42" s="279"/>
      <c r="T42" s="89"/>
      <c r="U42" s="279"/>
      <c r="V42" s="279"/>
      <c r="W42" s="89"/>
      <c r="X42" s="89"/>
      <c r="Y42" s="89"/>
      <c r="Z42" s="89"/>
      <c r="AA42" s="89"/>
      <c r="AB42" s="89"/>
      <c r="AC42" s="89"/>
      <c r="AD42" s="89"/>
      <c r="AE42" s="89"/>
      <c r="AF42" s="89"/>
      <c r="AG42" s="95"/>
      <c r="AH42" s="96"/>
      <c r="AI42" s="97"/>
      <c r="AJ42" s="89"/>
      <c r="AK42" s="97"/>
      <c r="AL42" s="89"/>
      <c r="AM42" s="89"/>
      <c r="AN42" s="89"/>
      <c r="AO42" s="89"/>
      <c r="AP42" s="89"/>
      <c r="AQ42" s="89"/>
      <c r="AR42" s="89"/>
      <c r="AS42" s="89"/>
      <c r="AT42" s="89"/>
      <c r="AU42" s="89"/>
      <c r="AV42" s="89"/>
      <c r="AW42" s="89"/>
      <c r="AX42" s="89"/>
      <c r="AY42" s="89"/>
      <c r="AZ42" s="89"/>
      <c r="BA42" s="89"/>
      <c r="BB42" s="95"/>
      <c r="BC42" s="96"/>
      <c r="BD42" s="97"/>
      <c r="BE42" s="89"/>
      <c r="BF42" s="97"/>
      <c r="BG42" s="89"/>
      <c r="BH42" s="89"/>
      <c r="BI42" s="89"/>
      <c r="BJ42" s="89"/>
      <c r="BK42" s="89"/>
      <c r="BL42" s="89"/>
      <c r="BM42" s="89"/>
      <c r="BN42" s="89"/>
      <c r="BO42" s="89"/>
      <c r="BP42" s="89"/>
      <c r="BQ42" s="89"/>
      <c r="BR42" s="89"/>
      <c r="BS42" s="89"/>
      <c r="BT42" s="89"/>
      <c r="BU42" s="89"/>
      <c r="BV42" s="89"/>
      <c r="BW42" s="95"/>
      <c r="BX42" s="96"/>
      <c r="BY42" s="97"/>
      <c r="BZ42" s="89"/>
      <c r="CA42" s="97"/>
      <c r="CB42" s="89"/>
      <c r="CC42" s="89"/>
      <c r="CD42" s="89"/>
      <c r="CE42" s="89"/>
      <c r="CF42" s="89"/>
      <c r="CG42" s="89"/>
      <c r="CH42" s="89"/>
      <c r="CI42" s="89"/>
      <c r="CJ42" s="89"/>
      <c r="CK42" s="89"/>
      <c r="CL42" s="89"/>
      <c r="CM42" s="89"/>
      <c r="CN42" s="89"/>
      <c r="CO42" s="89"/>
      <c r="CP42" s="89"/>
      <c r="CQ42" s="89"/>
      <c r="CR42" s="95"/>
      <c r="CS42" s="96"/>
      <c r="CT42" s="97"/>
      <c r="CU42" s="89"/>
      <c r="CV42" s="97"/>
      <c r="CW42" s="89"/>
      <c r="CX42" s="89"/>
      <c r="CY42" s="89"/>
      <c r="CZ42" s="89"/>
      <c r="DA42" s="89"/>
      <c r="DB42" s="89"/>
      <c r="DC42" s="89"/>
      <c r="DD42" s="89"/>
      <c r="DE42" s="89"/>
      <c r="DF42" s="89"/>
      <c r="DG42" s="89"/>
      <c r="DH42" s="89"/>
      <c r="DI42" s="89"/>
      <c r="DJ42" s="89"/>
      <c r="DK42" s="89"/>
      <c r="DL42" s="89"/>
      <c r="DO42" s="214"/>
      <c r="DP42" s="162"/>
      <c r="DQ42" s="162"/>
      <c r="DR42" s="162"/>
      <c r="DS42" s="162"/>
      <c r="DT42" s="162"/>
      <c r="EE42" s="258"/>
      <c r="EF42" s="258"/>
      <c r="EG42" s="258"/>
      <c r="EH42" s="258"/>
      <c r="EI42" s="258"/>
      <c r="EJ42" s="56"/>
      <c r="EK42" s="56"/>
      <c r="EL42" s="56"/>
      <c r="EM42" s="56"/>
      <c r="EN42" s="56"/>
      <c r="ET42" s="258"/>
      <c r="EX42" s="10"/>
      <c r="EZ42" s="119"/>
      <c r="FJ42" s="284"/>
      <c r="FK42" s="284"/>
      <c r="FL42" s="284"/>
      <c r="FM42" s="283"/>
      <c r="FN42" s="283"/>
      <c r="FO42" s="162"/>
      <c r="FP42" s="162"/>
      <c r="FQ42" s="162"/>
      <c r="FR42" s="162"/>
      <c r="FS42" s="162"/>
      <c r="FU42" s="258"/>
      <c r="FV42" s="388"/>
      <c r="FW42" s="389"/>
    </row>
    <row r="43" spans="1:179" x14ac:dyDescent="0.2">
      <c r="A43" s="173"/>
      <c r="C43" s="21"/>
      <c r="D43" s="21"/>
      <c r="E43" s="21"/>
      <c r="F43" s="21"/>
      <c r="G43" s="21"/>
      <c r="H43" s="21"/>
      <c r="I43" s="21"/>
      <c r="J43" s="21"/>
      <c r="K43" s="21"/>
      <c r="L43" s="95"/>
      <c r="M43" s="278"/>
      <c r="N43" s="96"/>
      <c r="O43" s="96"/>
      <c r="P43" s="97"/>
      <c r="Q43" s="89"/>
      <c r="R43" s="279"/>
      <c r="S43" s="279"/>
      <c r="T43" s="89"/>
      <c r="U43" s="279"/>
      <c r="V43" s="279"/>
      <c r="W43" s="89"/>
      <c r="X43" s="89"/>
      <c r="Y43" s="89"/>
      <c r="Z43" s="89"/>
      <c r="AA43" s="89"/>
      <c r="AB43" s="89"/>
      <c r="AC43" s="89"/>
      <c r="AD43" s="89"/>
      <c r="AE43" s="89"/>
      <c r="AF43" s="89"/>
      <c r="AG43" s="95"/>
      <c r="AH43" s="96"/>
      <c r="AI43" s="97"/>
      <c r="AJ43" s="89"/>
      <c r="AK43" s="97"/>
      <c r="AL43" s="89"/>
      <c r="AM43" s="89"/>
      <c r="AN43" s="89"/>
      <c r="AO43" s="89"/>
      <c r="AP43" s="89"/>
      <c r="AQ43" s="89"/>
      <c r="AR43" s="89"/>
      <c r="AS43" s="89"/>
      <c r="AT43" s="89"/>
      <c r="AU43" s="89"/>
      <c r="AV43" s="89"/>
      <c r="AW43" s="89"/>
      <c r="AX43" s="89"/>
      <c r="AY43" s="89"/>
      <c r="AZ43" s="89"/>
      <c r="BA43" s="89"/>
      <c r="BB43" s="95"/>
      <c r="BC43" s="96"/>
      <c r="BD43" s="97"/>
      <c r="BE43" s="89"/>
      <c r="BF43" s="97"/>
      <c r="BG43" s="89"/>
      <c r="BH43" s="89"/>
      <c r="BI43" s="89"/>
      <c r="BJ43" s="89"/>
      <c r="BK43" s="89"/>
      <c r="BL43" s="89"/>
      <c r="BM43" s="89"/>
      <c r="BN43" s="89"/>
      <c r="BO43" s="89"/>
      <c r="BP43" s="89"/>
      <c r="BQ43" s="89"/>
      <c r="BR43" s="89"/>
      <c r="BS43" s="89"/>
      <c r="BT43" s="89"/>
      <c r="BU43" s="89"/>
      <c r="BV43" s="89"/>
      <c r="BW43" s="95"/>
      <c r="BX43" s="96"/>
      <c r="BY43" s="97"/>
      <c r="BZ43" s="89"/>
      <c r="CA43" s="97"/>
      <c r="CB43" s="89"/>
      <c r="CC43" s="89"/>
      <c r="CD43" s="89"/>
      <c r="CE43" s="89"/>
      <c r="CF43" s="89"/>
      <c r="CG43" s="89"/>
      <c r="CH43" s="89"/>
      <c r="CI43" s="89"/>
      <c r="CJ43" s="89"/>
      <c r="CK43" s="89"/>
      <c r="CL43" s="89"/>
      <c r="CM43" s="89"/>
      <c r="CN43" s="89"/>
      <c r="CO43" s="89"/>
      <c r="CP43" s="89"/>
      <c r="CQ43" s="89"/>
      <c r="CR43" s="95"/>
      <c r="CS43" s="96"/>
      <c r="CT43" s="97"/>
      <c r="CU43" s="89"/>
      <c r="CV43" s="97"/>
      <c r="CW43" s="89"/>
      <c r="CX43" s="89"/>
      <c r="CY43" s="89"/>
      <c r="CZ43" s="89"/>
      <c r="DA43" s="89"/>
      <c r="DB43" s="89"/>
      <c r="DC43" s="89"/>
      <c r="DD43" s="89"/>
      <c r="DE43" s="89"/>
      <c r="DF43" s="89"/>
      <c r="DG43" s="89"/>
      <c r="DH43" s="89"/>
      <c r="DI43" s="89"/>
      <c r="DJ43" s="89"/>
      <c r="DK43" s="89"/>
      <c r="DL43" s="89"/>
      <c r="DO43" s="214"/>
      <c r="DP43" s="162"/>
      <c r="DQ43" s="162"/>
      <c r="DR43" s="162"/>
      <c r="DS43" s="162"/>
      <c r="DT43" s="162"/>
      <c r="EE43" s="258"/>
      <c r="EF43" s="258"/>
      <c r="EG43" s="258"/>
      <c r="EH43" s="258"/>
      <c r="EI43" s="258"/>
      <c r="EJ43" s="56"/>
      <c r="EK43" s="56"/>
      <c r="EL43" s="56"/>
      <c r="EM43" s="56"/>
      <c r="EN43" s="56"/>
      <c r="ET43" s="258"/>
      <c r="EX43" s="10"/>
      <c r="EZ43" s="119"/>
      <c r="FJ43" s="284"/>
      <c r="FK43" s="284"/>
      <c r="FL43" s="284"/>
      <c r="FM43" s="283"/>
      <c r="FN43" s="283"/>
      <c r="FO43" s="162"/>
      <c r="FP43" s="162"/>
      <c r="FQ43" s="162"/>
      <c r="FR43" s="162"/>
      <c r="FS43" s="162"/>
      <c r="FU43" s="258"/>
      <c r="FV43" s="388"/>
      <c r="FW43" s="389"/>
    </row>
    <row r="44" spans="1:179" x14ac:dyDescent="0.2">
      <c r="A44" s="173"/>
      <c r="C44" s="21"/>
      <c r="D44" s="21"/>
      <c r="E44" s="21"/>
      <c r="F44" s="21"/>
      <c r="G44" s="21"/>
      <c r="H44" s="21"/>
      <c r="I44" s="21"/>
      <c r="J44" s="21"/>
      <c r="K44" s="21"/>
      <c r="L44" s="95"/>
      <c r="M44" s="278"/>
      <c r="N44" s="96"/>
      <c r="O44" s="96"/>
      <c r="P44" s="97"/>
      <c r="Q44" s="89"/>
      <c r="R44" s="279"/>
      <c r="S44" s="279"/>
      <c r="T44" s="89"/>
      <c r="U44" s="279"/>
      <c r="V44" s="279"/>
      <c r="W44" s="89"/>
      <c r="X44" s="89"/>
      <c r="Y44" s="89"/>
      <c r="Z44" s="89"/>
      <c r="AA44" s="89"/>
      <c r="AB44" s="89"/>
      <c r="AC44" s="89"/>
      <c r="AD44" s="89"/>
      <c r="AE44" s="89"/>
      <c r="AF44" s="89"/>
      <c r="AG44" s="95"/>
      <c r="AH44" s="96"/>
      <c r="AI44" s="97"/>
      <c r="AJ44" s="89"/>
      <c r="AK44" s="97"/>
      <c r="AL44" s="89"/>
      <c r="AM44" s="89"/>
      <c r="AN44" s="89"/>
      <c r="AO44" s="89"/>
      <c r="AP44" s="89"/>
      <c r="AQ44" s="89"/>
      <c r="AR44" s="89"/>
      <c r="AS44" s="89"/>
      <c r="AT44" s="89"/>
      <c r="AU44" s="89"/>
      <c r="AV44" s="89"/>
      <c r="AW44" s="89"/>
      <c r="AX44" s="89"/>
      <c r="AY44" s="89"/>
      <c r="AZ44" s="89"/>
      <c r="BA44" s="89"/>
      <c r="BB44" s="95"/>
      <c r="BC44" s="96"/>
      <c r="BD44" s="97"/>
      <c r="BE44" s="89"/>
      <c r="BF44" s="97"/>
      <c r="BG44" s="89"/>
      <c r="BH44" s="89"/>
      <c r="BI44" s="89"/>
      <c r="BJ44" s="89"/>
      <c r="BK44" s="89"/>
      <c r="BL44" s="89"/>
      <c r="BM44" s="89"/>
      <c r="BN44" s="89"/>
      <c r="BO44" s="89"/>
      <c r="BP44" s="89"/>
      <c r="BQ44" s="89"/>
      <c r="BR44" s="89"/>
      <c r="BS44" s="89"/>
      <c r="BT44" s="89"/>
      <c r="BU44" s="89"/>
      <c r="BV44" s="89"/>
      <c r="BW44" s="95"/>
      <c r="BX44" s="96"/>
      <c r="BY44" s="97"/>
      <c r="BZ44" s="89"/>
      <c r="CA44" s="97"/>
      <c r="CB44" s="89"/>
      <c r="CC44" s="89"/>
      <c r="CD44" s="89"/>
      <c r="CE44" s="89"/>
      <c r="CF44" s="89"/>
      <c r="CG44" s="89"/>
      <c r="CH44" s="89"/>
      <c r="CI44" s="89"/>
      <c r="CJ44" s="89"/>
      <c r="CK44" s="89"/>
      <c r="CL44" s="89"/>
      <c r="CM44" s="89"/>
      <c r="CN44" s="89"/>
      <c r="CO44" s="89"/>
      <c r="CP44" s="89"/>
      <c r="CQ44" s="89"/>
      <c r="CR44" s="95"/>
      <c r="CS44" s="96"/>
      <c r="CT44" s="97"/>
      <c r="CU44" s="89"/>
      <c r="CV44" s="97"/>
      <c r="CW44" s="89"/>
      <c r="CX44" s="89"/>
      <c r="CY44" s="89"/>
      <c r="CZ44" s="89"/>
      <c r="DA44" s="89"/>
      <c r="DB44" s="89"/>
      <c r="DC44" s="89"/>
      <c r="DD44" s="89"/>
      <c r="DE44" s="89"/>
      <c r="DF44" s="89"/>
      <c r="DG44" s="89"/>
      <c r="DH44" s="89"/>
      <c r="DI44" s="89"/>
      <c r="DJ44" s="89"/>
      <c r="DK44" s="89"/>
      <c r="DL44" s="89"/>
      <c r="DO44" s="214"/>
      <c r="DP44" s="162"/>
      <c r="DQ44" s="162"/>
      <c r="DR44" s="162"/>
      <c r="DS44" s="162"/>
      <c r="DT44" s="162"/>
      <c r="EE44" s="258"/>
      <c r="EF44" s="258"/>
      <c r="EG44" s="258"/>
      <c r="EH44" s="258"/>
      <c r="EI44" s="258"/>
      <c r="EJ44" s="56"/>
      <c r="EK44" s="56"/>
      <c r="EL44" s="56"/>
      <c r="EM44" s="56"/>
      <c r="EN44" s="56"/>
      <c r="ET44" s="258"/>
      <c r="EX44" s="10"/>
      <c r="EZ44" s="119"/>
      <c r="FJ44" s="284"/>
      <c r="FK44" s="284"/>
      <c r="FL44" s="284"/>
      <c r="FM44" s="283"/>
      <c r="FN44" s="283"/>
      <c r="FO44" s="162"/>
      <c r="FP44" s="162"/>
      <c r="FQ44" s="162"/>
      <c r="FR44" s="162"/>
      <c r="FS44" s="162"/>
      <c r="FU44" s="258"/>
      <c r="FV44" s="388"/>
      <c r="FW44" s="389"/>
    </row>
    <row r="45" spans="1:179" x14ac:dyDescent="0.2">
      <c r="A45" s="173"/>
      <c r="C45" s="21"/>
      <c r="D45" s="21"/>
      <c r="E45" s="21"/>
      <c r="F45" s="21"/>
      <c r="G45" s="21"/>
      <c r="H45" s="21"/>
      <c r="I45" s="21"/>
      <c r="J45" s="21"/>
      <c r="K45" s="21"/>
      <c r="L45" s="95"/>
      <c r="M45" s="278"/>
      <c r="N45" s="96"/>
      <c r="O45" s="96"/>
      <c r="P45" s="97"/>
      <c r="Q45" s="89"/>
      <c r="R45" s="279"/>
      <c r="S45" s="279"/>
      <c r="T45" s="89"/>
      <c r="U45" s="279"/>
      <c r="V45" s="279"/>
      <c r="W45" s="89"/>
      <c r="X45" s="89"/>
      <c r="Y45" s="89"/>
      <c r="Z45" s="89"/>
      <c r="AA45" s="89"/>
      <c r="AB45" s="89"/>
      <c r="AC45" s="89"/>
      <c r="AD45" s="89"/>
      <c r="AE45" s="89"/>
      <c r="AF45" s="89"/>
      <c r="AG45" s="95"/>
      <c r="AH45" s="96"/>
      <c r="AI45" s="97"/>
      <c r="AJ45" s="89"/>
      <c r="AK45" s="97"/>
      <c r="AL45" s="89"/>
      <c r="AM45" s="89"/>
      <c r="AN45" s="89"/>
      <c r="AO45" s="89"/>
      <c r="AP45" s="89"/>
      <c r="AQ45" s="89"/>
      <c r="AR45" s="89"/>
      <c r="AS45" s="89"/>
      <c r="AT45" s="89"/>
      <c r="AU45" s="89"/>
      <c r="AV45" s="89"/>
      <c r="AW45" s="89"/>
      <c r="AX45" s="89"/>
      <c r="AY45" s="89"/>
      <c r="AZ45" s="89"/>
      <c r="BA45" s="89"/>
      <c r="BB45" s="95"/>
      <c r="BC45" s="96"/>
      <c r="BD45" s="97"/>
      <c r="BE45" s="89"/>
      <c r="BF45" s="97"/>
      <c r="BG45" s="89"/>
      <c r="BH45" s="89"/>
      <c r="BI45" s="89"/>
      <c r="BJ45" s="89"/>
      <c r="BK45" s="89"/>
      <c r="BL45" s="89"/>
      <c r="BM45" s="89"/>
      <c r="BN45" s="89"/>
      <c r="BO45" s="89"/>
      <c r="BP45" s="89"/>
      <c r="BQ45" s="89"/>
      <c r="BR45" s="89"/>
      <c r="BS45" s="89"/>
      <c r="BT45" s="89"/>
      <c r="BU45" s="89"/>
      <c r="BV45" s="89"/>
      <c r="BW45" s="95"/>
      <c r="BX45" s="96"/>
      <c r="BY45" s="97"/>
      <c r="BZ45" s="89"/>
      <c r="CA45" s="97"/>
      <c r="CB45" s="89"/>
      <c r="CC45" s="89"/>
      <c r="CD45" s="89"/>
      <c r="CE45" s="89"/>
      <c r="CF45" s="89"/>
      <c r="CG45" s="89"/>
      <c r="CH45" s="89"/>
      <c r="CI45" s="89"/>
      <c r="CJ45" s="89"/>
      <c r="CK45" s="89"/>
      <c r="CL45" s="89"/>
      <c r="CM45" s="89"/>
      <c r="CN45" s="89"/>
      <c r="CO45" s="89"/>
      <c r="CP45" s="89"/>
      <c r="CQ45" s="89"/>
      <c r="CR45" s="95"/>
      <c r="CS45" s="96"/>
      <c r="CT45" s="97"/>
      <c r="CU45" s="89"/>
      <c r="CV45" s="97"/>
      <c r="CW45" s="89"/>
      <c r="CX45" s="89"/>
      <c r="CY45" s="89"/>
      <c r="CZ45" s="89"/>
      <c r="DA45" s="89"/>
      <c r="DB45" s="89"/>
      <c r="DC45" s="89"/>
      <c r="DD45" s="89"/>
      <c r="DE45" s="89"/>
      <c r="DF45" s="89"/>
      <c r="DG45" s="89"/>
      <c r="DH45" s="89"/>
      <c r="DI45" s="89"/>
      <c r="DJ45" s="89"/>
      <c r="DK45" s="89"/>
      <c r="DL45" s="89"/>
      <c r="DO45" s="214"/>
      <c r="DP45" s="162"/>
      <c r="DQ45" s="162"/>
      <c r="DR45" s="162"/>
      <c r="DS45" s="162"/>
      <c r="DT45" s="162"/>
      <c r="EE45" s="258"/>
      <c r="EF45" s="258"/>
      <c r="EG45" s="258"/>
      <c r="EH45" s="258"/>
      <c r="EI45" s="258"/>
      <c r="EJ45" s="56"/>
      <c r="EK45" s="56"/>
      <c r="EL45" s="56"/>
      <c r="EM45" s="56"/>
      <c r="EN45" s="56"/>
      <c r="ET45" s="258"/>
      <c r="EX45" s="10"/>
      <c r="EZ45" s="119"/>
      <c r="FJ45" s="284"/>
      <c r="FK45" s="284"/>
      <c r="FL45" s="284"/>
      <c r="FM45" s="283"/>
      <c r="FN45" s="283"/>
      <c r="FO45" s="162"/>
      <c r="FP45" s="162"/>
      <c r="FQ45" s="162"/>
      <c r="FR45" s="162"/>
      <c r="FS45" s="162"/>
      <c r="FU45" s="258"/>
      <c r="FV45" s="388"/>
      <c r="FW45" s="389"/>
    </row>
    <row r="46" spans="1:179" x14ac:dyDescent="0.2">
      <c r="A46" s="173"/>
      <c r="C46" s="21"/>
      <c r="D46" s="21"/>
      <c r="E46" s="21"/>
      <c r="F46" s="21"/>
      <c r="G46" s="21"/>
      <c r="H46" s="21"/>
      <c r="I46" s="21"/>
      <c r="J46" s="21"/>
      <c r="K46" s="21"/>
      <c r="L46" s="95"/>
      <c r="M46" s="278"/>
      <c r="N46" s="96"/>
      <c r="O46" s="96"/>
      <c r="P46" s="97"/>
      <c r="Q46" s="89"/>
      <c r="R46" s="279"/>
      <c r="S46" s="279"/>
      <c r="T46" s="89"/>
      <c r="U46" s="279"/>
      <c r="V46" s="279"/>
      <c r="W46" s="89"/>
      <c r="X46" s="89"/>
      <c r="Y46" s="89"/>
      <c r="Z46" s="89"/>
      <c r="AA46" s="89"/>
      <c r="AB46" s="89"/>
      <c r="AC46" s="89"/>
      <c r="AD46" s="89"/>
      <c r="AE46" s="89"/>
      <c r="AF46" s="89"/>
      <c r="AG46" s="95"/>
      <c r="AH46" s="96"/>
      <c r="AI46" s="97"/>
      <c r="AJ46" s="89"/>
      <c r="AK46" s="97"/>
      <c r="AL46" s="89"/>
      <c r="AM46" s="89"/>
      <c r="AN46" s="89"/>
      <c r="AO46" s="89"/>
      <c r="AP46" s="89"/>
      <c r="AQ46" s="89"/>
      <c r="AR46" s="89"/>
      <c r="AS46" s="89"/>
      <c r="AT46" s="89"/>
      <c r="AU46" s="89"/>
      <c r="AV46" s="89"/>
      <c r="AW46" s="89"/>
      <c r="AX46" s="89"/>
      <c r="AY46" s="89"/>
      <c r="AZ46" s="89"/>
      <c r="BA46" s="89"/>
      <c r="BB46" s="95"/>
      <c r="BC46" s="96"/>
      <c r="BD46" s="97"/>
      <c r="BE46" s="89"/>
      <c r="BF46" s="97"/>
      <c r="BG46" s="89"/>
      <c r="BH46" s="89"/>
      <c r="BI46" s="89"/>
      <c r="BJ46" s="89"/>
      <c r="BK46" s="89"/>
      <c r="BL46" s="89"/>
      <c r="BM46" s="89"/>
      <c r="BN46" s="89"/>
      <c r="BO46" s="89"/>
      <c r="BP46" s="89"/>
      <c r="BQ46" s="89"/>
      <c r="BR46" s="89"/>
      <c r="BS46" s="89"/>
      <c r="BT46" s="89"/>
      <c r="BU46" s="89"/>
      <c r="BV46" s="89"/>
      <c r="BW46" s="95"/>
      <c r="BX46" s="96"/>
      <c r="BY46" s="97"/>
      <c r="BZ46" s="89"/>
      <c r="CA46" s="97"/>
      <c r="CB46" s="89"/>
      <c r="CC46" s="89"/>
      <c r="CD46" s="89"/>
      <c r="CE46" s="89"/>
      <c r="CF46" s="89"/>
      <c r="CG46" s="89"/>
      <c r="CH46" s="89"/>
      <c r="CI46" s="89"/>
      <c r="CJ46" s="89"/>
      <c r="CK46" s="89"/>
      <c r="CL46" s="89"/>
      <c r="CM46" s="89"/>
      <c r="CN46" s="89"/>
      <c r="CO46" s="89"/>
      <c r="CP46" s="89"/>
      <c r="CQ46" s="89"/>
      <c r="CR46" s="95"/>
      <c r="CS46" s="96"/>
      <c r="CT46" s="97"/>
      <c r="CU46" s="89"/>
      <c r="CV46" s="97"/>
      <c r="CW46" s="89"/>
      <c r="CX46" s="89"/>
      <c r="CY46" s="89"/>
      <c r="CZ46" s="89"/>
      <c r="DA46" s="89"/>
      <c r="DB46" s="89"/>
      <c r="DC46" s="89"/>
      <c r="DD46" s="89"/>
      <c r="DE46" s="89"/>
      <c r="DF46" s="89"/>
      <c r="DG46" s="89"/>
      <c r="DH46" s="89"/>
      <c r="DI46" s="89"/>
      <c r="DJ46" s="89"/>
      <c r="DK46" s="89"/>
      <c r="DL46" s="89"/>
      <c r="DO46" s="214"/>
      <c r="DP46" s="162"/>
      <c r="DQ46" s="162"/>
      <c r="DR46" s="162"/>
      <c r="DS46" s="162"/>
      <c r="DT46" s="162"/>
      <c r="EE46" s="258"/>
      <c r="EF46" s="258"/>
      <c r="EG46" s="258"/>
      <c r="EH46" s="258"/>
      <c r="EI46" s="258"/>
      <c r="EJ46" s="56"/>
      <c r="EK46" s="56"/>
      <c r="EL46" s="56"/>
      <c r="EM46" s="56"/>
      <c r="EN46" s="56"/>
      <c r="ET46" s="258"/>
      <c r="EX46" s="10"/>
      <c r="EZ46" s="119"/>
      <c r="FJ46" s="284"/>
      <c r="FK46" s="284"/>
      <c r="FL46" s="284"/>
      <c r="FM46" s="283"/>
      <c r="FN46" s="283"/>
      <c r="FO46" s="162"/>
      <c r="FP46" s="162"/>
      <c r="FQ46" s="162"/>
      <c r="FR46" s="162"/>
      <c r="FS46" s="162"/>
      <c r="FU46" s="258"/>
      <c r="FV46" s="388"/>
      <c r="FW46" s="389"/>
    </row>
    <row r="47" spans="1:179" x14ac:dyDescent="0.2">
      <c r="A47" s="173"/>
      <c r="C47" s="21"/>
      <c r="D47" s="21"/>
      <c r="E47" s="21"/>
      <c r="F47" s="21"/>
      <c r="G47" s="21"/>
      <c r="H47" s="21"/>
      <c r="I47" s="21"/>
      <c r="J47" s="21"/>
      <c r="K47" s="21"/>
      <c r="L47" s="95"/>
      <c r="M47" s="278"/>
      <c r="N47" s="96"/>
      <c r="O47" s="96"/>
      <c r="P47" s="97"/>
      <c r="Q47" s="89"/>
      <c r="R47" s="279"/>
      <c r="S47" s="279"/>
      <c r="T47" s="89"/>
      <c r="U47" s="279"/>
      <c r="V47" s="279"/>
      <c r="W47" s="89"/>
      <c r="X47" s="89"/>
      <c r="Y47" s="89"/>
      <c r="Z47" s="89"/>
      <c r="AA47" s="89"/>
      <c r="AB47" s="89"/>
      <c r="AC47" s="89"/>
      <c r="AD47" s="89"/>
      <c r="AE47" s="89"/>
      <c r="AF47" s="89"/>
      <c r="AG47" s="95"/>
      <c r="AH47" s="96"/>
      <c r="AI47" s="97"/>
      <c r="AJ47" s="89"/>
      <c r="AK47" s="97"/>
      <c r="AL47" s="89"/>
      <c r="AM47" s="89"/>
      <c r="AN47" s="89"/>
      <c r="AO47" s="89"/>
      <c r="AP47" s="89"/>
      <c r="AQ47" s="89"/>
      <c r="AR47" s="89"/>
      <c r="AS47" s="89"/>
      <c r="AT47" s="89"/>
      <c r="AU47" s="89"/>
      <c r="AV47" s="89"/>
      <c r="AW47" s="89"/>
      <c r="AX47" s="89"/>
      <c r="AY47" s="89"/>
      <c r="AZ47" s="89"/>
      <c r="BA47" s="89"/>
      <c r="BB47" s="95"/>
      <c r="BC47" s="96"/>
      <c r="BD47" s="97"/>
      <c r="BE47" s="89"/>
      <c r="BF47" s="97"/>
      <c r="BG47" s="89"/>
      <c r="BH47" s="89"/>
      <c r="BI47" s="89"/>
      <c r="BJ47" s="89"/>
      <c r="BK47" s="89"/>
      <c r="BL47" s="89"/>
      <c r="BM47" s="89"/>
      <c r="BN47" s="89"/>
      <c r="BO47" s="89"/>
      <c r="BP47" s="89"/>
      <c r="BQ47" s="89"/>
      <c r="BR47" s="89"/>
      <c r="BS47" s="89"/>
      <c r="BT47" s="89"/>
      <c r="BU47" s="89"/>
      <c r="BV47" s="89"/>
      <c r="BW47" s="95"/>
      <c r="BX47" s="96"/>
      <c r="BY47" s="97"/>
      <c r="BZ47" s="89"/>
      <c r="CA47" s="97"/>
      <c r="CB47" s="89"/>
      <c r="CC47" s="89"/>
      <c r="CD47" s="89"/>
      <c r="CE47" s="89"/>
      <c r="CF47" s="89"/>
      <c r="CG47" s="89"/>
      <c r="CH47" s="89"/>
      <c r="CI47" s="89"/>
      <c r="CJ47" s="89"/>
      <c r="CK47" s="89"/>
      <c r="CL47" s="89"/>
      <c r="CM47" s="89"/>
      <c r="CN47" s="89"/>
      <c r="CO47" s="89"/>
      <c r="CP47" s="89"/>
      <c r="CQ47" s="89"/>
      <c r="CR47" s="95"/>
      <c r="CS47" s="96"/>
      <c r="CT47" s="97"/>
      <c r="CU47" s="89"/>
      <c r="CV47" s="97"/>
      <c r="CW47" s="89"/>
      <c r="CX47" s="89"/>
      <c r="CY47" s="89"/>
      <c r="CZ47" s="89"/>
      <c r="DA47" s="89"/>
      <c r="DB47" s="89"/>
      <c r="DC47" s="89"/>
      <c r="DD47" s="89"/>
      <c r="DE47" s="89"/>
      <c r="DF47" s="89"/>
      <c r="DG47" s="89"/>
      <c r="DH47" s="89"/>
      <c r="DI47" s="89"/>
      <c r="DJ47" s="89"/>
      <c r="DK47" s="89"/>
      <c r="DL47" s="89"/>
      <c r="DO47" s="214"/>
      <c r="DP47" s="162"/>
      <c r="DQ47" s="162"/>
      <c r="DR47" s="162"/>
      <c r="DS47" s="162"/>
      <c r="DT47" s="162"/>
      <c r="EE47" s="258"/>
      <c r="EF47" s="258"/>
      <c r="EG47" s="258"/>
      <c r="EH47" s="258"/>
      <c r="EI47" s="258"/>
      <c r="EJ47" s="56"/>
      <c r="EK47" s="56"/>
      <c r="EL47" s="56"/>
      <c r="EM47" s="56"/>
      <c r="EN47" s="56"/>
      <c r="ET47" s="258"/>
      <c r="EX47" s="10"/>
      <c r="EZ47" s="119"/>
      <c r="FJ47" s="284"/>
      <c r="FK47" s="284"/>
      <c r="FL47" s="284"/>
      <c r="FM47" s="283"/>
      <c r="FN47" s="283"/>
      <c r="FO47" s="162"/>
      <c r="FP47" s="162"/>
      <c r="FQ47" s="162"/>
      <c r="FR47" s="162"/>
      <c r="FS47" s="162"/>
      <c r="FU47" s="258"/>
      <c r="FV47" s="388"/>
      <c r="FW47" s="389"/>
    </row>
    <row r="48" spans="1:179" x14ac:dyDescent="0.2">
      <c r="A48" s="173"/>
      <c r="C48" s="21"/>
      <c r="D48" s="21"/>
      <c r="E48" s="21"/>
      <c r="F48" s="21"/>
      <c r="G48" s="21"/>
      <c r="H48" s="21"/>
      <c r="I48" s="21"/>
      <c r="J48" s="21"/>
      <c r="K48" s="21"/>
      <c r="L48" s="95"/>
      <c r="M48" s="278"/>
      <c r="N48" s="96"/>
      <c r="O48" s="96"/>
      <c r="P48" s="97"/>
      <c r="Q48" s="89"/>
      <c r="R48" s="279"/>
      <c r="S48" s="279"/>
      <c r="T48" s="89"/>
      <c r="U48" s="279"/>
      <c r="V48" s="279"/>
      <c r="W48" s="89"/>
      <c r="X48" s="89"/>
      <c r="Y48" s="89"/>
      <c r="Z48" s="89"/>
      <c r="AA48" s="89"/>
      <c r="AB48" s="89"/>
      <c r="AC48" s="89"/>
      <c r="AD48" s="89"/>
      <c r="AE48" s="89"/>
      <c r="AF48" s="89"/>
      <c r="AG48" s="95"/>
      <c r="AH48" s="96"/>
      <c r="AI48" s="97"/>
      <c r="AJ48" s="89"/>
      <c r="AK48" s="97"/>
      <c r="AL48" s="89"/>
      <c r="AM48" s="89"/>
      <c r="AN48" s="89"/>
      <c r="AO48" s="89"/>
      <c r="AP48" s="89"/>
      <c r="AQ48" s="89"/>
      <c r="AR48" s="89"/>
      <c r="AS48" s="89"/>
      <c r="AT48" s="89"/>
      <c r="AU48" s="89"/>
      <c r="AV48" s="89"/>
      <c r="AW48" s="89"/>
      <c r="AX48" s="89"/>
      <c r="AY48" s="89"/>
      <c r="AZ48" s="89"/>
      <c r="BA48" s="89"/>
      <c r="BB48" s="95"/>
      <c r="BC48" s="96"/>
      <c r="BD48" s="97"/>
      <c r="BE48" s="89"/>
      <c r="BF48" s="97"/>
      <c r="BG48" s="89"/>
      <c r="BH48" s="89"/>
      <c r="BI48" s="89"/>
      <c r="BJ48" s="89"/>
      <c r="BK48" s="89"/>
      <c r="BL48" s="89"/>
      <c r="BM48" s="89"/>
      <c r="BN48" s="89"/>
      <c r="BO48" s="89"/>
      <c r="BP48" s="89"/>
      <c r="BQ48" s="89"/>
      <c r="BR48" s="89"/>
      <c r="BS48" s="89"/>
      <c r="BT48" s="89"/>
      <c r="BU48" s="89"/>
      <c r="BV48" s="89"/>
      <c r="BW48" s="95"/>
      <c r="BX48" s="96"/>
      <c r="BY48" s="97"/>
      <c r="BZ48" s="89"/>
      <c r="CA48" s="97"/>
      <c r="CB48" s="89"/>
      <c r="CC48" s="89"/>
      <c r="CD48" s="89"/>
      <c r="CE48" s="89"/>
      <c r="CF48" s="89"/>
      <c r="CG48" s="89"/>
      <c r="CH48" s="89"/>
      <c r="CI48" s="89"/>
      <c r="CJ48" s="89"/>
      <c r="CK48" s="89"/>
      <c r="CL48" s="89"/>
      <c r="CM48" s="89"/>
      <c r="CN48" s="89"/>
      <c r="CO48" s="89"/>
      <c r="CP48" s="89"/>
      <c r="CQ48" s="89"/>
      <c r="CR48" s="95"/>
      <c r="CS48" s="96"/>
      <c r="CT48" s="97"/>
      <c r="CU48" s="89"/>
      <c r="CV48" s="97"/>
      <c r="CW48" s="89"/>
      <c r="CX48" s="89"/>
      <c r="CY48" s="89"/>
      <c r="CZ48" s="89"/>
      <c r="DA48" s="89"/>
      <c r="DB48" s="89"/>
      <c r="DC48" s="89"/>
      <c r="DD48" s="89"/>
      <c r="DE48" s="89"/>
      <c r="DF48" s="89"/>
      <c r="DG48" s="89"/>
      <c r="DH48" s="89"/>
      <c r="DI48" s="89"/>
      <c r="DJ48" s="89"/>
      <c r="DK48" s="89"/>
      <c r="DL48" s="89"/>
      <c r="DO48" s="214"/>
      <c r="DP48" s="162"/>
      <c r="DQ48" s="162"/>
      <c r="DR48" s="162"/>
      <c r="DS48" s="162"/>
      <c r="DT48" s="162"/>
      <c r="EE48" s="258"/>
      <c r="EF48" s="258"/>
      <c r="EG48" s="258"/>
      <c r="EH48" s="258"/>
      <c r="EI48" s="258"/>
      <c r="EJ48" s="56"/>
      <c r="EK48" s="56"/>
      <c r="EL48" s="56"/>
      <c r="EM48" s="56"/>
      <c r="EN48" s="56"/>
      <c r="ET48" s="258"/>
      <c r="EX48" s="10"/>
      <c r="EZ48" s="119"/>
      <c r="FJ48" s="284"/>
      <c r="FK48" s="284"/>
      <c r="FL48" s="284"/>
      <c r="FM48" s="283"/>
      <c r="FN48" s="283"/>
      <c r="FO48" s="162"/>
      <c r="FP48" s="162"/>
      <c r="FQ48" s="162"/>
      <c r="FR48" s="162"/>
      <c r="FS48" s="162"/>
      <c r="FU48" s="258"/>
      <c r="FV48" s="388"/>
      <c r="FW48" s="389"/>
    </row>
    <row r="49" spans="1:179" x14ac:dyDescent="0.2">
      <c r="A49" s="173"/>
      <c r="C49" s="21"/>
      <c r="D49" s="21"/>
      <c r="E49" s="21"/>
      <c r="F49" s="21"/>
      <c r="G49" s="21"/>
      <c r="H49" s="21"/>
      <c r="I49" s="21"/>
      <c r="J49" s="21"/>
      <c r="K49" s="21"/>
      <c r="L49" s="95"/>
      <c r="M49" s="278"/>
      <c r="N49" s="96"/>
      <c r="O49" s="96"/>
      <c r="P49" s="97"/>
      <c r="Q49" s="89"/>
      <c r="R49" s="279"/>
      <c r="S49" s="279"/>
      <c r="T49" s="89"/>
      <c r="U49" s="279"/>
      <c r="V49" s="279"/>
      <c r="W49" s="89"/>
      <c r="X49" s="89"/>
      <c r="Y49" s="89"/>
      <c r="Z49" s="89"/>
      <c r="AA49" s="89"/>
      <c r="AB49" s="89"/>
      <c r="AC49" s="89"/>
      <c r="AD49" s="89"/>
      <c r="AE49" s="89"/>
      <c r="AF49" s="89"/>
      <c r="AG49" s="95"/>
      <c r="AH49" s="96"/>
      <c r="AI49" s="97"/>
      <c r="AJ49" s="89"/>
      <c r="AK49" s="97"/>
      <c r="AL49" s="89"/>
      <c r="AM49" s="89"/>
      <c r="AN49" s="89"/>
      <c r="AO49" s="89"/>
      <c r="AP49" s="89"/>
      <c r="AQ49" s="89"/>
      <c r="AR49" s="89"/>
      <c r="AS49" s="89"/>
      <c r="AT49" s="89"/>
      <c r="AU49" s="89"/>
      <c r="AV49" s="89"/>
      <c r="AW49" s="89"/>
      <c r="AX49" s="89"/>
      <c r="AY49" s="89"/>
      <c r="AZ49" s="89"/>
      <c r="BA49" s="89"/>
      <c r="BB49" s="95"/>
      <c r="BC49" s="96"/>
      <c r="BD49" s="97"/>
      <c r="BE49" s="89"/>
      <c r="BF49" s="97"/>
      <c r="BG49" s="89"/>
      <c r="BH49" s="89"/>
      <c r="BI49" s="89"/>
      <c r="BJ49" s="89"/>
      <c r="BK49" s="89"/>
      <c r="BL49" s="89"/>
      <c r="BM49" s="89"/>
      <c r="BN49" s="89"/>
      <c r="BO49" s="89"/>
      <c r="BP49" s="89"/>
      <c r="BQ49" s="89"/>
      <c r="BR49" s="89"/>
      <c r="BS49" s="89"/>
      <c r="BT49" s="89"/>
      <c r="BU49" s="89"/>
      <c r="BV49" s="89"/>
      <c r="BW49" s="95"/>
      <c r="BX49" s="96"/>
      <c r="BY49" s="97"/>
      <c r="BZ49" s="89"/>
      <c r="CA49" s="97"/>
      <c r="CB49" s="89"/>
      <c r="CC49" s="89"/>
      <c r="CD49" s="89"/>
      <c r="CE49" s="89"/>
      <c r="CF49" s="89"/>
      <c r="CG49" s="89"/>
      <c r="CH49" s="89"/>
      <c r="CI49" s="89"/>
      <c r="CJ49" s="89"/>
      <c r="CK49" s="89"/>
      <c r="CL49" s="89"/>
      <c r="CM49" s="89"/>
      <c r="CN49" s="89"/>
      <c r="CO49" s="89"/>
      <c r="CP49" s="89"/>
      <c r="CQ49" s="89"/>
      <c r="CR49" s="95"/>
      <c r="CS49" s="96"/>
      <c r="CT49" s="97"/>
      <c r="CU49" s="89"/>
      <c r="CV49" s="97"/>
      <c r="CW49" s="89"/>
      <c r="CX49" s="89"/>
      <c r="CY49" s="89"/>
      <c r="CZ49" s="89"/>
      <c r="DA49" s="89"/>
      <c r="DB49" s="89"/>
      <c r="DC49" s="89"/>
      <c r="DD49" s="89"/>
      <c r="DE49" s="89"/>
      <c r="DF49" s="89"/>
      <c r="DG49" s="89"/>
      <c r="DH49" s="89"/>
      <c r="DI49" s="89"/>
      <c r="DJ49" s="89"/>
      <c r="DK49" s="89"/>
      <c r="DL49" s="89"/>
      <c r="DO49" s="214"/>
      <c r="DP49" s="162"/>
      <c r="DQ49" s="162"/>
      <c r="DR49" s="162"/>
      <c r="DS49" s="162"/>
      <c r="DT49" s="162"/>
      <c r="EE49" s="258"/>
      <c r="EF49" s="258"/>
      <c r="EG49" s="258"/>
      <c r="EH49" s="258"/>
      <c r="EI49" s="258"/>
      <c r="EJ49" s="56"/>
      <c r="EK49" s="56"/>
      <c r="EL49" s="56"/>
      <c r="EM49" s="56"/>
      <c r="EN49" s="56"/>
      <c r="ET49" s="258"/>
      <c r="EX49" s="10"/>
      <c r="EZ49" s="119"/>
      <c r="FJ49" s="284"/>
      <c r="FK49" s="284"/>
      <c r="FL49" s="284"/>
      <c r="FM49" s="283"/>
      <c r="FN49" s="283"/>
      <c r="FO49" s="162"/>
      <c r="FP49" s="162"/>
      <c r="FQ49" s="162"/>
      <c r="FR49" s="162"/>
      <c r="FS49" s="162"/>
      <c r="FU49" s="258"/>
      <c r="FV49" s="388"/>
      <c r="FW49" s="389"/>
    </row>
    <row r="50" spans="1:179" x14ac:dyDescent="0.2">
      <c r="A50" s="173"/>
      <c r="C50" s="21"/>
      <c r="D50" s="21"/>
      <c r="E50" s="21"/>
      <c r="F50" s="21"/>
      <c r="G50" s="21"/>
      <c r="H50" s="21"/>
      <c r="I50" s="21"/>
      <c r="J50" s="21"/>
      <c r="K50" s="21"/>
      <c r="L50" s="95"/>
      <c r="M50" s="278"/>
      <c r="N50" s="96"/>
      <c r="O50" s="96"/>
      <c r="P50" s="97"/>
      <c r="Q50" s="89"/>
      <c r="R50" s="279"/>
      <c r="S50" s="279"/>
      <c r="T50" s="89"/>
      <c r="U50" s="279"/>
      <c r="V50" s="279"/>
      <c r="W50" s="89"/>
      <c r="X50" s="89"/>
      <c r="Y50" s="89"/>
      <c r="Z50" s="89"/>
      <c r="AA50" s="89"/>
      <c r="AB50" s="89"/>
      <c r="AC50" s="89"/>
      <c r="AD50" s="89"/>
      <c r="AE50" s="89"/>
      <c r="AF50" s="89"/>
      <c r="AG50" s="95"/>
      <c r="AH50" s="96"/>
      <c r="AI50" s="97"/>
      <c r="AJ50" s="89"/>
      <c r="AK50" s="97"/>
      <c r="AL50" s="89"/>
      <c r="AM50" s="89"/>
      <c r="AN50" s="89"/>
      <c r="AO50" s="89"/>
      <c r="AP50" s="89"/>
      <c r="AQ50" s="89"/>
      <c r="AR50" s="89"/>
      <c r="AS50" s="89"/>
      <c r="AT50" s="89"/>
      <c r="AU50" s="89"/>
      <c r="AV50" s="89"/>
      <c r="AW50" s="89"/>
      <c r="AX50" s="89"/>
      <c r="AY50" s="89"/>
      <c r="AZ50" s="89"/>
      <c r="BA50" s="89"/>
      <c r="BB50" s="95"/>
      <c r="BC50" s="96"/>
      <c r="BD50" s="97"/>
      <c r="BE50" s="89"/>
      <c r="BF50" s="97"/>
      <c r="BG50" s="89"/>
      <c r="BH50" s="89"/>
      <c r="BI50" s="89"/>
      <c r="BJ50" s="89"/>
      <c r="BK50" s="89"/>
      <c r="BL50" s="89"/>
      <c r="BM50" s="89"/>
      <c r="BN50" s="89"/>
      <c r="BO50" s="89"/>
      <c r="BP50" s="89"/>
      <c r="BQ50" s="89"/>
      <c r="BR50" s="89"/>
      <c r="BS50" s="89"/>
      <c r="BT50" s="89"/>
      <c r="BU50" s="89"/>
      <c r="BV50" s="89"/>
      <c r="BW50" s="95"/>
      <c r="BX50" s="96"/>
      <c r="BY50" s="97"/>
      <c r="BZ50" s="89"/>
      <c r="CA50" s="97"/>
      <c r="CB50" s="89"/>
      <c r="CC50" s="89"/>
      <c r="CD50" s="89"/>
      <c r="CE50" s="89"/>
      <c r="CF50" s="89"/>
      <c r="CG50" s="89"/>
      <c r="CH50" s="89"/>
      <c r="CI50" s="89"/>
      <c r="CJ50" s="89"/>
      <c r="CK50" s="89"/>
      <c r="CL50" s="89"/>
      <c r="CM50" s="89"/>
      <c r="CN50" s="89"/>
      <c r="CO50" s="89"/>
      <c r="CP50" s="89"/>
      <c r="CQ50" s="89"/>
      <c r="CR50" s="95"/>
      <c r="CS50" s="96"/>
      <c r="CT50" s="97"/>
      <c r="CU50" s="89"/>
      <c r="CV50" s="97"/>
      <c r="CW50" s="89"/>
      <c r="CX50" s="89"/>
      <c r="CY50" s="89"/>
      <c r="CZ50" s="89"/>
      <c r="DA50" s="89"/>
      <c r="DB50" s="89"/>
      <c r="DC50" s="89"/>
      <c r="DD50" s="89"/>
      <c r="DE50" s="89"/>
      <c r="DF50" s="89"/>
      <c r="DG50" s="89"/>
      <c r="DH50" s="89"/>
      <c r="DI50" s="89"/>
      <c r="DJ50" s="89"/>
      <c r="DK50" s="89"/>
      <c r="DL50" s="89"/>
      <c r="DO50" s="214"/>
      <c r="DP50" s="162"/>
      <c r="DQ50" s="162"/>
      <c r="DR50" s="162"/>
      <c r="DS50" s="162"/>
      <c r="DT50" s="162"/>
      <c r="EE50" s="258"/>
      <c r="EF50" s="258"/>
      <c r="EG50" s="258"/>
      <c r="EH50" s="258"/>
      <c r="EI50" s="258"/>
      <c r="EJ50" s="56"/>
      <c r="EK50" s="56"/>
      <c r="EL50" s="56"/>
      <c r="EM50" s="56"/>
      <c r="EN50" s="56"/>
      <c r="ET50" s="258"/>
      <c r="EX50" s="10"/>
      <c r="EZ50" s="119"/>
      <c r="FJ50" s="284"/>
      <c r="FK50" s="284"/>
      <c r="FL50" s="284"/>
      <c r="FM50" s="283"/>
      <c r="FN50" s="283"/>
      <c r="FO50" s="162"/>
      <c r="FP50" s="162"/>
      <c r="FQ50" s="162"/>
      <c r="FR50" s="162"/>
      <c r="FS50" s="162"/>
      <c r="FU50" s="258"/>
      <c r="FV50" s="388"/>
      <c r="FW50" s="389"/>
    </row>
    <row r="51" spans="1:179" x14ac:dyDescent="0.2">
      <c r="A51" s="173"/>
      <c r="C51" s="21"/>
      <c r="D51" s="21"/>
      <c r="E51" s="21"/>
      <c r="F51" s="21"/>
      <c r="G51" s="21"/>
      <c r="H51" s="21"/>
      <c r="I51" s="21"/>
      <c r="J51" s="21"/>
      <c r="K51" s="21"/>
      <c r="L51" s="95"/>
      <c r="M51" s="278"/>
      <c r="N51" s="96"/>
      <c r="O51" s="96"/>
      <c r="P51" s="97"/>
      <c r="Q51" s="89"/>
      <c r="R51" s="279"/>
      <c r="S51" s="279"/>
      <c r="T51" s="89"/>
      <c r="U51" s="279"/>
      <c r="V51" s="279"/>
      <c r="W51" s="89"/>
      <c r="X51" s="89"/>
      <c r="Y51" s="89"/>
      <c r="Z51" s="89"/>
      <c r="AA51" s="89"/>
      <c r="AB51" s="89"/>
      <c r="AC51" s="89"/>
      <c r="AD51" s="89"/>
      <c r="AE51" s="89"/>
      <c r="AF51" s="89"/>
      <c r="AG51" s="95"/>
      <c r="AH51" s="96"/>
      <c r="AI51" s="97"/>
      <c r="AJ51" s="89"/>
      <c r="AK51" s="97"/>
      <c r="AL51" s="89"/>
      <c r="AM51" s="89"/>
      <c r="AN51" s="89"/>
      <c r="AO51" s="89"/>
      <c r="AP51" s="89"/>
      <c r="AQ51" s="89"/>
      <c r="AR51" s="89"/>
      <c r="AS51" s="89"/>
      <c r="AT51" s="89"/>
      <c r="AU51" s="89"/>
      <c r="AV51" s="89"/>
      <c r="AW51" s="89"/>
      <c r="AX51" s="89"/>
      <c r="AY51" s="89"/>
      <c r="AZ51" s="89"/>
      <c r="BA51" s="89"/>
      <c r="BB51" s="95"/>
      <c r="BC51" s="96"/>
      <c r="BD51" s="97"/>
      <c r="BE51" s="89"/>
      <c r="BF51" s="97"/>
      <c r="BG51" s="89"/>
      <c r="BH51" s="89"/>
      <c r="BI51" s="89"/>
      <c r="BJ51" s="89"/>
      <c r="BK51" s="89"/>
      <c r="BL51" s="89"/>
      <c r="BM51" s="89"/>
      <c r="BN51" s="89"/>
      <c r="BO51" s="89"/>
      <c r="BP51" s="89"/>
      <c r="BQ51" s="89"/>
      <c r="BR51" s="89"/>
      <c r="BS51" s="89"/>
      <c r="BT51" s="89"/>
      <c r="BU51" s="89"/>
      <c r="BV51" s="89"/>
      <c r="BW51" s="95"/>
      <c r="BX51" s="96"/>
      <c r="BY51" s="97"/>
      <c r="BZ51" s="89"/>
      <c r="CA51" s="97"/>
      <c r="CB51" s="89"/>
      <c r="CC51" s="89"/>
      <c r="CD51" s="89"/>
      <c r="CE51" s="89"/>
      <c r="CF51" s="89"/>
      <c r="CG51" s="89"/>
      <c r="CH51" s="89"/>
      <c r="CI51" s="89"/>
      <c r="CJ51" s="89"/>
      <c r="CK51" s="89"/>
      <c r="CL51" s="89"/>
      <c r="CM51" s="89"/>
      <c r="CN51" s="89"/>
      <c r="CO51" s="89"/>
      <c r="CP51" s="89"/>
      <c r="CQ51" s="89"/>
      <c r="CR51" s="95"/>
      <c r="CS51" s="96"/>
      <c r="CT51" s="97"/>
      <c r="CU51" s="89"/>
      <c r="CV51" s="97"/>
      <c r="CW51" s="89"/>
      <c r="CX51" s="89"/>
      <c r="CY51" s="89"/>
      <c r="CZ51" s="89"/>
      <c r="DA51" s="89"/>
      <c r="DB51" s="89"/>
      <c r="DC51" s="89"/>
      <c r="DD51" s="89"/>
      <c r="DE51" s="89"/>
      <c r="DF51" s="89"/>
      <c r="DG51" s="89"/>
      <c r="DH51" s="89"/>
      <c r="DI51" s="89"/>
      <c r="DJ51" s="89"/>
      <c r="DK51" s="89"/>
      <c r="DL51" s="89"/>
      <c r="DO51" s="214"/>
      <c r="DP51" s="162"/>
      <c r="DQ51" s="162"/>
      <c r="DR51" s="162"/>
      <c r="DS51" s="162"/>
      <c r="DT51" s="162"/>
      <c r="EE51" s="258"/>
      <c r="EF51" s="258"/>
      <c r="EG51" s="258"/>
      <c r="EH51" s="258"/>
      <c r="EI51" s="258"/>
      <c r="EJ51" s="56"/>
      <c r="EK51" s="56"/>
      <c r="EL51" s="56"/>
      <c r="EM51" s="56"/>
      <c r="EN51" s="56"/>
      <c r="ET51" s="258"/>
      <c r="EX51" s="10"/>
      <c r="EZ51" s="119"/>
      <c r="FJ51" s="284"/>
      <c r="FK51" s="284"/>
      <c r="FL51" s="284"/>
      <c r="FM51" s="283"/>
      <c r="FN51" s="283"/>
      <c r="FO51" s="162"/>
      <c r="FP51" s="162"/>
      <c r="FQ51" s="162"/>
      <c r="FR51" s="162"/>
      <c r="FS51" s="162"/>
      <c r="FU51" s="258"/>
      <c r="FV51" s="388"/>
      <c r="FW51" s="389"/>
    </row>
    <row r="52" spans="1:179" x14ac:dyDescent="0.2">
      <c r="A52" s="173"/>
      <c r="C52" s="21"/>
      <c r="D52" s="21"/>
      <c r="E52" s="21"/>
      <c r="F52" s="21"/>
      <c r="G52" s="21"/>
      <c r="H52" s="21"/>
      <c r="I52" s="21"/>
      <c r="J52" s="21"/>
      <c r="K52" s="21"/>
      <c r="L52" s="95"/>
      <c r="M52" s="278"/>
      <c r="N52" s="96"/>
      <c r="O52" s="96"/>
      <c r="P52" s="97"/>
      <c r="Q52" s="89"/>
      <c r="R52" s="279"/>
      <c r="S52" s="279"/>
      <c r="T52" s="89"/>
      <c r="U52" s="279"/>
      <c r="V52" s="279"/>
      <c r="W52" s="89"/>
      <c r="X52" s="89"/>
      <c r="Y52" s="89"/>
      <c r="Z52" s="89"/>
      <c r="AA52" s="89"/>
      <c r="AB52" s="89"/>
      <c r="AC52" s="89"/>
      <c r="AD52" s="89"/>
      <c r="AE52" s="89"/>
      <c r="AF52" s="89"/>
      <c r="AG52" s="95"/>
      <c r="AH52" s="96"/>
      <c r="AI52" s="97"/>
      <c r="AJ52" s="89"/>
      <c r="AK52" s="97"/>
      <c r="AL52" s="89"/>
      <c r="AM52" s="89"/>
      <c r="AN52" s="89"/>
      <c r="AO52" s="89"/>
      <c r="AP52" s="89"/>
      <c r="AQ52" s="89"/>
      <c r="AR52" s="89"/>
      <c r="AS52" s="89"/>
      <c r="AT52" s="89"/>
      <c r="AU52" s="89"/>
      <c r="AV52" s="89"/>
      <c r="AW52" s="89"/>
      <c r="AX52" s="89"/>
      <c r="AY52" s="89"/>
      <c r="AZ52" s="89"/>
      <c r="BA52" s="89"/>
      <c r="BB52" s="95"/>
      <c r="BC52" s="96"/>
      <c r="BD52" s="97"/>
      <c r="BE52" s="89"/>
      <c r="BF52" s="97"/>
      <c r="BG52" s="89"/>
      <c r="BH52" s="89"/>
      <c r="BI52" s="89"/>
      <c r="BJ52" s="89"/>
      <c r="BK52" s="89"/>
      <c r="BL52" s="89"/>
      <c r="BM52" s="89"/>
      <c r="BN52" s="89"/>
      <c r="BO52" s="89"/>
      <c r="BP52" s="89"/>
      <c r="BQ52" s="89"/>
      <c r="BR52" s="89"/>
      <c r="BS52" s="89"/>
      <c r="BT52" s="89"/>
      <c r="BU52" s="89"/>
      <c r="BV52" s="89"/>
      <c r="BW52" s="95"/>
      <c r="BX52" s="96"/>
      <c r="BY52" s="97"/>
      <c r="BZ52" s="89"/>
      <c r="CA52" s="97"/>
      <c r="CB52" s="89"/>
      <c r="CC52" s="89"/>
      <c r="CD52" s="89"/>
      <c r="CE52" s="89"/>
      <c r="CF52" s="89"/>
      <c r="CG52" s="89"/>
      <c r="CH52" s="89"/>
      <c r="CI52" s="89"/>
      <c r="CJ52" s="89"/>
      <c r="CK52" s="89"/>
      <c r="CL52" s="89"/>
      <c r="CM52" s="89"/>
      <c r="CN52" s="89"/>
      <c r="CO52" s="89"/>
      <c r="CP52" s="89"/>
      <c r="CQ52" s="89"/>
      <c r="CR52" s="95"/>
      <c r="CS52" s="96"/>
      <c r="CT52" s="97"/>
      <c r="CU52" s="89"/>
      <c r="CV52" s="97"/>
      <c r="CW52" s="89"/>
      <c r="CX52" s="89"/>
      <c r="CY52" s="89"/>
      <c r="CZ52" s="89"/>
      <c r="DA52" s="89"/>
      <c r="DB52" s="89"/>
      <c r="DC52" s="89"/>
      <c r="DD52" s="89"/>
      <c r="DE52" s="89"/>
      <c r="DF52" s="89"/>
      <c r="DG52" s="89"/>
      <c r="DH52" s="89"/>
      <c r="DI52" s="89"/>
      <c r="DJ52" s="89"/>
      <c r="DK52" s="89"/>
      <c r="DL52" s="89"/>
      <c r="DO52" s="214"/>
      <c r="DP52" s="162"/>
      <c r="DQ52" s="162"/>
      <c r="DR52" s="162"/>
      <c r="DS52" s="162"/>
      <c r="DT52" s="162"/>
      <c r="EE52" s="258"/>
      <c r="EF52" s="258"/>
      <c r="EG52" s="258"/>
      <c r="EH52" s="258"/>
      <c r="EI52" s="258"/>
      <c r="EJ52" s="56"/>
      <c r="EK52" s="56"/>
      <c r="EL52" s="56"/>
      <c r="EM52" s="56"/>
      <c r="EN52" s="56"/>
      <c r="ET52" s="258"/>
      <c r="EX52" s="10"/>
      <c r="EZ52" s="119"/>
      <c r="FJ52" s="284"/>
      <c r="FK52" s="284"/>
      <c r="FL52" s="284"/>
      <c r="FM52" s="283"/>
      <c r="FN52" s="283"/>
      <c r="FO52" s="162"/>
      <c r="FP52" s="162"/>
      <c r="FQ52" s="162"/>
      <c r="FR52" s="162"/>
      <c r="FS52" s="162"/>
      <c r="FU52" s="258"/>
      <c r="FV52" s="388"/>
      <c r="FW52" s="389"/>
    </row>
    <row r="53" spans="1:179" x14ac:dyDescent="0.2">
      <c r="A53" s="173"/>
      <c r="C53" s="21"/>
      <c r="D53" s="21"/>
      <c r="E53" s="21"/>
      <c r="F53" s="21"/>
      <c r="G53" s="21"/>
      <c r="H53" s="21"/>
      <c r="I53" s="21"/>
      <c r="J53" s="21"/>
      <c r="K53" s="21"/>
      <c r="L53" s="95"/>
      <c r="M53" s="278"/>
      <c r="N53" s="96"/>
      <c r="O53" s="96"/>
      <c r="P53" s="97"/>
      <c r="Q53" s="89"/>
      <c r="R53" s="279"/>
      <c r="S53" s="279"/>
      <c r="T53" s="89"/>
      <c r="U53" s="279"/>
      <c r="V53" s="279"/>
      <c r="W53" s="89"/>
      <c r="X53" s="89"/>
      <c r="Y53" s="89"/>
      <c r="Z53" s="89"/>
      <c r="AA53" s="89"/>
      <c r="AB53" s="89"/>
      <c r="AC53" s="89"/>
      <c r="AD53" s="89"/>
      <c r="AE53" s="89"/>
      <c r="AF53" s="89"/>
      <c r="AG53" s="95"/>
      <c r="AH53" s="96"/>
      <c r="AI53" s="97"/>
      <c r="AJ53" s="89"/>
      <c r="AK53" s="97"/>
      <c r="AL53" s="89"/>
      <c r="AM53" s="89"/>
      <c r="AN53" s="89"/>
      <c r="AO53" s="89"/>
      <c r="AP53" s="89"/>
      <c r="AQ53" s="89"/>
      <c r="AR53" s="89"/>
      <c r="AS53" s="89"/>
      <c r="AT53" s="89"/>
      <c r="AU53" s="89"/>
      <c r="AV53" s="89"/>
      <c r="AW53" s="89"/>
      <c r="AX53" s="89"/>
      <c r="AY53" s="89"/>
      <c r="AZ53" s="89"/>
      <c r="BA53" s="89"/>
      <c r="BB53" s="95"/>
      <c r="BC53" s="96"/>
      <c r="BD53" s="97"/>
      <c r="BE53" s="89"/>
      <c r="BF53" s="97"/>
      <c r="BG53" s="89"/>
      <c r="BH53" s="89"/>
      <c r="BI53" s="89"/>
      <c r="BJ53" s="89"/>
      <c r="BK53" s="89"/>
      <c r="BL53" s="89"/>
      <c r="BM53" s="89"/>
      <c r="BN53" s="89"/>
      <c r="BO53" s="89"/>
      <c r="BP53" s="89"/>
      <c r="BQ53" s="89"/>
      <c r="BR53" s="89"/>
      <c r="BS53" s="89"/>
      <c r="BT53" s="89"/>
      <c r="BU53" s="89"/>
      <c r="BV53" s="89"/>
      <c r="BW53" s="95"/>
      <c r="BX53" s="96"/>
      <c r="BY53" s="97"/>
      <c r="BZ53" s="89"/>
      <c r="CA53" s="97"/>
      <c r="CB53" s="89"/>
      <c r="CC53" s="89"/>
      <c r="CD53" s="89"/>
      <c r="CE53" s="89"/>
      <c r="CF53" s="89"/>
      <c r="CG53" s="89"/>
      <c r="CH53" s="89"/>
      <c r="CI53" s="89"/>
      <c r="CJ53" s="89"/>
      <c r="CK53" s="89"/>
      <c r="CL53" s="89"/>
      <c r="CM53" s="89"/>
      <c r="CN53" s="89"/>
      <c r="CO53" s="89"/>
      <c r="CP53" s="89"/>
      <c r="CQ53" s="89"/>
      <c r="CR53" s="95"/>
      <c r="CS53" s="96"/>
      <c r="CT53" s="97"/>
      <c r="CU53" s="89"/>
      <c r="CV53" s="97"/>
      <c r="CW53" s="89"/>
      <c r="CX53" s="89"/>
      <c r="CY53" s="89"/>
      <c r="CZ53" s="89"/>
      <c r="DA53" s="89"/>
      <c r="DB53" s="89"/>
      <c r="DC53" s="89"/>
      <c r="DD53" s="89"/>
      <c r="DE53" s="89"/>
      <c r="DF53" s="89"/>
      <c r="DG53" s="89"/>
      <c r="DH53" s="89"/>
      <c r="DI53" s="89"/>
      <c r="DJ53" s="89"/>
      <c r="DK53" s="89"/>
      <c r="DL53" s="89"/>
      <c r="DO53" s="214"/>
      <c r="DP53" s="162"/>
      <c r="DQ53" s="162"/>
      <c r="DR53" s="162"/>
      <c r="DS53" s="162"/>
      <c r="DT53" s="162"/>
      <c r="EE53" s="258"/>
      <c r="EF53" s="258"/>
      <c r="EG53" s="258"/>
      <c r="EH53" s="258"/>
      <c r="EI53" s="258"/>
      <c r="EJ53" s="56"/>
      <c r="EK53" s="56"/>
      <c r="EL53" s="56"/>
      <c r="EM53" s="56"/>
      <c r="EN53" s="56"/>
      <c r="ET53" s="258"/>
      <c r="EX53" s="10"/>
      <c r="EZ53" s="119"/>
      <c r="FJ53" s="284"/>
      <c r="FK53" s="284"/>
      <c r="FL53" s="284"/>
      <c r="FM53" s="283"/>
      <c r="FN53" s="283"/>
      <c r="FO53" s="162"/>
      <c r="FP53" s="162"/>
      <c r="FQ53" s="162"/>
      <c r="FR53" s="162"/>
      <c r="FS53" s="162"/>
      <c r="FU53" s="258"/>
      <c r="FV53" s="388"/>
      <c r="FW53" s="389"/>
    </row>
    <row r="54" spans="1:179" x14ac:dyDescent="0.2">
      <c r="A54" s="173"/>
      <c r="C54" s="21"/>
      <c r="D54" s="21"/>
      <c r="E54" s="21"/>
      <c r="F54" s="21"/>
      <c r="G54" s="21"/>
      <c r="H54" s="21"/>
      <c r="I54" s="21"/>
      <c r="J54" s="21"/>
      <c r="K54" s="21"/>
      <c r="L54" s="95"/>
      <c r="M54" s="278"/>
      <c r="N54" s="96"/>
      <c r="O54" s="96"/>
      <c r="P54" s="97"/>
      <c r="Q54" s="89"/>
      <c r="R54" s="279"/>
      <c r="S54" s="279"/>
      <c r="T54" s="89"/>
      <c r="U54" s="279"/>
      <c r="V54" s="279"/>
      <c r="W54" s="89"/>
      <c r="X54" s="89"/>
      <c r="Y54" s="89"/>
      <c r="Z54" s="89"/>
      <c r="AA54" s="89"/>
      <c r="AB54" s="89"/>
      <c r="AC54" s="89"/>
      <c r="AD54" s="89"/>
      <c r="AE54" s="89"/>
      <c r="AF54" s="89"/>
      <c r="AG54" s="95"/>
      <c r="AH54" s="96"/>
      <c r="AI54" s="97"/>
      <c r="AJ54" s="89"/>
      <c r="AK54" s="97"/>
      <c r="AL54" s="89"/>
      <c r="AM54" s="89"/>
      <c r="AN54" s="89"/>
      <c r="AO54" s="89"/>
      <c r="AP54" s="89"/>
      <c r="AQ54" s="89"/>
      <c r="AR54" s="89"/>
      <c r="AS54" s="89"/>
      <c r="AT54" s="89"/>
      <c r="AU54" s="89"/>
      <c r="AV54" s="89"/>
      <c r="AW54" s="89"/>
      <c r="AX54" s="89"/>
      <c r="AY54" s="89"/>
      <c r="AZ54" s="89"/>
      <c r="BA54" s="89"/>
      <c r="BB54" s="95"/>
      <c r="BC54" s="96"/>
      <c r="BD54" s="97"/>
      <c r="BE54" s="89"/>
      <c r="BF54" s="97"/>
      <c r="BG54" s="89"/>
      <c r="BH54" s="89"/>
      <c r="BI54" s="89"/>
      <c r="BJ54" s="89"/>
      <c r="BK54" s="89"/>
      <c r="BL54" s="89"/>
      <c r="BM54" s="89"/>
      <c r="BN54" s="89"/>
      <c r="BO54" s="89"/>
      <c r="BP54" s="89"/>
      <c r="BQ54" s="89"/>
      <c r="BR54" s="89"/>
      <c r="BS54" s="89"/>
      <c r="BT54" s="89"/>
      <c r="BU54" s="89"/>
      <c r="BV54" s="89"/>
      <c r="BW54" s="95"/>
      <c r="BX54" s="96"/>
      <c r="BY54" s="97"/>
      <c r="BZ54" s="89"/>
      <c r="CA54" s="97"/>
      <c r="CB54" s="89"/>
      <c r="CC54" s="89"/>
      <c r="CD54" s="89"/>
      <c r="CE54" s="89"/>
      <c r="CF54" s="89"/>
      <c r="CG54" s="89"/>
      <c r="CH54" s="89"/>
      <c r="CI54" s="89"/>
      <c r="CJ54" s="89"/>
      <c r="CK54" s="89"/>
      <c r="CL54" s="89"/>
      <c r="CM54" s="89"/>
      <c r="CN54" s="89"/>
      <c r="CO54" s="89"/>
      <c r="CP54" s="89"/>
      <c r="CQ54" s="89"/>
      <c r="CR54" s="95"/>
      <c r="CS54" s="96"/>
      <c r="CT54" s="97"/>
      <c r="CU54" s="89"/>
      <c r="CV54" s="97"/>
      <c r="CW54" s="89"/>
      <c r="CX54" s="89"/>
      <c r="CY54" s="89"/>
      <c r="CZ54" s="89"/>
      <c r="DA54" s="89"/>
      <c r="DB54" s="89"/>
      <c r="DC54" s="89"/>
      <c r="DD54" s="89"/>
      <c r="DE54" s="89"/>
      <c r="DF54" s="89"/>
      <c r="DG54" s="89"/>
      <c r="DH54" s="89"/>
      <c r="DI54" s="89"/>
      <c r="DJ54" s="89"/>
      <c r="DK54" s="89"/>
      <c r="DL54" s="89"/>
      <c r="DO54" s="214"/>
      <c r="DP54" s="162"/>
      <c r="DQ54" s="162"/>
      <c r="DR54" s="162"/>
      <c r="DS54" s="162"/>
      <c r="DT54" s="162"/>
      <c r="EE54" s="258"/>
      <c r="EF54" s="258"/>
      <c r="EG54" s="258"/>
      <c r="EH54" s="258"/>
      <c r="EI54" s="258"/>
      <c r="EJ54" s="56"/>
      <c r="EK54" s="56"/>
      <c r="EL54" s="56"/>
      <c r="EM54" s="56"/>
      <c r="EN54" s="56"/>
      <c r="ET54" s="258"/>
      <c r="EX54" s="10"/>
      <c r="EZ54" s="119"/>
      <c r="FJ54" s="284"/>
      <c r="FK54" s="284"/>
      <c r="FL54" s="284"/>
      <c r="FM54" s="283"/>
      <c r="FN54" s="283"/>
      <c r="FO54" s="162"/>
      <c r="FP54" s="162"/>
      <c r="FQ54" s="162"/>
      <c r="FR54" s="162"/>
      <c r="FS54" s="162"/>
      <c r="FU54" s="258"/>
      <c r="FV54" s="388"/>
      <c r="FW54" s="389"/>
    </row>
    <row r="55" spans="1:179" x14ac:dyDescent="0.2">
      <c r="A55" s="173"/>
      <c r="C55" s="21"/>
      <c r="D55" s="21"/>
      <c r="E55" s="21"/>
      <c r="F55" s="21"/>
      <c r="G55" s="21"/>
      <c r="H55" s="21"/>
      <c r="I55" s="21"/>
      <c r="J55" s="21"/>
      <c r="K55" s="21"/>
      <c r="L55" s="95"/>
      <c r="M55" s="278"/>
      <c r="N55" s="96"/>
      <c r="O55" s="96"/>
      <c r="P55" s="97"/>
      <c r="Q55" s="89"/>
      <c r="R55" s="279"/>
      <c r="S55" s="279"/>
      <c r="T55" s="89"/>
      <c r="U55" s="279"/>
      <c r="V55" s="279"/>
      <c r="W55" s="89"/>
      <c r="X55" s="89"/>
      <c r="Y55" s="89"/>
      <c r="Z55" s="89"/>
      <c r="AA55" s="89"/>
      <c r="AB55" s="89"/>
      <c r="AC55" s="89"/>
      <c r="AD55" s="89"/>
      <c r="AE55" s="89"/>
      <c r="AF55" s="89"/>
      <c r="AG55" s="95"/>
      <c r="AH55" s="96"/>
      <c r="AI55" s="97"/>
      <c r="AJ55" s="89"/>
      <c r="AK55" s="97"/>
      <c r="AL55" s="89"/>
      <c r="AM55" s="89"/>
      <c r="AN55" s="89"/>
      <c r="AO55" s="89"/>
      <c r="AP55" s="89"/>
      <c r="AQ55" s="89"/>
      <c r="AR55" s="89"/>
      <c r="AS55" s="89"/>
      <c r="AT55" s="89"/>
      <c r="AU55" s="89"/>
      <c r="AV55" s="89"/>
      <c r="AW55" s="89"/>
      <c r="AX55" s="89"/>
      <c r="AY55" s="89"/>
      <c r="AZ55" s="89"/>
      <c r="BA55" s="89"/>
      <c r="BB55" s="95"/>
      <c r="BC55" s="96"/>
      <c r="BD55" s="97"/>
      <c r="BE55" s="89"/>
      <c r="BF55" s="97"/>
      <c r="BG55" s="89"/>
      <c r="BH55" s="89"/>
      <c r="BI55" s="89"/>
      <c r="BJ55" s="89"/>
      <c r="BK55" s="89"/>
      <c r="BL55" s="89"/>
      <c r="BM55" s="89"/>
      <c r="BN55" s="89"/>
      <c r="BO55" s="89"/>
      <c r="BP55" s="89"/>
      <c r="BQ55" s="89"/>
      <c r="BR55" s="89"/>
      <c r="BS55" s="89"/>
      <c r="BT55" s="89"/>
      <c r="BU55" s="89"/>
      <c r="BV55" s="89"/>
      <c r="BW55" s="95"/>
      <c r="BX55" s="96"/>
      <c r="BY55" s="97"/>
      <c r="BZ55" s="89"/>
      <c r="CA55" s="97"/>
      <c r="CB55" s="89"/>
      <c r="CC55" s="89"/>
      <c r="CD55" s="89"/>
      <c r="CE55" s="89"/>
      <c r="CF55" s="89"/>
      <c r="CG55" s="89"/>
      <c r="CH55" s="89"/>
      <c r="CI55" s="89"/>
      <c r="CJ55" s="89"/>
      <c r="CK55" s="89"/>
      <c r="CL55" s="89"/>
      <c r="CM55" s="89"/>
      <c r="CN55" s="89"/>
      <c r="CO55" s="89"/>
      <c r="CP55" s="89"/>
      <c r="CQ55" s="89"/>
      <c r="CR55" s="95"/>
      <c r="CS55" s="96"/>
      <c r="CT55" s="97"/>
      <c r="CU55" s="89"/>
      <c r="CV55" s="97"/>
      <c r="CW55" s="89"/>
      <c r="CX55" s="89"/>
      <c r="CY55" s="89"/>
      <c r="CZ55" s="89"/>
      <c r="DA55" s="89"/>
      <c r="DB55" s="89"/>
      <c r="DC55" s="89"/>
      <c r="DD55" s="89"/>
      <c r="DE55" s="89"/>
      <c r="DF55" s="89"/>
      <c r="DG55" s="89"/>
      <c r="DH55" s="89"/>
      <c r="DI55" s="89"/>
      <c r="DJ55" s="89"/>
      <c r="DK55" s="89"/>
      <c r="DL55" s="89"/>
      <c r="DO55" s="214"/>
      <c r="DP55" s="162"/>
      <c r="DQ55" s="162"/>
      <c r="DR55" s="162"/>
      <c r="DS55" s="162"/>
      <c r="DT55" s="162"/>
      <c r="EE55" s="258"/>
      <c r="EF55" s="258"/>
      <c r="EG55" s="258"/>
      <c r="EH55" s="258"/>
      <c r="EI55" s="258"/>
      <c r="EJ55" s="56"/>
      <c r="EK55" s="56"/>
      <c r="EL55" s="56"/>
      <c r="EM55" s="56"/>
      <c r="EN55" s="56"/>
      <c r="ET55" s="258"/>
      <c r="EX55" s="10"/>
      <c r="EZ55" s="119"/>
      <c r="FJ55" s="284"/>
      <c r="FK55" s="284"/>
      <c r="FL55" s="284"/>
      <c r="FM55" s="283"/>
      <c r="FN55" s="283"/>
      <c r="FO55" s="162"/>
      <c r="FP55" s="162"/>
      <c r="FQ55" s="162"/>
      <c r="FR55" s="162"/>
      <c r="FS55" s="162"/>
      <c r="FU55" s="258"/>
      <c r="FV55" s="388"/>
      <c r="FW55" s="389"/>
    </row>
    <row r="56" spans="1:179" x14ac:dyDescent="0.2">
      <c r="A56" s="173"/>
      <c r="C56" s="21"/>
      <c r="D56" s="21"/>
      <c r="E56" s="21"/>
      <c r="F56" s="21"/>
      <c r="G56" s="21"/>
      <c r="H56" s="21"/>
      <c r="I56" s="21"/>
      <c r="J56" s="21"/>
      <c r="K56" s="21"/>
      <c r="L56" s="95"/>
      <c r="M56" s="278"/>
      <c r="N56" s="96"/>
      <c r="O56" s="96"/>
      <c r="P56" s="97"/>
      <c r="Q56" s="89"/>
      <c r="R56" s="279"/>
      <c r="S56" s="279"/>
      <c r="T56" s="89"/>
      <c r="U56" s="279"/>
      <c r="V56" s="279"/>
      <c r="W56" s="89"/>
      <c r="X56" s="89"/>
      <c r="Y56" s="89"/>
      <c r="Z56" s="89"/>
      <c r="AA56" s="89"/>
      <c r="AB56" s="89"/>
      <c r="AC56" s="89"/>
      <c r="AD56" s="89"/>
      <c r="AE56" s="89"/>
      <c r="AF56" s="89"/>
      <c r="AG56" s="95"/>
      <c r="AH56" s="96"/>
      <c r="AI56" s="97"/>
      <c r="AJ56" s="89"/>
      <c r="AK56" s="97"/>
      <c r="AL56" s="89"/>
      <c r="AM56" s="89"/>
      <c r="AN56" s="89"/>
      <c r="AO56" s="89"/>
      <c r="AP56" s="89"/>
      <c r="AQ56" s="89"/>
      <c r="AR56" s="89"/>
      <c r="AS56" s="89"/>
      <c r="AT56" s="89"/>
      <c r="AU56" s="89"/>
      <c r="AV56" s="89"/>
      <c r="AW56" s="89"/>
      <c r="AX56" s="89"/>
      <c r="AY56" s="89"/>
      <c r="AZ56" s="89"/>
      <c r="BA56" s="89"/>
      <c r="BB56" s="95"/>
      <c r="BC56" s="96"/>
      <c r="BD56" s="97"/>
      <c r="BE56" s="89"/>
      <c r="BF56" s="97"/>
      <c r="BG56" s="89"/>
      <c r="BH56" s="89"/>
      <c r="BI56" s="89"/>
      <c r="BJ56" s="89"/>
      <c r="BK56" s="89"/>
      <c r="BL56" s="89"/>
      <c r="BM56" s="89"/>
      <c r="BN56" s="89"/>
      <c r="BO56" s="89"/>
      <c r="BP56" s="89"/>
      <c r="BQ56" s="89"/>
      <c r="BR56" s="89"/>
      <c r="BS56" s="89"/>
      <c r="BT56" s="89"/>
      <c r="BU56" s="89"/>
      <c r="BV56" s="89"/>
      <c r="BW56" s="95"/>
      <c r="BX56" s="96"/>
      <c r="BY56" s="97"/>
      <c r="BZ56" s="89"/>
      <c r="CA56" s="97"/>
      <c r="CB56" s="89"/>
      <c r="CC56" s="89"/>
      <c r="CD56" s="89"/>
      <c r="CE56" s="89"/>
      <c r="CF56" s="89"/>
      <c r="CG56" s="89"/>
      <c r="CH56" s="89"/>
      <c r="CI56" s="89"/>
      <c r="CJ56" s="89"/>
      <c r="CK56" s="89"/>
      <c r="CL56" s="89"/>
      <c r="CM56" s="89"/>
      <c r="CN56" s="89"/>
      <c r="CO56" s="89"/>
      <c r="CP56" s="89"/>
      <c r="CQ56" s="89"/>
      <c r="CR56" s="95"/>
      <c r="CS56" s="96"/>
      <c r="CT56" s="97"/>
      <c r="CU56" s="89"/>
      <c r="CV56" s="97"/>
      <c r="CW56" s="89"/>
      <c r="CX56" s="89"/>
      <c r="CY56" s="89"/>
      <c r="CZ56" s="89"/>
      <c r="DA56" s="89"/>
      <c r="DB56" s="89"/>
      <c r="DC56" s="89"/>
      <c r="DD56" s="89"/>
      <c r="DE56" s="89"/>
      <c r="DF56" s="89"/>
      <c r="DG56" s="89"/>
      <c r="DH56" s="89"/>
      <c r="DI56" s="89"/>
      <c r="DJ56" s="89"/>
      <c r="DK56" s="89"/>
      <c r="DL56" s="89"/>
      <c r="DO56" s="214"/>
      <c r="DP56" s="162"/>
      <c r="DQ56" s="162"/>
      <c r="DR56" s="162"/>
      <c r="DS56" s="162"/>
      <c r="DT56" s="162"/>
      <c r="EE56" s="258"/>
      <c r="EF56" s="258"/>
      <c r="EG56" s="258"/>
      <c r="EH56" s="258"/>
      <c r="EI56" s="258"/>
      <c r="EJ56" s="56"/>
      <c r="EK56" s="56"/>
      <c r="EL56" s="56"/>
      <c r="EM56" s="56"/>
      <c r="EN56" s="56"/>
      <c r="ET56" s="258"/>
      <c r="EX56" s="10"/>
      <c r="EZ56" s="119"/>
      <c r="FJ56" s="284"/>
      <c r="FK56" s="284"/>
      <c r="FL56" s="284"/>
      <c r="FM56" s="283"/>
      <c r="FN56" s="283"/>
      <c r="FO56" s="162"/>
      <c r="FP56" s="162"/>
      <c r="FQ56" s="162"/>
      <c r="FR56" s="162"/>
      <c r="FS56" s="162"/>
      <c r="FU56" s="258"/>
      <c r="FV56" s="388"/>
      <c r="FW56" s="389"/>
    </row>
    <row r="57" spans="1:179" x14ac:dyDescent="0.2">
      <c r="A57" s="173"/>
      <c r="C57" s="21"/>
      <c r="D57" s="21"/>
      <c r="E57" s="21"/>
      <c r="F57" s="21"/>
      <c r="G57" s="21"/>
      <c r="H57" s="21"/>
      <c r="I57" s="21"/>
      <c r="J57" s="21"/>
      <c r="K57" s="21"/>
      <c r="L57" s="95"/>
      <c r="M57" s="278"/>
      <c r="N57" s="96"/>
      <c r="O57" s="96"/>
      <c r="P57" s="97"/>
      <c r="Q57" s="89"/>
      <c r="R57" s="279"/>
      <c r="S57" s="279"/>
      <c r="T57" s="89"/>
      <c r="U57" s="279"/>
      <c r="V57" s="279"/>
      <c r="W57" s="89"/>
      <c r="X57" s="89"/>
      <c r="Y57" s="89"/>
      <c r="Z57" s="89"/>
      <c r="AA57" s="89"/>
      <c r="AB57" s="89"/>
      <c r="AC57" s="89"/>
      <c r="AD57" s="89"/>
      <c r="AE57" s="89"/>
      <c r="AF57" s="89"/>
      <c r="AG57" s="95"/>
      <c r="AH57" s="96"/>
      <c r="AI57" s="97"/>
      <c r="AJ57" s="89"/>
      <c r="AK57" s="97"/>
      <c r="AL57" s="89"/>
      <c r="AM57" s="89"/>
      <c r="AN57" s="89"/>
      <c r="AO57" s="89"/>
      <c r="AP57" s="89"/>
      <c r="AQ57" s="89"/>
      <c r="AR57" s="89"/>
      <c r="AS57" s="89"/>
      <c r="AT57" s="89"/>
      <c r="AU57" s="89"/>
      <c r="AV57" s="89"/>
      <c r="AW57" s="89"/>
      <c r="AX57" s="89"/>
      <c r="AY57" s="89"/>
      <c r="AZ57" s="89"/>
      <c r="BA57" s="89"/>
      <c r="BB57" s="95"/>
      <c r="BC57" s="96"/>
      <c r="BD57" s="97"/>
      <c r="BE57" s="89"/>
      <c r="BF57" s="97"/>
      <c r="BG57" s="89"/>
      <c r="BH57" s="89"/>
      <c r="BI57" s="89"/>
      <c r="BJ57" s="89"/>
      <c r="BK57" s="89"/>
      <c r="BL57" s="89"/>
      <c r="BM57" s="89"/>
      <c r="BN57" s="89"/>
      <c r="BO57" s="89"/>
      <c r="BP57" s="89"/>
      <c r="BQ57" s="89"/>
      <c r="BR57" s="89"/>
      <c r="BS57" s="89"/>
      <c r="BT57" s="89"/>
      <c r="BU57" s="89"/>
      <c r="BV57" s="89"/>
      <c r="BW57" s="95"/>
      <c r="BX57" s="96"/>
      <c r="BY57" s="97"/>
      <c r="BZ57" s="89"/>
      <c r="CA57" s="97"/>
      <c r="CB57" s="89"/>
      <c r="CC57" s="89"/>
      <c r="CD57" s="89"/>
      <c r="CE57" s="89"/>
      <c r="CF57" s="89"/>
      <c r="CG57" s="89"/>
      <c r="CH57" s="89"/>
      <c r="CI57" s="89"/>
      <c r="CJ57" s="89"/>
      <c r="CK57" s="89"/>
      <c r="CL57" s="89"/>
      <c r="CM57" s="89"/>
      <c r="CN57" s="89"/>
      <c r="CO57" s="89"/>
      <c r="CP57" s="89"/>
      <c r="CQ57" s="89"/>
      <c r="CR57" s="95"/>
      <c r="CS57" s="96"/>
      <c r="CT57" s="97"/>
      <c r="CU57" s="89"/>
      <c r="CV57" s="97"/>
      <c r="CW57" s="89"/>
      <c r="CX57" s="89"/>
      <c r="CY57" s="89"/>
      <c r="CZ57" s="89"/>
      <c r="DA57" s="89"/>
      <c r="DB57" s="89"/>
      <c r="DC57" s="89"/>
      <c r="DD57" s="89"/>
      <c r="DE57" s="89"/>
      <c r="DF57" s="89"/>
      <c r="DG57" s="89"/>
      <c r="DH57" s="89"/>
      <c r="DI57" s="89"/>
      <c r="DJ57" s="89"/>
      <c r="DK57" s="89"/>
      <c r="DL57" s="89"/>
      <c r="DO57" s="214"/>
      <c r="DP57" s="162"/>
      <c r="DQ57" s="162"/>
      <c r="DR57" s="162"/>
      <c r="DS57" s="162"/>
      <c r="DT57" s="162"/>
      <c r="EE57" s="258"/>
      <c r="EF57" s="258"/>
      <c r="EG57" s="258"/>
      <c r="EH57" s="258"/>
      <c r="EI57" s="258"/>
      <c r="EJ57" s="56"/>
      <c r="EK57" s="56"/>
      <c r="EL57" s="56"/>
      <c r="EM57" s="56"/>
      <c r="EN57" s="56"/>
      <c r="ET57" s="258"/>
      <c r="EX57" s="10"/>
      <c r="EZ57" s="119"/>
      <c r="FJ57" s="284"/>
      <c r="FK57" s="284"/>
      <c r="FL57" s="284"/>
      <c r="FM57" s="283"/>
      <c r="FN57" s="283"/>
      <c r="FO57" s="162"/>
      <c r="FP57" s="162"/>
      <c r="FQ57" s="162"/>
      <c r="FR57" s="162"/>
      <c r="FS57" s="162"/>
      <c r="FU57" s="258"/>
      <c r="FV57" s="388"/>
      <c r="FW57" s="389"/>
    </row>
    <row r="58" spans="1:179" x14ac:dyDescent="0.2">
      <c r="A58" s="173"/>
      <c r="C58" s="21"/>
      <c r="D58" s="21"/>
      <c r="E58" s="21"/>
      <c r="F58" s="21"/>
      <c r="G58" s="21"/>
      <c r="H58" s="21"/>
      <c r="I58" s="21"/>
      <c r="J58" s="21"/>
      <c r="K58" s="21"/>
      <c r="L58" s="95"/>
      <c r="M58" s="278"/>
      <c r="N58" s="96"/>
      <c r="O58" s="96"/>
      <c r="P58" s="97"/>
      <c r="Q58" s="89"/>
      <c r="R58" s="279"/>
      <c r="S58" s="279"/>
      <c r="T58" s="89"/>
      <c r="U58" s="279"/>
      <c r="V58" s="279"/>
      <c r="W58" s="89"/>
      <c r="X58" s="89"/>
      <c r="Y58" s="89"/>
      <c r="Z58" s="89"/>
      <c r="AA58" s="89"/>
      <c r="AB58" s="89"/>
      <c r="AC58" s="89"/>
      <c r="AD58" s="89"/>
      <c r="AE58" s="89"/>
      <c r="AF58" s="89"/>
      <c r="AG58" s="95"/>
      <c r="AH58" s="96"/>
      <c r="AI58" s="97"/>
      <c r="AJ58" s="89"/>
      <c r="AK58" s="97"/>
      <c r="AL58" s="89"/>
      <c r="AM58" s="89"/>
      <c r="AN58" s="89"/>
      <c r="AO58" s="89"/>
      <c r="AP58" s="89"/>
      <c r="AQ58" s="89"/>
      <c r="AR58" s="89"/>
      <c r="AS58" s="89"/>
      <c r="AT58" s="89"/>
      <c r="AU58" s="89"/>
      <c r="AV58" s="89"/>
      <c r="AW58" s="89"/>
      <c r="AX58" s="89"/>
      <c r="AY58" s="89"/>
      <c r="AZ58" s="89"/>
      <c r="BA58" s="89"/>
      <c r="BB58" s="95"/>
      <c r="BC58" s="96"/>
      <c r="BD58" s="97"/>
      <c r="BE58" s="89"/>
      <c r="BF58" s="97"/>
      <c r="BG58" s="89"/>
      <c r="BH58" s="89"/>
      <c r="BI58" s="89"/>
      <c r="BJ58" s="89"/>
      <c r="BK58" s="89"/>
      <c r="BL58" s="89"/>
      <c r="BM58" s="89"/>
      <c r="BN58" s="89"/>
      <c r="BO58" s="89"/>
      <c r="BP58" s="89"/>
      <c r="BQ58" s="89"/>
      <c r="BR58" s="89"/>
      <c r="BS58" s="89"/>
      <c r="BT58" s="89"/>
      <c r="BU58" s="89"/>
      <c r="BV58" s="89"/>
      <c r="BW58" s="95"/>
      <c r="BX58" s="96"/>
      <c r="BY58" s="97"/>
      <c r="BZ58" s="89"/>
      <c r="CA58" s="97"/>
      <c r="CB58" s="89"/>
      <c r="CC58" s="89"/>
      <c r="CD58" s="89"/>
      <c r="CE58" s="89"/>
      <c r="CF58" s="89"/>
      <c r="CG58" s="89"/>
      <c r="CH58" s="89"/>
      <c r="CI58" s="89"/>
      <c r="CJ58" s="89"/>
      <c r="CK58" s="89"/>
      <c r="CL58" s="89"/>
      <c r="CM58" s="89"/>
      <c r="CN58" s="89"/>
      <c r="CO58" s="89"/>
      <c r="CP58" s="89"/>
      <c r="CQ58" s="89"/>
      <c r="CR58" s="95"/>
      <c r="CS58" s="96"/>
      <c r="CT58" s="97"/>
      <c r="CU58" s="89"/>
      <c r="CV58" s="97"/>
      <c r="CW58" s="89"/>
      <c r="CX58" s="89"/>
      <c r="CY58" s="89"/>
      <c r="CZ58" s="89"/>
      <c r="DA58" s="89"/>
      <c r="DB58" s="89"/>
      <c r="DC58" s="89"/>
      <c r="DD58" s="89"/>
      <c r="DE58" s="89"/>
      <c r="DF58" s="89"/>
      <c r="DG58" s="89"/>
      <c r="DH58" s="89"/>
      <c r="DI58" s="89"/>
      <c r="DJ58" s="89"/>
      <c r="DK58" s="89"/>
      <c r="DL58" s="89"/>
      <c r="DO58" s="214"/>
      <c r="DP58" s="162"/>
      <c r="DQ58" s="162"/>
      <c r="DR58" s="162"/>
      <c r="DS58" s="162"/>
      <c r="DT58" s="162"/>
      <c r="EE58" s="258"/>
      <c r="EF58" s="258"/>
      <c r="EG58" s="258"/>
      <c r="EH58" s="258"/>
      <c r="EI58" s="258"/>
      <c r="EJ58" s="56"/>
      <c r="EK58" s="56"/>
      <c r="EL58" s="56"/>
      <c r="EM58" s="56"/>
      <c r="EN58" s="56"/>
      <c r="ET58" s="258"/>
      <c r="EX58" s="10"/>
      <c r="EZ58" s="119"/>
      <c r="FJ58" s="284"/>
      <c r="FK58" s="284"/>
      <c r="FL58" s="284"/>
      <c r="FM58" s="283"/>
      <c r="FN58" s="283"/>
      <c r="FO58" s="162"/>
      <c r="FP58" s="162"/>
      <c r="FQ58" s="162"/>
      <c r="FR58" s="162"/>
      <c r="FS58" s="162"/>
      <c r="FU58" s="258"/>
      <c r="FV58" s="388"/>
      <c r="FW58" s="389"/>
    </row>
    <row r="59" spans="1:179" x14ac:dyDescent="0.2">
      <c r="A59" s="173"/>
      <c r="C59" s="21"/>
      <c r="D59" s="21"/>
      <c r="E59" s="21"/>
      <c r="F59" s="21"/>
      <c r="G59" s="21"/>
      <c r="H59" s="21"/>
      <c r="I59" s="21"/>
      <c r="J59" s="21"/>
      <c r="K59" s="21"/>
      <c r="L59" s="95"/>
      <c r="M59" s="278"/>
      <c r="N59" s="96"/>
      <c r="O59" s="96"/>
      <c r="P59" s="97"/>
      <c r="Q59" s="89"/>
      <c r="R59" s="279"/>
      <c r="S59" s="279"/>
      <c r="T59" s="89"/>
      <c r="U59" s="279"/>
      <c r="V59" s="279"/>
      <c r="W59" s="89"/>
      <c r="X59" s="89"/>
      <c r="Y59" s="89"/>
      <c r="Z59" s="89"/>
      <c r="AA59" s="89"/>
      <c r="AB59" s="89"/>
      <c r="AC59" s="89"/>
      <c r="AD59" s="89"/>
      <c r="AE59" s="89"/>
      <c r="AF59" s="89"/>
      <c r="AG59" s="95"/>
      <c r="AH59" s="96"/>
      <c r="AI59" s="97"/>
      <c r="AJ59" s="89"/>
      <c r="AK59" s="97"/>
      <c r="AL59" s="89"/>
      <c r="AM59" s="89"/>
      <c r="AN59" s="89"/>
      <c r="AO59" s="89"/>
      <c r="AP59" s="89"/>
      <c r="AQ59" s="89"/>
      <c r="AR59" s="89"/>
      <c r="AS59" s="89"/>
      <c r="AT59" s="89"/>
      <c r="AU59" s="89"/>
      <c r="AV59" s="89"/>
      <c r="AW59" s="89"/>
      <c r="AX59" s="89"/>
      <c r="AY59" s="89"/>
      <c r="AZ59" s="89"/>
      <c r="BA59" s="89"/>
      <c r="BB59" s="95"/>
      <c r="BC59" s="96"/>
      <c r="BD59" s="97"/>
      <c r="BE59" s="89"/>
      <c r="BF59" s="97"/>
      <c r="BG59" s="89"/>
      <c r="BH59" s="89"/>
      <c r="BI59" s="89"/>
      <c r="BJ59" s="89"/>
      <c r="BK59" s="89"/>
      <c r="BL59" s="89"/>
      <c r="BM59" s="89"/>
      <c r="BN59" s="89"/>
      <c r="BO59" s="89"/>
      <c r="BP59" s="89"/>
      <c r="BQ59" s="89"/>
      <c r="BR59" s="89"/>
      <c r="BS59" s="89"/>
      <c r="BT59" s="89"/>
      <c r="BU59" s="89"/>
      <c r="BV59" s="89"/>
      <c r="BW59" s="95"/>
      <c r="BX59" s="96"/>
      <c r="BY59" s="97"/>
      <c r="BZ59" s="89"/>
      <c r="CA59" s="97"/>
      <c r="CB59" s="89"/>
      <c r="CC59" s="89"/>
      <c r="CD59" s="89"/>
      <c r="CE59" s="89"/>
      <c r="CF59" s="89"/>
      <c r="CG59" s="89"/>
      <c r="CH59" s="89"/>
      <c r="CI59" s="89"/>
      <c r="CJ59" s="89"/>
      <c r="CK59" s="89"/>
      <c r="CL59" s="89"/>
      <c r="CM59" s="89"/>
      <c r="CN59" s="89"/>
      <c r="CO59" s="89"/>
      <c r="CP59" s="89"/>
      <c r="CQ59" s="89"/>
      <c r="CR59" s="95"/>
      <c r="CS59" s="96"/>
      <c r="CT59" s="97"/>
      <c r="CU59" s="89"/>
      <c r="CV59" s="97"/>
      <c r="CW59" s="89"/>
      <c r="CX59" s="89"/>
      <c r="CY59" s="89"/>
      <c r="CZ59" s="89"/>
      <c r="DA59" s="89"/>
      <c r="DB59" s="89"/>
      <c r="DC59" s="89"/>
      <c r="DD59" s="89"/>
      <c r="DE59" s="89"/>
      <c r="DF59" s="89"/>
      <c r="DG59" s="89"/>
      <c r="DH59" s="89"/>
      <c r="DI59" s="89"/>
      <c r="DJ59" s="89"/>
      <c r="DK59" s="89"/>
      <c r="DL59" s="89"/>
      <c r="DO59" s="214"/>
      <c r="DP59" s="162"/>
      <c r="DQ59" s="162"/>
      <c r="DR59" s="162"/>
      <c r="DS59" s="162"/>
      <c r="DT59" s="162"/>
      <c r="EE59" s="258"/>
      <c r="EF59" s="258"/>
      <c r="EG59" s="258"/>
      <c r="EH59" s="258"/>
      <c r="EI59" s="258"/>
      <c r="EJ59" s="56"/>
      <c r="EK59" s="56"/>
      <c r="EL59" s="56"/>
      <c r="EM59" s="56"/>
      <c r="EN59" s="56"/>
      <c r="ET59" s="258"/>
      <c r="EX59" s="10"/>
      <c r="EZ59" s="119"/>
      <c r="FJ59" s="284"/>
      <c r="FK59" s="284"/>
      <c r="FL59" s="284"/>
      <c r="FM59" s="283"/>
      <c r="FN59" s="283"/>
      <c r="FO59" s="162"/>
      <c r="FP59" s="162"/>
      <c r="FQ59" s="162"/>
      <c r="FR59" s="162"/>
      <c r="FS59" s="162"/>
      <c r="FU59" s="258"/>
      <c r="FV59" s="388"/>
      <c r="FW59" s="389"/>
    </row>
    <row r="60" spans="1:179" x14ac:dyDescent="0.2">
      <c r="A60" s="173"/>
      <c r="C60" s="21"/>
      <c r="D60" s="21"/>
      <c r="E60" s="21"/>
      <c r="F60" s="21"/>
      <c r="G60" s="21"/>
      <c r="H60" s="21"/>
      <c r="I60" s="21"/>
      <c r="J60" s="21"/>
      <c r="K60" s="21"/>
      <c r="L60" s="95"/>
      <c r="M60" s="278"/>
      <c r="N60" s="96"/>
      <c r="O60" s="96"/>
      <c r="P60" s="97"/>
      <c r="Q60" s="89"/>
      <c r="R60" s="279"/>
      <c r="S60" s="279"/>
      <c r="T60" s="89"/>
      <c r="U60" s="279"/>
      <c r="V60" s="279"/>
      <c r="W60" s="89"/>
      <c r="X60" s="89"/>
      <c r="Y60" s="89"/>
      <c r="Z60" s="89"/>
      <c r="AA60" s="89"/>
      <c r="AB60" s="89"/>
      <c r="AC60" s="89"/>
      <c r="AD60" s="89"/>
      <c r="AE60" s="89"/>
      <c r="AF60" s="89"/>
      <c r="AG60" s="95"/>
      <c r="AH60" s="96"/>
      <c r="AI60" s="97"/>
      <c r="AJ60" s="89"/>
      <c r="AK60" s="97"/>
      <c r="AL60" s="89"/>
      <c r="AM60" s="89"/>
      <c r="AN60" s="89"/>
      <c r="AO60" s="89"/>
      <c r="AP60" s="89"/>
      <c r="AQ60" s="89"/>
      <c r="AR60" s="89"/>
      <c r="AS60" s="89"/>
      <c r="AT60" s="89"/>
      <c r="AU60" s="89"/>
      <c r="AV60" s="89"/>
      <c r="AW60" s="89"/>
      <c r="AX60" s="89"/>
      <c r="AY60" s="89"/>
      <c r="AZ60" s="89"/>
      <c r="BA60" s="89"/>
      <c r="BB60" s="95"/>
      <c r="BC60" s="96"/>
      <c r="BD60" s="97"/>
      <c r="BE60" s="89"/>
      <c r="BF60" s="97"/>
      <c r="BG60" s="89"/>
      <c r="BH60" s="89"/>
      <c r="BI60" s="89"/>
      <c r="BJ60" s="89"/>
      <c r="BK60" s="89"/>
      <c r="BL60" s="89"/>
      <c r="BM60" s="89"/>
      <c r="BN60" s="89"/>
      <c r="BO60" s="89"/>
      <c r="BP60" s="89"/>
      <c r="BQ60" s="89"/>
      <c r="BR60" s="89"/>
      <c r="BS60" s="89"/>
      <c r="BT60" s="89"/>
      <c r="BU60" s="89"/>
      <c r="BV60" s="89"/>
      <c r="BW60" s="95"/>
      <c r="BX60" s="96"/>
      <c r="BY60" s="97"/>
      <c r="BZ60" s="89"/>
      <c r="CA60" s="97"/>
      <c r="CB60" s="89"/>
      <c r="CC60" s="89"/>
      <c r="CD60" s="89"/>
      <c r="CE60" s="89"/>
      <c r="CF60" s="89"/>
      <c r="CG60" s="89"/>
      <c r="CH60" s="89"/>
      <c r="CI60" s="89"/>
      <c r="CJ60" s="89"/>
      <c r="CK60" s="89"/>
      <c r="CL60" s="89"/>
      <c r="CM60" s="89"/>
      <c r="CN60" s="89"/>
      <c r="CO60" s="89"/>
      <c r="CP60" s="89"/>
      <c r="CQ60" s="89"/>
      <c r="CR60" s="95"/>
      <c r="CS60" s="96"/>
      <c r="CT60" s="97"/>
      <c r="CU60" s="89"/>
      <c r="CV60" s="97"/>
      <c r="CW60" s="89"/>
      <c r="CX60" s="89"/>
      <c r="CY60" s="89"/>
      <c r="CZ60" s="89"/>
      <c r="DA60" s="89"/>
      <c r="DB60" s="89"/>
      <c r="DC60" s="89"/>
      <c r="DD60" s="89"/>
      <c r="DE60" s="89"/>
      <c r="DF60" s="89"/>
      <c r="DG60" s="89"/>
      <c r="DH60" s="89"/>
      <c r="DI60" s="89"/>
      <c r="DJ60" s="89"/>
      <c r="DK60" s="89"/>
      <c r="DL60" s="89"/>
      <c r="DO60" s="214"/>
      <c r="DP60" s="162"/>
      <c r="DQ60" s="162"/>
      <c r="DR60" s="162"/>
      <c r="DS60" s="162"/>
      <c r="DT60" s="162"/>
      <c r="EE60" s="258"/>
      <c r="EF60" s="258"/>
      <c r="EG60" s="258"/>
      <c r="EH60" s="258"/>
      <c r="EI60" s="258"/>
      <c r="EJ60" s="56"/>
      <c r="EK60" s="56"/>
      <c r="EL60" s="56"/>
      <c r="EM60" s="56"/>
      <c r="EN60" s="56"/>
      <c r="ET60" s="258"/>
      <c r="EX60" s="10"/>
      <c r="EZ60" s="119"/>
      <c r="FJ60" s="284"/>
      <c r="FK60" s="284"/>
      <c r="FL60" s="284"/>
      <c r="FM60" s="283"/>
      <c r="FN60" s="283"/>
      <c r="FO60" s="162"/>
      <c r="FP60" s="162"/>
      <c r="FQ60" s="162"/>
      <c r="FR60" s="162"/>
      <c r="FS60" s="162"/>
      <c r="FU60" s="258"/>
      <c r="FV60" s="388"/>
      <c r="FW60" s="389"/>
    </row>
    <row r="61" spans="1:179" x14ac:dyDescent="0.2">
      <c r="A61" s="173"/>
      <c r="C61" s="21"/>
      <c r="D61" s="21"/>
      <c r="E61" s="21"/>
      <c r="F61" s="21"/>
      <c r="G61" s="21"/>
      <c r="H61" s="21"/>
      <c r="I61" s="21"/>
      <c r="J61" s="21"/>
      <c r="K61" s="21"/>
      <c r="L61" s="95"/>
      <c r="M61" s="278"/>
      <c r="N61" s="96"/>
      <c r="O61" s="96"/>
      <c r="P61" s="97"/>
      <c r="Q61" s="89"/>
      <c r="R61" s="279"/>
      <c r="S61" s="279"/>
      <c r="T61" s="89"/>
      <c r="U61" s="279"/>
      <c r="V61" s="279"/>
      <c r="W61" s="89"/>
      <c r="X61" s="89"/>
      <c r="Y61" s="89"/>
      <c r="Z61" s="89"/>
      <c r="AA61" s="89"/>
      <c r="AB61" s="89"/>
      <c r="AC61" s="89"/>
      <c r="AD61" s="89"/>
      <c r="AE61" s="89"/>
      <c r="AF61" s="89"/>
      <c r="AG61" s="95"/>
      <c r="AH61" s="96"/>
      <c r="AI61" s="97"/>
      <c r="AJ61" s="89"/>
      <c r="AK61" s="97"/>
      <c r="AL61" s="89"/>
      <c r="AM61" s="89"/>
      <c r="AN61" s="89"/>
      <c r="AO61" s="89"/>
      <c r="AP61" s="89"/>
      <c r="AQ61" s="89"/>
      <c r="AR61" s="89"/>
      <c r="AS61" s="89"/>
      <c r="AT61" s="89"/>
      <c r="AU61" s="89"/>
      <c r="AV61" s="89"/>
      <c r="AW61" s="89"/>
      <c r="AX61" s="89"/>
      <c r="AY61" s="89"/>
      <c r="AZ61" s="89"/>
      <c r="BA61" s="89"/>
      <c r="BB61" s="95"/>
      <c r="BC61" s="96"/>
      <c r="BD61" s="97"/>
      <c r="BE61" s="89"/>
      <c r="BF61" s="97"/>
      <c r="BG61" s="89"/>
      <c r="BH61" s="89"/>
      <c r="BI61" s="89"/>
      <c r="BJ61" s="89"/>
      <c r="BK61" s="89"/>
      <c r="BL61" s="89"/>
      <c r="BM61" s="89"/>
      <c r="BN61" s="89"/>
      <c r="BO61" s="89"/>
      <c r="BP61" s="89"/>
      <c r="BQ61" s="89"/>
      <c r="BR61" s="89"/>
      <c r="BS61" s="89"/>
      <c r="BT61" s="89"/>
      <c r="BU61" s="89"/>
      <c r="BV61" s="89"/>
      <c r="BW61" s="95"/>
      <c r="BX61" s="96"/>
      <c r="BY61" s="97"/>
      <c r="BZ61" s="89"/>
      <c r="CA61" s="97"/>
      <c r="CB61" s="89"/>
      <c r="CC61" s="89"/>
      <c r="CD61" s="89"/>
      <c r="CE61" s="89"/>
      <c r="CF61" s="89"/>
      <c r="CG61" s="89"/>
      <c r="CH61" s="89"/>
      <c r="CI61" s="89"/>
      <c r="CJ61" s="89"/>
      <c r="CK61" s="89"/>
      <c r="CL61" s="89"/>
      <c r="CM61" s="89"/>
      <c r="CN61" s="89"/>
      <c r="CO61" s="89"/>
      <c r="CP61" s="89"/>
      <c r="CQ61" s="89"/>
      <c r="CR61" s="95"/>
      <c r="CS61" s="96"/>
      <c r="CT61" s="97"/>
      <c r="CU61" s="89"/>
      <c r="CV61" s="97"/>
      <c r="CW61" s="89"/>
      <c r="CX61" s="89"/>
      <c r="CY61" s="89"/>
      <c r="CZ61" s="89"/>
      <c r="DA61" s="89"/>
      <c r="DB61" s="89"/>
      <c r="DC61" s="89"/>
      <c r="DD61" s="89"/>
      <c r="DE61" s="89"/>
      <c r="DF61" s="89"/>
      <c r="DG61" s="89"/>
      <c r="DH61" s="89"/>
      <c r="DI61" s="89"/>
      <c r="DJ61" s="89"/>
      <c r="DK61" s="89"/>
      <c r="DL61" s="89"/>
      <c r="DO61" s="214"/>
      <c r="DP61" s="162"/>
      <c r="DQ61" s="162"/>
      <c r="DR61" s="162"/>
      <c r="DS61" s="162"/>
      <c r="DT61" s="162"/>
      <c r="EE61" s="258"/>
      <c r="EF61" s="258"/>
      <c r="EG61" s="258"/>
      <c r="EH61" s="258"/>
      <c r="EI61" s="258"/>
      <c r="EJ61" s="56"/>
      <c r="EK61" s="56"/>
      <c r="EL61" s="56"/>
      <c r="EM61" s="56"/>
      <c r="EN61" s="56"/>
      <c r="ET61" s="258"/>
      <c r="EX61" s="10"/>
      <c r="EZ61" s="119"/>
      <c r="FJ61" s="284"/>
      <c r="FK61" s="284"/>
      <c r="FL61" s="284"/>
      <c r="FM61" s="283"/>
      <c r="FN61" s="283"/>
      <c r="FO61" s="162"/>
      <c r="FP61" s="162"/>
      <c r="FQ61" s="162"/>
      <c r="FR61" s="162"/>
      <c r="FS61" s="162"/>
      <c r="FU61" s="258"/>
      <c r="FV61" s="388"/>
      <c r="FW61" s="389"/>
    </row>
    <row r="62" spans="1:179" x14ac:dyDescent="0.2">
      <c r="A62" s="173"/>
      <c r="C62" s="21"/>
      <c r="D62" s="21"/>
      <c r="E62" s="21"/>
      <c r="F62" s="21"/>
      <c r="G62" s="21"/>
      <c r="H62" s="21"/>
      <c r="I62" s="21"/>
      <c r="J62" s="21"/>
      <c r="K62" s="21"/>
      <c r="L62" s="95"/>
      <c r="M62" s="278"/>
      <c r="N62" s="96"/>
      <c r="O62" s="96"/>
      <c r="P62" s="97"/>
      <c r="Q62" s="89"/>
      <c r="R62" s="279"/>
      <c r="S62" s="279"/>
      <c r="T62" s="89"/>
      <c r="U62" s="279"/>
      <c r="V62" s="279"/>
      <c r="W62" s="89"/>
      <c r="X62" s="89"/>
      <c r="Y62" s="89"/>
      <c r="Z62" s="89"/>
      <c r="AA62" s="89"/>
      <c r="AB62" s="89"/>
      <c r="AC62" s="89"/>
      <c r="AD62" s="89"/>
      <c r="AE62" s="89"/>
      <c r="AF62" s="89"/>
      <c r="AG62" s="95"/>
      <c r="AH62" s="96"/>
      <c r="AI62" s="97"/>
      <c r="AJ62" s="89"/>
      <c r="AK62" s="97"/>
      <c r="AL62" s="89"/>
      <c r="AM62" s="89"/>
      <c r="AN62" s="89"/>
      <c r="AO62" s="89"/>
      <c r="AP62" s="89"/>
      <c r="AQ62" s="89"/>
      <c r="AR62" s="89"/>
      <c r="AS62" s="89"/>
      <c r="AT62" s="89"/>
      <c r="AU62" s="89"/>
      <c r="AV62" s="89"/>
      <c r="AW62" s="89"/>
      <c r="AX62" s="89"/>
      <c r="AY62" s="89"/>
      <c r="AZ62" s="89"/>
      <c r="BA62" s="89"/>
      <c r="BB62" s="95"/>
      <c r="BC62" s="96"/>
      <c r="BD62" s="97"/>
      <c r="BE62" s="89"/>
      <c r="BF62" s="97"/>
      <c r="BG62" s="89"/>
      <c r="BH62" s="89"/>
      <c r="BI62" s="89"/>
      <c r="BJ62" s="89"/>
      <c r="BK62" s="89"/>
      <c r="BL62" s="89"/>
      <c r="BM62" s="89"/>
      <c r="BN62" s="89"/>
      <c r="BO62" s="89"/>
      <c r="BP62" s="89"/>
      <c r="BQ62" s="89"/>
      <c r="BR62" s="89"/>
      <c r="BS62" s="89"/>
      <c r="BT62" s="89"/>
      <c r="BU62" s="89"/>
      <c r="BV62" s="89"/>
      <c r="BW62" s="95"/>
      <c r="BX62" s="96"/>
      <c r="BY62" s="97"/>
      <c r="BZ62" s="89"/>
      <c r="CA62" s="97"/>
      <c r="CB62" s="89"/>
      <c r="CC62" s="89"/>
      <c r="CD62" s="89"/>
      <c r="CE62" s="89"/>
      <c r="CF62" s="89"/>
      <c r="CG62" s="89"/>
      <c r="CH62" s="89"/>
      <c r="CI62" s="89"/>
      <c r="CJ62" s="89"/>
      <c r="CK62" s="89"/>
      <c r="CL62" s="89"/>
      <c r="CM62" s="89"/>
      <c r="CN62" s="89"/>
      <c r="CO62" s="89"/>
      <c r="CP62" s="89"/>
      <c r="CQ62" s="89"/>
      <c r="CR62" s="95"/>
      <c r="CS62" s="96"/>
      <c r="CT62" s="97"/>
      <c r="CU62" s="89"/>
      <c r="CV62" s="97"/>
      <c r="CW62" s="89"/>
      <c r="CX62" s="89"/>
      <c r="CY62" s="89"/>
      <c r="CZ62" s="89"/>
      <c r="DA62" s="89"/>
      <c r="DB62" s="89"/>
      <c r="DC62" s="89"/>
      <c r="DD62" s="89"/>
      <c r="DE62" s="89"/>
      <c r="DF62" s="89"/>
      <c r="DG62" s="89"/>
      <c r="DH62" s="89"/>
      <c r="DI62" s="89"/>
      <c r="DJ62" s="89"/>
      <c r="DK62" s="89"/>
      <c r="DL62" s="89"/>
      <c r="DO62" s="214"/>
      <c r="DP62" s="162"/>
      <c r="DQ62" s="162"/>
      <c r="DR62" s="162"/>
      <c r="DS62" s="162"/>
      <c r="DT62" s="162"/>
      <c r="EE62" s="258"/>
      <c r="EF62" s="258"/>
      <c r="EG62" s="258"/>
      <c r="EH62" s="258"/>
      <c r="EI62" s="258"/>
      <c r="EJ62" s="56"/>
      <c r="EK62" s="56"/>
      <c r="EL62" s="56"/>
      <c r="EM62" s="56"/>
      <c r="EN62" s="56"/>
      <c r="ET62" s="258"/>
      <c r="EX62" s="10"/>
      <c r="EZ62" s="119"/>
      <c r="FJ62" s="284"/>
      <c r="FK62" s="284"/>
      <c r="FL62" s="284"/>
      <c r="FM62" s="283"/>
      <c r="FN62" s="283"/>
      <c r="FO62" s="162"/>
      <c r="FP62" s="162"/>
      <c r="FQ62" s="162"/>
      <c r="FR62" s="162"/>
      <c r="FS62" s="162"/>
      <c r="FU62" s="258"/>
      <c r="FV62" s="388"/>
      <c r="FW62" s="389"/>
    </row>
    <row r="63" spans="1:179" x14ac:dyDescent="0.2">
      <c r="A63" s="173"/>
      <c r="C63" s="21"/>
      <c r="D63" s="21"/>
      <c r="E63" s="21"/>
      <c r="F63" s="21"/>
      <c r="G63" s="21"/>
      <c r="H63" s="21"/>
      <c r="I63" s="21"/>
      <c r="J63" s="21"/>
      <c r="K63" s="21"/>
      <c r="L63" s="95"/>
      <c r="M63" s="278"/>
      <c r="N63" s="96"/>
      <c r="O63" s="96"/>
      <c r="P63" s="97"/>
      <c r="Q63" s="89"/>
      <c r="R63" s="279"/>
      <c r="S63" s="279"/>
      <c r="T63" s="89"/>
      <c r="U63" s="279"/>
      <c r="V63" s="279"/>
      <c r="W63" s="89"/>
      <c r="X63" s="89"/>
      <c r="Y63" s="89"/>
      <c r="Z63" s="89"/>
      <c r="AA63" s="89"/>
      <c r="AB63" s="89"/>
      <c r="AC63" s="89"/>
      <c r="AD63" s="89"/>
      <c r="AE63" s="89"/>
      <c r="AF63" s="89"/>
      <c r="AG63" s="95"/>
      <c r="AH63" s="96"/>
      <c r="AI63" s="97"/>
      <c r="AJ63" s="89"/>
      <c r="AK63" s="97"/>
      <c r="AL63" s="89"/>
      <c r="AM63" s="89"/>
      <c r="AN63" s="89"/>
      <c r="AO63" s="89"/>
      <c r="AP63" s="89"/>
      <c r="AQ63" s="89"/>
      <c r="AR63" s="89"/>
      <c r="AS63" s="89"/>
      <c r="AT63" s="89"/>
      <c r="AU63" s="89"/>
      <c r="AV63" s="89"/>
      <c r="AW63" s="89"/>
      <c r="AX63" s="89"/>
      <c r="AY63" s="89"/>
      <c r="AZ63" s="89"/>
      <c r="BA63" s="89"/>
      <c r="BB63" s="95"/>
      <c r="BC63" s="96"/>
      <c r="BD63" s="97"/>
      <c r="BE63" s="89"/>
      <c r="BF63" s="97"/>
      <c r="BG63" s="89"/>
      <c r="BH63" s="89"/>
      <c r="BI63" s="89"/>
      <c r="BJ63" s="89"/>
      <c r="BK63" s="89"/>
      <c r="BL63" s="89"/>
      <c r="BM63" s="89"/>
      <c r="BN63" s="89"/>
      <c r="BO63" s="89"/>
      <c r="BP63" s="89"/>
      <c r="BQ63" s="89"/>
      <c r="BR63" s="89"/>
      <c r="BS63" s="89"/>
      <c r="BT63" s="89"/>
      <c r="BU63" s="89"/>
      <c r="BV63" s="89"/>
      <c r="BW63" s="95"/>
      <c r="BX63" s="96"/>
      <c r="BY63" s="97"/>
      <c r="BZ63" s="89"/>
      <c r="CA63" s="97"/>
      <c r="CB63" s="89"/>
      <c r="CC63" s="89"/>
      <c r="CD63" s="89"/>
      <c r="CE63" s="89"/>
      <c r="CF63" s="89"/>
      <c r="CG63" s="89"/>
      <c r="CH63" s="89"/>
      <c r="CI63" s="89"/>
      <c r="CJ63" s="89"/>
      <c r="CK63" s="89"/>
      <c r="CL63" s="89"/>
      <c r="CM63" s="89"/>
      <c r="CN63" s="89"/>
      <c r="CO63" s="89"/>
      <c r="CP63" s="89"/>
      <c r="CQ63" s="89"/>
      <c r="CR63" s="95"/>
      <c r="CS63" s="96"/>
      <c r="CT63" s="97"/>
      <c r="CU63" s="89"/>
      <c r="CV63" s="97"/>
      <c r="CW63" s="89"/>
      <c r="CX63" s="89"/>
      <c r="CY63" s="89"/>
      <c r="CZ63" s="89"/>
      <c r="DA63" s="89"/>
      <c r="DB63" s="89"/>
      <c r="DC63" s="89"/>
      <c r="DD63" s="89"/>
      <c r="DE63" s="89"/>
      <c r="DF63" s="89"/>
      <c r="DG63" s="89"/>
      <c r="DH63" s="89"/>
      <c r="DI63" s="89"/>
      <c r="DJ63" s="89"/>
      <c r="DK63" s="89"/>
      <c r="DL63" s="89"/>
      <c r="DO63" s="214"/>
      <c r="DP63" s="162"/>
      <c r="DQ63" s="162"/>
      <c r="DR63" s="162"/>
      <c r="DS63" s="162"/>
      <c r="DT63" s="162"/>
      <c r="EE63" s="258"/>
      <c r="EF63" s="258"/>
      <c r="EG63" s="258"/>
      <c r="EH63" s="258"/>
      <c r="EI63" s="258"/>
      <c r="EJ63" s="56"/>
      <c r="EK63" s="56"/>
      <c r="EL63" s="56"/>
      <c r="EM63" s="56"/>
      <c r="EN63" s="56"/>
      <c r="ET63" s="258"/>
      <c r="EX63" s="10"/>
      <c r="EZ63" s="119"/>
      <c r="FJ63" s="284"/>
      <c r="FK63" s="284"/>
      <c r="FL63" s="284"/>
      <c r="FM63" s="283"/>
      <c r="FN63" s="283"/>
      <c r="FO63" s="162"/>
      <c r="FP63" s="162"/>
      <c r="FQ63" s="162"/>
      <c r="FR63" s="162"/>
      <c r="FS63" s="162"/>
      <c r="FU63" s="258"/>
      <c r="FV63" s="388"/>
      <c r="FW63" s="389"/>
    </row>
    <row r="64" spans="1:179" x14ac:dyDescent="0.2">
      <c r="A64" s="173"/>
      <c r="C64" s="21"/>
      <c r="D64" s="21"/>
      <c r="E64" s="21"/>
      <c r="F64" s="21"/>
      <c r="G64" s="21"/>
      <c r="H64" s="21"/>
      <c r="I64" s="21"/>
      <c r="J64" s="21"/>
      <c r="K64" s="21"/>
      <c r="L64" s="95"/>
      <c r="M64" s="278"/>
      <c r="N64" s="96"/>
      <c r="O64" s="96"/>
      <c r="P64" s="97"/>
      <c r="Q64" s="89"/>
      <c r="R64" s="279"/>
      <c r="S64" s="279"/>
      <c r="T64" s="89"/>
      <c r="U64" s="279"/>
      <c r="V64" s="279"/>
      <c r="W64" s="89"/>
      <c r="X64" s="89"/>
      <c r="Y64" s="89"/>
      <c r="Z64" s="89"/>
      <c r="AA64" s="89"/>
      <c r="AB64" s="89"/>
      <c r="AC64" s="89"/>
      <c r="AD64" s="89"/>
      <c r="AE64" s="89"/>
      <c r="AF64" s="89"/>
      <c r="AG64" s="95"/>
      <c r="AH64" s="96"/>
      <c r="AI64" s="97"/>
      <c r="AJ64" s="89"/>
      <c r="AK64" s="97"/>
      <c r="AL64" s="89"/>
      <c r="AM64" s="89"/>
      <c r="AN64" s="89"/>
      <c r="AO64" s="89"/>
      <c r="AP64" s="89"/>
      <c r="AQ64" s="89"/>
      <c r="AR64" s="89"/>
      <c r="AS64" s="89"/>
      <c r="AT64" s="89"/>
      <c r="AU64" s="89"/>
      <c r="AV64" s="89"/>
      <c r="AW64" s="89"/>
      <c r="AX64" s="89"/>
      <c r="AY64" s="89"/>
      <c r="AZ64" s="89"/>
      <c r="BA64" s="89"/>
      <c r="BB64" s="95"/>
      <c r="BC64" s="96"/>
      <c r="BD64" s="97"/>
      <c r="BE64" s="89"/>
      <c r="BF64" s="97"/>
      <c r="BG64" s="89"/>
      <c r="BH64" s="89"/>
      <c r="BI64" s="89"/>
      <c r="BJ64" s="89"/>
      <c r="BK64" s="89"/>
      <c r="BL64" s="89"/>
      <c r="BM64" s="89"/>
      <c r="BN64" s="89"/>
      <c r="BO64" s="89"/>
      <c r="BP64" s="89"/>
      <c r="BQ64" s="89"/>
      <c r="BR64" s="89"/>
      <c r="BS64" s="89"/>
      <c r="BT64" s="89"/>
      <c r="BU64" s="89"/>
      <c r="BV64" s="89"/>
      <c r="BW64" s="95"/>
      <c r="BX64" s="96"/>
      <c r="BY64" s="97"/>
      <c r="BZ64" s="89"/>
      <c r="CA64" s="97"/>
      <c r="CB64" s="89"/>
      <c r="CC64" s="89"/>
      <c r="CD64" s="89"/>
      <c r="CE64" s="89"/>
      <c r="CF64" s="89"/>
      <c r="CG64" s="89"/>
      <c r="CH64" s="89"/>
      <c r="CI64" s="89"/>
      <c r="CJ64" s="89"/>
      <c r="CK64" s="89"/>
      <c r="CL64" s="89"/>
      <c r="CM64" s="89"/>
      <c r="CN64" s="89"/>
      <c r="CO64" s="89"/>
      <c r="CP64" s="89"/>
      <c r="CQ64" s="89"/>
      <c r="CR64" s="95"/>
      <c r="CS64" s="96"/>
      <c r="CT64" s="97"/>
      <c r="CU64" s="89"/>
      <c r="CV64" s="97"/>
      <c r="CW64" s="89"/>
      <c r="CX64" s="89"/>
      <c r="CY64" s="89"/>
      <c r="CZ64" s="89"/>
      <c r="DA64" s="89"/>
      <c r="DB64" s="89"/>
      <c r="DC64" s="89"/>
      <c r="DD64" s="89"/>
      <c r="DE64" s="89"/>
      <c r="DF64" s="89"/>
      <c r="DG64" s="89"/>
      <c r="DH64" s="89"/>
      <c r="DI64" s="89"/>
      <c r="DJ64" s="89"/>
      <c r="DK64" s="89"/>
      <c r="DL64" s="89"/>
      <c r="DO64" s="214"/>
      <c r="DP64" s="162"/>
      <c r="DQ64" s="162"/>
      <c r="DR64" s="162"/>
      <c r="DS64" s="162"/>
      <c r="DT64" s="162"/>
      <c r="EE64" s="258"/>
      <c r="EF64" s="258"/>
      <c r="EG64" s="258"/>
      <c r="EH64" s="258"/>
      <c r="EI64" s="258"/>
      <c r="EJ64" s="56"/>
      <c r="EK64" s="56"/>
      <c r="EL64" s="56"/>
      <c r="EM64" s="56"/>
      <c r="EN64" s="56"/>
      <c r="ET64" s="258"/>
      <c r="EX64" s="10"/>
      <c r="EZ64" s="119"/>
      <c r="FJ64" s="284"/>
      <c r="FK64" s="284"/>
      <c r="FL64" s="284"/>
      <c r="FM64" s="283"/>
      <c r="FN64" s="283"/>
      <c r="FO64" s="162"/>
      <c r="FP64" s="162"/>
      <c r="FQ64" s="162"/>
      <c r="FR64" s="162"/>
      <c r="FS64" s="162"/>
      <c r="FU64" s="258"/>
      <c r="FV64" s="388"/>
      <c r="FW64" s="389"/>
    </row>
    <row r="65" spans="1:179" x14ac:dyDescent="0.2">
      <c r="A65" s="173"/>
      <c r="C65" s="21"/>
      <c r="D65" s="21"/>
      <c r="E65" s="21"/>
      <c r="F65" s="21"/>
      <c r="G65" s="21"/>
      <c r="H65" s="21"/>
      <c r="I65" s="21"/>
      <c r="J65" s="21"/>
      <c r="K65" s="21"/>
      <c r="L65" s="95"/>
      <c r="M65" s="278"/>
      <c r="N65" s="96"/>
      <c r="O65" s="96"/>
      <c r="P65" s="97"/>
      <c r="Q65" s="89"/>
      <c r="R65" s="279"/>
      <c r="S65" s="279"/>
      <c r="T65" s="89"/>
      <c r="U65" s="279"/>
      <c r="V65" s="279"/>
      <c r="W65" s="89"/>
      <c r="X65" s="89"/>
      <c r="Y65" s="89"/>
      <c r="Z65" s="89"/>
      <c r="AA65" s="89"/>
      <c r="AB65" s="89"/>
      <c r="AC65" s="89"/>
      <c r="AD65" s="89"/>
      <c r="AE65" s="89"/>
      <c r="AF65" s="89"/>
      <c r="AG65" s="95"/>
      <c r="AH65" s="96"/>
      <c r="AI65" s="97"/>
      <c r="AJ65" s="89"/>
      <c r="AK65" s="97"/>
      <c r="AL65" s="89"/>
      <c r="AM65" s="89"/>
      <c r="AN65" s="89"/>
      <c r="AO65" s="89"/>
      <c r="AP65" s="89"/>
      <c r="AQ65" s="89"/>
      <c r="AR65" s="89"/>
      <c r="AS65" s="89"/>
      <c r="AT65" s="89"/>
      <c r="AU65" s="89"/>
      <c r="AV65" s="89"/>
      <c r="AW65" s="89"/>
      <c r="AX65" s="89"/>
      <c r="AY65" s="89"/>
      <c r="AZ65" s="89"/>
      <c r="BA65" s="89"/>
      <c r="BB65" s="95"/>
      <c r="BC65" s="96"/>
      <c r="BD65" s="97"/>
      <c r="BE65" s="89"/>
      <c r="BF65" s="97"/>
      <c r="BG65" s="89"/>
      <c r="BH65" s="89"/>
      <c r="BI65" s="89"/>
      <c r="BJ65" s="89"/>
      <c r="BK65" s="89"/>
      <c r="BL65" s="89"/>
      <c r="BM65" s="89"/>
      <c r="BN65" s="89"/>
      <c r="BO65" s="89"/>
      <c r="BP65" s="89"/>
      <c r="BQ65" s="89"/>
      <c r="BR65" s="89"/>
      <c r="BS65" s="89"/>
      <c r="BT65" s="89"/>
      <c r="BU65" s="89"/>
      <c r="BV65" s="89"/>
      <c r="BW65" s="95"/>
      <c r="BX65" s="96"/>
      <c r="BY65" s="97"/>
      <c r="BZ65" s="89"/>
      <c r="CA65" s="97"/>
      <c r="CB65" s="89"/>
      <c r="CC65" s="89"/>
      <c r="CD65" s="89"/>
      <c r="CE65" s="89"/>
      <c r="CF65" s="89"/>
      <c r="CG65" s="89"/>
      <c r="CH65" s="89"/>
      <c r="CI65" s="89"/>
      <c r="CJ65" s="89"/>
      <c r="CK65" s="89"/>
      <c r="CL65" s="89"/>
      <c r="CM65" s="89"/>
      <c r="CN65" s="89"/>
      <c r="CO65" s="89"/>
      <c r="CP65" s="89"/>
      <c r="CQ65" s="89"/>
      <c r="CR65" s="95"/>
      <c r="CS65" s="96"/>
      <c r="CT65" s="97"/>
      <c r="CU65" s="89"/>
      <c r="CV65" s="97"/>
      <c r="CW65" s="89"/>
      <c r="CX65" s="89"/>
      <c r="CY65" s="89"/>
      <c r="CZ65" s="89"/>
      <c r="DA65" s="89"/>
      <c r="DB65" s="89"/>
      <c r="DC65" s="89"/>
      <c r="DD65" s="89"/>
      <c r="DE65" s="89"/>
      <c r="DF65" s="89"/>
      <c r="DG65" s="89"/>
      <c r="DH65" s="89"/>
      <c r="DI65" s="89"/>
      <c r="DJ65" s="89"/>
      <c r="DK65" s="89"/>
      <c r="DL65" s="89"/>
      <c r="DO65" s="214"/>
      <c r="DP65" s="162"/>
      <c r="DQ65" s="162"/>
      <c r="DR65" s="162"/>
      <c r="DS65" s="162"/>
      <c r="DT65" s="162"/>
      <c r="EE65" s="258"/>
      <c r="EF65" s="258"/>
      <c r="EG65" s="258"/>
      <c r="EH65" s="258"/>
      <c r="EI65" s="258"/>
      <c r="EJ65" s="56"/>
      <c r="EK65" s="56"/>
      <c r="EL65" s="56"/>
      <c r="EM65" s="56"/>
      <c r="EN65" s="56"/>
      <c r="ET65" s="258"/>
      <c r="EX65" s="10"/>
      <c r="EZ65" s="119"/>
      <c r="FJ65" s="284"/>
      <c r="FK65" s="284"/>
      <c r="FL65" s="284"/>
      <c r="FM65" s="283"/>
      <c r="FN65" s="283"/>
      <c r="FO65" s="162"/>
      <c r="FP65" s="162"/>
      <c r="FQ65" s="162"/>
      <c r="FR65" s="162"/>
      <c r="FS65" s="162"/>
      <c r="FU65" s="258"/>
      <c r="FV65" s="388"/>
      <c r="FW65" s="389"/>
    </row>
    <row r="66" spans="1:179" x14ac:dyDescent="0.2">
      <c r="A66" s="173"/>
      <c r="C66" s="21"/>
      <c r="D66" s="21"/>
      <c r="E66" s="21"/>
      <c r="F66" s="21"/>
      <c r="G66" s="21"/>
      <c r="H66" s="21"/>
      <c r="I66" s="21"/>
      <c r="J66" s="21"/>
      <c r="K66" s="21"/>
      <c r="L66" s="95"/>
      <c r="M66" s="278"/>
      <c r="N66" s="96"/>
      <c r="O66" s="96"/>
      <c r="P66" s="97"/>
      <c r="Q66" s="89"/>
      <c r="R66" s="279"/>
      <c r="S66" s="279"/>
      <c r="T66" s="89"/>
      <c r="U66" s="279"/>
      <c r="V66" s="279"/>
      <c r="W66" s="89"/>
      <c r="X66" s="89"/>
      <c r="Y66" s="89"/>
      <c r="Z66" s="89"/>
      <c r="AA66" s="89"/>
      <c r="AB66" s="89"/>
      <c r="AC66" s="89"/>
      <c r="AD66" s="89"/>
      <c r="AE66" s="89"/>
      <c r="AF66" s="89"/>
      <c r="AG66" s="95"/>
      <c r="AH66" s="96"/>
      <c r="AI66" s="97"/>
      <c r="AJ66" s="89"/>
      <c r="AK66" s="97"/>
      <c r="AL66" s="89"/>
      <c r="AM66" s="89"/>
      <c r="AN66" s="89"/>
      <c r="AO66" s="89"/>
      <c r="AP66" s="89"/>
      <c r="AQ66" s="89"/>
      <c r="AR66" s="89"/>
      <c r="AS66" s="89"/>
      <c r="AT66" s="89"/>
      <c r="AU66" s="89"/>
      <c r="AV66" s="89"/>
      <c r="AW66" s="89"/>
      <c r="AX66" s="89"/>
      <c r="AY66" s="89"/>
      <c r="AZ66" s="89"/>
      <c r="BA66" s="89"/>
      <c r="BB66" s="95"/>
      <c r="BC66" s="96"/>
      <c r="BD66" s="97"/>
      <c r="BE66" s="89"/>
      <c r="BF66" s="97"/>
      <c r="BG66" s="89"/>
      <c r="BH66" s="89"/>
      <c r="BI66" s="89"/>
      <c r="BJ66" s="89"/>
      <c r="BK66" s="89"/>
      <c r="BL66" s="89"/>
      <c r="BM66" s="89"/>
      <c r="BN66" s="89"/>
      <c r="BO66" s="89"/>
      <c r="BP66" s="89"/>
      <c r="BQ66" s="89"/>
      <c r="BR66" s="89"/>
      <c r="BS66" s="89"/>
      <c r="BT66" s="89"/>
      <c r="BU66" s="89"/>
      <c r="BV66" s="89"/>
      <c r="BW66" s="95"/>
      <c r="BX66" s="96"/>
      <c r="BY66" s="97"/>
      <c r="BZ66" s="89"/>
      <c r="CA66" s="97"/>
      <c r="CB66" s="89"/>
      <c r="CC66" s="89"/>
      <c r="CD66" s="89"/>
      <c r="CE66" s="89"/>
      <c r="CF66" s="89"/>
      <c r="CG66" s="89"/>
      <c r="CH66" s="89"/>
      <c r="CI66" s="89"/>
      <c r="CJ66" s="89"/>
      <c r="CK66" s="89"/>
      <c r="CL66" s="89"/>
      <c r="CM66" s="89"/>
      <c r="CN66" s="89"/>
      <c r="CO66" s="89"/>
      <c r="CP66" s="89"/>
      <c r="CQ66" s="89"/>
      <c r="CR66" s="95"/>
      <c r="CS66" s="96"/>
      <c r="CT66" s="97"/>
      <c r="CU66" s="89"/>
      <c r="CV66" s="97"/>
      <c r="CW66" s="89"/>
      <c r="CX66" s="89"/>
      <c r="CY66" s="89"/>
      <c r="CZ66" s="89"/>
      <c r="DA66" s="89"/>
      <c r="DB66" s="89"/>
      <c r="DC66" s="89"/>
      <c r="DD66" s="89"/>
      <c r="DE66" s="89"/>
      <c r="DF66" s="89"/>
      <c r="DG66" s="89"/>
      <c r="DH66" s="89"/>
      <c r="DI66" s="89"/>
      <c r="DJ66" s="89"/>
      <c r="DK66" s="89"/>
      <c r="DL66" s="89"/>
      <c r="DO66" s="214"/>
      <c r="DP66" s="162"/>
      <c r="DQ66" s="162"/>
      <c r="DR66" s="162"/>
      <c r="DS66" s="162"/>
      <c r="DT66" s="162"/>
      <c r="EE66" s="258"/>
      <c r="EF66" s="258"/>
      <c r="EG66" s="258"/>
      <c r="EH66" s="258"/>
      <c r="EI66" s="258"/>
      <c r="EJ66" s="56"/>
      <c r="EK66" s="56"/>
      <c r="EL66" s="56"/>
      <c r="EM66" s="56"/>
      <c r="EN66" s="56"/>
      <c r="ET66" s="258"/>
      <c r="EX66" s="10"/>
      <c r="EZ66" s="119"/>
      <c r="FJ66" s="284"/>
      <c r="FK66" s="284"/>
      <c r="FL66" s="284"/>
      <c r="FM66" s="283"/>
      <c r="FN66" s="283"/>
      <c r="FO66" s="162"/>
      <c r="FP66" s="162"/>
      <c r="FQ66" s="162"/>
      <c r="FR66" s="162"/>
      <c r="FS66" s="162"/>
      <c r="FU66" s="258"/>
      <c r="FV66" s="388"/>
      <c r="FW66" s="389"/>
    </row>
    <row r="67" spans="1:179" x14ac:dyDescent="0.2">
      <c r="A67" s="21"/>
      <c r="C67" s="21"/>
      <c r="D67" s="21"/>
      <c r="E67" s="21"/>
      <c r="F67" s="21"/>
      <c r="G67" s="21"/>
      <c r="H67" s="21"/>
      <c r="I67" s="21"/>
      <c r="J67" s="21"/>
      <c r="K67" s="21"/>
      <c r="L67" s="95"/>
      <c r="M67" s="278"/>
      <c r="N67" s="96"/>
      <c r="O67" s="96"/>
      <c r="P67" s="97"/>
      <c r="Q67" s="89"/>
      <c r="R67" s="279"/>
      <c r="S67" s="279"/>
      <c r="T67" s="89"/>
      <c r="U67" s="279"/>
      <c r="V67" s="279"/>
      <c r="W67" s="89"/>
      <c r="X67" s="89"/>
      <c r="Y67" s="89"/>
      <c r="Z67" s="89"/>
      <c r="AA67" s="89"/>
      <c r="AB67" s="89"/>
      <c r="AC67" s="89"/>
      <c r="AD67" s="89"/>
      <c r="AE67" s="89"/>
      <c r="AF67" s="89"/>
      <c r="AG67" s="95"/>
      <c r="AH67" s="96"/>
      <c r="AI67" s="97"/>
      <c r="AJ67" s="89"/>
      <c r="AK67" s="97"/>
      <c r="AL67" s="89"/>
      <c r="AM67" s="89"/>
      <c r="AN67" s="89"/>
      <c r="AO67" s="89"/>
      <c r="AP67" s="89"/>
      <c r="AQ67" s="89"/>
      <c r="AR67" s="89"/>
      <c r="AS67" s="89"/>
      <c r="AT67" s="89"/>
      <c r="AU67" s="89"/>
      <c r="AV67" s="89"/>
      <c r="AW67" s="89"/>
      <c r="AX67" s="89"/>
      <c r="AY67" s="89"/>
      <c r="AZ67" s="89"/>
      <c r="BA67" s="89"/>
      <c r="BB67" s="95"/>
      <c r="BC67" s="96"/>
      <c r="BD67" s="97"/>
      <c r="BE67" s="89"/>
      <c r="BF67" s="97"/>
      <c r="BG67" s="89"/>
      <c r="BH67" s="89"/>
      <c r="BI67" s="89"/>
      <c r="BJ67" s="89"/>
      <c r="BK67" s="89"/>
      <c r="BL67" s="89"/>
      <c r="BM67" s="89"/>
      <c r="BN67" s="89"/>
      <c r="BO67" s="89"/>
      <c r="BP67" s="89"/>
      <c r="BQ67" s="89"/>
      <c r="BR67" s="89"/>
      <c r="BS67" s="89"/>
      <c r="BT67" s="89"/>
      <c r="BU67" s="89"/>
      <c r="BV67" s="89"/>
      <c r="BW67" s="95"/>
      <c r="BX67" s="96"/>
      <c r="BY67" s="97"/>
      <c r="BZ67" s="89"/>
      <c r="CA67" s="97"/>
      <c r="CB67" s="89"/>
      <c r="CC67" s="89"/>
      <c r="CD67" s="89"/>
      <c r="CE67" s="89"/>
      <c r="CF67" s="89"/>
      <c r="CG67" s="89"/>
      <c r="CH67" s="89"/>
      <c r="CI67" s="89"/>
      <c r="CJ67" s="89"/>
      <c r="CK67" s="89"/>
      <c r="CL67" s="89"/>
      <c r="CM67" s="89"/>
      <c r="CN67" s="89"/>
      <c r="CO67" s="89"/>
      <c r="CP67" s="89"/>
      <c r="CQ67" s="89"/>
      <c r="CR67" s="95"/>
      <c r="CS67" s="96"/>
      <c r="CT67" s="97"/>
      <c r="CU67" s="89"/>
      <c r="CV67" s="97"/>
      <c r="CW67" s="89"/>
      <c r="CX67" s="89"/>
      <c r="CY67" s="89"/>
      <c r="CZ67" s="89"/>
      <c r="DA67" s="89"/>
      <c r="DB67" s="89"/>
      <c r="DC67" s="89"/>
      <c r="DD67" s="89"/>
      <c r="DE67" s="89"/>
      <c r="DF67" s="89"/>
      <c r="DG67" s="89"/>
      <c r="DH67" s="89"/>
      <c r="DI67" s="89"/>
      <c r="DJ67" s="89"/>
      <c r="DK67" s="89"/>
      <c r="DL67" s="89"/>
      <c r="DO67" s="214"/>
      <c r="DP67" s="162"/>
      <c r="DQ67" s="162"/>
      <c r="DR67" s="162"/>
      <c r="DS67" s="162"/>
      <c r="DT67" s="162"/>
      <c r="EE67" s="258"/>
      <c r="EF67" s="258"/>
      <c r="EG67" s="258"/>
      <c r="EH67" s="258"/>
      <c r="EI67" s="258"/>
      <c r="EJ67" s="56"/>
      <c r="EK67" s="56"/>
      <c r="EL67" s="56"/>
      <c r="EM67" s="56"/>
      <c r="EN67" s="56"/>
      <c r="ET67" s="258"/>
      <c r="EX67" s="10"/>
      <c r="EZ67" s="119"/>
      <c r="FJ67" s="284"/>
      <c r="FK67" s="284"/>
      <c r="FL67" s="284"/>
      <c r="FM67" s="283"/>
      <c r="FN67" s="283"/>
      <c r="FO67" s="162"/>
      <c r="FP67" s="162"/>
      <c r="FQ67" s="162"/>
      <c r="FR67" s="162"/>
      <c r="FS67" s="162"/>
      <c r="FU67" s="258"/>
      <c r="FV67" s="388"/>
      <c r="FW67" s="389"/>
    </row>
    <row r="68" spans="1:179" x14ac:dyDescent="0.2">
      <c r="A68" s="21"/>
      <c r="C68" s="21"/>
      <c r="D68" s="21"/>
      <c r="E68" s="21"/>
      <c r="F68" s="21"/>
      <c r="G68" s="21"/>
      <c r="H68" s="21"/>
      <c r="I68" s="21"/>
      <c r="J68" s="21"/>
      <c r="K68" s="21"/>
      <c r="L68" s="95"/>
      <c r="M68" s="278"/>
      <c r="N68" s="96"/>
      <c r="O68" s="96"/>
      <c r="P68" s="97"/>
      <c r="Q68" s="89"/>
      <c r="R68" s="279"/>
      <c r="S68" s="279"/>
      <c r="T68" s="89"/>
      <c r="U68" s="279"/>
      <c r="V68" s="279"/>
      <c r="W68" s="89"/>
      <c r="X68" s="89"/>
      <c r="Y68" s="89"/>
      <c r="Z68" s="89"/>
      <c r="AA68" s="89"/>
      <c r="AB68" s="89"/>
      <c r="AC68" s="89"/>
      <c r="AD68" s="89"/>
      <c r="AE68" s="89"/>
      <c r="AF68" s="89"/>
      <c r="AG68" s="95"/>
      <c r="AH68" s="96"/>
      <c r="AI68" s="97"/>
      <c r="AJ68" s="89"/>
      <c r="AK68" s="97"/>
      <c r="AL68" s="89"/>
      <c r="AM68" s="89"/>
      <c r="AN68" s="89"/>
      <c r="AO68" s="89"/>
      <c r="AP68" s="89"/>
      <c r="AQ68" s="89"/>
      <c r="AR68" s="89"/>
      <c r="AS68" s="89"/>
      <c r="AT68" s="89"/>
      <c r="AU68" s="89"/>
      <c r="AV68" s="89"/>
      <c r="AW68" s="89"/>
      <c r="AX68" s="89"/>
      <c r="AY68" s="89"/>
      <c r="AZ68" s="89"/>
      <c r="BA68" s="89"/>
      <c r="BB68" s="95"/>
      <c r="BC68" s="96"/>
      <c r="BD68" s="97"/>
      <c r="BE68" s="89"/>
      <c r="BF68" s="97"/>
      <c r="BG68" s="89"/>
      <c r="BH68" s="89"/>
      <c r="BI68" s="89"/>
      <c r="BJ68" s="89"/>
      <c r="BK68" s="89"/>
      <c r="BL68" s="89"/>
      <c r="BM68" s="89"/>
      <c r="BN68" s="89"/>
      <c r="BO68" s="89"/>
      <c r="BP68" s="89"/>
      <c r="BQ68" s="89"/>
      <c r="BR68" s="89"/>
      <c r="BS68" s="89"/>
      <c r="BT68" s="89"/>
      <c r="BU68" s="89"/>
      <c r="BV68" s="89"/>
      <c r="BW68" s="95"/>
      <c r="BX68" s="96"/>
      <c r="BY68" s="97"/>
      <c r="BZ68" s="89"/>
      <c r="CA68" s="97"/>
      <c r="CB68" s="89"/>
      <c r="CC68" s="89"/>
      <c r="CD68" s="89"/>
      <c r="CE68" s="89"/>
      <c r="CF68" s="89"/>
      <c r="CG68" s="89"/>
      <c r="CH68" s="89"/>
      <c r="CI68" s="89"/>
      <c r="CJ68" s="89"/>
      <c r="CK68" s="89"/>
      <c r="CL68" s="89"/>
      <c r="CM68" s="89"/>
      <c r="CN68" s="89"/>
      <c r="CO68" s="89"/>
      <c r="CP68" s="89"/>
      <c r="CQ68" s="89"/>
      <c r="CR68" s="95"/>
      <c r="CS68" s="96"/>
      <c r="CT68" s="97"/>
      <c r="CU68" s="89"/>
      <c r="CV68" s="97"/>
      <c r="CW68" s="89"/>
      <c r="CX68" s="89"/>
      <c r="CY68" s="89"/>
      <c r="CZ68" s="89"/>
      <c r="DA68" s="89"/>
      <c r="DB68" s="89"/>
      <c r="DC68" s="89"/>
      <c r="DD68" s="89"/>
      <c r="DE68" s="89"/>
      <c r="DF68" s="89"/>
      <c r="DG68" s="89"/>
      <c r="DH68" s="89"/>
      <c r="DI68" s="89"/>
      <c r="DJ68" s="89"/>
      <c r="DK68" s="89"/>
      <c r="DL68" s="89"/>
      <c r="DO68" s="214"/>
      <c r="DP68" s="162"/>
      <c r="DQ68" s="162"/>
      <c r="DR68" s="162"/>
      <c r="DS68" s="162"/>
      <c r="DT68" s="162"/>
      <c r="EE68" s="258"/>
      <c r="EF68" s="258"/>
      <c r="EG68" s="258"/>
      <c r="EH68" s="258"/>
      <c r="EI68" s="258"/>
      <c r="EJ68" s="56"/>
      <c r="EK68" s="56"/>
      <c r="EL68" s="56"/>
      <c r="EM68" s="56"/>
      <c r="EN68" s="56"/>
      <c r="ET68" s="258"/>
      <c r="EX68" s="10"/>
      <c r="EZ68" s="119"/>
      <c r="FJ68" s="284"/>
      <c r="FK68" s="284"/>
      <c r="FL68" s="284"/>
      <c r="FM68" s="283"/>
      <c r="FN68" s="283"/>
      <c r="FO68" s="162"/>
      <c r="FP68" s="162"/>
      <c r="FQ68" s="162"/>
      <c r="FR68" s="162"/>
      <c r="FS68" s="162"/>
      <c r="FU68" s="258"/>
      <c r="FV68" s="388"/>
      <c r="FW68" s="389"/>
    </row>
    <row r="69" spans="1:179" x14ac:dyDescent="0.2">
      <c r="A69" s="21"/>
      <c r="C69" s="21"/>
      <c r="D69" s="21"/>
      <c r="E69" s="21"/>
      <c r="F69" s="21"/>
      <c r="G69" s="21"/>
      <c r="H69" s="21"/>
      <c r="I69" s="21"/>
      <c r="J69" s="21"/>
      <c r="K69" s="21"/>
      <c r="L69" s="95"/>
      <c r="M69" s="278"/>
      <c r="N69" s="96"/>
      <c r="O69" s="96"/>
      <c r="P69" s="97"/>
      <c r="Q69" s="89"/>
      <c r="R69" s="279"/>
      <c r="S69" s="279"/>
      <c r="T69" s="89"/>
      <c r="U69" s="279"/>
      <c r="V69" s="279"/>
      <c r="W69" s="89"/>
      <c r="X69" s="89"/>
      <c r="Y69" s="89"/>
      <c r="Z69" s="89"/>
      <c r="AA69" s="89"/>
      <c r="AB69" s="89"/>
      <c r="AC69" s="89"/>
      <c r="AD69" s="89"/>
      <c r="AE69" s="89"/>
      <c r="AF69" s="89"/>
      <c r="AG69" s="95"/>
      <c r="AH69" s="96"/>
      <c r="AI69" s="97"/>
      <c r="AJ69" s="89"/>
      <c r="AK69" s="97"/>
      <c r="AL69" s="89"/>
      <c r="AM69" s="89"/>
      <c r="AN69" s="89"/>
      <c r="AO69" s="89"/>
      <c r="AP69" s="89"/>
      <c r="AQ69" s="89"/>
      <c r="AR69" s="89"/>
      <c r="AS69" s="89"/>
      <c r="AT69" s="89"/>
      <c r="AU69" s="89"/>
      <c r="AV69" s="89"/>
      <c r="AW69" s="89"/>
      <c r="AX69" s="89"/>
      <c r="AY69" s="89"/>
      <c r="AZ69" s="89"/>
      <c r="BA69" s="89"/>
      <c r="BB69" s="95"/>
      <c r="BC69" s="96"/>
      <c r="BD69" s="97"/>
      <c r="BE69" s="89"/>
      <c r="BF69" s="97"/>
      <c r="BG69" s="89"/>
      <c r="BH69" s="89"/>
      <c r="BI69" s="89"/>
      <c r="BJ69" s="89"/>
      <c r="BK69" s="89"/>
      <c r="BL69" s="89"/>
      <c r="BM69" s="89"/>
      <c r="BN69" s="89"/>
      <c r="BO69" s="89"/>
      <c r="BP69" s="89"/>
      <c r="BQ69" s="89"/>
      <c r="BR69" s="89"/>
      <c r="BS69" s="89"/>
      <c r="BT69" s="89"/>
      <c r="BU69" s="89"/>
      <c r="BV69" s="89"/>
      <c r="BW69" s="95"/>
      <c r="BX69" s="96"/>
      <c r="BY69" s="97"/>
      <c r="BZ69" s="89"/>
      <c r="CA69" s="97"/>
      <c r="CB69" s="89"/>
      <c r="CC69" s="89"/>
      <c r="CD69" s="89"/>
      <c r="CE69" s="89"/>
      <c r="CF69" s="89"/>
      <c r="CG69" s="89"/>
      <c r="CH69" s="89"/>
      <c r="CI69" s="89"/>
      <c r="CJ69" s="89"/>
      <c r="CK69" s="89"/>
      <c r="CL69" s="89"/>
      <c r="CM69" s="89"/>
      <c r="CN69" s="89"/>
      <c r="CO69" s="89"/>
      <c r="CP69" s="89"/>
      <c r="CQ69" s="89"/>
      <c r="CR69" s="95"/>
      <c r="CS69" s="96"/>
      <c r="CT69" s="97"/>
      <c r="CU69" s="89"/>
      <c r="CV69" s="97"/>
      <c r="CW69" s="89"/>
      <c r="CX69" s="89"/>
      <c r="CY69" s="89"/>
      <c r="CZ69" s="89"/>
      <c r="DA69" s="89"/>
      <c r="DB69" s="89"/>
      <c r="DC69" s="89"/>
      <c r="DD69" s="89"/>
      <c r="DE69" s="89"/>
      <c r="DF69" s="89"/>
      <c r="DG69" s="89"/>
      <c r="DH69" s="89"/>
      <c r="DI69" s="89"/>
      <c r="DJ69" s="89"/>
      <c r="DK69" s="89"/>
      <c r="DL69" s="89"/>
      <c r="DO69" s="214"/>
      <c r="DP69" s="162"/>
      <c r="DQ69" s="162"/>
      <c r="DR69" s="162"/>
      <c r="DS69" s="162"/>
      <c r="DT69" s="162"/>
      <c r="EE69" s="258"/>
      <c r="EF69" s="258"/>
      <c r="EG69" s="258"/>
      <c r="EH69" s="258"/>
      <c r="EI69" s="258"/>
      <c r="EJ69" s="56"/>
      <c r="EK69" s="56"/>
      <c r="EL69" s="56"/>
      <c r="EM69" s="56"/>
      <c r="EN69" s="56"/>
      <c r="ET69" s="258"/>
      <c r="EX69" s="10"/>
      <c r="EZ69" s="119"/>
      <c r="FJ69" s="284"/>
      <c r="FK69" s="284"/>
      <c r="FL69" s="284"/>
      <c r="FM69" s="283"/>
      <c r="FN69" s="283"/>
      <c r="FO69" s="162"/>
      <c r="FP69" s="162"/>
      <c r="FQ69" s="162"/>
      <c r="FR69" s="162"/>
      <c r="FS69" s="162"/>
      <c r="FU69" s="258"/>
      <c r="FV69" s="388"/>
      <c r="FW69" s="389"/>
    </row>
    <row r="70" spans="1:179" x14ac:dyDescent="0.2">
      <c r="A70" s="21"/>
      <c r="C70" s="21"/>
      <c r="D70" s="21"/>
      <c r="E70" s="21"/>
      <c r="F70" s="21"/>
      <c r="G70" s="21"/>
      <c r="H70" s="21"/>
      <c r="I70" s="21"/>
      <c r="J70" s="21"/>
      <c r="K70" s="21"/>
      <c r="L70" s="95"/>
      <c r="M70" s="278"/>
      <c r="N70" s="96"/>
      <c r="O70" s="96"/>
      <c r="P70" s="97"/>
      <c r="Q70" s="89"/>
      <c r="R70" s="279"/>
      <c r="S70" s="279"/>
      <c r="T70" s="89"/>
      <c r="U70" s="279"/>
      <c r="V70" s="279"/>
      <c r="W70" s="89"/>
      <c r="X70" s="89"/>
      <c r="Y70" s="89"/>
      <c r="Z70" s="89"/>
      <c r="AA70" s="89"/>
      <c r="AB70" s="89"/>
      <c r="AC70" s="89"/>
      <c r="AD70" s="89"/>
      <c r="AE70" s="89"/>
      <c r="AF70" s="89"/>
      <c r="AG70" s="95"/>
      <c r="AH70" s="96"/>
      <c r="AI70" s="97"/>
      <c r="AJ70" s="89"/>
      <c r="AK70" s="97"/>
      <c r="AL70" s="89"/>
      <c r="AM70" s="89"/>
      <c r="AN70" s="89"/>
      <c r="AO70" s="89"/>
      <c r="AP70" s="89"/>
      <c r="AQ70" s="89"/>
      <c r="AR70" s="89"/>
      <c r="AS70" s="89"/>
      <c r="AT70" s="89"/>
      <c r="AU70" s="89"/>
      <c r="AV70" s="89"/>
      <c r="AW70" s="89"/>
      <c r="AX70" s="89"/>
      <c r="AY70" s="89"/>
      <c r="AZ70" s="89"/>
      <c r="BA70" s="89"/>
      <c r="BB70" s="95"/>
      <c r="BC70" s="96"/>
      <c r="BD70" s="97"/>
      <c r="BE70" s="89"/>
      <c r="BF70" s="97"/>
      <c r="BG70" s="89"/>
      <c r="BH70" s="89"/>
      <c r="BI70" s="89"/>
      <c r="BJ70" s="89"/>
      <c r="BK70" s="89"/>
      <c r="BL70" s="89"/>
      <c r="BM70" s="89"/>
      <c r="BN70" s="89"/>
      <c r="BO70" s="89"/>
      <c r="BP70" s="89"/>
      <c r="BQ70" s="89"/>
      <c r="BR70" s="89"/>
      <c r="BS70" s="89"/>
      <c r="BT70" s="89"/>
      <c r="BU70" s="89"/>
      <c r="BV70" s="89"/>
      <c r="BW70" s="95"/>
      <c r="BX70" s="96"/>
      <c r="BY70" s="97"/>
      <c r="BZ70" s="89"/>
      <c r="CA70" s="97"/>
      <c r="CB70" s="89"/>
      <c r="CC70" s="89"/>
      <c r="CD70" s="89"/>
      <c r="CE70" s="89"/>
      <c r="CF70" s="89"/>
      <c r="CG70" s="89"/>
      <c r="CH70" s="89"/>
      <c r="CI70" s="89"/>
      <c r="CJ70" s="89"/>
      <c r="CK70" s="89"/>
      <c r="CL70" s="89"/>
      <c r="CM70" s="89"/>
      <c r="CN70" s="89"/>
      <c r="CO70" s="89"/>
      <c r="CP70" s="89"/>
      <c r="CQ70" s="89"/>
      <c r="CR70" s="95"/>
      <c r="CS70" s="96"/>
      <c r="CT70" s="97"/>
      <c r="CU70" s="89"/>
      <c r="CV70" s="97"/>
      <c r="CW70" s="89"/>
      <c r="CX70" s="89"/>
      <c r="CY70" s="89"/>
      <c r="CZ70" s="89"/>
      <c r="DA70" s="89"/>
      <c r="DB70" s="89"/>
      <c r="DC70" s="89"/>
      <c r="DD70" s="89"/>
      <c r="DE70" s="89"/>
      <c r="DF70" s="89"/>
      <c r="DG70" s="89"/>
      <c r="DH70" s="89"/>
      <c r="DI70" s="89"/>
      <c r="DJ70" s="89"/>
      <c r="DK70" s="89"/>
      <c r="DL70" s="89"/>
      <c r="DO70" s="214"/>
      <c r="DP70" s="162"/>
      <c r="DQ70" s="162"/>
      <c r="DR70" s="162"/>
      <c r="DS70" s="162"/>
      <c r="DT70" s="162"/>
      <c r="EE70" s="258"/>
      <c r="EF70" s="258"/>
      <c r="EG70" s="258"/>
      <c r="EH70" s="258"/>
      <c r="EI70" s="258"/>
      <c r="EJ70" s="56"/>
      <c r="EK70" s="56"/>
      <c r="EL70" s="56"/>
      <c r="EM70" s="56"/>
      <c r="EN70" s="56"/>
      <c r="ET70" s="258"/>
      <c r="EX70" s="10"/>
      <c r="EZ70" s="119"/>
      <c r="FJ70" s="284"/>
      <c r="FK70" s="284"/>
      <c r="FL70" s="284"/>
      <c r="FM70" s="283"/>
      <c r="FN70" s="283"/>
      <c r="FO70" s="162"/>
      <c r="FP70" s="162"/>
      <c r="FQ70" s="162"/>
      <c r="FR70" s="162"/>
      <c r="FS70" s="162"/>
      <c r="FU70" s="258"/>
      <c r="FV70" s="388"/>
      <c r="FW70" s="389"/>
    </row>
    <row r="71" spans="1:179" x14ac:dyDescent="0.2">
      <c r="A71" s="21"/>
      <c r="C71" s="21"/>
      <c r="D71" s="21"/>
      <c r="E71" s="21"/>
      <c r="F71" s="21"/>
      <c r="G71" s="21"/>
      <c r="H71" s="21"/>
      <c r="I71" s="21"/>
      <c r="J71" s="21"/>
      <c r="K71" s="21"/>
      <c r="L71" s="95"/>
      <c r="M71" s="278"/>
      <c r="N71" s="96"/>
      <c r="O71" s="96"/>
      <c r="P71" s="97"/>
      <c r="Q71" s="89"/>
      <c r="R71" s="279"/>
      <c r="S71" s="279"/>
      <c r="T71" s="89"/>
      <c r="U71" s="279"/>
      <c r="V71" s="279"/>
      <c r="W71" s="89"/>
      <c r="X71" s="89"/>
      <c r="Y71" s="89"/>
      <c r="Z71" s="89"/>
      <c r="AA71" s="89"/>
      <c r="AB71" s="89"/>
      <c r="AC71" s="89"/>
      <c r="AD71" s="89"/>
      <c r="AE71" s="89"/>
      <c r="AF71" s="89"/>
      <c r="AG71" s="95"/>
      <c r="AH71" s="96"/>
      <c r="AI71" s="97"/>
      <c r="AJ71" s="89"/>
      <c r="AK71" s="97"/>
      <c r="AL71" s="89"/>
      <c r="AM71" s="89"/>
      <c r="AN71" s="89"/>
      <c r="AO71" s="89"/>
      <c r="AP71" s="89"/>
      <c r="AQ71" s="89"/>
      <c r="AR71" s="89"/>
      <c r="AS71" s="89"/>
      <c r="AT71" s="89"/>
      <c r="AU71" s="89"/>
      <c r="AV71" s="89"/>
      <c r="AW71" s="89"/>
      <c r="AX71" s="89"/>
      <c r="AY71" s="89"/>
      <c r="AZ71" s="89"/>
      <c r="BA71" s="89"/>
      <c r="BB71" s="95"/>
      <c r="BC71" s="96"/>
      <c r="BD71" s="97"/>
      <c r="BE71" s="89"/>
      <c r="BF71" s="97"/>
      <c r="BG71" s="89"/>
      <c r="BH71" s="89"/>
      <c r="BI71" s="89"/>
      <c r="BJ71" s="89"/>
      <c r="BK71" s="89"/>
      <c r="BL71" s="89"/>
      <c r="BM71" s="89"/>
      <c r="BN71" s="89"/>
      <c r="BO71" s="89"/>
      <c r="BP71" s="89"/>
      <c r="BQ71" s="89"/>
      <c r="BR71" s="89"/>
      <c r="BS71" s="89"/>
      <c r="BT71" s="89"/>
      <c r="BU71" s="89"/>
      <c r="BV71" s="89"/>
      <c r="BW71" s="95"/>
      <c r="BX71" s="96"/>
      <c r="BY71" s="97"/>
      <c r="BZ71" s="89"/>
      <c r="CA71" s="97"/>
      <c r="CB71" s="89"/>
      <c r="CC71" s="89"/>
      <c r="CD71" s="89"/>
      <c r="CE71" s="89"/>
      <c r="CF71" s="89"/>
      <c r="CG71" s="89"/>
      <c r="CH71" s="89"/>
      <c r="CI71" s="89"/>
      <c r="CJ71" s="89"/>
      <c r="CK71" s="89"/>
      <c r="CL71" s="89"/>
      <c r="CM71" s="89"/>
      <c r="CN71" s="89"/>
      <c r="CO71" s="89"/>
      <c r="CP71" s="89"/>
      <c r="CQ71" s="89"/>
      <c r="CR71" s="95"/>
      <c r="CS71" s="96"/>
      <c r="CT71" s="97"/>
      <c r="CU71" s="89"/>
      <c r="CV71" s="97"/>
      <c r="CW71" s="89"/>
      <c r="CX71" s="89"/>
      <c r="CY71" s="89"/>
      <c r="CZ71" s="89"/>
      <c r="DA71" s="89"/>
      <c r="DB71" s="89"/>
      <c r="DC71" s="89"/>
      <c r="DD71" s="89"/>
      <c r="DE71" s="89"/>
      <c r="DF71" s="89"/>
      <c r="DG71" s="89"/>
      <c r="DH71" s="89"/>
      <c r="DI71" s="89"/>
      <c r="DJ71" s="89"/>
      <c r="DK71" s="89"/>
      <c r="DL71" s="89"/>
      <c r="DO71" s="214"/>
      <c r="DP71" s="162"/>
      <c r="DQ71" s="162"/>
      <c r="DR71" s="162"/>
      <c r="DS71" s="162"/>
      <c r="DT71" s="162"/>
      <c r="EE71" s="258"/>
      <c r="EF71" s="258"/>
      <c r="EG71" s="258"/>
      <c r="EH71" s="258"/>
      <c r="EI71" s="258"/>
      <c r="EJ71" s="56"/>
      <c r="EK71" s="56"/>
      <c r="EL71" s="56"/>
      <c r="EM71" s="56"/>
      <c r="EN71" s="56"/>
      <c r="ET71" s="258"/>
      <c r="EX71" s="10"/>
      <c r="EZ71" s="119"/>
      <c r="FJ71" s="284"/>
      <c r="FK71" s="284"/>
      <c r="FL71" s="284"/>
      <c r="FM71" s="283"/>
      <c r="FN71" s="283"/>
      <c r="FO71" s="162"/>
      <c r="FP71" s="162"/>
      <c r="FQ71" s="162"/>
      <c r="FR71" s="162"/>
      <c r="FS71" s="162"/>
      <c r="FU71" s="258"/>
      <c r="FV71" s="388"/>
      <c r="FW71" s="389"/>
    </row>
    <row r="72" spans="1:179" x14ac:dyDescent="0.2">
      <c r="A72" s="21"/>
      <c r="C72" s="21"/>
      <c r="D72" s="21"/>
      <c r="E72" s="21"/>
      <c r="F72" s="21"/>
      <c r="G72" s="21"/>
      <c r="H72" s="21"/>
      <c r="I72" s="21"/>
      <c r="J72" s="21"/>
      <c r="K72" s="21"/>
      <c r="L72" s="95"/>
      <c r="M72" s="278"/>
      <c r="N72" s="96"/>
      <c r="O72" s="96"/>
      <c r="P72" s="97"/>
      <c r="Q72" s="89"/>
      <c r="R72" s="279"/>
      <c r="S72" s="279"/>
      <c r="T72" s="89"/>
      <c r="U72" s="279"/>
      <c r="V72" s="279"/>
      <c r="W72" s="89"/>
      <c r="X72" s="89"/>
      <c r="Y72" s="89"/>
      <c r="Z72" s="89"/>
      <c r="AA72" s="89"/>
      <c r="AB72" s="89"/>
      <c r="AC72" s="89"/>
      <c r="AD72" s="89"/>
      <c r="AE72" s="89"/>
      <c r="AF72" s="89"/>
      <c r="AG72" s="95"/>
      <c r="AH72" s="96"/>
      <c r="AI72" s="97"/>
      <c r="AJ72" s="89"/>
      <c r="AK72" s="97"/>
      <c r="AL72" s="89"/>
      <c r="AM72" s="89"/>
      <c r="AN72" s="89"/>
      <c r="AO72" s="89"/>
      <c r="AP72" s="89"/>
      <c r="AQ72" s="89"/>
      <c r="AR72" s="89"/>
      <c r="AS72" s="89"/>
      <c r="AT72" s="89"/>
      <c r="AU72" s="89"/>
      <c r="AV72" s="89"/>
      <c r="AW72" s="89"/>
      <c r="AX72" s="89"/>
      <c r="AY72" s="89"/>
      <c r="AZ72" s="89"/>
      <c r="BA72" s="89"/>
      <c r="BB72" s="95"/>
      <c r="BC72" s="96"/>
      <c r="BD72" s="97"/>
      <c r="BE72" s="89"/>
      <c r="BF72" s="97"/>
      <c r="BG72" s="89"/>
      <c r="BH72" s="89"/>
      <c r="BI72" s="89"/>
      <c r="BJ72" s="89"/>
      <c r="BK72" s="89"/>
      <c r="BL72" s="89"/>
      <c r="BM72" s="89"/>
      <c r="BN72" s="89"/>
      <c r="BO72" s="89"/>
      <c r="BP72" s="89"/>
      <c r="BQ72" s="89"/>
      <c r="BR72" s="89"/>
      <c r="BS72" s="89"/>
      <c r="BT72" s="89"/>
      <c r="BU72" s="89"/>
      <c r="BV72" s="89"/>
      <c r="BW72" s="95"/>
      <c r="BX72" s="96"/>
      <c r="BY72" s="97"/>
      <c r="BZ72" s="89"/>
      <c r="CA72" s="97"/>
      <c r="CB72" s="89"/>
      <c r="CC72" s="89"/>
      <c r="CD72" s="89"/>
      <c r="CE72" s="89"/>
      <c r="CF72" s="89"/>
      <c r="CG72" s="89"/>
      <c r="CH72" s="89"/>
      <c r="CI72" s="89"/>
      <c r="CJ72" s="89"/>
      <c r="CK72" s="89"/>
      <c r="CL72" s="89"/>
      <c r="CM72" s="89"/>
      <c r="CN72" s="89"/>
      <c r="CO72" s="89"/>
      <c r="CP72" s="89"/>
      <c r="CQ72" s="89"/>
      <c r="CR72" s="95"/>
      <c r="CS72" s="96"/>
      <c r="CT72" s="97"/>
      <c r="CU72" s="89"/>
      <c r="CV72" s="97"/>
      <c r="CW72" s="89"/>
      <c r="CX72" s="89"/>
      <c r="CY72" s="89"/>
      <c r="CZ72" s="89"/>
      <c r="DA72" s="89"/>
      <c r="DB72" s="89"/>
      <c r="DC72" s="89"/>
      <c r="DD72" s="89"/>
      <c r="DE72" s="89"/>
      <c r="DF72" s="89"/>
      <c r="DG72" s="89"/>
      <c r="DH72" s="89"/>
      <c r="DI72" s="89"/>
      <c r="DJ72" s="89"/>
      <c r="DK72" s="89"/>
      <c r="DL72" s="89"/>
      <c r="DO72" s="214"/>
      <c r="DP72" s="162"/>
      <c r="DQ72" s="162"/>
      <c r="DR72" s="162"/>
      <c r="DS72" s="162"/>
      <c r="DT72" s="162"/>
      <c r="EE72" s="258"/>
      <c r="EF72" s="258"/>
      <c r="EG72" s="258"/>
      <c r="EH72" s="258"/>
      <c r="EI72" s="258"/>
      <c r="EJ72" s="56"/>
      <c r="EK72" s="56"/>
      <c r="EL72" s="56"/>
      <c r="EM72" s="56"/>
      <c r="EN72" s="56"/>
      <c r="ET72" s="258"/>
      <c r="EX72" s="10"/>
      <c r="EZ72" s="119"/>
      <c r="FJ72" s="284"/>
      <c r="FK72" s="284"/>
      <c r="FL72" s="284"/>
      <c r="FM72" s="283"/>
      <c r="FN72" s="283"/>
      <c r="FO72" s="162"/>
      <c r="FP72" s="162"/>
      <c r="FQ72" s="162"/>
      <c r="FR72" s="162"/>
      <c r="FS72" s="162"/>
      <c r="FU72" s="258"/>
      <c r="FV72" s="388"/>
      <c r="FW72" s="389"/>
    </row>
    <row r="73" spans="1:179" x14ac:dyDescent="0.2">
      <c r="A73" s="21"/>
      <c r="C73" s="21"/>
      <c r="D73" s="21"/>
      <c r="E73" s="21"/>
      <c r="F73" s="21"/>
      <c r="G73" s="21"/>
      <c r="H73" s="21"/>
      <c r="I73" s="21"/>
      <c r="J73" s="21"/>
      <c r="K73" s="21"/>
      <c r="L73" s="95"/>
      <c r="M73" s="278"/>
      <c r="N73" s="96"/>
      <c r="O73" s="96"/>
      <c r="P73" s="97"/>
      <c r="Q73" s="89"/>
      <c r="R73" s="279"/>
      <c r="S73" s="279"/>
      <c r="T73" s="89"/>
      <c r="U73" s="279"/>
      <c r="V73" s="279"/>
      <c r="W73" s="89"/>
      <c r="X73" s="89"/>
      <c r="Y73" s="89"/>
      <c r="Z73" s="89"/>
      <c r="AA73" s="89"/>
      <c r="AB73" s="89"/>
      <c r="AC73" s="89"/>
      <c r="AD73" s="89"/>
      <c r="AE73" s="89"/>
      <c r="AF73" s="89"/>
      <c r="AG73" s="95"/>
      <c r="AH73" s="96"/>
      <c r="AI73" s="97"/>
      <c r="AJ73" s="89"/>
      <c r="AK73" s="97"/>
      <c r="AL73" s="89"/>
      <c r="AM73" s="89"/>
      <c r="AN73" s="89"/>
      <c r="AO73" s="89"/>
      <c r="AP73" s="89"/>
      <c r="AQ73" s="89"/>
      <c r="AR73" s="89"/>
      <c r="AS73" s="89"/>
      <c r="AT73" s="89"/>
      <c r="AU73" s="89"/>
      <c r="AV73" s="89"/>
      <c r="AW73" s="89"/>
      <c r="AX73" s="89"/>
      <c r="AY73" s="89"/>
      <c r="AZ73" s="89"/>
      <c r="BA73" s="89"/>
      <c r="BB73" s="95"/>
      <c r="BC73" s="96"/>
      <c r="BD73" s="97"/>
      <c r="BE73" s="89"/>
      <c r="BF73" s="97"/>
      <c r="BG73" s="89"/>
      <c r="BH73" s="89"/>
      <c r="BI73" s="89"/>
      <c r="BJ73" s="89"/>
      <c r="BK73" s="89"/>
      <c r="BL73" s="89"/>
      <c r="BM73" s="89"/>
      <c r="BN73" s="89"/>
      <c r="BO73" s="89"/>
      <c r="BP73" s="89"/>
      <c r="BQ73" s="89"/>
      <c r="BR73" s="89"/>
      <c r="BS73" s="89"/>
      <c r="BT73" s="89"/>
      <c r="BU73" s="89"/>
      <c r="BV73" s="89"/>
      <c r="BW73" s="95"/>
      <c r="BX73" s="96"/>
      <c r="BY73" s="97"/>
      <c r="BZ73" s="89"/>
      <c r="CA73" s="97"/>
      <c r="CB73" s="89"/>
      <c r="CC73" s="89"/>
      <c r="CD73" s="89"/>
      <c r="CE73" s="89"/>
      <c r="CF73" s="89"/>
      <c r="CG73" s="89"/>
      <c r="CH73" s="89"/>
      <c r="CI73" s="89"/>
      <c r="CJ73" s="89"/>
      <c r="CK73" s="89"/>
      <c r="CL73" s="89"/>
      <c r="CM73" s="89"/>
      <c r="CN73" s="89"/>
      <c r="CO73" s="89"/>
      <c r="CP73" s="89"/>
      <c r="CQ73" s="89"/>
      <c r="CR73" s="95"/>
      <c r="CS73" s="96"/>
      <c r="CT73" s="97"/>
      <c r="CU73" s="89"/>
      <c r="CV73" s="97"/>
      <c r="CW73" s="89"/>
      <c r="CX73" s="89"/>
      <c r="CY73" s="89"/>
      <c r="CZ73" s="89"/>
      <c r="DA73" s="89"/>
      <c r="DB73" s="89"/>
      <c r="DC73" s="89"/>
      <c r="DD73" s="89"/>
      <c r="DE73" s="89"/>
      <c r="DF73" s="89"/>
      <c r="DG73" s="89"/>
      <c r="DH73" s="89"/>
      <c r="DI73" s="89"/>
      <c r="DJ73" s="89"/>
      <c r="DK73" s="89"/>
      <c r="DL73" s="89"/>
      <c r="DO73" s="214"/>
      <c r="DP73" s="162"/>
      <c r="DQ73" s="162"/>
      <c r="DR73" s="162"/>
      <c r="DS73" s="162"/>
      <c r="DT73" s="162"/>
      <c r="EE73" s="258"/>
      <c r="EF73" s="258"/>
      <c r="EG73" s="258"/>
      <c r="EH73" s="258"/>
      <c r="EI73" s="258"/>
      <c r="EJ73" s="56"/>
      <c r="EK73" s="56"/>
      <c r="EL73" s="56"/>
      <c r="EM73" s="56"/>
      <c r="EN73" s="56"/>
      <c r="ET73" s="258"/>
      <c r="EX73" s="10"/>
      <c r="EZ73" s="119"/>
      <c r="FJ73" s="284"/>
      <c r="FK73" s="284"/>
      <c r="FL73" s="284"/>
      <c r="FM73" s="283"/>
      <c r="FN73" s="283"/>
      <c r="FO73" s="162"/>
      <c r="FP73" s="162"/>
      <c r="FQ73" s="162"/>
      <c r="FR73" s="162"/>
      <c r="FS73" s="162"/>
      <c r="FU73" s="258"/>
      <c r="FV73" s="388"/>
      <c r="FW73" s="389"/>
    </row>
    <row r="74" spans="1:179" x14ac:dyDescent="0.2">
      <c r="A74" s="21"/>
      <c r="C74" s="21"/>
      <c r="D74" s="21"/>
      <c r="E74" s="21"/>
      <c r="F74" s="21"/>
      <c r="G74" s="21"/>
      <c r="H74" s="21"/>
      <c r="I74" s="21"/>
      <c r="J74" s="21"/>
      <c r="K74" s="21"/>
      <c r="L74" s="95"/>
      <c r="M74" s="278"/>
      <c r="N74" s="96"/>
      <c r="O74" s="96"/>
      <c r="P74" s="97"/>
      <c r="Q74" s="89"/>
      <c r="R74" s="279"/>
      <c r="S74" s="279"/>
      <c r="T74" s="89"/>
      <c r="U74" s="279"/>
      <c r="V74" s="279"/>
      <c r="W74" s="89"/>
      <c r="X74" s="89"/>
      <c r="Y74" s="89"/>
      <c r="Z74" s="89"/>
      <c r="AA74" s="89"/>
      <c r="AB74" s="89"/>
      <c r="AC74" s="89"/>
      <c r="AD74" s="89"/>
      <c r="AE74" s="89"/>
      <c r="AF74" s="89"/>
      <c r="AG74" s="95"/>
      <c r="AH74" s="96"/>
      <c r="AI74" s="97"/>
      <c r="AJ74" s="89"/>
      <c r="AK74" s="97"/>
      <c r="AL74" s="89"/>
      <c r="AM74" s="89"/>
      <c r="AN74" s="89"/>
      <c r="AO74" s="89"/>
      <c r="AP74" s="89"/>
      <c r="AQ74" s="89"/>
      <c r="AR74" s="89"/>
      <c r="AS74" s="89"/>
      <c r="AT74" s="89"/>
      <c r="AU74" s="89"/>
      <c r="AV74" s="89"/>
      <c r="AW74" s="89"/>
      <c r="AX74" s="89"/>
      <c r="AY74" s="89"/>
      <c r="AZ74" s="89"/>
      <c r="BA74" s="89"/>
      <c r="BB74" s="95"/>
      <c r="BC74" s="96"/>
      <c r="BD74" s="97"/>
      <c r="BE74" s="89"/>
      <c r="BF74" s="97"/>
      <c r="BG74" s="89"/>
      <c r="BH74" s="89"/>
      <c r="BI74" s="89"/>
      <c r="BJ74" s="89"/>
      <c r="BK74" s="89"/>
      <c r="BL74" s="89"/>
      <c r="BM74" s="89"/>
      <c r="BN74" s="89"/>
      <c r="BO74" s="89"/>
      <c r="BP74" s="89"/>
      <c r="BQ74" s="89"/>
      <c r="BR74" s="89"/>
      <c r="BS74" s="89"/>
      <c r="BT74" s="89"/>
      <c r="BU74" s="89"/>
      <c r="BV74" s="89"/>
      <c r="BW74" s="95"/>
      <c r="BX74" s="96"/>
      <c r="BY74" s="97"/>
      <c r="BZ74" s="89"/>
      <c r="CA74" s="97"/>
      <c r="CB74" s="89"/>
      <c r="CC74" s="89"/>
      <c r="CD74" s="89"/>
      <c r="CE74" s="89"/>
      <c r="CF74" s="89"/>
      <c r="CG74" s="89"/>
      <c r="CH74" s="89"/>
      <c r="CI74" s="89"/>
      <c r="CJ74" s="89"/>
      <c r="CK74" s="89"/>
      <c r="CL74" s="89"/>
      <c r="CM74" s="89"/>
      <c r="CN74" s="89"/>
      <c r="CO74" s="89"/>
      <c r="CP74" s="89"/>
      <c r="CQ74" s="89"/>
      <c r="CR74" s="95"/>
      <c r="CS74" s="96"/>
      <c r="CT74" s="97"/>
      <c r="CU74" s="89"/>
      <c r="CV74" s="97"/>
      <c r="CW74" s="89"/>
      <c r="CX74" s="89"/>
      <c r="CY74" s="89"/>
      <c r="CZ74" s="89"/>
      <c r="DA74" s="89"/>
      <c r="DB74" s="89"/>
      <c r="DC74" s="89"/>
      <c r="DD74" s="89"/>
      <c r="DE74" s="89"/>
      <c r="DF74" s="89"/>
      <c r="DG74" s="89"/>
      <c r="DH74" s="89"/>
      <c r="DI74" s="89"/>
      <c r="DJ74" s="89"/>
      <c r="DK74" s="89"/>
      <c r="DL74" s="89"/>
      <c r="DO74" s="214"/>
      <c r="DP74" s="162"/>
      <c r="DQ74" s="162"/>
      <c r="DR74" s="162"/>
      <c r="DS74" s="162"/>
      <c r="DT74" s="162"/>
      <c r="EE74" s="258"/>
      <c r="EF74" s="258"/>
      <c r="EG74" s="258"/>
      <c r="EH74" s="258"/>
      <c r="EI74" s="258"/>
      <c r="EJ74" s="56"/>
      <c r="EK74" s="56"/>
      <c r="EL74" s="56"/>
      <c r="EM74" s="56"/>
      <c r="EN74" s="56"/>
      <c r="ET74" s="258"/>
      <c r="EX74" s="10"/>
      <c r="EZ74" s="119"/>
      <c r="FJ74" s="284"/>
      <c r="FK74" s="284"/>
      <c r="FL74" s="284"/>
      <c r="FM74" s="283"/>
      <c r="FN74" s="283"/>
      <c r="FO74" s="162"/>
      <c r="FP74" s="162"/>
      <c r="FQ74" s="162"/>
      <c r="FR74" s="162"/>
      <c r="FS74" s="162"/>
      <c r="FU74" s="258"/>
      <c r="FV74" s="388"/>
      <c r="FW74" s="389"/>
    </row>
    <row r="75" spans="1:179" x14ac:dyDescent="0.2">
      <c r="A75" s="21"/>
      <c r="C75" s="21"/>
      <c r="D75" s="21"/>
      <c r="E75" s="21"/>
      <c r="F75" s="21"/>
      <c r="G75" s="21"/>
      <c r="H75" s="21"/>
      <c r="I75" s="21"/>
      <c r="J75" s="21"/>
      <c r="K75" s="21"/>
      <c r="L75" s="95"/>
      <c r="M75" s="278"/>
      <c r="N75" s="96"/>
      <c r="O75" s="96"/>
      <c r="P75" s="97"/>
      <c r="Q75" s="89"/>
      <c r="R75" s="279"/>
      <c r="S75" s="279"/>
      <c r="T75" s="89"/>
      <c r="U75" s="279"/>
      <c r="V75" s="279"/>
      <c r="W75" s="89"/>
      <c r="X75" s="89"/>
      <c r="Y75" s="89"/>
      <c r="Z75" s="89"/>
      <c r="AA75" s="89"/>
      <c r="AB75" s="89"/>
      <c r="AC75" s="89"/>
      <c r="AD75" s="89"/>
      <c r="AE75" s="89"/>
      <c r="AF75" s="89"/>
      <c r="AG75" s="95"/>
      <c r="AH75" s="96"/>
      <c r="AI75" s="97"/>
      <c r="AJ75" s="89"/>
      <c r="AK75" s="97"/>
      <c r="AL75" s="89"/>
      <c r="AM75" s="89"/>
      <c r="AN75" s="89"/>
      <c r="AO75" s="89"/>
      <c r="AP75" s="89"/>
      <c r="AQ75" s="89"/>
      <c r="AR75" s="89"/>
      <c r="AS75" s="89"/>
      <c r="AT75" s="89"/>
      <c r="AU75" s="89"/>
      <c r="AV75" s="89"/>
      <c r="AW75" s="89"/>
      <c r="AX75" s="89"/>
      <c r="AY75" s="89"/>
      <c r="AZ75" s="89"/>
      <c r="BA75" s="89"/>
      <c r="BB75" s="95"/>
      <c r="BC75" s="96"/>
      <c r="BD75" s="97"/>
      <c r="BE75" s="89"/>
      <c r="BF75" s="97"/>
      <c r="BG75" s="89"/>
      <c r="BH75" s="89"/>
      <c r="BI75" s="89"/>
      <c r="BJ75" s="89"/>
      <c r="BK75" s="89"/>
      <c r="BL75" s="89"/>
      <c r="BM75" s="89"/>
      <c r="BN75" s="89"/>
      <c r="BO75" s="89"/>
      <c r="BP75" s="89"/>
      <c r="BQ75" s="89"/>
      <c r="BR75" s="89"/>
      <c r="BS75" s="89"/>
      <c r="BT75" s="89"/>
      <c r="BU75" s="89"/>
      <c r="BV75" s="89"/>
      <c r="BW75" s="95"/>
      <c r="BX75" s="96"/>
      <c r="BY75" s="97"/>
      <c r="BZ75" s="89"/>
      <c r="CA75" s="97"/>
      <c r="CB75" s="89"/>
      <c r="CC75" s="89"/>
      <c r="CD75" s="89"/>
      <c r="CE75" s="89"/>
      <c r="CF75" s="89"/>
      <c r="CG75" s="89"/>
      <c r="CH75" s="89"/>
      <c r="CI75" s="89"/>
      <c r="CJ75" s="89"/>
      <c r="CK75" s="89"/>
      <c r="CL75" s="89"/>
      <c r="CM75" s="89"/>
      <c r="CN75" s="89"/>
      <c r="CO75" s="89"/>
      <c r="CP75" s="89"/>
      <c r="CQ75" s="89"/>
      <c r="CR75" s="95"/>
      <c r="CS75" s="96"/>
      <c r="CT75" s="97"/>
      <c r="CU75" s="89"/>
      <c r="CV75" s="97"/>
      <c r="CW75" s="89"/>
      <c r="CX75" s="89"/>
      <c r="CY75" s="89"/>
      <c r="CZ75" s="89"/>
      <c r="DA75" s="89"/>
      <c r="DB75" s="89"/>
      <c r="DC75" s="89"/>
      <c r="DD75" s="89"/>
      <c r="DE75" s="89"/>
      <c r="DF75" s="89"/>
      <c r="DG75" s="89"/>
      <c r="DH75" s="89"/>
      <c r="DI75" s="89"/>
      <c r="DJ75" s="89"/>
      <c r="DK75" s="89"/>
      <c r="DL75" s="89"/>
      <c r="DO75" s="214"/>
      <c r="DP75" s="162"/>
      <c r="DQ75" s="162"/>
      <c r="DR75" s="162"/>
      <c r="DS75" s="162"/>
      <c r="DT75" s="162"/>
      <c r="EE75" s="258"/>
      <c r="EF75" s="258"/>
      <c r="EG75" s="258"/>
      <c r="EH75" s="258"/>
      <c r="EI75" s="258"/>
      <c r="EJ75" s="56"/>
      <c r="EK75" s="56"/>
      <c r="EL75" s="56"/>
      <c r="EM75" s="56"/>
      <c r="EN75" s="56"/>
      <c r="ET75" s="258"/>
      <c r="EX75" s="10"/>
      <c r="EZ75" s="119"/>
      <c r="FJ75" s="284"/>
      <c r="FK75" s="284"/>
      <c r="FL75" s="284"/>
      <c r="FM75" s="283"/>
      <c r="FN75" s="283"/>
      <c r="FO75" s="162"/>
      <c r="FP75" s="162"/>
      <c r="FQ75" s="162"/>
      <c r="FR75" s="162"/>
      <c r="FS75" s="162"/>
      <c r="FU75" s="258"/>
      <c r="FV75" s="388"/>
      <c r="FW75" s="389"/>
    </row>
    <row r="76" spans="1:179" x14ac:dyDescent="0.2">
      <c r="A76" s="21"/>
      <c r="C76" s="21"/>
      <c r="D76" s="21"/>
      <c r="E76" s="21"/>
      <c r="F76" s="21"/>
      <c r="G76" s="21"/>
      <c r="H76" s="21"/>
      <c r="I76" s="21"/>
      <c r="J76" s="21"/>
      <c r="K76" s="21"/>
      <c r="L76" s="95"/>
      <c r="M76" s="278"/>
      <c r="N76" s="96"/>
      <c r="O76" s="96"/>
      <c r="P76" s="97"/>
      <c r="Q76" s="89"/>
      <c r="R76" s="279"/>
      <c r="S76" s="279"/>
      <c r="T76" s="89"/>
      <c r="U76" s="279"/>
      <c r="V76" s="279"/>
      <c r="W76" s="89"/>
      <c r="X76" s="89"/>
      <c r="Y76" s="89"/>
      <c r="Z76" s="89"/>
      <c r="AA76" s="89"/>
      <c r="AB76" s="89"/>
      <c r="AC76" s="89"/>
      <c r="AD76" s="89"/>
      <c r="AE76" s="89"/>
      <c r="AF76" s="89"/>
      <c r="AG76" s="95"/>
      <c r="AH76" s="96"/>
      <c r="AI76" s="97"/>
      <c r="AJ76" s="89"/>
      <c r="AK76" s="97"/>
      <c r="AL76" s="89"/>
      <c r="AM76" s="89"/>
      <c r="AN76" s="89"/>
      <c r="AO76" s="89"/>
      <c r="AP76" s="89"/>
      <c r="AQ76" s="89"/>
      <c r="AR76" s="89"/>
      <c r="AS76" s="89"/>
      <c r="AT76" s="89"/>
      <c r="AU76" s="89"/>
      <c r="AV76" s="89"/>
      <c r="AW76" s="89"/>
      <c r="AX76" s="89"/>
      <c r="AY76" s="89"/>
      <c r="AZ76" s="89"/>
      <c r="BA76" s="89"/>
      <c r="BB76" s="95"/>
      <c r="BC76" s="96"/>
      <c r="BD76" s="97"/>
      <c r="BE76" s="89"/>
      <c r="BF76" s="97"/>
      <c r="BG76" s="89"/>
      <c r="BH76" s="89"/>
      <c r="BI76" s="89"/>
      <c r="BJ76" s="89"/>
      <c r="BK76" s="89"/>
      <c r="BL76" s="89"/>
      <c r="BM76" s="89"/>
      <c r="BN76" s="89"/>
      <c r="BO76" s="89"/>
      <c r="BP76" s="89"/>
      <c r="BQ76" s="89"/>
      <c r="BR76" s="89"/>
      <c r="BS76" s="89"/>
      <c r="BT76" s="89"/>
      <c r="BU76" s="89"/>
      <c r="BV76" s="89"/>
      <c r="BW76" s="95"/>
      <c r="BX76" s="96"/>
      <c r="BY76" s="97"/>
      <c r="BZ76" s="89"/>
      <c r="CA76" s="97"/>
      <c r="CB76" s="89"/>
      <c r="CC76" s="89"/>
      <c r="CD76" s="89"/>
      <c r="CE76" s="89"/>
      <c r="CF76" s="89"/>
      <c r="CG76" s="89"/>
      <c r="CH76" s="89"/>
      <c r="CI76" s="89"/>
      <c r="CJ76" s="89"/>
      <c r="CK76" s="89"/>
      <c r="CL76" s="89"/>
      <c r="CM76" s="89"/>
      <c r="CN76" s="89"/>
      <c r="CO76" s="89"/>
      <c r="CP76" s="89"/>
      <c r="CQ76" s="89"/>
      <c r="CR76" s="95"/>
      <c r="CS76" s="96"/>
      <c r="CT76" s="97"/>
      <c r="CU76" s="89"/>
      <c r="CV76" s="97"/>
      <c r="CW76" s="89"/>
      <c r="CX76" s="89"/>
      <c r="CY76" s="89"/>
      <c r="CZ76" s="89"/>
      <c r="DA76" s="89"/>
      <c r="DB76" s="89"/>
      <c r="DC76" s="89"/>
      <c r="DD76" s="89"/>
      <c r="DE76" s="89"/>
      <c r="DF76" s="89"/>
      <c r="DG76" s="89"/>
      <c r="DH76" s="89"/>
      <c r="DI76" s="89"/>
      <c r="DJ76" s="89"/>
      <c r="DK76" s="89"/>
      <c r="DL76" s="89"/>
      <c r="DO76" s="214"/>
      <c r="DP76" s="162"/>
      <c r="DQ76" s="162"/>
      <c r="DR76" s="162"/>
      <c r="DS76" s="162"/>
      <c r="DT76" s="162"/>
      <c r="EE76" s="258"/>
      <c r="EF76" s="258"/>
      <c r="EG76" s="258"/>
      <c r="EH76" s="258"/>
      <c r="EI76" s="258"/>
      <c r="EJ76" s="56"/>
      <c r="EK76" s="56"/>
      <c r="EL76" s="56"/>
      <c r="EM76" s="56"/>
      <c r="EN76" s="56"/>
      <c r="ET76" s="258"/>
      <c r="EX76" s="10"/>
      <c r="EZ76" s="119"/>
      <c r="FJ76" s="284"/>
      <c r="FK76" s="284"/>
      <c r="FL76" s="284"/>
      <c r="FM76" s="283"/>
      <c r="FN76" s="283"/>
      <c r="FO76" s="162"/>
      <c r="FP76" s="162"/>
      <c r="FQ76" s="162"/>
      <c r="FR76" s="162"/>
      <c r="FS76" s="162"/>
      <c r="FU76" s="258"/>
      <c r="FV76" s="388"/>
      <c r="FW76" s="389"/>
    </row>
    <row r="77" spans="1:179" x14ac:dyDescent="0.2">
      <c r="A77" s="21"/>
      <c r="C77" s="21"/>
      <c r="D77" s="21"/>
      <c r="E77" s="21"/>
      <c r="F77" s="21"/>
      <c r="G77" s="21"/>
      <c r="H77" s="21"/>
      <c r="I77" s="21"/>
      <c r="J77" s="21"/>
      <c r="K77" s="21"/>
      <c r="L77" s="95"/>
      <c r="M77" s="278"/>
      <c r="N77" s="96"/>
      <c r="O77" s="96"/>
      <c r="P77" s="97"/>
      <c r="Q77" s="89"/>
      <c r="R77" s="279"/>
      <c r="S77" s="279"/>
      <c r="T77" s="89"/>
      <c r="U77" s="279"/>
      <c r="V77" s="279"/>
      <c r="W77" s="89"/>
      <c r="X77" s="89"/>
      <c r="Y77" s="89"/>
      <c r="Z77" s="89"/>
      <c r="AA77" s="89"/>
      <c r="AB77" s="89"/>
      <c r="AC77" s="89"/>
      <c r="AD77" s="89"/>
      <c r="AE77" s="89"/>
      <c r="AF77" s="89"/>
      <c r="AG77" s="95"/>
      <c r="AH77" s="96"/>
      <c r="AI77" s="97"/>
      <c r="AJ77" s="89"/>
      <c r="AK77" s="97"/>
      <c r="AL77" s="89"/>
      <c r="AM77" s="89"/>
      <c r="AN77" s="89"/>
      <c r="AO77" s="89"/>
      <c r="AP77" s="89"/>
      <c r="AQ77" s="89"/>
      <c r="AR77" s="89"/>
      <c r="AS77" s="89"/>
      <c r="AT77" s="89"/>
      <c r="AU77" s="89"/>
      <c r="AV77" s="89"/>
      <c r="AW77" s="89"/>
      <c r="AX77" s="89"/>
      <c r="AY77" s="89"/>
      <c r="AZ77" s="89"/>
      <c r="BA77" s="89"/>
      <c r="BB77" s="95"/>
      <c r="BC77" s="96"/>
      <c r="BD77" s="97"/>
      <c r="BE77" s="89"/>
      <c r="BF77" s="97"/>
      <c r="BG77" s="89"/>
      <c r="BH77" s="89"/>
      <c r="BI77" s="89"/>
      <c r="BJ77" s="89"/>
      <c r="BK77" s="89"/>
      <c r="BL77" s="89"/>
      <c r="BM77" s="89"/>
      <c r="BN77" s="89"/>
      <c r="BO77" s="89"/>
      <c r="BP77" s="89"/>
      <c r="BQ77" s="89"/>
      <c r="BR77" s="89"/>
      <c r="BS77" s="89"/>
      <c r="BT77" s="89"/>
      <c r="BU77" s="89"/>
      <c r="BV77" s="89"/>
      <c r="BW77" s="95"/>
      <c r="BX77" s="96"/>
      <c r="BY77" s="97"/>
      <c r="BZ77" s="89"/>
      <c r="CA77" s="97"/>
      <c r="CB77" s="89"/>
      <c r="CC77" s="89"/>
      <c r="CD77" s="89"/>
      <c r="CE77" s="89"/>
      <c r="CF77" s="89"/>
      <c r="CG77" s="89"/>
      <c r="CH77" s="89"/>
      <c r="CI77" s="89"/>
      <c r="CJ77" s="89"/>
      <c r="CK77" s="89"/>
      <c r="CL77" s="89"/>
      <c r="CM77" s="89"/>
      <c r="CN77" s="89"/>
      <c r="CO77" s="89"/>
      <c r="CP77" s="89"/>
      <c r="CQ77" s="89"/>
      <c r="CR77" s="95"/>
      <c r="CS77" s="96"/>
      <c r="CT77" s="97"/>
      <c r="CU77" s="89"/>
      <c r="CV77" s="97"/>
      <c r="CW77" s="89"/>
      <c r="CX77" s="89"/>
      <c r="CY77" s="89"/>
      <c r="CZ77" s="89"/>
      <c r="DA77" s="89"/>
      <c r="DB77" s="89"/>
      <c r="DC77" s="89"/>
      <c r="DD77" s="89"/>
      <c r="DE77" s="89"/>
      <c r="DF77" s="89"/>
      <c r="DG77" s="89"/>
      <c r="DH77" s="89"/>
      <c r="DI77" s="89"/>
      <c r="DJ77" s="89"/>
      <c r="DK77" s="89"/>
      <c r="DL77" s="89"/>
      <c r="DO77" s="214"/>
      <c r="DP77" s="162"/>
      <c r="DQ77" s="162"/>
      <c r="DR77" s="162"/>
      <c r="DS77" s="162"/>
      <c r="DT77" s="162"/>
      <c r="EE77" s="258"/>
      <c r="EF77" s="258"/>
      <c r="EG77" s="258"/>
      <c r="EH77" s="258"/>
      <c r="EI77" s="258"/>
      <c r="EJ77" s="56"/>
      <c r="EK77" s="56"/>
      <c r="EL77" s="56"/>
      <c r="EM77" s="56"/>
      <c r="EN77" s="56"/>
      <c r="ET77" s="258"/>
      <c r="EX77" s="10"/>
      <c r="EZ77" s="119"/>
      <c r="FJ77" s="284"/>
      <c r="FK77" s="284"/>
      <c r="FL77" s="284"/>
      <c r="FM77" s="283"/>
      <c r="FN77" s="283"/>
      <c r="FO77" s="162"/>
      <c r="FP77" s="162"/>
      <c r="FQ77" s="162"/>
      <c r="FR77" s="162"/>
      <c r="FS77" s="162"/>
      <c r="FU77" s="258"/>
      <c r="FV77" s="388"/>
      <c r="FW77" s="389"/>
    </row>
    <row r="78" spans="1:179" x14ac:dyDescent="0.2">
      <c r="A78" s="21"/>
      <c r="C78" s="21"/>
      <c r="D78" s="21"/>
      <c r="E78" s="21"/>
      <c r="F78" s="21"/>
      <c r="G78" s="21"/>
      <c r="H78" s="21"/>
      <c r="I78" s="21"/>
      <c r="J78" s="21"/>
      <c r="K78" s="21"/>
      <c r="L78" s="95"/>
      <c r="M78" s="278"/>
      <c r="N78" s="96"/>
      <c r="O78" s="96"/>
      <c r="P78" s="97"/>
      <c r="Q78" s="89"/>
      <c r="R78" s="279"/>
      <c r="S78" s="279"/>
      <c r="T78" s="89"/>
      <c r="U78" s="279"/>
      <c r="V78" s="279"/>
      <c r="W78" s="89"/>
      <c r="X78" s="89"/>
      <c r="Y78" s="89"/>
      <c r="Z78" s="89"/>
      <c r="AA78" s="89"/>
      <c r="AB78" s="89"/>
      <c r="AC78" s="89"/>
      <c r="AD78" s="89"/>
      <c r="AE78" s="89"/>
      <c r="AF78" s="89"/>
      <c r="AG78" s="95"/>
      <c r="AH78" s="96"/>
      <c r="AI78" s="97"/>
      <c r="AJ78" s="89"/>
      <c r="AK78" s="97"/>
      <c r="AL78" s="89"/>
      <c r="AM78" s="89"/>
      <c r="AN78" s="89"/>
      <c r="AO78" s="89"/>
      <c r="AP78" s="89"/>
      <c r="AQ78" s="89"/>
      <c r="AR78" s="89"/>
      <c r="AS78" s="89"/>
      <c r="AT78" s="89"/>
      <c r="AU78" s="89"/>
      <c r="AV78" s="89"/>
      <c r="AW78" s="89"/>
      <c r="AX78" s="89"/>
      <c r="AY78" s="89"/>
      <c r="AZ78" s="89"/>
      <c r="BA78" s="89"/>
      <c r="BB78" s="95"/>
      <c r="BC78" s="96"/>
      <c r="BD78" s="97"/>
      <c r="BE78" s="89"/>
      <c r="BF78" s="97"/>
      <c r="BG78" s="89"/>
      <c r="BH78" s="89"/>
      <c r="BI78" s="89"/>
      <c r="BJ78" s="89"/>
      <c r="BK78" s="89"/>
      <c r="BL78" s="89"/>
      <c r="BM78" s="89"/>
      <c r="BN78" s="89"/>
      <c r="BO78" s="89"/>
      <c r="BP78" s="89"/>
      <c r="BQ78" s="89"/>
      <c r="BR78" s="89"/>
      <c r="BS78" s="89"/>
      <c r="BT78" s="89"/>
      <c r="BU78" s="89"/>
      <c r="BV78" s="89"/>
      <c r="BW78" s="95"/>
      <c r="BX78" s="96"/>
      <c r="BY78" s="97"/>
      <c r="BZ78" s="89"/>
      <c r="CA78" s="97"/>
      <c r="CB78" s="89"/>
      <c r="CC78" s="89"/>
      <c r="CD78" s="89"/>
      <c r="CE78" s="89"/>
      <c r="CF78" s="89"/>
      <c r="CG78" s="89"/>
      <c r="CH78" s="89"/>
      <c r="CI78" s="89"/>
      <c r="CJ78" s="89"/>
      <c r="CK78" s="89"/>
      <c r="CL78" s="89"/>
      <c r="CM78" s="89"/>
      <c r="CN78" s="89"/>
      <c r="CO78" s="89"/>
      <c r="CP78" s="89"/>
      <c r="CQ78" s="89"/>
      <c r="CR78" s="95"/>
      <c r="CS78" s="96"/>
      <c r="CT78" s="97"/>
      <c r="CU78" s="89"/>
      <c r="CV78" s="97"/>
      <c r="CW78" s="89"/>
      <c r="CX78" s="89"/>
      <c r="CY78" s="89"/>
      <c r="CZ78" s="89"/>
      <c r="DA78" s="89"/>
      <c r="DB78" s="89"/>
      <c r="DC78" s="89"/>
      <c r="DD78" s="89"/>
      <c r="DE78" s="89"/>
      <c r="DF78" s="89"/>
      <c r="DG78" s="89"/>
      <c r="DH78" s="89"/>
      <c r="DI78" s="89"/>
      <c r="DJ78" s="89"/>
      <c r="DK78" s="89"/>
      <c r="DL78" s="89"/>
      <c r="DO78" s="214"/>
      <c r="DP78" s="162"/>
      <c r="DQ78" s="162"/>
      <c r="DR78" s="162"/>
      <c r="DS78" s="162"/>
      <c r="DT78" s="162"/>
      <c r="EE78" s="258"/>
      <c r="EF78" s="258"/>
      <c r="EG78" s="258"/>
      <c r="EH78" s="258"/>
      <c r="EI78" s="258"/>
      <c r="EJ78" s="56"/>
      <c r="EK78" s="56"/>
      <c r="EL78" s="56"/>
      <c r="EM78" s="56"/>
      <c r="EN78" s="56"/>
      <c r="ET78" s="258"/>
      <c r="EX78" s="10"/>
      <c r="EZ78" s="119"/>
      <c r="FJ78" s="284"/>
      <c r="FK78" s="284"/>
      <c r="FL78" s="284"/>
      <c r="FM78" s="283"/>
      <c r="FN78" s="283"/>
      <c r="FO78" s="162"/>
      <c r="FP78" s="162"/>
      <c r="FQ78" s="162"/>
      <c r="FR78" s="162"/>
      <c r="FS78" s="162"/>
      <c r="FU78" s="258"/>
      <c r="FV78" s="388"/>
      <c r="FW78" s="389"/>
    </row>
    <row r="79" spans="1:179" x14ac:dyDescent="0.2">
      <c r="A79" s="21"/>
      <c r="C79" s="21"/>
      <c r="D79" s="21"/>
      <c r="E79" s="21"/>
      <c r="F79" s="21"/>
      <c r="G79" s="21"/>
      <c r="H79" s="21"/>
      <c r="I79" s="21"/>
      <c r="J79" s="21"/>
      <c r="K79" s="21"/>
      <c r="L79" s="95"/>
      <c r="M79" s="278"/>
      <c r="N79" s="96"/>
      <c r="O79" s="96"/>
      <c r="P79" s="97"/>
      <c r="Q79" s="89"/>
      <c r="R79" s="279"/>
      <c r="S79" s="279"/>
      <c r="T79" s="89"/>
      <c r="U79" s="279"/>
      <c r="V79" s="279"/>
      <c r="W79" s="89"/>
      <c r="X79" s="89"/>
      <c r="Y79" s="89"/>
      <c r="Z79" s="89"/>
      <c r="AA79" s="89"/>
      <c r="AB79" s="89"/>
      <c r="AC79" s="89"/>
      <c r="AD79" s="89"/>
      <c r="AE79" s="89"/>
      <c r="AF79" s="89"/>
      <c r="AG79" s="95"/>
      <c r="AH79" s="96"/>
      <c r="AI79" s="97"/>
      <c r="AJ79" s="89"/>
      <c r="AK79" s="97"/>
      <c r="AL79" s="89"/>
      <c r="AM79" s="89"/>
      <c r="AN79" s="89"/>
      <c r="AO79" s="89"/>
      <c r="AP79" s="89"/>
      <c r="AQ79" s="89"/>
      <c r="AR79" s="89"/>
      <c r="AS79" s="89"/>
      <c r="AT79" s="89"/>
      <c r="AU79" s="89"/>
      <c r="AV79" s="89"/>
      <c r="AW79" s="89"/>
      <c r="AX79" s="89"/>
      <c r="AY79" s="89"/>
      <c r="AZ79" s="89"/>
      <c r="BA79" s="89"/>
      <c r="BB79" s="95"/>
      <c r="BC79" s="96"/>
      <c r="BD79" s="97"/>
      <c r="BE79" s="89"/>
      <c r="BF79" s="97"/>
      <c r="BG79" s="89"/>
      <c r="BH79" s="89"/>
      <c r="BI79" s="89"/>
      <c r="BJ79" s="89"/>
      <c r="BK79" s="89"/>
      <c r="BL79" s="89"/>
      <c r="BM79" s="89"/>
      <c r="BN79" s="89"/>
      <c r="BO79" s="89"/>
      <c r="BP79" s="89"/>
      <c r="BQ79" s="89"/>
      <c r="BR79" s="89"/>
      <c r="BS79" s="89"/>
      <c r="BT79" s="89"/>
      <c r="BU79" s="89"/>
      <c r="BV79" s="89"/>
      <c r="BW79" s="95"/>
      <c r="BX79" s="96"/>
      <c r="BY79" s="97"/>
      <c r="BZ79" s="89"/>
      <c r="CA79" s="97"/>
      <c r="CB79" s="89"/>
      <c r="CC79" s="89"/>
      <c r="CD79" s="89"/>
      <c r="CE79" s="89"/>
      <c r="CF79" s="89"/>
      <c r="CG79" s="89"/>
      <c r="CH79" s="89"/>
      <c r="CI79" s="89"/>
      <c r="CJ79" s="89"/>
      <c r="CK79" s="89"/>
      <c r="CL79" s="89"/>
      <c r="CM79" s="89"/>
      <c r="CN79" s="89"/>
      <c r="CO79" s="89"/>
      <c r="CP79" s="89"/>
      <c r="CQ79" s="89"/>
      <c r="CR79" s="95"/>
      <c r="CS79" s="96"/>
      <c r="CT79" s="97"/>
      <c r="CU79" s="89"/>
      <c r="CV79" s="97"/>
      <c r="CW79" s="89"/>
      <c r="CX79" s="89"/>
      <c r="CY79" s="89"/>
      <c r="CZ79" s="89"/>
      <c r="DA79" s="89"/>
      <c r="DB79" s="89"/>
      <c r="DC79" s="89"/>
      <c r="DD79" s="89"/>
      <c r="DE79" s="89"/>
      <c r="DF79" s="89"/>
      <c r="DG79" s="89"/>
      <c r="DH79" s="89"/>
      <c r="DI79" s="89"/>
      <c r="DJ79" s="89"/>
      <c r="DK79" s="89"/>
      <c r="DL79" s="89"/>
      <c r="DO79" s="214"/>
      <c r="DP79" s="162"/>
      <c r="DQ79" s="162"/>
      <c r="DR79" s="162"/>
      <c r="DS79" s="162"/>
      <c r="DT79" s="162"/>
      <c r="EE79" s="258"/>
      <c r="EF79" s="258"/>
      <c r="EG79" s="258"/>
      <c r="EH79" s="258"/>
      <c r="EI79" s="258"/>
      <c r="EJ79" s="56"/>
      <c r="EK79" s="56"/>
      <c r="EL79" s="56"/>
      <c r="EM79" s="56"/>
      <c r="EN79" s="56"/>
      <c r="ET79" s="258"/>
      <c r="EX79" s="10"/>
      <c r="EZ79" s="119"/>
      <c r="FJ79" s="284"/>
      <c r="FK79" s="284"/>
      <c r="FL79" s="284"/>
      <c r="FM79" s="283"/>
      <c r="FN79" s="283"/>
      <c r="FO79" s="162"/>
      <c r="FP79" s="162"/>
      <c r="FQ79" s="162"/>
      <c r="FR79" s="162"/>
      <c r="FS79" s="162"/>
      <c r="FU79" s="258"/>
      <c r="FV79" s="388"/>
      <c r="FW79" s="389"/>
    </row>
    <row r="80" spans="1:179" x14ac:dyDescent="0.2">
      <c r="A80" s="21"/>
      <c r="C80" s="21"/>
      <c r="D80" s="21"/>
      <c r="E80" s="21"/>
      <c r="F80" s="21"/>
      <c r="G80" s="21"/>
      <c r="H80" s="21"/>
      <c r="I80" s="21"/>
      <c r="J80" s="21"/>
      <c r="K80" s="21"/>
      <c r="L80" s="95"/>
      <c r="M80" s="278"/>
      <c r="N80" s="96"/>
      <c r="O80" s="96"/>
      <c r="P80" s="97"/>
      <c r="Q80" s="89"/>
      <c r="R80" s="279"/>
      <c r="S80" s="279"/>
      <c r="T80" s="89"/>
      <c r="U80" s="279"/>
      <c r="V80" s="279"/>
      <c r="W80" s="89"/>
      <c r="X80" s="89"/>
      <c r="Y80" s="89"/>
      <c r="Z80" s="89"/>
      <c r="AA80" s="89"/>
      <c r="AB80" s="89"/>
      <c r="AC80" s="89"/>
      <c r="AD80" s="89"/>
      <c r="AE80" s="89"/>
      <c r="AF80" s="89"/>
      <c r="AG80" s="95"/>
      <c r="AH80" s="96"/>
      <c r="AI80" s="97"/>
      <c r="AJ80" s="89"/>
      <c r="AK80" s="97"/>
      <c r="AL80" s="89"/>
      <c r="AM80" s="89"/>
      <c r="AN80" s="89"/>
      <c r="AO80" s="89"/>
      <c r="AP80" s="89"/>
      <c r="AQ80" s="89"/>
      <c r="AR80" s="89"/>
      <c r="AS80" s="89"/>
      <c r="AT80" s="89"/>
      <c r="AU80" s="89"/>
      <c r="AV80" s="89"/>
      <c r="AW80" s="89"/>
      <c r="AX80" s="89"/>
      <c r="AY80" s="89"/>
      <c r="AZ80" s="89"/>
      <c r="BA80" s="89"/>
      <c r="BB80" s="95"/>
      <c r="BC80" s="96"/>
      <c r="BD80" s="97"/>
      <c r="BE80" s="89"/>
      <c r="BF80" s="97"/>
      <c r="BG80" s="89"/>
      <c r="BH80" s="89"/>
      <c r="BI80" s="89"/>
      <c r="BJ80" s="89"/>
      <c r="BK80" s="89"/>
      <c r="BL80" s="89"/>
      <c r="BM80" s="89"/>
      <c r="BN80" s="89"/>
      <c r="BO80" s="89"/>
      <c r="BP80" s="89"/>
      <c r="BQ80" s="89"/>
      <c r="BR80" s="89"/>
      <c r="BS80" s="89"/>
      <c r="BT80" s="89"/>
      <c r="BU80" s="89"/>
      <c r="BV80" s="89"/>
      <c r="BW80" s="95"/>
      <c r="BX80" s="96"/>
      <c r="BY80" s="97"/>
      <c r="BZ80" s="89"/>
      <c r="CA80" s="97"/>
      <c r="CB80" s="89"/>
      <c r="CC80" s="89"/>
      <c r="CD80" s="89"/>
      <c r="CE80" s="89"/>
      <c r="CF80" s="89"/>
      <c r="CG80" s="89"/>
      <c r="CH80" s="89"/>
      <c r="CI80" s="89"/>
      <c r="CJ80" s="89"/>
      <c r="CK80" s="89"/>
      <c r="CL80" s="89"/>
      <c r="CM80" s="89"/>
      <c r="CN80" s="89"/>
      <c r="CO80" s="89"/>
      <c r="CP80" s="89"/>
      <c r="CQ80" s="89"/>
      <c r="CR80" s="95"/>
      <c r="CS80" s="96"/>
      <c r="CT80" s="97"/>
      <c r="CU80" s="89"/>
      <c r="CV80" s="97"/>
      <c r="CW80" s="89"/>
      <c r="CX80" s="89"/>
      <c r="CY80" s="89"/>
      <c r="CZ80" s="89"/>
      <c r="DA80" s="89"/>
      <c r="DB80" s="89"/>
      <c r="DC80" s="89"/>
      <c r="DD80" s="89"/>
      <c r="DE80" s="89"/>
      <c r="DF80" s="89"/>
      <c r="DG80" s="89"/>
      <c r="DH80" s="89"/>
      <c r="DI80" s="89"/>
      <c r="DJ80" s="89"/>
      <c r="DK80" s="89"/>
      <c r="DL80" s="89"/>
      <c r="DO80" s="214"/>
      <c r="DP80" s="162"/>
      <c r="DQ80" s="162"/>
      <c r="DR80" s="162"/>
      <c r="DS80" s="162"/>
      <c r="DT80" s="162"/>
      <c r="EE80" s="258"/>
      <c r="EF80" s="258"/>
      <c r="EG80" s="258"/>
      <c r="EH80" s="258"/>
      <c r="EI80" s="258"/>
      <c r="EJ80" s="56"/>
      <c r="EK80" s="56"/>
      <c r="EL80" s="56"/>
      <c r="EM80" s="56"/>
      <c r="EN80" s="56"/>
      <c r="ET80" s="258"/>
      <c r="EX80" s="10"/>
      <c r="EZ80" s="119"/>
      <c r="FJ80" s="284"/>
      <c r="FK80" s="284"/>
      <c r="FL80" s="284"/>
      <c r="FM80" s="283"/>
      <c r="FN80" s="283"/>
      <c r="FO80" s="162"/>
      <c r="FP80" s="162"/>
      <c r="FQ80" s="162"/>
      <c r="FR80" s="162"/>
      <c r="FS80" s="162"/>
      <c r="FU80" s="258"/>
      <c r="FV80" s="388"/>
      <c r="FW80" s="389"/>
    </row>
    <row r="81" spans="1:179" x14ac:dyDescent="0.2">
      <c r="A81" s="21"/>
      <c r="C81" s="21"/>
      <c r="D81" s="21"/>
      <c r="E81" s="21"/>
      <c r="F81" s="21"/>
      <c r="G81" s="21"/>
      <c r="H81" s="21"/>
      <c r="I81" s="21"/>
      <c r="J81" s="21"/>
      <c r="K81" s="21"/>
      <c r="L81" s="95"/>
      <c r="M81" s="278"/>
      <c r="N81" s="96"/>
      <c r="O81" s="96"/>
      <c r="P81" s="97"/>
      <c r="Q81" s="89"/>
      <c r="R81" s="279"/>
      <c r="S81" s="279"/>
      <c r="T81" s="89"/>
      <c r="U81" s="279"/>
      <c r="V81" s="279"/>
      <c r="W81" s="89"/>
      <c r="X81" s="89"/>
      <c r="Y81" s="89"/>
      <c r="Z81" s="89"/>
      <c r="AA81" s="89"/>
      <c r="AB81" s="89"/>
      <c r="AC81" s="89"/>
      <c r="AD81" s="89"/>
      <c r="AE81" s="89"/>
      <c r="AF81" s="89"/>
      <c r="AG81" s="95"/>
      <c r="AH81" s="96"/>
      <c r="AI81" s="97"/>
      <c r="AJ81" s="89"/>
      <c r="AK81" s="97"/>
      <c r="AL81" s="89"/>
      <c r="AM81" s="89"/>
      <c r="AN81" s="89"/>
      <c r="AO81" s="89"/>
      <c r="AP81" s="89"/>
      <c r="AQ81" s="89"/>
      <c r="AR81" s="89"/>
      <c r="AS81" s="89"/>
      <c r="AT81" s="89"/>
      <c r="AU81" s="89"/>
      <c r="AV81" s="89"/>
      <c r="AW81" s="89"/>
      <c r="AX81" s="89"/>
      <c r="AY81" s="89"/>
      <c r="AZ81" s="89"/>
      <c r="BA81" s="89"/>
      <c r="BB81" s="95"/>
      <c r="BC81" s="96"/>
      <c r="BD81" s="97"/>
      <c r="BE81" s="89"/>
      <c r="BF81" s="97"/>
      <c r="BG81" s="89"/>
      <c r="BH81" s="89"/>
      <c r="BI81" s="89"/>
      <c r="BJ81" s="89"/>
      <c r="BK81" s="89"/>
      <c r="BL81" s="89"/>
      <c r="BM81" s="89"/>
      <c r="BN81" s="89"/>
      <c r="BO81" s="89"/>
      <c r="BP81" s="89"/>
      <c r="BQ81" s="89"/>
      <c r="BR81" s="89"/>
      <c r="BS81" s="89"/>
      <c r="BT81" s="89"/>
      <c r="BU81" s="89"/>
      <c r="BV81" s="89"/>
      <c r="BW81" s="95"/>
      <c r="BX81" s="96"/>
      <c r="BY81" s="97"/>
      <c r="BZ81" s="89"/>
      <c r="CA81" s="97"/>
      <c r="CB81" s="89"/>
      <c r="CC81" s="89"/>
      <c r="CD81" s="89"/>
      <c r="CE81" s="89"/>
      <c r="CF81" s="89"/>
      <c r="CG81" s="89"/>
      <c r="CH81" s="89"/>
      <c r="CI81" s="89"/>
      <c r="CJ81" s="89"/>
      <c r="CK81" s="89"/>
      <c r="CL81" s="89"/>
      <c r="CM81" s="89"/>
      <c r="CN81" s="89"/>
      <c r="CO81" s="89"/>
      <c r="CP81" s="89"/>
      <c r="CQ81" s="89"/>
      <c r="CR81" s="95"/>
      <c r="CS81" s="96"/>
      <c r="CT81" s="97"/>
      <c r="CU81" s="89"/>
      <c r="CV81" s="97"/>
      <c r="CW81" s="89"/>
      <c r="CX81" s="89"/>
      <c r="CY81" s="89"/>
      <c r="CZ81" s="89"/>
      <c r="DA81" s="89"/>
      <c r="DB81" s="89"/>
      <c r="DC81" s="89"/>
      <c r="DD81" s="89"/>
      <c r="DE81" s="89"/>
      <c r="DF81" s="89"/>
      <c r="DG81" s="89"/>
      <c r="DH81" s="89"/>
      <c r="DI81" s="89"/>
      <c r="DJ81" s="89"/>
      <c r="DK81" s="89"/>
      <c r="DL81" s="89"/>
      <c r="DO81" s="214"/>
      <c r="DP81" s="162"/>
      <c r="DQ81" s="162"/>
      <c r="DR81" s="162"/>
      <c r="DS81" s="162"/>
      <c r="DT81" s="162"/>
      <c r="EE81" s="258"/>
      <c r="EF81" s="258"/>
      <c r="EG81" s="258"/>
      <c r="EH81" s="258"/>
      <c r="EI81" s="258"/>
      <c r="EJ81" s="56"/>
      <c r="EK81" s="56"/>
      <c r="EL81" s="56"/>
      <c r="EM81" s="56"/>
      <c r="EN81" s="56"/>
      <c r="ET81" s="258"/>
      <c r="EX81" s="10"/>
      <c r="EZ81" s="119"/>
      <c r="FJ81" s="284"/>
      <c r="FK81" s="284"/>
      <c r="FL81" s="284"/>
      <c r="FM81" s="283"/>
      <c r="FN81" s="283"/>
      <c r="FO81" s="162"/>
      <c r="FP81" s="162"/>
      <c r="FQ81" s="162"/>
      <c r="FR81" s="162"/>
      <c r="FS81" s="162"/>
      <c r="FU81" s="258"/>
      <c r="FV81" s="388"/>
      <c r="FW81" s="389"/>
    </row>
    <row r="82" spans="1:179" x14ac:dyDescent="0.2">
      <c r="A82" s="21"/>
      <c r="C82" s="21"/>
      <c r="D82" s="21"/>
      <c r="E82" s="21"/>
      <c r="F82" s="21"/>
      <c r="G82" s="21"/>
      <c r="H82" s="21"/>
      <c r="I82" s="21"/>
      <c r="J82" s="21"/>
      <c r="K82" s="21"/>
      <c r="L82" s="95"/>
      <c r="M82" s="278"/>
      <c r="N82" s="96"/>
      <c r="O82" s="96"/>
      <c r="P82" s="97"/>
      <c r="Q82" s="89"/>
      <c r="R82" s="279"/>
      <c r="S82" s="279"/>
      <c r="T82" s="89"/>
      <c r="U82" s="279"/>
      <c r="V82" s="279"/>
      <c r="W82" s="89"/>
      <c r="X82" s="89"/>
      <c r="Y82" s="89"/>
      <c r="Z82" s="89"/>
      <c r="AA82" s="89"/>
      <c r="AB82" s="89"/>
      <c r="AC82" s="89"/>
      <c r="AD82" s="89"/>
      <c r="AE82" s="89"/>
      <c r="AF82" s="89"/>
      <c r="AG82" s="95"/>
      <c r="AH82" s="96"/>
      <c r="AI82" s="97"/>
      <c r="AJ82" s="89"/>
      <c r="AK82" s="97"/>
      <c r="AL82" s="89"/>
      <c r="AM82" s="89"/>
      <c r="AN82" s="89"/>
      <c r="AO82" s="89"/>
      <c r="AP82" s="89"/>
      <c r="AQ82" s="89"/>
      <c r="AR82" s="89"/>
      <c r="AS82" s="89"/>
      <c r="AT82" s="89"/>
      <c r="AU82" s="89"/>
      <c r="AV82" s="89"/>
      <c r="AW82" s="89"/>
      <c r="AX82" s="89"/>
      <c r="AY82" s="89"/>
      <c r="AZ82" s="89"/>
      <c r="BA82" s="89"/>
      <c r="BB82" s="95"/>
      <c r="BC82" s="96"/>
      <c r="BD82" s="97"/>
      <c r="BE82" s="89"/>
      <c r="BF82" s="97"/>
      <c r="BG82" s="89"/>
      <c r="BH82" s="89"/>
      <c r="BI82" s="89"/>
      <c r="BJ82" s="89"/>
      <c r="BK82" s="89"/>
      <c r="BL82" s="89"/>
      <c r="BM82" s="89"/>
      <c r="BN82" s="89"/>
      <c r="BO82" s="89"/>
      <c r="BP82" s="89"/>
      <c r="BQ82" s="89"/>
      <c r="BR82" s="89"/>
      <c r="BS82" s="89"/>
      <c r="BT82" s="89"/>
      <c r="BU82" s="89"/>
      <c r="BV82" s="89"/>
      <c r="BW82" s="95"/>
      <c r="BX82" s="96"/>
      <c r="BY82" s="97"/>
      <c r="BZ82" s="89"/>
      <c r="CA82" s="97"/>
      <c r="CB82" s="89"/>
      <c r="CC82" s="89"/>
      <c r="CD82" s="89"/>
      <c r="CE82" s="89"/>
      <c r="CF82" s="89"/>
      <c r="CG82" s="89"/>
      <c r="CH82" s="89"/>
      <c r="CI82" s="89"/>
      <c r="CJ82" s="89"/>
      <c r="CK82" s="89"/>
      <c r="CL82" s="89"/>
      <c r="CM82" s="89"/>
      <c r="CN82" s="89"/>
      <c r="CO82" s="89"/>
      <c r="CP82" s="89"/>
      <c r="CQ82" s="89"/>
      <c r="CR82" s="95"/>
      <c r="CS82" s="96"/>
      <c r="CT82" s="97"/>
      <c r="CU82" s="89"/>
      <c r="CV82" s="97"/>
      <c r="CW82" s="89"/>
      <c r="CX82" s="89"/>
      <c r="CY82" s="89"/>
      <c r="CZ82" s="89"/>
      <c r="DA82" s="89"/>
      <c r="DB82" s="89"/>
      <c r="DC82" s="89"/>
      <c r="DD82" s="89"/>
      <c r="DE82" s="89"/>
      <c r="DF82" s="89"/>
      <c r="DG82" s="89"/>
      <c r="DH82" s="89"/>
      <c r="DI82" s="89"/>
      <c r="DJ82" s="89"/>
      <c r="DK82" s="89"/>
      <c r="DL82" s="89"/>
      <c r="DO82" s="214"/>
      <c r="DP82" s="162"/>
      <c r="DQ82" s="162"/>
      <c r="DR82" s="162"/>
      <c r="DS82" s="162"/>
      <c r="DT82" s="162"/>
      <c r="EE82" s="258"/>
      <c r="EF82" s="258"/>
      <c r="EG82" s="258"/>
      <c r="EH82" s="258"/>
      <c r="EI82" s="258"/>
      <c r="EJ82" s="56"/>
      <c r="EK82" s="56"/>
      <c r="EL82" s="56"/>
      <c r="EM82" s="56"/>
      <c r="EN82" s="56"/>
      <c r="ET82" s="258"/>
      <c r="EX82" s="10"/>
      <c r="EZ82" s="119"/>
      <c r="FJ82" s="284"/>
      <c r="FK82" s="284"/>
      <c r="FL82" s="284"/>
      <c r="FM82" s="283"/>
      <c r="FN82" s="283"/>
      <c r="FO82" s="162"/>
      <c r="FP82" s="162"/>
      <c r="FQ82" s="162"/>
      <c r="FR82" s="162"/>
      <c r="FS82" s="162"/>
      <c r="FU82" s="258"/>
      <c r="FV82" s="388"/>
      <c r="FW82" s="389"/>
    </row>
    <row r="83" spans="1:179" x14ac:dyDescent="0.2">
      <c r="A83" s="21"/>
      <c r="C83" s="21"/>
      <c r="D83" s="21"/>
      <c r="E83" s="21"/>
      <c r="F83" s="21"/>
      <c r="G83" s="21"/>
      <c r="H83" s="21"/>
      <c r="I83" s="21"/>
      <c r="J83" s="21"/>
      <c r="K83" s="21"/>
      <c r="L83" s="95"/>
      <c r="M83" s="278"/>
      <c r="N83" s="96"/>
      <c r="O83" s="96"/>
      <c r="P83" s="97"/>
      <c r="Q83" s="89"/>
      <c r="R83" s="279"/>
      <c r="S83" s="279"/>
      <c r="T83" s="89"/>
      <c r="U83" s="279"/>
      <c r="V83" s="279"/>
      <c r="W83" s="89"/>
      <c r="X83" s="89"/>
      <c r="Y83" s="89"/>
      <c r="Z83" s="89"/>
      <c r="AA83" s="89"/>
      <c r="AB83" s="89"/>
      <c r="AC83" s="89"/>
      <c r="AD83" s="89"/>
      <c r="AE83" s="89"/>
      <c r="AF83" s="89"/>
      <c r="AG83" s="95"/>
      <c r="AH83" s="96"/>
      <c r="AI83" s="97"/>
      <c r="AJ83" s="89"/>
      <c r="AK83" s="97"/>
      <c r="AL83" s="89"/>
      <c r="AM83" s="89"/>
      <c r="AN83" s="89"/>
      <c r="AO83" s="89"/>
      <c r="AP83" s="89"/>
      <c r="AQ83" s="89"/>
      <c r="AR83" s="89"/>
      <c r="AS83" s="89"/>
      <c r="AT83" s="89"/>
      <c r="AU83" s="89"/>
      <c r="AV83" s="89"/>
      <c r="AW83" s="89"/>
      <c r="AX83" s="89"/>
      <c r="AY83" s="89"/>
      <c r="AZ83" s="89"/>
      <c r="BA83" s="89"/>
      <c r="BB83" s="95"/>
      <c r="BC83" s="96"/>
      <c r="BD83" s="97"/>
      <c r="BE83" s="89"/>
      <c r="BF83" s="97"/>
      <c r="BG83" s="89"/>
      <c r="BH83" s="89"/>
      <c r="BI83" s="89"/>
      <c r="BJ83" s="89"/>
      <c r="BK83" s="89"/>
      <c r="BL83" s="89"/>
      <c r="BM83" s="89"/>
      <c r="BN83" s="89"/>
      <c r="BO83" s="89"/>
      <c r="BP83" s="89"/>
      <c r="BQ83" s="89"/>
      <c r="BR83" s="89"/>
      <c r="BS83" s="89"/>
      <c r="BT83" s="89"/>
      <c r="BU83" s="89"/>
      <c r="BV83" s="89"/>
      <c r="BW83" s="95"/>
      <c r="BX83" s="96"/>
      <c r="BY83" s="97"/>
      <c r="BZ83" s="89"/>
      <c r="CA83" s="97"/>
      <c r="CB83" s="89"/>
      <c r="CC83" s="89"/>
      <c r="CD83" s="89"/>
      <c r="CE83" s="89"/>
      <c r="CF83" s="89"/>
      <c r="CG83" s="89"/>
      <c r="CH83" s="89"/>
      <c r="CI83" s="89"/>
      <c r="CJ83" s="89"/>
      <c r="CK83" s="89"/>
      <c r="CL83" s="89"/>
      <c r="CM83" s="89"/>
      <c r="CN83" s="89"/>
      <c r="CO83" s="89"/>
      <c r="CP83" s="89"/>
      <c r="CQ83" s="89"/>
      <c r="CR83" s="95"/>
      <c r="CS83" s="96"/>
      <c r="CT83" s="97"/>
      <c r="CU83" s="89"/>
      <c r="CV83" s="97"/>
      <c r="CW83" s="89"/>
      <c r="CX83" s="89"/>
      <c r="CY83" s="89"/>
      <c r="CZ83" s="89"/>
      <c r="DA83" s="89"/>
      <c r="DB83" s="89"/>
      <c r="DC83" s="89"/>
      <c r="DD83" s="89"/>
      <c r="DE83" s="89"/>
      <c r="DF83" s="89"/>
      <c r="DG83" s="89"/>
      <c r="DH83" s="89"/>
      <c r="DI83" s="89"/>
      <c r="DJ83" s="89"/>
      <c r="DK83" s="89"/>
      <c r="DL83" s="89"/>
      <c r="DO83" s="214"/>
      <c r="DP83" s="162"/>
      <c r="DQ83" s="162"/>
      <c r="DR83" s="162"/>
      <c r="DS83" s="162"/>
      <c r="DT83" s="162"/>
      <c r="EE83" s="258"/>
      <c r="EF83" s="258"/>
      <c r="EG83" s="258"/>
      <c r="EH83" s="258"/>
      <c r="EI83" s="258"/>
      <c r="EJ83" s="56"/>
      <c r="EK83" s="56"/>
      <c r="EL83" s="56"/>
      <c r="EM83" s="56"/>
      <c r="EN83" s="56"/>
      <c r="ET83" s="258"/>
      <c r="EX83" s="10"/>
      <c r="EZ83" s="119"/>
      <c r="FJ83" s="284"/>
      <c r="FK83" s="284"/>
      <c r="FL83" s="284"/>
      <c r="FM83" s="283"/>
      <c r="FN83" s="283"/>
      <c r="FO83" s="162"/>
      <c r="FP83" s="162"/>
      <c r="FQ83" s="162"/>
      <c r="FR83" s="162"/>
      <c r="FS83" s="162"/>
      <c r="FU83" s="258"/>
      <c r="FV83" s="388"/>
      <c r="FW83" s="389"/>
    </row>
    <row r="84" spans="1:179" x14ac:dyDescent="0.2">
      <c r="A84" s="21"/>
      <c r="C84" s="21"/>
      <c r="D84" s="21"/>
      <c r="E84" s="21"/>
      <c r="F84" s="21"/>
      <c r="G84" s="21"/>
      <c r="H84" s="21"/>
      <c r="I84" s="21"/>
      <c r="J84" s="21"/>
      <c r="K84" s="21"/>
      <c r="L84" s="95"/>
      <c r="M84" s="278"/>
      <c r="N84" s="96"/>
      <c r="O84" s="96"/>
      <c r="P84" s="97"/>
      <c r="Q84" s="89"/>
      <c r="R84" s="279"/>
      <c r="S84" s="279"/>
      <c r="T84" s="89"/>
      <c r="U84" s="279"/>
      <c r="V84" s="279"/>
      <c r="W84" s="89"/>
      <c r="X84" s="89"/>
      <c r="Y84" s="89"/>
      <c r="Z84" s="89"/>
      <c r="AA84" s="89"/>
      <c r="AB84" s="89"/>
      <c r="AC84" s="89"/>
      <c r="AD84" s="89"/>
      <c r="AE84" s="89"/>
      <c r="AF84" s="89"/>
      <c r="AG84" s="95"/>
      <c r="AH84" s="96"/>
      <c r="AI84" s="97"/>
      <c r="AJ84" s="89"/>
      <c r="AK84" s="97"/>
      <c r="AL84" s="89"/>
      <c r="AM84" s="89"/>
      <c r="AN84" s="89"/>
      <c r="AO84" s="89"/>
      <c r="AP84" s="89"/>
      <c r="AQ84" s="89"/>
      <c r="AR84" s="89"/>
      <c r="AS84" s="89"/>
      <c r="AT84" s="89"/>
      <c r="AU84" s="89"/>
      <c r="AV84" s="89"/>
      <c r="AW84" s="89"/>
      <c r="AX84" s="89"/>
      <c r="AY84" s="89"/>
      <c r="AZ84" s="89"/>
      <c r="BA84" s="89"/>
      <c r="BB84" s="95"/>
      <c r="BC84" s="96"/>
      <c r="BD84" s="97"/>
      <c r="BE84" s="89"/>
      <c r="BF84" s="97"/>
      <c r="BG84" s="89"/>
      <c r="BH84" s="89"/>
      <c r="BI84" s="89"/>
      <c r="BJ84" s="89"/>
      <c r="BK84" s="89"/>
      <c r="BL84" s="89"/>
      <c r="BM84" s="89"/>
      <c r="BN84" s="89"/>
      <c r="BO84" s="89"/>
      <c r="BP84" s="89"/>
      <c r="BQ84" s="89"/>
      <c r="BR84" s="89"/>
      <c r="BS84" s="89"/>
      <c r="BT84" s="89"/>
      <c r="BU84" s="89"/>
      <c r="BV84" s="89"/>
      <c r="BW84" s="95"/>
      <c r="BX84" s="96"/>
      <c r="BY84" s="97"/>
      <c r="BZ84" s="89"/>
      <c r="CA84" s="97"/>
      <c r="CB84" s="89"/>
      <c r="CC84" s="89"/>
      <c r="CD84" s="89"/>
      <c r="CE84" s="89"/>
      <c r="CF84" s="89"/>
      <c r="CG84" s="89"/>
      <c r="CH84" s="89"/>
      <c r="CI84" s="89"/>
      <c r="CJ84" s="89"/>
      <c r="CK84" s="89"/>
      <c r="CL84" s="89"/>
      <c r="CM84" s="89"/>
      <c r="CN84" s="89"/>
      <c r="CO84" s="89"/>
      <c r="CP84" s="89"/>
      <c r="CQ84" s="89"/>
      <c r="CR84" s="95"/>
      <c r="CS84" s="96"/>
      <c r="CT84" s="97"/>
      <c r="CU84" s="89"/>
      <c r="CV84" s="97"/>
      <c r="CW84" s="89"/>
      <c r="CX84" s="89"/>
      <c r="CY84" s="89"/>
      <c r="CZ84" s="89"/>
      <c r="DA84" s="89"/>
      <c r="DB84" s="89"/>
      <c r="DC84" s="89"/>
      <c r="DD84" s="89"/>
      <c r="DE84" s="89"/>
      <c r="DF84" s="89"/>
      <c r="DG84" s="89"/>
      <c r="DH84" s="89"/>
      <c r="DI84" s="89"/>
      <c r="DJ84" s="89"/>
      <c r="DK84" s="89"/>
      <c r="DL84" s="89"/>
      <c r="DO84" s="214"/>
      <c r="DP84" s="162"/>
      <c r="DQ84" s="162"/>
      <c r="DR84" s="162"/>
      <c r="DS84" s="162"/>
      <c r="DT84" s="162"/>
      <c r="EE84" s="258"/>
      <c r="EF84" s="258"/>
      <c r="EG84" s="258"/>
      <c r="EH84" s="258"/>
      <c r="EI84" s="258"/>
      <c r="EJ84" s="56"/>
      <c r="EK84" s="56"/>
      <c r="EL84" s="56"/>
      <c r="EM84" s="56"/>
      <c r="EN84" s="56"/>
      <c r="ET84" s="258"/>
      <c r="EX84" s="10"/>
      <c r="EZ84" s="119"/>
      <c r="FJ84" s="284"/>
      <c r="FK84" s="284"/>
      <c r="FL84" s="284"/>
      <c r="FM84" s="283"/>
      <c r="FN84" s="283"/>
      <c r="FO84" s="162"/>
      <c r="FP84" s="162"/>
      <c r="FQ84" s="162"/>
      <c r="FR84" s="162"/>
      <c r="FS84" s="162"/>
      <c r="FU84" s="258"/>
      <c r="FV84" s="388"/>
      <c r="FW84" s="389"/>
    </row>
    <row r="85" spans="1:179" x14ac:dyDescent="0.2">
      <c r="A85" s="21"/>
      <c r="C85" s="21"/>
      <c r="D85" s="21"/>
      <c r="E85" s="21"/>
      <c r="F85" s="21"/>
      <c r="G85" s="21"/>
      <c r="H85" s="21"/>
      <c r="I85" s="21"/>
      <c r="J85" s="21"/>
      <c r="K85" s="21"/>
      <c r="L85" s="95"/>
      <c r="M85" s="278"/>
      <c r="N85" s="96"/>
      <c r="O85" s="96"/>
      <c r="P85" s="97"/>
      <c r="Q85" s="89"/>
      <c r="R85" s="279"/>
      <c r="S85" s="279"/>
      <c r="T85" s="89"/>
      <c r="U85" s="279"/>
      <c r="V85" s="279"/>
      <c r="W85" s="89"/>
      <c r="X85" s="89"/>
      <c r="Y85" s="89"/>
      <c r="Z85" s="89"/>
      <c r="AA85" s="89"/>
      <c r="AB85" s="89"/>
      <c r="AC85" s="89"/>
      <c r="AD85" s="89"/>
      <c r="AE85" s="89"/>
      <c r="AF85" s="89"/>
      <c r="AG85" s="95"/>
      <c r="AH85" s="96"/>
      <c r="AI85" s="97"/>
      <c r="AJ85" s="89"/>
      <c r="AK85" s="97"/>
      <c r="AL85" s="89"/>
      <c r="AM85" s="89"/>
      <c r="AN85" s="89"/>
      <c r="AO85" s="89"/>
      <c r="AP85" s="89"/>
      <c r="AQ85" s="89"/>
      <c r="AR85" s="89"/>
      <c r="AS85" s="89"/>
      <c r="AT85" s="89"/>
      <c r="AU85" s="89"/>
      <c r="AV85" s="89"/>
      <c r="AW85" s="89"/>
      <c r="AX85" s="89"/>
      <c r="AY85" s="89"/>
      <c r="AZ85" s="89"/>
      <c r="BA85" s="89"/>
      <c r="BB85" s="95"/>
      <c r="BC85" s="96"/>
      <c r="BD85" s="97"/>
      <c r="BE85" s="89"/>
      <c r="BF85" s="97"/>
      <c r="BG85" s="89"/>
      <c r="BH85" s="89"/>
      <c r="BI85" s="89"/>
      <c r="BJ85" s="89"/>
      <c r="BK85" s="89"/>
      <c r="BL85" s="89"/>
      <c r="BM85" s="89"/>
      <c r="BN85" s="89"/>
      <c r="BO85" s="89"/>
      <c r="BP85" s="89"/>
      <c r="BQ85" s="89"/>
      <c r="BR85" s="89"/>
      <c r="BS85" s="89"/>
      <c r="BT85" s="89"/>
      <c r="BU85" s="89"/>
      <c r="BV85" s="89"/>
      <c r="BW85" s="95"/>
      <c r="BX85" s="96"/>
      <c r="BY85" s="97"/>
      <c r="BZ85" s="89"/>
      <c r="CA85" s="97"/>
      <c r="CB85" s="89"/>
      <c r="CC85" s="89"/>
      <c r="CD85" s="89"/>
      <c r="CE85" s="89"/>
      <c r="CF85" s="89"/>
      <c r="CG85" s="89"/>
      <c r="CH85" s="89"/>
      <c r="CI85" s="89"/>
      <c r="CJ85" s="89"/>
      <c r="CK85" s="89"/>
      <c r="CL85" s="89"/>
      <c r="CM85" s="89"/>
      <c r="CN85" s="89"/>
      <c r="CO85" s="89"/>
      <c r="CP85" s="89"/>
      <c r="CQ85" s="89"/>
      <c r="CR85" s="95"/>
      <c r="CS85" s="96"/>
      <c r="CT85" s="97"/>
      <c r="CU85" s="89"/>
      <c r="CV85" s="97"/>
      <c r="CW85" s="89"/>
      <c r="CX85" s="89"/>
      <c r="CY85" s="89"/>
      <c r="CZ85" s="89"/>
      <c r="DA85" s="89"/>
      <c r="DB85" s="89"/>
      <c r="DC85" s="89"/>
      <c r="DD85" s="89"/>
      <c r="DE85" s="89"/>
      <c r="DF85" s="89"/>
      <c r="DG85" s="89"/>
      <c r="DH85" s="89"/>
      <c r="DI85" s="89"/>
      <c r="DJ85" s="89"/>
      <c r="DK85" s="89"/>
      <c r="DL85" s="89"/>
      <c r="DO85" s="214"/>
      <c r="DP85" s="162"/>
      <c r="DQ85" s="162"/>
      <c r="DR85" s="162"/>
      <c r="DS85" s="162"/>
      <c r="DT85" s="162"/>
      <c r="EE85" s="258"/>
      <c r="EF85" s="258"/>
      <c r="EG85" s="258"/>
      <c r="EH85" s="258"/>
      <c r="EI85" s="258"/>
      <c r="EJ85" s="56"/>
      <c r="EK85" s="56"/>
      <c r="EL85" s="56"/>
      <c r="EM85" s="56"/>
      <c r="EN85" s="56"/>
      <c r="ET85" s="258"/>
      <c r="EX85" s="10"/>
      <c r="EZ85" s="119"/>
      <c r="FJ85" s="284"/>
      <c r="FK85" s="284"/>
      <c r="FL85" s="284"/>
      <c r="FM85" s="283"/>
      <c r="FN85" s="283"/>
      <c r="FO85" s="162"/>
      <c r="FP85" s="162"/>
      <c r="FQ85" s="162"/>
      <c r="FR85" s="162"/>
      <c r="FS85" s="162"/>
      <c r="FU85" s="258"/>
      <c r="FV85" s="388"/>
      <c r="FW85" s="389"/>
    </row>
  </sheetData>
  <customSheetViews>
    <customSheetView guid="{1F7EA7B0-7CBB-4C85-991C-384D0AE2B3A5}" scale="75" showRuler="0" topLeftCell="DJ1">
      <selection activeCell="DU10" sqref="DU10"/>
      <pageMargins left="0.75" right="0.75" top="1" bottom="1" header="0.5" footer="0.5"/>
      <printOptions gridLines="1"/>
      <headerFooter alignWithMargins="0">
        <oddHeader>&amp;A</oddHeader>
        <oddFooter>Page &amp;P</oddFooter>
      </headerFooter>
    </customSheetView>
  </customSheetViews>
  <phoneticPr fontId="13" type="noConversion"/>
  <printOptions gridLines="1" gridLinesSet="0"/>
  <pageMargins left="0.75" right="0.75" top="1" bottom="1" header="0.5" footer="0.5"/>
  <headerFooter alignWithMargins="0">
    <oddHeader>&amp;A</oddHeader>
    <oddFooter>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BO12"/>
  <sheetViews>
    <sheetView zoomScale="75" workbookViewId="0">
      <selection activeCell="Q3" sqref="Q3"/>
    </sheetView>
  </sheetViews>
  <sheetFormatPr defaultRowHeight="12.75" x14ac:dyDescent="0.2"/>
  <cols>
    <col min="2" max="2" width="11.85546875" customWidth="1"/>
    <col min="4" max="4" width="12.42578125" customWidth="1"/>
    <col min="5" max="5" width="8.7109375" customWidth="1"/>
    <col min="7" max="9" width="12.28515625" bestFit="1" customWidth="1"/>
    <col min="11" max="11" width="12.7109375" bestFit="1" customWidth="1"/>
    <col min="12" max="12" width="12.85546875" bestFit="1" customWidth="1"/>
    <col min="13" max="15" width="12.28515625" bestFit="1" customWidth="1"/>
    <col min="16" max="16" width="12.85546875" bestFit="1" customWidth="1"/>
    <col min="17" max="18" width="12.28515625" bestFit="1" customWidth="1"/>
    <col min="19" max="19" width="11.140625" customWidth="1"/>
    <col min="20" max="20" width="13.140625" bestFit="1" customWidth="1"/>
    <col min="21" max="21" width="11.5703125" customWidth="1"/>
    <col min="22" max="22" width="12.28515625" bestFit="1" customWidth="1"/>
    <col min="23" max="23" width="11.140625" customWidth="1"/>
    <col min="24" max="24" width="13.140625" bestFit="1" customWidth="1"/>
    <col min="25" max="25" width="12.42578125" bestFit="1" customWidth="1"/>
    <col min="26" max="47" width="11.140625" customWidth="1"/>
    <col min="48" max="48" width="12.42578125" bestFit="1" customWidth="1"/>
    <col min="50" max="50" width="12.42578125" bestFit="1" customWidth="1"/>
    <col min="54" max="54" width="10.85546875" customWidth="1"/>
    <col min="55" max="55" width="11.85546875" customWidth="1"/>
    <col min="62" max="62" width="10.28515625" bestFit="1" customWidth="1"/>
  </cols>
  <sheetData>
    <row r="2" spans="1:67" x14ac:dyDescent="0.2">
      <c r="A2">
        <v>1</v>
      </c>
      <c r="B2">
        <v>2</v>
      </c>
      <c r="C2">
        <v>3</v>
      </c>
      <c r="D2">
        <v>4</v>
      </c>
      <c r="E2">
        <v>5</v>
      </c>
      <c r="F2">
        <v>6</v>
      </c>
      <c r="G2">
        <v>7</v>
      </c>
      <c r="H2">
        <v>8</v>
      </c>
      <c r="I2">
        <v>9</v>
      </c>
      <c r="J2">
        <v>10</v>
      </c>
      <c r="K2">
        <v>11</v>
      </c>
      <c r="L2">
        <v>12</v>
      </c>
      <c r="M2">
        <v>13</v>
      </c>
      <c r="N2">
        <v>14</v>
      </c>
      <c r="O2">
        <v>15</v>
      </c>
      <c r="P2">
        <v>16</v>
      </c>
      <c r="Q2">
        <v>17</v>
      </c>
      <c r="R2">
        <v>18</v>
      </c>
      <c r="S2">
        <v>19</v>
      </c>
      <c r="T2">
        <v>20</v>
      </c>
      <c r="U2">
        <v>21</v>
      </c>
      <c r="V2">
        <v>22</v>
      </c>
      <c r="W2">
        <v>23</v>
      </c>
      <c r="X2">
        <v>24</v>
      </c>
      <c r="Y2">
        <v>25</v>
      </c>
      <c r="Z2">
        <v>26</v>
      </c>
      <c r="AA2">
        <v>27</v>
      </c>
      <c r="AB2">
        <v>28</v>
      </c>
      <c r="AC2">
        <v>29</v>
      </c>
      <c r="AD2">
        <v>30</v>
      </c>
      <c r="AE2">
        <v>31</v>
      </c>
      <c r="AF2">
        <v>32</v>
      </c>
      <c r="AG2">
        <v>33</v>
      </c>
      <c r="AH2">
        <v>34</v>
      </c>
      <c r="AI2">
        <v>35</v>
      </c>
      <c r="AJ2">
        <v>36</v>
      </c>
      <c r="AK2">
        <v>37</v>
      </c>
      <c r="AL2">
        <v>38</v>
      </c>
      <c r="AM2">
        <v>39</v>
      </c>
      <c r="AN2">
        <v>40</v>
      </c>
      <c r="AO2">
        <v>41</v>
      </c>
      <c r="AP2">
        <v>42</v>
      </c>
      <c r="AQ2">
        <v>43</v>
      </c>
      <c r="AR2">
        <v>44</v>
      </c>
      <c r="AS2">
        <v>45</v>
      </c>
      <c r="AT2">
        <v>46</v>
      </c>
      <c r="AU2">
        <v>47</v>
      </c>
      <c r="AV2">
        <v>48</v>
      </c>
      <c r="AW2">
        <v>49</v>
      </c>
      <c r="AX2">
        <v>50</v>
      </c>
      <c r="AY2">
        <v>51</v>
      </c>
      <c r="AZ2">
        <v>52</v>
      </c>
      <c r="BA2">
        <v>53</v>
      </c>
      <c r="BB2">
        <v>54</v>
      </c>
      <c r="BC2">
        <v>55</v>
      </c>
      <c r="BD2">
        <v>56</v>
      </c>
      <c r="BE2">
        <v>57</v>
      </c>
      <c r="BF2">
        <v>58</v>
      </c>
      <c r="BG2">
        <v>59</v>
      </c>
      <c r="BH2">
        <v>60</v>
      </c>
      <c r="BI2">
        <v>61</v>
      </c>
      <c r="BJ2">
        <v>62</v>
      </c>
      <c r="BK2">
        <v>63</v>
      </c>
    </row>
    <row r="3" spans="1:67" x14ac:dyDescent="0.2">
      <c r="A3" t="s">
        <v>437</v>
      </c>
      <c r="B3">
        <v>8</v>
      </c>
      <c r="C3">
        <v>11</v>
      </c>
      <c r="D3">
        <v>138</v>
      </c>
      <c r="E3">
        <v>139</v>
      </c>
      <c r="F3">
        <v>12</v>
      </c>
      <c r="G3">
        <v>12</v>
      </c>
      <c r="H3">
        <v>14</v>
      </c>
      <c r="I3">
        <v>15</v>
      </c>
      <c r="J3">
        <v>15</v>
      </c>
      <c r="K3">
        <v>17</v>
      </c>
      <c r="L3">
        <v>18</v>
      </c>
      <c r="M3">
        <v>19</v>
      </c>
      <c r="N3">
        <v>19</v>
      </c>
      <c r="O3">
        <v>21</v>
      </c>
      <c r="P3">
        <v>22</v>
      </c>
      <c r="Q3">
        <v>24</v>
      </c>
      <c r="R3">
        <v>24</v>
      </c>
      <c r="S3">
        <v>25</v>
      </c>
      <c r="T3">
        <v>25</v>
      </c>
      <c r="U3">
        <v>27</v>
      </c>
      <c r="V3">
        <v>28</v>
      </c>
      <c r="W3">
        <v>29</v>
      </c>
      <c r="X3">
        <v>30</v>
      </c>
      <c r="Y3">
        <v>31</v>
      </c>
      <c r="Z3">
        <v>32</v>
      </c>
      <c r="AA3">
        <v>12</v>
      </c>
      <c r="AB3">
        <v>13</v>
      </c>
      <c r="AC3">
        <v>14</v>
      </c>
      <c r="AD3">
        <v>15</v>
      </c>
      <c r="AE3">
        <v>16</v>
      </c>
      <c r="AF3">
        <v>17</v>
      </c>
      <c r="AG3">
        <v>18</v>
      </c>
      <c r="AH3">
        <v>19</v>
      </c>
      <c r="AI3">
        <v>20</v>
      </c>
      <c r="AJ3">
        <v>21</v>
      </c>
      <c r="AK3">
        <v>22</v>
      </c>
      <c r="AL3">
        <v>23</v>
      </c>
      <c r="AM3">
        <v>24</v>
      </c>
      <c r="AN3">
        <v>25</v>
      </c>
      <c r="AO3">
        <v>26</v>
      </c>
      <c r="AP3">
        <v>27</v>
      </c>
      <c r="AQ3">
        <v>28</v>
      </c>
      <c r="AR3">
        <v>29</v>
      </c>
      <c r="AS3">
        <v>30</v>
      </c>
      <c r="AT3">
        <v>31</v>
      </c>
      <c r="AU3">
        <v>32</v>
      </c>
    </row>
    <row r="4" spans="1:67" x14ac:dyDescent="0.2">
      <c r="C4" s="30"/>
      <c r="D4" s="30" t="s">
        <v>435</v>
      </c>
      <c r="E4" s="30"/>
      <c r="F4" s="30">
        <v>1</v>
      </c>
      <c r="G4" s="30">
        <v>2</v>
      </c>
      <c r="H4" s="30">
        <v>3</v>
      </c>
      <c r="I4" s="30">
        <v>4</v>
      </c>
      <c r="J4" s="30">
        <v>5</v>
      </c>
      <c r="K4" s="30">
        <v>6</v>
      </c>
      <c r="L4" s="30">
        <v>7</v>
      </c>
      <c r="M4" s="30">
        <v>8</v>
      </c>
      <c r="N4" s="30">
        <v>9</v>
      </c>
      <c r="O4" s="30">
        <v>10</v>
      </c>
      <c r="P4" s="30">
        <v>11</v>
      </c>
      <c r="Q4" s="30">
        <v>12</v>
      </c>
      <c r="R4" s="30">
        <v>13</v>
      </c>
      <c r="S4" s="30">
        <v>14</v>
      </c>
      <c r="T4" s="30">
        <v>15</v>
      </c>
      <c r="U4" s="30">
        <v>16</v>
      </c>
      <c r="V4" s="30">
        <v>17</v>
      </c>
      <c r="W4" s="30">
        <v>18</v>
      </c>
      <c r="X4" s="30">
        <v>19</v>
      </c>
      <c r="Y4" s="30">
        <v>20</v>
      </c>
      <c r="Z4" s="30">
        <v>21</v>
      </c>
      <c r="AA4" s="133"/>
      <c r="AB4" s="133"/>
      <c r="AC4" s="133"/>
      <c r="AD4" s="133"/>
      <c r="AE4" s="133"/>
      <c r="AF4" s="133"/>
      <c r="AG4" s="133"/>
      <c r="AH4" s="133"/>
      <c r="AI4" s="133"/>
      <c r="AJ4" s="133"/>
      <c r="AK4" s="133"/>
      <c r="AL4" s="133"/>
      <c r="AM4" s="133"/>
      <c r="AN4" s="133"/>
      <c r="AO4" s="133"/>
      <c r="AP4" s="133"/>
      <c r="AQ4" s="133"/>
      <c r="AR4" s="133"/>
      <c r="AS4" s="133"/>
      <c r="AT4" s="133"/>
      <c r="AU4" s="133"/>
      <c r="AV4" s="9"/>
      <c r="AW4" s="9"/>
      <c r="AX4" s="9"/>
      <c r="AY4" s="9"/>
      <c r="AZ4" s="9"/>
      <c r="BA4" s="9"/>
      <c r="BB4" s="119"/>
      <c r="BC4" s="119"/>
      <c r="BD4" s="119"/>
      <c r="BE4" s="119"/>
      <c r="BF4" s="119"/>
      <c r="BG4" s="119"/>
      <c r="BI4" s="120"/>
    </row>
    <row r="5" spans="1:67" x14ac:dyDescent="0.2">
      <c r="C5" s="30" t="s">
        <v>436</v>
      </c>
      <c r="D5" s="30"/>
      <c r="E5" s="30"/>
      <c r="F5" s="30">
        <f>IF(check_std_array=1,VLOOKUP(F$4,Uncertainties!$A$5:$E$31,3,FALSE),1)</f>
        <v>5</v>
      </c>
      <c r="G5" s="30">
        <f>IF(check_std_array=1,VLOOKUP(G$4,Uncertainties!$A$5:$E$31,3,FALSE),1)</f>
        <v>5</v>
      </c>
      <c r="H5" s="30">
        <f>IF(check_std_array=1,VLOOKUP(H$4,Uncertainties!$A$5:$E$31,3,FALSE),1)</f>
        <v>4.3566041821583932</v>
      </c>
      <c r="I5" s="30">
        <f>IF(check_std_array=1,VLOOKUP(I$4,Uncertainties!$A$5:$E$31,3,FALSE),1)</f>
        <v>10</v>
      </c>
      <c r="J5" s="30">
        <f>IF(check_std_array=1,VLOOKUP(J$4,Uncertainties!$A$5:$E$31,3,FALSE),1)</f>
        <v>1</v>
      </c>
      <c r="K5" s="30">
        <f>IF(check_std_array=1,VLOOKUP(K$4,Uncertainties!$A$5:$E$31,3,FALSE),1)</f>
        <v>2</v>
      </c>
      <c r="L5" s="30">
        <f>IF(check_std_array=1,VLOOKUP(L$4,Uncertainties!$A$5:$E$31,3,FALSE),1)</f>
        <v>2</v>
      </c>
      <c r="M5" s="30">
        <f>IF(check_std_array=1,VLOOKUP(M$4,Uncertainties!$A$5:$E$31,3,FALSE),1)</f>
        <v>5</v>
      </c>
      <c r="N5" s="30">
        <f>IF(check_std_array=1,VLOOKUP(N$4,Uncertainties!$A$5:$E$31,3,FALSE),1)</f>
        <v>1</v>
      </c>
      <c r="O5" s="30">
        <f>IF(check_std_array=1,VLOOKUP(O$4,Uncertainties!$A$5:$E$31,3,FALSE),1)</f>
        <v>2</v>
      </c>
      <c r="P5" s="30">
        <f>IF(check_std_array=1,VLOOKUP(P$4,Uncertainties!$A$5:$E$31,3,FALSE),1)</f>
        <v>1</v>
      </c>
      <c r="Q5" s="30">
        <f>IF(check_std_array=1,VLOOKUP(Q$4,Uncertainties!$A$5:$E$31,3,FALSE),1)</f>
        <v>15</v>
      </c>
      <c r="R5" s="30">
        <f>IF(check_std_array=1,VLOOKUP(R$4,Uncertainties!$A$5:$E$31,3,FALSE),1)</f>
        <v>50</v>
      </c>
      <c r="S5" s="30">
        <f>IF(check_std_array=1,VLOOKUP(S$4,Uncertainties!$A$5:$E$31,3,FALSE),1)</f>
        <v>2</v>
      </c>
      <c r="T5" s="30">
        <f>IF(check_std_array=1,VLOOKUP(T$4,Uncertainties!$A$5:$E$31,3,FALSE),1)</f>
        <v>2</v>
      </c>
      <c r="U5" s="30">
        <f>IF(check_std_array=1,VLOOKUP(U$4,Uncertainties!$A$5:$E$31,3,FALSE),1)</f>
        <v>500</v>
      </c>
      <c r="V5" s="30">
        <f>IF(check_std_array=1,VLOOKUP(V$4,Uncertainties!$A$5:$E$31,3,FALSE),1)</f>
        <v>873</v>
      </c>
      <c r="W5" s="30">
        <f>IF(check_std_array=1,VLOOKUP(W$4,Uncertainties!$A$5:$E$31,3,FALSE),1)</f>
        <v>500</v>
      </c>
      <c r="X5" s="30">
        <f>IF(check_std_array=1,VLOOKUP(X$4,Uncertainties!$A$5:$E$31,3,FALSE),1)</f>
        <v>500</v>
      </c>
      <c r="Y5" s="30">
        <f>IF(check_std_array=1,VLOOKUP(Y$4,Uncertainties!$A$5:$E$31,3,FALSE),1)</f>
        <v>10000</v>
      </c>
      <c r="Z5" s="30">
        <f>IF(check_std_array=1,VLOOKUP(Z$4,Uncertainties!$A$5:$E$31,3,FALSE),1)</f>
        <v>10000</v>
      </c>
      <c r="AA5" s="133"/>
      <c r="AB5" s="133"/>
      <c r="AC5" s="133"/>
      <c r="AD5" s="133"/>
      <c r="AE5" s="133"/>
      <c r="AF5" s="133"/>
      <c r="AG5" s="133"/>
      <c r="AH5" s="133"/>
      <c r="AI5" s="133"/>
      <c r="AJ5" s="133"/>
      <c r="AK5" s="133"/>
      <c r="AL5" s="133"/>
      <c r="AM5" s="133"/>
      <c r="AN5" s="133"/>
      <c r="AO5" s="133"/>
      <c r="AP5" s="133"/>
      <c r="AQ5" s="133"/>
      <c r="AR5" s="133"/>
      <c r="AS5" s="133"/>
      <c r="AT5" s="133"/>
      <c r="AU5" s="133"/>
      <c r="AV5" s="9"/>
      <c r="AW5" s="9"/>
      <c r="AX5" s="9"/>
      <c r="AY5" s="9"/>
      <c r="BI5" s="2"/>
      <c r="BO5" s="32"/>
    </row>
    <row r="6" spans="1:67" x14ac:dyDescent="0.2">
      <c r="C6" s="30"/>
      <c r="D6" s="216" t="s">
        <v>472</v>
      </c>
      <c r="E6" s="161">
        <v>1</v>
      </c>
      <c r="F6" s="30"/>
      <c r="G6" s="34" t="s">
        <v>264</v>
      </c>
      <c r="H6" s="30"/>
      <c r="I6" s="30"/>
      <c r="J6" s="34" t="s">
        <v>264</v>
      </c>
      <c r="K6" s="30"/>
      <c r="L6" s="30"/>
      <c r="M6" s="30"/>
      <c r="N6" s="34" t="s">
        <v>264</v>
      </c>
      <c r="O6" s="30"/>
      <c r="P6" s="30"/>
      <c r="Q6" s="30"/>
      <c r="R6" s="30"/>
      <c r="S6" s="34"/>
      <c r="T6" s="34" t="s">
        <v>264</v>
      </c>
      <c r="U6" s="30"/>
      <c r="V6" s="34" t="s">
        <v>264</v>
      </c>
      <c r="W6" s="30"/>
      <c r="X6" s="34" t="s">
        <v>264</v>
      </c>
      <c r="Y6" s="30"/>
      <c r="Z6" s="30"/>
      <c r="AA6" s="133"/>
      <c r="AB6" s="133"/>
      <c r="AC6" s="133"/>
      <c r="AD6" s="133"/>
      <c r="AE6" s="133"/>
      <c r="AF6" s="133"/>
      <c r="AG6" s="133"/>
      <c r="AH6" s="133"/>
      <c r="AI6" s="133"/>
      <c r="AJ6" s="133"/>
      <c r="AK6" s="133"/>
      <c r="AL6" s="133"/>
      <c r="AM6" s="133"/>
      <c r="AN6" s="133"/>
      <c r="AO6" s="133"/>
      <c r="AP6" s="133"/>
      <c r="AQ6" s="133"/>
      <c r="AR6" s="133"/>
      <c r="AS6" s="133"/>
      <c r="AT6" s="133"/>
      <c r="AU6" s="133"/>
      <c r="AV6" s="304" t="s">
        <v>148</v>
      </c>
      <c r="AW6" s="218"/>
      <c r="AX6" s="218"/>
      <c r="AY6" s="219"/>
      <c r="AZ6" s="219"/>
      <c r="BA6" s="219"/>
      <c r="BB6" s="133"/>
      <c r="BC6" s="133"/>
      <c r="BD6" s="305" t="s">
        <v>209</v>
      </c>
      <c r="BE6" s="298"/>
      <c r="BF6" s="298"/>
      <c r="BG6" s="299"/>
      <c r="BH6" s="299"/>
      <c r="BI6" s="299"/>
      <c r="BJ6" s="133"/>
      <c r="BK6" s="133"/>
    </row>
    <row r="7" spans="1:67" ht="13.5" thickBot="1" x14ac:dyDescent="0.25">
      <c r="C7" s="121"/>
      <c r="D7" s="30" t="s">
        <v>230</v>
      </c>
      <c r="E7" s="30"/>
      <c r="F7" s="31">
        <f>VLOOKUP(F$4,Uncertainties!$A$5:$E$31,5,FALSE)</f>
        <v>6</v>
      </c>
      <c r="G7" s="31">
        <f>VLOOKUP(G$4,Uncertainties!$A$5:$E$31,5,FALSE)</f>
        <v>12.5</v>
      </c>
      <c r="H7" s="31">
        <f>VLOOKUP(H$4,Uncertainties!$A$5:$E$31,5,FALSE)</f>
        <v>50</v>
      </c>
      <c r="I7" s="31">
        <f>VLOOKUP(I$4,Uncertainties!$A$5:$E$31,5,FALSE)</f>
        <v>10</v>
      </c>
      <c r="J7" s="31">
        <f>VLOOKUP(J$4,Uncertainties!$A$5:$E$31,5,FALSE)</f>
        <v>50</v>
      </c>
      <c r="K7" s="31">
        <f>VLOOKUP(K$4,Uncertainties!$A$5:$E$31,5,FALSE)</f>
        <v>8</v>
      </c>
      <c r="L7" s="31">
        <f>VLOOKUP(L$4,Uncertainties!$A$5:$E$31,5,FALSE)</f>
        <v>8</v>
      </c>
      <c r="M7" s="31">
        <f>VLOOKUP(M$4,Uncertainties!$A$5:$E$31,5,FALSE)</f>
        <v>8</v>
      </c>
      <c r="N7" s="31">
        <f>VLOOKUP(N$4,Uncertainties!$A$5:$E$31,5,FALSE)</f>
        <v>8</v>
      </c>
      <c r="O7" s="31">
        <f>VLOOKUP(O$4,Uncertainties!$A$5:$E$31,5,FALSE)</f>
        <v>8</v>
      </c>
      <c r="P7" s="31">
        <f>VLOOKUP(P$4,Uncertainties!$A$5:$E$31,5,FALSE)</f>
        <v>8</v>
      </c>
      <c r="Q7" s="31">
        <f>VLOOKUP(Q$4,Uncertainties!$A$5:$E$31,5,FALSE)</f>
        <v>12.5</v>
      </c>
      <c r="R7" s="31">
        <f>VLOOKUP(R$4,Uncertainties!$A$5:$E$31,5,FALSE)</f>
        <v>12.5</v>
      </c>
      <c r="S7" s="31">
        <f>VLOOKUP(S$4,Uncertainties!$A$5:$E$31,5,FALSE)</f>
        <v>8</v>
      </c>
      <c r="T7" s="31">
        <f>VLOOKUP(T$4,Uncertainties!$A$5:$E$31,5,FALSE)</f>
        <v>8</v>
      </c>
      <c r="U7" s="31">
        <f>VLOOKUP(U$4,Uncertainties!$A$5:$E$31,5,FALSE)</f>
        <v>12.5</v>
      </c>
      <c r="V7" s="31">
        <f>VLOOKUP(V$4,Uncertainties!$A$5:$E$31,5,FALSE)</f>
        <v>8</v>
      </c>
      <c r="W7" s="31">
        <f>VLOOKUP(W$4,Uncertainties!$A$5:$E$31,5,FALSE)</f>
        <v>8</v>
      </c>
      <c r="X7" s="31">
        <f>VLOOKUP(X$4,Uncertainties!$A$5:$E$31,5,FALSE)</f>
        <v>8</v>
      </c>
      <c r="Y7" s="31">
        <f>VLOOKUP(Y$4,Uncertainties!$A$5:$E$31,5,FALSE)</f>
        <v>8</v>
      </c>
      <c r="Z7" s="31">
        <f>VLOOKUP(Z$4,Uncertainties!$A$5:$E$31,5,FALSE)</f>
        <v>8</v>
      </c>
      <c r="AA7" s="134" t="s">
        <v>440</v>
      </c>
      <c r="AB7" s="135"/>
      <c r="AC7" s="135"/>
      <c r="AD7" s="135"/>
      <c r="AE7" s="135"/>
      <c r="AF7" s="135"/>
      <c r="AG7" s="135"/>
      <c r="AH7" s="135"/>
      <c r="AI7" s="135"/>
      <c r="AJ7" s="135"/>
      <c r="AK7" s="135"/>
      <c r="AL7" s="135"/>
      <c r="AM7" s="135"/>
      <c r="AN7" s="135"/>
      <c r="AO7" s="135"/>
      <c r="AP7" s="135"/>
      <c r="AQ7" s="135"/>
      <c r="AR7" s="135"/>
      <c r="AS7" s="135"/>
      <c r="AT7" s="135"/>
      <c r="AU7" s="135"/>
      <c r="AV7" s="218"/>
      <c r="AW7" s="218"/>
      <c r="AX7" s="218"/>
      <c r="AY7" s="220"/>
      <c r="AZ7" s="220"/>
      <c r="BA7" s="220"/>
      <c r="BB7" s="133"/>
      <c r="BC7" s="133"/>
      <c r="BD7" s="298"/>
      <c r="BE7" s="298"/>
      <c r="BF7" s="298"/>
      <c r="BG7" s="113"/>
      <c r="BH7" s="113"/>
      <c r="BI7" s="113"/>
      <c r="BJ7" s="133"/>
      <c r="BK7" s="133"/>
    </row>
    <row r="8" spans="1:67" ht="51" x14ac:dyDescent="0.2">
      <c r="C8" s="122"/>
      <c r="D8" s="123"/>
      <c r="E8" s="123"/>
      <c r="F8" s="124" t="s">
        <v>229</v>
      </c>
      <c r="G8" s="124"/>
      <c r="H8" s="138" t="s">
        <v>443</v>
      </c>
      <c r="I8" s="124"/>
      <c r="J8" s="124"/>
      <c r="K8" s="124"/>
      <c r="L8" s="124"/>
      <c r="M8" s="124"/>
      <c r="N8" s="124"/>
      <c r="O8" s="124"/>
      <c r="P8" s="124"/>
      <c r="Q8" s="124"/>
      <c r="R8" s="124"/>
      <c r="S8" s="124"/>
      <c r="T8" s="124"/>
      <c r="U8" s="124"/>
      <c r="V8" s="124"/>
      <c r="W8" s="124"/>
      <c r="X8" s="124"/>
      <c r="Y8" s="124"/>
      <c r="Z8" s="124"/>
      <c r="AA8" s="136" t="s">
        <v>196</v>
      </c>
      <c r="AB8" s="136" t="s">
        <v>196</v>
      </c>
      <c r="AC8" s="136" t="s">
        <v>197</v>
      </c>
      <c r="AD8" s="136" t="s">
        <v>249</v>
      </c>
      <c r="AE8" s="136" t="s">
        <v>250</v>
      </c>
      <c r="AF8" s="136" t="s">
        <v>198</v>
      </c>
      <c r="AG8" s="136" t="s">
        <v>199</v>
      </c>
      <c r="AH8" s="137" t="s">
        <v>180</v>
      </c>
      <c r="AI8" s="94" t="s">
        <v>180</v>
      </c>
      <c r="AJ8" s="94" t="s">
        <v>200</v>
      </c>
      <c r="AK8" s="94" t="s">
        <v>201</v>
      </c>
      <c r="AL8" s="94" t="s">
        <v>208</v>
      </c>
      <c r="AM8" s="94" t="s">
        <v>207</v>
      </c>
      <c r="AN8" s="94" t="s">
        <v>251</v>
      </c>
      <c r="AO8" s="94" t="s">
        <v>251</v>
      </c>
      <c r="AP8" s="94" t="s">
        <v>202</v>
      </c>
      <c r="AQ8" s="94" t="s">
        <v>203</v>
      </c>
      <c r="AR8" s="94" t="s">
        <v>204</v>
      </c>
      <c r="AS8" s="94" t="s">
        <v>205</v>
      </c>
      <c r="AT8" s="94" t="s">
        <v>206</v>
      </c>
      <c r="AU8" s="94" t="s">
        <v>255</v>
      </c>
      <c r="AV8" s="221" t="s">
        <v>502</v>
      </c>
      <c r="AW8" s="33"/>
      <c r="AX8" s="220"/>
      <c r="AY8" s="221" t="s">
        <v>296</v>
      </c>
      <c r="AZ8" s="221"/>
      <c r="BA8" s="221"/>
      <c r="BB8" s="303" t="s">
        <v>494</v>
      </c>
      <c r="BC8" s="133"/>
      <c r="BD8" s="293" t="s">
        <v>502</v>
      </c>
      <c r="BE8" s="294"/>
      <c r="BF8" s="113"/>
      <c r="BG8" s="293" t="s">
        <v>296</v>
      </c>
      <c r="BH8" s="293"/>
      <c r="BI8" s="293"/>
      <c r="BJ8" s="303" t="s">
        <v>550</v>
      </c>
      <c r="BK8" s="133"/>
    </row>
    <row r="9" spans="1:67" ht="77.25" thickBot="1" x14ac:dyDescent="0.25">
      <c r="B9" s="179" t="s">
        <v>430</v>
      </c>
      <c r="C9" s="125" t="s">
        <v>265</v>
      </c>
      <c r="D9" s="126"/>
      <c r="E9" s="126"/>
      <c r="F9" s="127" t="s">
        <v>256</v>
      </c>
      <c r="G9" s="127" t="s">
        <v>257</v>
      </c>
      <c r="H9" s="127" t="s">
        <v>197</v>
      </c>
      <c r="I9" s="127" t="s">
        <v>584</v>
      </c>
      <c r="J9" s="127" t="s">
        <v>585</v>
      </c>
      <c r="K9" s="127" t="s">
        <v>198</v>
      </c>
      <c r="L9" s="127" t="s">
        <v>199</v>
      </c>
      <c r="M9" s="128" t="s">
        <v>258</v>
      </c>
      <c r="N9" s="127" t="s">
        <v>259</v>
      </c>
      <c r="O9" s="127" t="s">
        <v>200</v>
      </c>
      <c r="P9" s="127" t="s">
        <v>201</v>
      </c>
      <c r="Q9" s="127" t="s">
        <v>208</v>
      </c>
      <c r="R9" s="127" t="s">
        <v>207</v>
      </c>
      <c r="S9" s="127" t="s">
        <v>262</v>
      </c>
      <c r="T9" s="127" t="s">
        <v>263</v>
      </c>
      <c r="U9" s="127" t="s">
        <v>202</v>
      </c>
      <c r="V9" s="127" t="s">
        <v>203</v>
      </c>
      <c r="W9" s="127" t="s">
        <v>204</v>
      </c>
      <c r="X9" s="127" t="s">
        <v>205</v>
      </c>
      <c r="Y9" s="127" t="s">
        <v>206</v>
      </c>
      <c r="Z9" s="127" t="s">
        <v>255</v>
      </c>
      <c r="AA9" s="136" t="s">
        <v>235</v>
      </c>
      <c r="AB9" s="136" t="s">
        <v>236</v>
      </c>
      <c r="AC9" s="136" t="s">
        <v>176</v>
      </c>
      <c r="AD9" s="136" t="s">
        <v>237</v>
      </c>
      <c r="AE9" s="136" t="s">
        <v>238</v>
      </c>
      <c r="AF9" s="136"/>
      <c r="AG9" s="137"/>
      <c r="AH9" s="137" t="s">
        <v>235</v>
      </c>
      <c r="AI9" s="137" t="s">
        <v>236</v>
      </c>
      <c r="AJ9" s="137"/>
      <c r="AK9" s="137"/>
      <c r="AL9" s="137" t="s">
        <v>252</v>
      </c>
      <c r="AM9" s="137" t="s">
        <v>253</v>
      </c>
      <c r="AN9" s="137" t="s">
        <v>239</v>
      </c>
      <c r="AO9" s="137" t="s">
        <v>254</v>
      </c>
      <c r="AP9" s="137" t="s">
        <v>176</v>
      </c>
      <c r="AQ9" s="137" t="s">
        <v>177</v>
      </c>
      <c r="AR9" s="137"/>
      <c r="AS9" s="137" t="s">
        <v>177</v>
      </c>
      <c r="AT9" s="137" t="s">
        <v>252</v>
      </c>
      <c r="AU9" s="137" t="s">
        <v>253</v>
      </c>
      <c r="AV9" s="129" t="s">
        <v>544</v>
      </c>
      <c r="AW9" s="130" t="s">
        <v>277</v>
      </c>
      <c r="AX9" s="131" t="s">
        <v>272</v>
      </c>
      <c r="AY9" s="129" t="s">
        <v>473</v>
      </c>
      <c r="AZ9" s="130" t="s">
        <v>267</v>
      </c>
      <c r="BA9" s="132" t="s">
        <v>266</v>
      </c>
      <c r="BB9" s="217" t="s">
        <v>500</v>
      </c>
      <c r="BC9" s="217" t="s">
        <v>501</v>
      </c>
      <c r="BD9" s="295" t="s">
        <v>547</v>
      </c>
      <c r="BE9" s="296" t="s">
        <v>277</v>
      </c>
      <c r="BF9" s="296" t="s">
        <v>272</v>
      </c>
      <c r="BG9" s="295" t="s">
        <v>548</v>
      </c>
      <c r="BH9" s="296" t="s">
        <v>267</v>
      </c>
      <c r="BI9" s="297" t="s">
        <v>549</v>
      </c>
      <c r="BJ9" s="217" t="s">
        <v>500</v>
      </c>
      <c r="BK9" s="217" t="s">
        <v>501</v>
      </c>
    </row>
    <row r="10" spans="1:67" x14ac:dyDescent="0.2">
      <c r="A10">
        <f>current_row_number</f>
        <v>166</v>
      </c>
      <c r="B10">
        <f>VLOOKUP($A10,Data,B$3,FALSE)</f>
        <v>100</v>
      </c>
      <c r="C10">
        <f>VLOOKUP($A10,Data,C$3,FALSE)</f>
        <v>5</v>
      </c>
      <c r="F10">
        <f>VLOOKUP($A10,PowerCalc,$F$3,FALSE)*F$5*0.000001</f>
        <v>1.014908166688848E-3</v>
      </c>
      <c r="G10">
        <f>VLOOKUP($A10,PowerCalc,$G$3,FALSE)*G$5*0.000001</f>
        <v>1.014908166688848E-3</v>
      </c>
      <c r="H10">
        <f>VLOOKUP($A10,PowerCalc,$H$3,FALSE)*H$5*0.000001</f>
        <v>4.9364286974817475E-6</v>
      </c>
      <c r="I10">
        <f>VLOOKUP($A10,PowerCalc,$I$3,FALSE)*I$5*0.000001</f>
        <v>9.9999356099999991E-6</v>
      </c>
      <c r="J10">
        <f>VLOOKUP($A10,PowerCalc,$J$3,FALSE)*J$5*0.000001</f>
        <v>9.99993561E-7</v>
      </c>
      <c r="K10" s="415">
        <f>(VLOOKUP($A10,PowerCalc,$K$3,FALSE)*K$5+VLOOKUP(22,Uncertainties!$A$5:$E$31,3,FALSE)+VLOOKUP($A10,PowerCalc,$O$3,FALSE)*VLOOKUP(24,Uncertainties!$A$5:$E$31,3,FALSE))*0.000001</f>
        <v>2.9335937499999997E-6</v>
      </c>
      <c r="L10">
        <f>VLOOKUP($A10,PowerCalc,$L$3,FALSE)*L$5*0.000001</f>
        <v>-2.0006642653636376E-6</v>
      </c>
      <c r="M10">
        <f>VLOOKUP($A10,PowerCalc,$M$3,FALSE)*M$5*0.000001</f>
        <v>5.0000305000033675E-6</v>
      </c>
      <c r="N10">
        <f>VLOOKUP($A10,PowerCalc,$N$3,FALSE)*N$5*0.000001</f>
        <v>1.0000061000006735E-6</v>
      </c>
      <c r="O10" s="415">
        <f>(VLOOKUP($A10,PowerCalc,$O$3,FALSE)*O$5+VLOOKUP(23,Uncertainties!$A$5:$E$31,3,FALSE)+VLOOKUP($A10,PowerCalc,$K$3,FALSE)*VLOOKUP(25,Uncertainties!$A$5:$E$31,3,FALSE))*0.000001</f>
        <v>2.7490234374999998E-6</v>
      </c>
      <c r="P10" s="6">
        <f>VLOOKUP($A10,PowerCalc,$P$3,FALSE)*P$5*0.000001</f>
        <v>-1.0003321326818188E-6</v>
      </c>
      <c r="Q10" s="6">
        <f>VLOOKUP($A10,PowerCalc,$Q$3,FALSE)*Q$5*0.000001</f>
        <v>1.5217690407466681E-9</v>
      </c>
      <c r="R10" s="6">
        <f>VLOOKUP($A10,PowerCalc,$R$3,FALSE)*R$5*0.000001</f>
        <v>5.0725634691555607E-9</v>
      </c>
      <c r="S10" s="6">
        <f>VLOOKUP($A10,PowerCalc,$S$3,FALSE)*S$5*0.000001</f>
        <v>2.0000119792210665E-2</v>
      </c>
      <c r="T10" s="6">
        <f>VLOOKUP($A10,PowerCalc,$T$3,FALSE)*T$5*0.000001</f>
        <v>2.0000119792210665E-2</v>
      </c>
      <c r="U10" s="6">
        <f>VLOOKUP($A10,PowerCalc,$U$3,FALSE)*U$5*0.000001</f>
        <v>1.5675180645244248E-4</v>
      </c>
      <c r="V10" s="6">
        <f>V$5*0.000001</f>
        <v>8.7299999999999997E-4</v>
      </c>
      <c r="W10" s="6">
        <f>VLOOKUP($A10,PowerCalc,$W$3,FALSE)*W$5*0.000001</f>
        <v>0.56763619531249287</v>
      </c>
      <c r="X10" s="6">
        <f>X$5*0.000001</f>
        <v>5.0000000000000001E-4</v>
      </c>
      <c r="Y10" s="6">
        <f>VLOOKUP($A10,PowerCalc,$Y$3,FALSE)*Y$5*0.000001</f>
        <v>1.0000000000000001E-9</v>
      </c>
      <c r="Z10" s="6">
        <f>VLOOKUP($A10,PowerCalc,Z$3,FALSE)*Z$5*0.000001</f>
        <v>6.283181158989394E-10</v>
      </c>
      <c r="AA10">
        <f t="shared" ref="AA10:AU10" si="0">VLOOKUP($A10,PowerCalc,AA$3,FALSE)</f>
        <v>202.98163333776961</v>
      </c>
      <c r="AB10">
        <f t="shared" si="0"/>
        <v>2.1862032520981223E-2</v>
      </c>
      <c r="AC10">
        <f t="shared" si="0"/>
        <v>1.1330909330018806</v>
      </c>
      <c r="AD10">
        <f t="shared" si="0"/>
        <v>0.99999356100000003</v>
      </c>
      <c r="AE10">
        <f t="shared" si="0"/>
        <v>1.0367248912332499E-5</v>
      </c>
      <c r="AF10">
        <f t="shared" si="0"/>
        <v>0.7060546875</v>
      </c>
      <c r="AG10">
        <f t="shared" si="0"/>
        <v>-1.0003321326818189</v>
      </c>
      <c r="AH10">
        <f t="shared" si="0"/>
        <v>1.0000061000006735</v>
      </c>
      <c r="AI10">
        <f t="shared" si="0"/>
        <v>-1.8847820824150481E-7</v>
      </c>
      <c r="AJ10">
        <f t="shared" si="0"/>
        <v>0.521484375</v>
      </c>
      <c r="AK10">
        <f t="shared" si="0"/>
        <v>-1.0003321326818189</v>
      </c>
      <c r="AL10">
        <f t="shared" si="0"/>
        <v>1.8310937238858183E-8</v>
      </c>
      <c r="AM10">
        <f t="shared" si="0"/>
        <v>1.0145126938311122E-4</v>
      </c>
      <c r="AN10">
        <f t="shared" si="0"/>
        <v>10000.059896105333</v>
      </c>
      <c r="AO10">
        <f t="shared" si="0"/>
        <v>-3.0159269563149089E-2</v>
      </c>
      <c r="AP10">
        <f t="shared" si="0"/>
        <v>0.31350361290488499</v>
      </c>
      <c r="AQ10">
        <f t="shared" si="0"/>
        <v>-4.3436719058620312</v>
      </c>
      <c r="AR10">
        <f t="shared" si="0"/>
        <v>1135.2723906249857</v>
      </c>
      <c r="AS10">
        <f t="shared" si="0"/>
        <v>-4.5846697999810247E-2</v>
      </c>
      <c r="AT10">
        <f t="shared" si="0"/>
        <v>9.9999999999999995E-8</v>
      </c>
      <c r="AU10">
        <f t="shared" si="0"/>
        <v>6.2831811589893947E-8</v>
      </c>
      <c r="AV10" t="e">
        <f ca="1">VLOOKUP($A10,PowerCalc,179,FALSE)</f>
        <v>#NAME?</v>
      </c>
      <c r="AW10">
        <f>VLOOKUP($A10,Data,14,FALSE)</f>
        <v>3.7301639973054816E-3</v>
      </c>
      <c r="AX10" s="362" t="e">
        <f ca="1">100*CSUW(AA10:AU10,F10:Z10)*B10/VLOOKUP(A10,PowerCalc,151,FALSE)</f>
        <v>#NAME?</v>
      </c>
      <c r="AY10" s="6">
        <f>$C10-1</f>
        <v>4</v>
      </c>
      <c r="AZ10" s="6">
        <f>VLOOKUP($A10,Data,15,FALSE)</f>
        <v>6</v>
      </c>
      <c r="BA10" s="362" t="e">
        <f ca="1">DegFmW(AA10:AU10,F10:Z10,$F$7:$Z$7)</f>
        <v>#NAME?</v>
      </c>
      <c r="BB10" s="6" t="e">
        <f ca="1">rss(AV10:AX10)</f>
        <v>#NAME?</v>
      </c>
      <c r="BC10" s="6" t="e">
        <f ca="1">DoF_A(AV10:AX10,AY10:BA10)</f>
        <v>#NAME?</v>
      </c>
      <c r="BD10" s="6" t="e">
        <f ca="1">VLOOKUP($A10,PowerCalc,178,FALSE)</f>
        <v>#NAME?</v>
      </c>
      <c r="BE10" s="6">
        <f>VLOOKUP($A10,Data,14,FALSE)</f>
        <v>3.7301639973054816E-3</v>
      </c>
      <c r="BF10" s="362" t="e">
        <f ca="1">100*CSUV(AA10:AU10,F10:Z10)*B10/VLOOKUP($A10,PowerCalc,152,FALSE)</f>
        <v>#NAME?</v>
      </c>
      <c r="BG10" s="6">
        <f>$C10-1</f>
        <v>4</v>
      </c>
      <c r="BH10" s="6">
        <f>VLOOKUP($A10,Data,15,FALSE)</f>
        <v>6</v>
      </c>
      <c r="BI10" s="362" t="e">
        <f ca="1">DegFmV(AA10:AU10,F10:Z10,$F$7:$Z$7)</f>
        <v>#NAME?</v>
      </c>
      <c r="BJ10" s="6" t="e">
        <f ca="1">rss(BD10:BF10)</f>
        <v>#NAME?</v>
      </c>
      <c r="BK10" s="6" t="e">
        <f ca="1">DoF_A(BD10:BF10,BG10:BI10)</f>
        <v>#NAME?</v>
      </c>
    </row>
    <row r="11" spans="1:67" x14ac:dyDescent="0.2">
      <c r="A11" s="392" t="s">
        <v>582</v>
      </c>
      <c r="B11" s="220"/>
      <c r="C11" s="220"/>
      <c r="D11" s="220"/>
      <c r="E11" s="220"/>
      <c r="F11" s="220"/>
      <c r="G11" s="220"/>
      <c r="H11" s="220"/>
      <c r="I11" s="220"/>
      <c r="J11" s="220"/>
      <c r="K11" s="220"/>
      <c r="L11" s="220"/>
      <c r="M11" s="220"/>
      <c r="N11" s="220"/>
      <c r="O11" s="220"/>
      <c r="P11" s="220"/>
      <c r="Q11" s="220"/>
      <c r="R11" s="220"/>
      <c r="S11" s="220"/>
      <c r="T11" s="220"/>
      <c r="U11" s="220"/>
      <c r="V11" s="220"/>
      <c r="W11" s="220"/>
      <c r="X11" s="220"/>
      <c r="Y11" s="220"/>
      <c r="Z11" s="220"/>
      <c r="AA11" s="376"/>
      <c r="AB11" s="376"/>
      <c r="AC11" s="376"/>
      <c r="AD11" s="376"/>
      <c r="AE11" s="376"/>
      <c r="AF11" s="376"/>
      <c r="AG11" s="376"/>
      <c r="AH11" s="376"/>
      <c r="AI11" s="376"/>
      <c r="AJ11" s="376"/>
      <c r="AK11" s="376"/>
      <c r="AL11" s="376"/>
      <c r="AM11" s="376"/>
      <c r="AN11" s="376"/>
      <c r="AO11" s="376"/>
      <c r="AP11" s="376"/>
      <c r="AQ11" s="376"/>
      <c r="AR11" s="376"/>
      <c r="AS11" s="376"/>
      <c r="AT11" s="376"/>
      <c r="AU11" s="376"/>
      <c r="AV11" s="220"/>
      <c r="AW11" s="220"/>
      <c r="AX11" s="220"/>
      <c r="AY11" s="220"/>
      <c r="AZ11" s="220"/>
      <c r="BA11" s="220"/>
      <c r="BB11" s="220"/>
      <c r="BC11" s="220"/>
      <c r="BD11" s="220"/>
      <c r="BE11" s="220"/>
      <c r="BF11" s="220"/>
      <c r="BG11" s="220"/>
      <c r="BH11" s="220"/>
      <c r="BI11" s="220"/>
      <c r="BJ11" s="220"/>
      <c r="BK11" s="220"/>
    </row>
    <row r="12" spans="1:67" x14ac:dyDescent="0.2">
      <c r="A12" s="366">
        <f>ROW()</f>
        <v>12</v>
      </c>
      <c r="B12" s="220">
        <f>VLOOKUP($A12,Data,B$3,FALSE)</f>
        <v>1</v>
      </c>
      <c r="C12" s="220">
        <f>VLOOKUP($A12,Data,C$3,FALSE)</f>
        <v>5</v>
      </c>
      <c r="D12" s="220"/>
      <c r="E12" s="220"/>
      <c r="F12" s="220">
        <f>VLOOKUP($A12,PowerCalc,$F$3,FALSE)*F$5*0.000001</f>
        <v>1.014908166688848E-3</v>
      </c>
      <c r="G12" s="220">
        <f>VLOOKUP($A12,PowerCalc,$G$3,FALSE)*G$5*0.000001</f>
        <v>1.014908166688848E-3</v>
      </c>
      <c r="H12" s="220">
        <f>VLOOKUP($A12,PowerCalc,$H$3,FALSE)*H$5*0.000001</f>
        <v>4.9364247757520311E-6</v>
      </c>
      <c r="I12" s="220">
        <f>VLOOKUP($A12,PowerCalc,$I$3,FALSE)*I$5*0.000001</f>
        <v>1.9999480000000002E-6</v>
      </c>
      <c r="J12" s="220">
        <f>VLOOKUP($A12,PowerCalc,$J$3,FALSE)*J$5*0.000001</f>
        <v>1.9999480000000003E-7</v>
      </c>
      <c r="K12" s="220">
        <f>(VLOOKUP($A12,PowerCalc,$K$3,FALSE)*K$5+VLOOKUP(22,Uncertainties!$A$5:$E$31,3,FALSE)+VLOOKUP($A12,PowerCalc,$O$3,FALSE)*VLOOKUP(24,Uncertainties!$A$5:$E$31,3,FALSE))*0.000001</f>
        <v>1.7050781249999999E-6</v>
      </c>
      <c r="L12" s="220">
        <f>VLOOKUP($A12,PowerCalc,$L$3,FALSE)*L$5*0.000001</f>
        <v>-2.0006642653636376E-6</v>
      </c>
      <c r="M12" s="220">
        <f>VLOOKUP($A12,PowerCalc,$M$3,FALSE)*M$5*0.000001</f>
        <v>5.0000305000033675E-6</v>
      </c>
      <c r="N12" s="220">
        <f>VLOOKUP($A12,PowerCalc,$N$3,FALSE)*N$5*0.000001</f>
        <v>1.0000061000006735E-6</v>
      </c>
      <c r="O12" s="220">
        <f>(VLOOKUP($A12,PowerCalc,$O$3,FALSE)*O$5+VLOOKUP(23,Uncertainties!$A$5:$E$31,3,FALSE)+VLOOKUP($A12,PowerCalc,$K$3,FALSE)*VLOOKUP(25,Uncertainties!$A$5:$E$31,3,FALSE))*0.000001</f>
        <v>1.3525390624999999E-6</v>
      </c>
      <c r="P12" s="220">
        <f>VLOOKUP($A12,PowerCalc,$P$3,FALSE)*P$5*0.000001</f>
        <v>9.9999960445558451E-7</v>
      </c>
      <c r="Q12" s="220">
        <f>VLOOKUP($A12,PowerCalc,$Q$3,FALSE)*Q$5*0.000001</f>
        <v>1.5217599781476242E-9</v>
      </c>
      <c r="R12" s="220">
        <f>VLOOKUP($A12,PowerCalc,$R$3,FALSE)*R$5*0.000001</f>
        <v>5.0725332604920808E-9</v>
      </c>
      <c r="S12" s="220">
        <f>VLOOKUP($A12,PowerCalc,$S$3,FALSE)*S$5*0.000001</f>
        <v>2.0000119792210665E-2</v>
      </c>
      <c r="T12" s="220">
        <f>VLOOKUP($A12,PowerCalc,$T$3,FALSE)*T$5*0.000001</f>
        <v>2.0000119792210665E-2</v>
      </c>
      <c r="U12" s="220">
        <f>VLOOKUP($A12,PowerCalc,$U$3,FALSE)*U$5*0.000001</f>
        <v>1.0585386037666849E-4</v>
      </c>
      <c r="V12" s="220">
        <f>V$5*0.000001</f>
        <v>8.7299999999999997E-4</v>
      </c>
      <c r="W12" s="220">
        <f>VLOOKUP($A12,PowerCalc,$W$3,FALSE)*W$5*0.000001</f>
        <v>0.56763619531249287</v>
      </c>
      <c r="X12" s="220">
        <f>X$5*0.000001</f>
        <v>5.0000000000000001E-4</v>
      </c>
      <c r="Y12" s="220">
        <f>VLOOKUP($A12,PowerCalc,$Y$3,FALSE)*Y$5*0.000001</f>
        <v>1.0000000000000001E-9</v>
      </c>
      <c r="Z12" s="220">
        <f>VLOOKUP($A12,PowerCalc,Z$3,FALSE)*Z$5*0.000001</f>
        <v>6.2832090175862924E-10</v>
      </c>
      <c r="AA12" s="220">
        <f t="shared" ref="AA12:AP12" si="1">VLOOKUP($A12,PowerCalc,AA$3,FALSE)</f>
        <v>202.98163333776961</v>
      </c>
      <c r="AB12" s="220">
        <f t="shared" si="1"/>
        <v>2.1862152946712388E-2</v>
      </c>
      <c r="AC12" s="220">
        <f t="shared" si="1"/>
        <v>1.1330900328214755</v>
      </c>
      <c r="AD12" s="220">
        <f t="shared" si="1"/>
        <v>0.19999480000000003</v>
      </c>
      <c r="AE12" s="220">
        <f t="shared" si="1"/>
        <v>0</v>
      </c>
      <c r="AF12" s="220">
        <f t="shared" si="1"/>
        <v>0.3525390625</v>
      </c>
      <c r="AG12" s="220">
        <f t="shared" si="1"/>
        <v>-1.0003321326818189</v>
      </c>
      <c r="AH12" s="220">
        <f t="shared" si="1"/>
        <v>1.0000061000006735</v>
      </c>
      <c r="AI12" s="220">
        <f t="shared" si="1"/>
        <v>-1.8847904392303218E-7</v>
      </c>
      <c r="AJ12" s="220">
        <f t="shared" si="1"/>
        <v>0</v>
      </c>
      <c r="AK12" s="220">
        <f t="shared" si="1"/>
        <v>0.99999960445558456</v>
      </c>
      <c r="AL12" s="220">
        <f t="shared" si="1"/>
        <v>1.8310937238858183E-8</v>
      </c>
      <c r="AM12" s="220">
        <f t="shared" si="1"/>
        <v>1.0145066520984161E-4</v>
      </c>
      <c r="AN12" s="220">
        <f t="shared" si="1"/>
        <v>10000.059896105333</v>
      </c>
      <c r="AO12" s="220">
        <f t="shared" si="1"/>
        <v>-3.0159403284414205E-2</v>
      </c>
      <c r="AP12" s="220">
        <f t="shared" si="1"/>
        <v>0.21170772075333699</v>
      </c>
      <c r="AQ12" s="220">
        <f>VLOOKUP($A12,PowerCalc,AQ$3,FALSE)</f>
        <v>-0.42403123244751184</v>
      </c>
      <c r="AR12" s="220">
        <f>VLOOKUP($A12,PowerCalc,AR$3,FALSE)</f>
        <v>1135.2723906249857</v>
      </c>
      <c r="AS12" s="220">
        <f>VLOOKUP($A12,PowerCalc,AS$3,FALSE)</f>
        <v>-4.5846697999810247E-2</v>
      </c>
      <c r="AT12" s="220">
        <f>VLOOKUP($A12,PowerCalc,AT$3,FALSE)</f>
        <v>9.9999999999999995E-8</v>
      </c>
      <c r="AU12" s="220">
        <f>VLOOKUP($A12,PowerCalc,AU$3,FALSE)</f>
        <v>6.2832090175862925E-8</v>
      </c>
      <c r="AV12" s="220" t="e">
        <f ca="1">VLOOKUP($A12,PowerCalc,179,FALSE)</f>
        <v>#NAME?</v>
      </c>
      <c r="AW12" s="220">
        <f>VLOOKUP($A12,Data,14,FALSE)</f>
        <v>5.9999999999999995E-4</v>
      </c>
      <c r="AX12" s="220" t="e">
        <f ca="1">100*CSUW(AA12:AU12,F12:Z12)*B12/VLOOKUP(A12,PowerCalc,151,FALSE)</f>
        <v>#NAME?</v>
      </c>
      <c r="AY12" s="220">
        <f>$C12-1</f>
        <v>4</v>
      </c>
      <c r="AZ12" s="220">
        <f>VLOOKUP($A12,Data,15,FALSE)</f>
        <v>6</v>
      </c>
      <c r="BA12" s="220" t="e">
        <f ca="1">DegFmW(AA12:AU12,F12:Z12,$F$7:$Z$7)</f>
        <v>#NAME?</v>
      </c>
      <c r="BB12" s="220" t="e">
        <f ca="1">rss(AV12:AX12)</f>
        <v>#NAME?</v>
      </c>
      <c r="BC12" s="220" t="e">
        <f ca="1">DoF_A(AV12:AX12,AY12:BA12)</f>
        <v>#NAME?</v>
      </c>
      <c r="BD12" s="220" t="e">
        <f ca="1">VLOOKUP($A12,PowerCalc,178,FALSE)</f>
        <v>#NAME?</v>
      </c>
      <c r="BE12" s="220">
        <f>VLOOKUP($A12,Data,14,FALSE)</f>
        <v>5.9999999999999995E-4</v>
      </c>
      <c r="BF12" s="220" t="e">
        <f ca="1">100*CSUV(AA12:AU12,F12:Z12)*B12/VLOOKUP($A12,PowerCalc,152,FALSE)</f>
        <v>#NAME?</v>
      </c>
      <c r="BG12" s="220">
        <f>$C12-1</f>
        <v>4</v>
      </c>
      <c r="BH12" s="220">
        <f>VLOOKUP($A12,Data,15,FALSE)</f>
        <v>6</v>
      </c>
      <c r="BI12" s="220" t="e">
        <f ca="1">DegFmV(AA12:AU12,F12:Z12,$F$7:$Z$7)</f>
        <v>#NAME?</v>
      </c>
      <c r="BJ12" s="220" t="e">
        <f ca="1">rss(BD12:BF12)</f>
        <v>#NAME?</v>
      </c>
      <c r="BK12" s="220" t="e">
        <f ca="1">DoF_A(BD12:BF12,BG12:BI12)</f>
        <v>#NAME?</v>
      </c>
    </row>
  </sheetData>
  <customSheetViews>
    <customSheetView guid="{1F7EA7B0-7CBB-4C85-991C-384D0AE2B3A5}" scale="75" showRuler="0" topLeftCell="AJ1">
      <selection activeCell="AM10" sqref="AM10"/>
      <pageMargins left="0.75" right="0.75" top="1" bottom="1" header="0.5" footer="0.5"/>
      <printOptions gridLines="1"/>
      <pageSetup paperSize="121" orientation="portrait" r:id="rId1"/>
      <headerFooter alignWithMargins="0">
        <oddHeader>&amp;A</oddHeader>
        <oddFooter>Page &amp;P</oddFooter>
      </headerFooter>
    </customSheetView>
  </customSheetViews>
  <phoneticPr fontId="13" type="noConversion"/>
  <printOptions gridLines="1" gridLinesSet="0"/>
  <pageMargins left="0.75" right="0.75" top="1" bottom="1" header="0.5" footer="0.5"/>
  <pageSetup paperSize="121" orientation="portrait" r:id="rId2"/>
  <headerFooter alignWithMargins="0">
    <oddHeader>&amp;A</oddHeader>
    <oddFooter>Page &amp;P</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M79"/>
  <sheetViews>
    <sheetView topLeftCell="A19" zoomScale="75" workbookViewId="0">
      <selection activeCell="G69" sqref="G69"/>
    </sheetView>
  </sheetViews>
  <sheetFormatPr defaultRowHeight="12.75" x14ac:dyDescent="0.2"/>
  <cols>
    <col min="1" max="1" width="22.85546875" customWidth="1"/>
    <col min="2" max="3" width="13.42578125" customWidth="1"/>
    <col min="4" max="4" width="16.140625" customWidth="1"/>
    <col min="5" max="5" width="13.42578125" customWidth="1"/>
    <col min="6" max="6" width="21.28515625" customWidth="1"/>
    <col min="7" max="8" width="15" customWidth="1"/>
    <col min="9" max="9" width="13.42578125" customWidth="1"/>
    <col min="10" max="10" width="16.140625" customWidth="1"/>
    <col min="11" max="11" width="13.42578125" customWidth="1"/>
    <col min="12" max="12" width="21.28515625" customWidth="1"/>
    <col min="13" max="14" width="15" customWidth="1"/>
    <col min="15" max="15" width="13.42578125" customWidth="1"/>
    <col min="16" max="16" width="16.140625" customWidth="1"/>
    <col min="17" max="17" width="13.42578125" customWidth="1"/>
    <col min="18" max="18" width="21.28515625" customWidth="1"/>
    <col min="19" max="20" width="15" customWidth="1"/>
    <col min="21" max="21" width="13.42578125" customWidth="1"/>
    <col min="22" max="22" width="16.140625" customWidth="1"/>
    <col min="23" max="24" width="13.42578125" customWidth="1"/>
    <col min="25" max="26" width="15" customWidth="1"/>
    <col min="27" max="30" width="13.42578125" customWidth="1"/>
    <col min="31" max="32" width="15" customWidth="1"/>
    <col min="33" max="36" width="13.42578125" customWidth="1"/>
    <col min="37" max="38" width="15" customWidth="1"/>
    <col min="39" max="39" width="11" customWidth="1"/>
    <col min="40" max="40" width="10.85546875" customWidth="1"/>
    <col min="41" max="45" width="14.7109375" customWidth="1"/>
    <col min="47" max="47" width="12" customWidth="1"/>
    <col min="48" max="48" width="13.42578125" customWidth="1"/>
    <col min="50" max="50" width="12" customWidth="1"/>
    <col min="51" max="51" width="11.42578125" customWidth="1"/>
    <col min="52" max="52" width="11.28515625" bestFit="1" customWidth="1"/>
    <col min="53" max="53" width="12.28515625" bestFit="1" customWidth="1"/>
    <col min="56" max="56" width="11.42578125" customWidth="1"/>
    <col min="59" max="59" width="11.42578125" customWidth="1"/>
    <col min="61" max="61" width="12.42578125" customWidth="1"/>
    <col min="64" max="64" width="12.42578125" customWidth="1"/>
    <col min="79" max="79" width="12" customWidth="1"/>
    <col min="85" max="85" width="13" bestFit="1" customWidth="1"/>
  </cols>
  <sheetData>
    <row r="1" spans="1:91" x14ac:dyDescent="0.2">
      <c r="A1" s="20" t="s">
        <v>164</v>
      </c>
      <c r="D1" s="555" t="s">
        <v>781</v>
      </c>
      <c r="J1" s="555" t="s">
        <v>781</v>
      </c>
      <c r="P1" s="672" t="s">
        <v>781</v>
      </c>
      <c r="V1" s="555"/>
      <c r="AB1" s="555"/>
    </row>
    <row r="2" spans="1:91" x14ac:dyDescent="0.2">
      <c r="D2" s="697" t="s">
        <v>36</v>
      </c>
      <c r="E2" s="698"/>
      <c r="F2" s="698"/>
      <c r="G2" s="702"/>
      <c r="H2" s="692"/>
      <c r="J2" s="697" t="s">
        <v>36</v>
      </c>
      <c r="K2" s="698"/>
      <c r="L2" s="698"/>
      <c r="M2" s="702"/>
      <c r="N2" s="692"/>
      <c r="P2" s="465" t="s">
        <v>1069</v>
      </c>
      <c r="Q2" s="466"/>
      <c r="R2" s="466"/>
      <c r="S2" s="467"/>
      <c r="T2" s="417"/>
      <c r="V2" s="465" t="s">
        <v>1017</v>
      </c>
      <c r="W2" s="466"/>
      <c r="X2" s="466"/>
      <c r="Y2" s="467"/>
      <c r="Z2" s="417"/>
      <c r="AB2" s="465" t="s">
        <v>733</v>
      </c>
      <c r="AC2" s="466"/>
      <c r="AD2" s="466"/>
      <c r="AE2" s="467"/>
      <c r="AF2" s="417"/>
      <c r="AH2" s="465" t="s">
        <v>722</v>
      </c>
      <c r="AI2" s="466"/>
      <c r="AJ2" s="466"/>
      <c r="AK2" s="467"/>
      <c r="AL2" s="6"/>
      <c r="AM2" s="220" t="s">
        <v>601</v>
      </c>
      <c r="AN2" s="220"/>
      <c r="AO2" s="220"/>
      <c r="AP2" s="220"/>
      <c r="AQ2" s="220" t="s">
        <v>581</v>
      </c>
      <c r="AR2" s="220"/>
      <c r="AS2" s="220"/>
      <c r="AT2" s="220"/>
      <c r="AU2" s="220"/>
      <c r="AV2" s="220"/>
      <c r="BI2" t="s">
        <v>394</v>
      </c>
      <c r="BK2" t="s">
        <v>395</v>
      </c>
    </row>
    <row r="3" spans="1:91" x14ac:dyDescent="0.2">
      <c r="C3" s="259" t="s">
        <v>509</v>
      </c>
      <c r="D3" s="699"/>
      <c r="E3" s="700"/>
      <c r="F3" s="458"/>
      <c r="G3" s="460"/>
      <c r="H3" s="458"/>
      <c r="I3" s="259" t="s">
        <v>509</v>
      </c>
      <c r="J3" s="699"/>
      <c r="K3" s="700"/>
      <c r="L3" s="458"/>
      <c r="M3" s="460"/>
      <c r="N3" s="458"/>
      <c r="O3" s="259" t="s">
        <v>509</v>
      </c>
      <c r="P3" s="673"/>
      <c r="Q3" s="457"/>
      <c r="R3" s="458"/>
      <c r="S3" s="460"/>
      <c r="T3" s="458"/>
      <c r="U3" s="259" t="s">
        <v>509</v>
      </c>
      <c r="V3" s="611">
        <v>40513</v>
      </c>
      <c r="W3" s="457"/>
      <c r="X3" s="458"/>
      <c r="Y3" s="460"/>
      <c r="Z3" s="458"/>
      <c r="AA3" s="259" t="s">
        <v>509</v>
      </c>
      <c r="AB3" s="459" t="s">
        <v>734</v>
      </c>
      <c r="AC3" s="457"/>
      <c r="AD3" s="458"/>
      <c r="AE3" s="460"/>
      <c r="AF3" s="458"/>
      <c r="AG3" s="259" t="s">
        <v>509</v>
      </c>
      <c r="AH3" s="459" t="s">
        <v>721</v>
      </c>
      <c r="AI3" s="457"/>
      <c r="AJ3" s="458"/>
      <c r="AK3" s="460"/>
      <c r="AL3" s="259"/>
      <c r="AM3" s="220" t="s">
        <v>602</v>
      </c>
      <c r="AN3" s="220"/>
      <c r="AP3" s="15"/>
      <c r="AQ3" s="341">
        <v>38078</v>
      </c>
      <c r="AR3" s="77"/>
      <c r="AS3" s="78"/>
      <c r="AU3" s="75"/>
      <c r="AV3" s="77"/>
      <c r="AW3" s="78"/>
      <c r="BF3" t="s">
        <v>313</v>
      </c>
      <c r="BI3" s="41" t="s">
        <v>396</v>
      </c>
      <c r="BK3" t="s">
        <v>168</v>
      </c>
      <c r="BL3" t="s">
        <v>175</v>
      </c>
    </row>
    <row r="4" spans="1:91" x14ac:dyDescent="0.2">
      <c r="C4" s="259" t="s">
        <v>510</v>
      </c>
      <c r="D4" s="701" t="s">
        <v>37</v>
      </c>
      <c r="E4" s="700"/>
      <c r="F4" s="490" t="s">
        <v>738</v>
      </c>
      <c r="G4" s="460"/>
      <c r="H4" s="458"/>
      <c r="I4" s="259" t="s">
        <v>510</v>
      </c>
      <c r="J4" s="701" t="s">
        <v>37</v>
      </c>
      <c r="K4" s="700"/>
      <c r="L4" s="490" t="s">
        <v>738</v>
      </c>
      <c r="M4" s="460"/>
      <c r="N4" s="458"/>
      <c r="O4" s="259" t="s">
        <v>510</v>
      </c>
      <c r="P4" s="674" t="s">
        <v>1059</v>
      </c>
      <c r="Q4" s="457"/>
      <c r="R4" s="675" t="s">
        <v>738</v>
      </c>
      <c r="S4" s="460"/>
      <c r="T4" s="458"/>
      <c r="U4" s="259" t="s">
        <v>510</v>
      </c>
      <c r="V4" s="459" t="s">
        <v>1018</v>
      </c>
      <c r="W4" s="457"/>
      <c r="X4" s="490" t="s">
        <v>738</v>
      </c>
      <c r="Y4" s="460"/>
      <c r="Z4" s="458"/>
      <c r="AA4" s="259" t="s">
        <v>510</v>
      </c>
      <c r="AB4" s="459" t="s">
        <v>739</v>
      </c>
      <c r="AC4" s="457"/>
      <c r="AD4" s="490" t="s">
        <v>738</v>
      </c>
      <c r="AE4" s="460"/>
      <c r="AF4" s="458"/>
      <c r="AG4" s="259" t="s">
        <v>510</v>
      </c>
      <c r="AH4" s="459" t="s">
        <v>725</v>
      </c>
      <c r="AI4" s="457"/>
      <c r="AJ4" s="458"/>
      <c r="AK4" s="460"/>
      <c r="AL4" s="259"/>
      <c r="AM4" s="220" t="s">
        <v>603</v>
      </c>
      <c r="AN4" s="220"/>
      <c r="AP4" s="15"/>
      <c r="AQ4" s="342" t="s">
        <v>527</v>
      </c>
      <c r="AR4" s="15"/>
      <c r="AS4" s="261"/>
      <c r="AU4" s="260"/>
      <c r="AV4" s="15"/>
      <c r="AW4" s="261"/>
      <c r="BI4" s="41"/>
    </row>
    <row r="5" spans="1:91" x14ac:dyDescent="0.2">
      <c r="A5" s="20" t="s">
        <v>174</v>
      </c>
      <c r="B5" s="20" t="s">
        <v>507</v>
      </c>
      <c r="C5" s="20" t="s">
        <v>506</v>
      </c>
      <c r="D5" s="486"/>
      <c r="E5" s="59"/>
      <c r="F5" s="682" t="s">
        <v>31</v>
      </c>
      <c r="G5" s="683" t="s">
        <v>1061</v>
      </c>
      <c r="H5" s="684"/>
      <c r="I5" s="20" t="s">
        <v>506</v>
      </c>
      <c r="J5" s="486"/>
      <c r="K5" s="59"/>
      <c r="L5" s="682" t="s">
        <v>31</v>
      </c>
      <c r="M5" s="683" t="s">
        <v>1061</v>
      </c>
      <c r="N5" s="684"/>
      <c r="O5" s="20" t="s">
        <v>506</v>
      </c>
      <c r="P5" s="486"/>
      <c r="Q5" s="59"/>
      <c r="R5" s="676" t="s">
        <v>1060</v>
      </c>
      <c r="S5" s="677" t="s">
        <v>1061</v>
      </c>
      <c r="T5" s="59"/>
      <c r="U5" s="20" t="s">
        <v>506</v>
      </c>
      <c r="V5" s="486"/>
      <c r="W5" s="59"/>
      <c r="X5" s="488" t="s">
        <v>735</v>
      </c>
      <c r="Y5" s="492" t="s">
        <v>1020</v>
      </c>
      <c r="Z5" s="59"/>
      <c r="AA5" s="20" t="s">
        <v>506</v>
      </c>
      <c r="AB5" s="486"/>
      <c r="AC5" s="59"/>
      <c r="AD5" s="488" t="s">
        <v>735</v>
      </c>
      <c r="AE5" s="492" t="s">
        <v>743</v>
      </c>
      <c r="AF5" s="59"/>
      <c r="AG5" s="20" t="s">
        <v>506</v>
      </c>
      <c r="AH5" s="477" t="s">
        <v>726</v>
      </c>
      <c r="AI5" s="478"/>
      <c r="AJ5" s="59"/>
      <c r="AK5" s="461"/>
      <c r="AL5" s="20"/>
      <c r="AP5" s="15"/>
      <c r="AQ5" s="260"/>
      <c r="AR5" s="15"/>
      <c r="AS5" s="261"/>
      <c r="AU5" s="260"/>
      <c r="AV5" s="15"/>
      <c r="AW5" s="261"/>
      <c r="BI5" s="41"/>
    </row>
    <row r="6" spans="1:91" x14ac:dyDescent="0.2">
      <c r="A6" t="s">
        <v>508</v>
      </c>
      <c r="C6" t="s">
        <v>169</v>
      </c>
      <c r="D6" s="704">
        <v>1135.2723906249857</v>
      </c>
      <c r="E6" s="15"/>
      <c r="F6" s="688" t="s">
        <v>32</v>
      </c>
      <c r="G6" s="703" t="s">
        <v>1020</v>
      </c>
      <c r="H6" s="719"/>
      <c r="I6" t="s">
        <v>169</v>
      </c>
      <c r="J6" s="704">
        <v>1135.2723906249857</v>
      </c>
      <c r="K6" s="15"/>
      <c r="L6" s="688" t="s">
        <v>32</v>
      </c>
      <c r="M6" s="703" t="s">
        <v>1020</v>
      </c>
      <c r="N6" s="689"/>
      <c r="O6" t="s">
        <v>169</v>
      </c>
      <c r="P6" s="629">
        <v>1135.2690109361774</v>
      </c>
      <c r="Q6" s="15"/>
      <c r="R6" s="628" t="s">
        <v>1062</v>
      </c>
      <c r="S6" s="678" t="s">
        <v>1063</v>
      </c>
      <c r="T6" s="497"/>
      <c r="U6" t="s">
        <v>169</v>
      </c>
      <c r="V6" s="493">
        <v>1135.2764237548549</v>
      </c>
      <c r="W6" s="15"/>
      <c r="X6" s="497" t="s">
        <v>736</v>
      </c>
      <c r="Y6" s="506" t="s">
        <v>1022</v>
      </c>
      <c r="Z6" s="497"/>
      <c r="AA6" t="s">
        <v>169</v>
      </c>
      <c r="AB6" s="493">
        <v>1135.3276235907065</v>
      </c>
      <c r="AC6" s="15"/>
      <c r="AD6" s="497" t="s">
        <v>736</v>
      </c>
      <c r="AE6" s="506" t="s">
        <v>742</v>
      </c>
      <c r="AF6" s="15"/>
      <c r="AG6" t="s">
        <v>169</v>
      </c>
      <c r="AH6" s="470">
        <v>1134.9984879106951</v>
      </c>
      <c r="AI6" s="15"/>
      <c r="AJ6" s="15"/>
      <c r="AK6" s="261"/>
      <c r="AM6" s="342">
        <v>1134.9540216262885</v>
      </c>
      <c r="AN6" s="15" t="s">
        <v>607</v>
      </c>
      <c r="AO6" s="261"/>
      <c r="AP6" s="15"/>
      <c r="AQ6" s="342">
        <v>1136.1646597785477</v>
      </c>
      <c r="AR6" s="15" t="s">
        <v>527</v>
      </c>
      <c r="AS6" s="261">
        <f>(DetAmpGain-AQ6)/AQ6*1000000</f>
        <v>-785.33436670693254</v>
      </c>
      <c r="AU6" s="260">
        <v>1133.8</v>
      </c>
      <c r="AV6" s="15"/>
      <c r="AW6" s="261"/>
      <c r="BF6">
        <v>-2.4706000000000117</v>
      </c>
      <c r="BG6">
        <v>-2.65</v>
      </c>
      <c r="BI6">
        <v>1134.5999999999999</v>
      </c>
      <c r="BK6" s="55">
        <v>-2.5384000000000002</v>
      </c>
      <c r="BL6" s="55">
        <v>-2.5384000000000002</v>
      </c>
    </row>
    <row r="7" spans="1:91" x14ac:dyDescent="0.2">
      <c r="C7" t="s">
        <v>152</v>
      </c>
      <c r="D7" s="498">
        <f>1+E7/1000000</f>
        <v>0.99999561772560841</v>
      </c>
      <c r="E7" s="15">
        <v>-4.3822743915455931</v>
      </c>
      <c r="F7" s="685" t="s">
        <v>737</v>
      </c>
      <c r="G7" s="686" t="s">
        <v>571</v>
      </c>
      <c r="H7" s="687"/>
      <c r="I7" t="s">
        <v>152</v>
      </c>
      <c r="J7" s="498">
        <v>0.99999561772560841</v>
      </c>
      <c r="K7" s="15">
        <v>-4.3822743915455931</v>
      </c>
      <c r="L7" s="685" t="s">
        <v>737</v>
      </c>
      <c r="M7" s="686" t="s">
        <v>571</v>
      </c>
      <c r="N7" s="687"/>
      <c r="O7" t="s">
        <v>152</v>
      </c>
      <c r="P7" s="632">
        <v>0.99999709999999997</v>
      </c>
      <c r="Q7" s="15"/>
      <c r="R7" s="489" t="s">
        <v>737</v>
      </c>
      <c r="S7" s="679" t="s">
        <v>571</v>
      </c>
      <c r="T7" s="15"/>
      <c r="U7" t="s">
        <v>152</v>
      </c>
      <c r="V7" s="494">
        <v>0.99999709999999997</v>
      </c>
      <c r="W7" s="15"/>
      <c r="X7" s="489" t="s">
        <v>737</v>
      </c>
      <c r="Y7" s="491" t="s">
        <v>745</v>
      </c>
      <c r="Z7" s="15"/>
      <c r="AA7" t="s">
        <v>152</v>
      </c>
      <c r="AB7" s="494">
        <v>1.0000012</v>
      </c>
      <c r="AC7" s="15"/>
      <c r="AD7" s="489" t="s">
        <v>737</v>
      </c>
      <c r="AE7" s="491" t="s">
        <v>745</v>
      </c>
      <c r="AF7" s="15"/>
      <c r="AG7" t="s">
        <v>152</v>
      </c>
      <c r="AH7" s="470">
        <v>1.0000012</v>
      </c>
      <c r="AI7" s="15"/>
      <c r="AJ7" s="15"/>
      <c r="AK7" s="261"/>
      <c r="AM7" s="425">
        <v>1</v>
      </c>
      <c r="AN7" s="15"/>
      <c r="AO7" s="261"/>
      <c r="AP7" s="15"/>
      <c r="AQ7" s="342">
        <v>0.99999649999999995</v>
      </c>
      <c r="AR7" s="15"/>
      <c r="AS7" s="261"/>
      <c r="AU7" s="260">
        <v>1</v>
      </c>
      <c r="AV7" s="15"/>
      <c r="AW7" s="261"/>
      <c r="BF7">
        <v>-2.5220000000000109</v>
      </c>
      <c r="BG7">
        <v>-2.65</v>
      </c>
      <c r="BI7">
        <v>0.99999000000000005</v>
      </c>
      <c r="BK7" s="55">
        <v>-2.589</v>
      </c>
      <c r="BL7" s="55">
        <v>-2.589</v>
      </c>
    </row>
    <row r="8" spans="1:91" x14ac:dyDescent="0.2">
      <c r="B8" t="s">
        <v>178</v>
      </c>
      <c r="C8" t="s">
        <v>182</v>
      </c>
      <c r="D8" s="705">
        <v>9999.9988961053314</v>
      </c>
      <c r="E8" s="15"/>
      <c r="F8" s="618" t="s">
        <v>1026</v>
      </c>
      <c r="G8" s="630"/>
      <c r="H8" s="671"/>
      <c r="I8" t="s">
        <v>182</v>
      </c>
      <c r="J8" s="705">
        <v>9999.9988961053314</v>
      </c>
      <c r="K8" s="15"/>
      <c r="L8" s="618" t="s">
        <v>1026</v>
      </c>
      <c r="M8" s="630"/>
      <c r="N8" s="671"/>
      <c r="O8" t="s">
        <v>182</v>
      </c>
      <c r="P8" s="643">
        <v>10000.020865010334</v>
      </c>
      <c r="Q8" s="15"/>
      <c r="R8" s="618" t="s">
        <v>1026</v>
      </c>
      <c r="S8" s="680"/>
      <c r="T8" s="15"/>
      <c r="U8" t="s">
        <v>182</v>
      </c>
      <c r="V8" s="493">
        <v>10000.021558249999</v>
      </c>
      <c r="W8" s="15"/>
      <c r="X8" s="618" t="s">
        <v>1026</v>
      </c>
      <c r="Y8" s="619" t="s">
        <v>1027</v>
      </c>
      <c r="Z8" s="15"/>
      <c r="AA8" t="s">
        <v>182</v>
      </c>
      <c r="AB8" s="494">
        <v>10000.006171966668</v>
      </c>
      <c r="AC8" s="15"/>
      <c r="AD8" s="15"/>
      <c r="AE8" s="261"/>
      <c r="AF8" s="15"/>
      <c r="AG8" t="s">
        <v>182</v>
      </c>
      <c r="AH8" s="470">
        <v>9999.97451</v>
      </c>
      <c r="AI8" s="15"/>
      <c r="AJ8" s="15"/>
      <c r="AK8" s="261"/>
      <c r="AM8" s="342">
        <v>10000.013747966665</v>
      </c>
      <c r="AN8" s="15" t="s">
        <v>607</v>
      </c>
      <c r="AO8" s="261"/>
      <c r="AP8" s="15"/>
      <c r="AQ8" s="342">
        <v>10000.037500000004</v>
      </c>
      <c r="AR8" s="15" t="s">
        <v>527</v>
      </c>
      <c r="AS8" s="261"/>
      <c r="AU8" s="260">
        <v>10001.292833333331</v>
      </c>
      <c r="AV8" s="15" t="s">
        <v>516</v>
      </c>
      <c r="AW8" s="261"/>
      <c r="BF8">
        <v>-2.5734000000000106</v>
      </c>
      <c r="BG8">
        <v>-2.65</v>
      </c>
      <c r="BI8">
        <v>10001.201666666666</v>
      </c>
      <c r="BK8" s="55">
        <v>-2.6396000000000002</v>
      </c>
      <c r="BL8" s="55">
        <v>-2.6396000000000002</v>
      </c>
    </row>
    <row r="9" spans="1:91" x14ac:dyDescent="0.2">
      <c r="B9" t="s">
        <v>179</v>
      </c>
      <c r="C9" t="s">
        <v>181</v>
      </c>
      <c r="D9" s="706">
        <v>-9.0000000000000006E-5</v>
      </c>
      <c r="E9" s="15" t="s">
        <v>608</v>
      </c>
      <c r="F9" s="15"/>
      <c r="G9" s="261"/>
      <c r="H9" s="15"/>
      <c r="I9" t="s">
        <v>181</v>
      </c>
      <c r="J9" s="706">
        <v>-9.0000000000000006E-5</v>
      </c>
      <c r="K9" s="15" t="s">
        <v>608</v>
      </c>
      <c r="L9" s="15"/>
      <c r="M9" s="261"/>
      <c r="N9" s="15"/>
      <c r="O9" t="s">
        <v>181</v>
      </c>
      <c r="P9" s="631">
        <v>-9.0000000000000006E-5</v>
      </c>
      <c r="Q9" s="15" t="s">
        <v>608</v>
      </c>
      <c r="R9" s="15"/>
      <c r="S9" s="261"/>
      <c r="T9" s="15"/>
      <c r="U9" t="s">
        <v>181</v>
      </c>
      <c r="V9" s="495">
        <v>-9.0000000000000006E-5</v>
      </c>
      <c r="W9" s="15" t="s">
        <v>608</v>
      </c>
      <c r="X9" s="15"/>
      <c r="Y9" s="261"/>
      <c r="Z9" s="15"/>
      <c r="AA9" t="s">
        <v>181</v>
      </c>
      <c r="AB9" s="495">
        <v>-9.0000000000000006E-5</v>
      </c>
      <c r="AC9" s="15" t="s">
        <v>608</v>
      </c>
      <c r="AD9" s="15"/>
      <c r="AE9" s="261"/>
      <c r="AF9" s="15"/>
      <c r="AG9" t="s">
        <v>181</v>
      </c>
      <c r="AH9" s="353">
        <v>-9.0000000000000006E-5</v>
      </c>
      <c r="AI9" s="15" t="s">
        <v>608</v>
      </c>
      <c r="AJ9" s="15"/>
      <c r="AK9" s="261"/>
      <c r="AM9" s="353">
        <v>-9.0000000000000006E-5</v>
      </c>
      <c r="AN9" s="15" t="s">
        <v>608</v>
      </c>
      <c r="AO9" s="261"/>
      <c r="AP9" s="15"/>
      <c r="AQ9" s="342">
        <v>-3.1000000000000001E-5</v>
      </c>
      <c r="AR9" s="15"/>
      <c r="AS9" s="261"/>
      <c r="AU9" s="260">
        <f>-0.31*0.0001</f>
        <v>-3.1000000000000001E-5</v>
      </c>
      <c r="AV9" s="15"/>
      <c r="AW9" s="261"/>
      <c r="BF9">
        <v>-2.6248000000000098</v>
      </c>
      <c r="BG9">
        <v>-2.65</v>
      </c>
      <c r="BI9">
        <v>-3.1000000000000001E-5</v>
      </c>
      <c r="BK9" s="55">
        <v>-2.6901999999999999</v>
      </c>
      <c r="BL9" s="55">
        <v>-2.6901999999999999</v>
      </c>
    </row>
    <row r="10" spans="1:91" x14ac:dyDescent="0.2">
      <c r="A10" t="s">
        <v>517</v>
      </c>
      <c r="B10" t="s">
        <v>178</v>
      </c>
      <c r="C10" t="s">
        <v>183</v>
      </c>
      <c r="D10" s="498">
        <v>10000.059896105333</v>
      </c>
      <c r="E10" s="15"/>
      <c r="F10" s="15"/>
      <c r="G10" s="261"/>
      <c r="H10" s="15"/>
      <c r="I10" t="s">
        <v>183</v>
      </c>
      <c r="J10" s="498">
        <v>10000.059896105333</v>
      </c>
      <c r="K10" s="15"/>
      <c r="L10" s="15"/>
      <c r="M10" s="261"/>
      <c r="N10" s="15"/>
      <c r="O10" t="s">
        <v>183</v>
      </c>
      <c r="P10" s="632">
        <v>10000.079031677002</v>
      </c>
      <c r="Q10" s="15"/>
      <c r="R10" s="15"/>
      <c r="S10" s="261"/>
      <c r="T10" s="15"/>
      <c r="U10" t="s">
        <v>183</v>
      </c>
      <c r="V10" s="494">
        <v>10000.100141583331</v>
      </c>
      <c r="W10" s="15"/>
      <c r="X10" s="15"/>
      <c r="Y10" s="261"/>
      <c r="Z10" s="15"/>
      <c r="AA10" t="s">
        <v>183</v>
      </c>
      <c r="AB10" s="494">
        <v>10000.092005299999</v>
      </c>
      <c r="AC10" s="15"/>
      <c r="AD10" s="15"/>
      <c r="AE10" s="261"/>
      <c r="AF10" s="15"/>
      <c r="AG10" t="s">
        <v>183</v>
      </c>
      <c r="AH10" s="470">
        <v>10000.058510000001</v>
      </c>
      <c r="AI10" s="15"/>
      <c r="AJ10" s="15"/>
      <c r="AK10" s="261"/>
      <c r="AM10" s="342">
        <v>10000.108581299999</v>
      </c>
      <c r="AN10" s="15" t="s">
        <v>607</v>
      </c>
      <c r="AO10" s="261"/>
      <c r="AP10" s="15"/>
      <c r="AQ10" s="342">
        <v>10000.134000000004</v>
      </c>
      <c r="AR10" s="15" t="s">
        <v>527</v>
      </c>
      <c r="AS10" s="261"/>
      <c r="AU10" s="260">
        <v>9998.2975000000006</v>
      </c>
      <c r="AV10" s="15"/>
      <c r="AW10" s="261"/>
      <c r="BF10">
        <v>-2.6762000000000095</v>
      </c>
      <c r="BG10">
        <v>-2.65</v>
      </c>
      <c r="BI10">
        <v>9998.2163333333319</v>
      </c>
      <c r="BK10" s="55">
        <v>-2.7408000000000001</v>
      </c>
      <c r="BL10" s="55">
        <v>-2.7408000000000001</v>
      </c>
    </row>
    <row r="11" spans="1:91" x14ac:dyDescent="0.2">
      <c r="B11" t="s">
        <v>179</v>
      </c>
      <c r="C11" t="s">
        <v>184</v>
      </c>
      <c r="D11" s="706">
        <v>-9.6000000000000002E-5</v>
      </c>
      <c r="E11" s="15" t="s">
        <v>608</v>
      </c>
      <c r="F11" s="15"/>
      <c r="G11" s="261"/>
      <c r="H11" s="15"/>
      <c r="I11" t="s">
        <v>184</v>
      </c>
      <c r="J11" s="706">
        <v>-9.6000000000000002E-5</v>
      </c>
      <c r="K11" s="15" t="s">
        <v>608</v>
      </c>
      <c r="L11" s="15"/>
      <c r="M11" s="261"/>
      <c r="N11" s="15"/>
      <c r="O11" t="s">
        <v>184</v>
      </c>
      <c r="P11" s="631">
        <v>-9.6000000000000002E-5</v>
      </c>
      <c r="Q11" s="15" t="s">
        <v>608</v>
      </c>
      <c r="R11" s="15"/>
      <c r="S11" s="261"/>
      <c r="T11" s="15"/>
      <c r="U11" t="s">
        <v>184</v>
      </c>
      <c r="V11" s="495">
        <v>-9.6000000000000002E-5</v>
      </c>
      <c r="W11" s="15" t="s">
        <v>608</v>
      </c>
      <c r="X11" s="15"/>
      <c r="Y11" s="261"/>
      <c r="Z11" s="15"/>
      <c r="AA11" t="s">
        <v>184</v>
      </c>
      <c r="AB11" s="495">
        <v>-9.6000000000000002E-5</v>
      </c>
      <c r="AC11" s="15" t="s">
        <v>608</v>
      </c>
      <c r="AD11" s="15"/>
      <c r="AE11" s="261"/>
      <c r="AF11" s="15"/>
      <c r="AG11" t="s">
        <v>184</v>
      </c>
      <c r="AH11" s="353">
        <v>-9.6000000000000002E-5</v>
      </c>
      <c r="AI11" s="15" t="s">
        <v>608</v>
      </c>
      <c r="AJ11" s="15"/>
      <c r="AK11" s="261"/>
      <c r="AM11" s="353">
        <v>-9.6000000000000002E-5</v>
      </c>
      <c r="AN11" s="15" t="s">
        <v>608</v>
      </c>
      <c r="AO11" s="261"/>
      <c r="AP11" s="15"/>
      <c r="AQ11" s="342">
        <v>-2.5000000000000001E-5</v>
      </c>
      <c r="AR11" s="15"/>
      <c r="AS11" s="261"/>
      <c r="AU11" s="260">
        <f>-0.25*0.0001</f>
        <v>-2.5000000000000001E-5</v>
      </c>
      <c r="AV11" s="15"/>
      <c r="AW11" s="261"/>
      <c r="BF11">
        <v>-2.7276000000000091</v>
      </c>
      <c r="BG11">
        <v>-2.65</v>
      </c>
      <c r="BI11">
        <v>-2.5000000000000001E-5</v>
      </c>
      <c r="BK11" s="55">
        <v>-2.7913999999999999</v>
      </c>
      <c r="BL11" s="55">
        <v>-2.7913999999999999</v>
      </c>
    </row>
    <row r="12" spans="1:91" x14ac:dyDescent="0.2">
      <c r="C12" t="s">
        <v>185</v>
      </c>
      <c r="D12" s="498">
        <v>1.0000061000006735</v>
      </c>
      <c r="E12" s="696" t="s">
        <v>730</v>
      </c>
      <c r="F12" s="15"/>
      <c r="G12" s="261"/>
      <c r="H12" s="15"/>
      <c r="I12" t="s">
        <v>185</v>
      </c>
      <c r="J12" s="498">
        <v>1.0000061000006735</v>
      </c>
      <c r="K12" s="696" t="s">
        <v>730</v>
      </c>
      <c r="L12" s="15"/>
      <c r="M12" s="261"/>
      <c r="N12" s="15"/>
      <c r="O12" t="s">
        <v>185</v>
      </c>
      <c r="P12" s="632">
        <v>1.000005816654542</v>
      </c>
      <c r="Q12" s="15" t="s">
        <v>730</v>
      </c>
      <c r="R12" s="15"/>
      <c r="S12" s="261"/>
      <c r="T12" s="15"/>
      <c r="U12" t="s">
        <v>185</v>
      </c>
      <c r="V12" s="494">
        <v>1.0000078583163921</v>
      </c>
      <c r="W12" s="15" t="s">
        <v>730</v>
      </c>
      <c r="X12" s="15"/>
      <c r="Y12" s="261"/>
      <c r="Z12" s="15"/>
      <c r="AA12" t="s">
        <v>185</v>
      </c>
      <c r="AB12" s="494">
        <v>1.0000085833280354</v>
      </c>
      <c r="AC12" s="15" t="s">
        <v>730</v>
      </c>
      <c r="AD12" s="15"/>
      <c r="AE12" s="261"/>
      <c r="AF12" s="15"/>
      <c r="AG12" t="s">
        <v>185</v>
      </c>
      <c r="AH12" s="354">
        <v>1.0000084000214118</v>
      </c>
      <c r="AI12" s="15" t="s">
        <v>730</v>
      </c>
      <c r="AJ12" s="15"/>
      <c r="AK12" s="261"/>
      <c r="AM12" s="354">
        <f>AM10/AM8</f>
        <v>1.0000094833202957</v>
      </c>
      <c r="AN12" s="15"/>
      <c r="AO12" s="261"/>
      <c r="AP12" s="15"/>
      <c r="AQ12" s="343">
        <v>1.0000096499638127</v>
      </c>
      <c r="AR12" s="15" t="s">
        <v>527</v>
      </c>
      <c r="AS12" s="261"/>
      <c r="AU12" s="262">
        <v>0.99971599970362013</v>
      </c>
      <c r="AV12" s="15" t="s">
        <v>518</v>
      </c>
      <c r="AW12" s="261"/>
      <c r="BF12">
        <v>-2.7790000000000084</v>
      </c>
      <c r="BG12">
        <v>-2.65</v>
      </c>
      <c r="BI12">
        <v>0.9997015025361119</v>
      </c>
      <c r="BK12" s="55">
        <v>-2.8420000000000001</v>
      </c>
      <c r="BL12" s="55">
        <v>-2.8420000000000001</v>
      </c>
    </row>
    <row r="13" spans="1:91" x14ac:dyDescent="0.2">
      <c r="B13" t="s">
        <v>193</v>
      </c>
      <c r="C13" t="s">
        <v>186</v>
      </c>
      <c r="D13" s="498">
        <v>-5.9994516622156487E-10</v>
      </c>
      <c r="E13" s="693" t="s">
        <v>731</v>
      </c>
      <c r="F13" s="15"/>
      <c r="G13" s="261"/>
      <c r="H13" s="15"/>
      <c r="I13" t="s">
        <v>186</v>
      </c>
      <c r="J13" s="498">
        <v>-5.9994516622156487E-10</v>
      </c>
      <c r="K13" s="693" t="s">
        <v>731</v>
      </c>
      <c r="L13" s="15"/>
      <c r="M13" s="261"/>
      <c r="N13" s="15"/>
      <c r="O13" t="s">
        <v>186</v>
      </c>
      <c r="P13" s="632">
        <v>-5.9992237977758746E-10</v>
      </c>
      <c r="Q13" s="14" t="s">
        <v>731</v>
      </c>
      <c r="R13" s="15"/>
      <c r="S13" s="261"/>
      <c r="T13" s="15"/>
      <c r="U13" t="s">
        <v>186</v>
      </c>
      <c r="V13" s="494">
        <v>-5.9992798181272993E-10</v>
      </c>
      <c r="W13" s="14" t="s">
        <v>731</v>
      </c>
      <c r="X13" s="15"/>
      <c r="Y13" s="261"/>
      <c r="Z13" s="15"/>
      <c r="AA13" t="s">
        <v>186</v>
      </c>
      <c r="AB13" s="494">
        <v>-5.9992237977758746E-10</v>
      </c>
      <c r="AC13" s="14" t="s">
        <v>731</v>
      </c>
      <c r="AD13" s="15"/>
      <c r="AE13" s="261"/>
      <c r="AF13" s="15"/>
      <c r="AG13" t="s">
        <v>186</v>
      </c>
      <c r="AH13" s="342">
        <v>-5.9992592901848742E-10</v>
      </c>
      <c r="AI13" s="14" t="s">
        <v>731</v>
      </c>
      <c r="AJ13" s="15"/>
      <c r="AK13" s="261"/>
      <c r="AM13" s="342">
        <f>(AM11*AM8-AM9*AM10)/(AM8*AM8)</f>
        <v>-5.9991382535781055E-10</v>
      </c>
      <c r="AN13" s="14" t="s">
        <v>609</v>
      </c>
      <c r="AO13" s="6"/>
      <c r="AP13" s="6"/>
      <c r="AQ13" s="342">
        <v>6E-10</v>
      </c>
      <c r="AR13" s="15"/>
      <c r="AS13" s="220" t="s">
        <v>570</v>
      </c>
      <c r="AT13" s="220"/>
      <c r="AU13" s="260">
        <f>(L_2-L_1)/10000</f>
        <v>-5.9999999999999969E-10</v>
      </c>
      <c r="AV13" s="15"/>
      <c r="AW13" s="261"/>
      <c r="BF13">
        <v>-2.830400000000008</v>
      </c>
      <c r="BG13">
        <v>-2.65</v>
      </c>
      <c r="BI13">
        <v>6E-10</v>
      </c>
      <c r="BK13" s="55">
        <v>-2.8925999999999998</v>
      </c>
      <c r="BL13" s="55">
        <v>-2.8925999999999998</v>
      </c>
    </row>
    <row r="14" spans="1:91" x14ac:dyDescent="0.2">
      <c r="A14" s="362" t="s">
        <v>38</v>
      </c>
      <c r="B14" t="s">
        <v>189</v>
      </c>
      <c r="C14" t="s">
        <v>187</v>
      </c>
      <c r="D14" s="498">
        <v>0.32293018581132538</v>
      </c>
      <c r="E14" s="14" t="s">
        <v>1086</v>
      </c>
      <c r="F14" s="15"/>
      <c r="G14" s="261"/>
      <c r="H14" s="15"/>
      <c r="I14" t="s">
        <v>187</v>
      </c>
      <c r="J14" s="498">
        <v>0.32293018581132538</v>
      </c>
      <c r="K14" s="14" t="s">
        <v>1086</v>
      </c>
      <c r="L14" s="15"/>
      <c r="M14" s="261"/>
      <c r="N14" s="15"/>
      <c r="O14" t="s">
        <v>187</v>
      </c>
      <c r="P14" s="632">
        <v>0.32290796667785127</v>
      </c>
      <c r="Q14" s="14" t="s">
        <v>1086</v>
      </c>
      <c r="R14" s="15"/>
      <c r="S14" s="261"/>
      <c r="T14" s="15"/>
      <c r="U14" t="s">
        <v>187</v>
      </c>
      <c r="V14" s="494">
        <v>0.32287932486230458</v>
      </c>
      <c r="W14" s="14" t="s">
        <v>1019</v>
      </c>
      <c r="X14" s="15"/>
      <c r="Y14" s="261"/>
      <c r="Z14" s="15"/>
      <c r="AA14" t="s">
        <v>187</v>
      </c>
      <c r="AB14" s="494">
        <v>0.32286556099793601</v>
      </c>
      <c r="AC14" s="14" t="s">
        <v>728</v>
      </c>
      <c r="AD14" s="15"/>
      <c r="AE14" s="261"/>
      <c r="AF14" s="15"/>
      <c r="AG14" t="s">
        <v>187</v>
      </c>
      <c r="AH14" s="470">
        <v>0.32285127039749079</v>
      </c>
      <c r="AI14" s="14" t="s">
        <v>728</v>
      </c>
      <c r="AJ14" s="15"/>
      <c r="AK14" s="261"/>
      <c r="AM14" s="353">
        <f>0.322840501691278</f>
        <v>0.32284050169127798</v>
      </c>
      <c r="AN14" s="15" t="s">
        <v>617</v>
      </c>
      <c r="AO14" s="6"/>
      <c r="AP14" s="6"/>
      <c r="AQ14" s="353">
        <v>0.32287776668528828</v>
      </c>
      <c r="AR14" s="15" t="s">
        <v>567</v>
      </c>
      <c r="AS14" s="6"/>
      <c r="AT14" s="220"/>
      <c r="AU14" s="260">
        <f>0.322939450261377*(1-0.000221)</f>
        <v>0.3228680806428692</v>
      </c>
      <c r="AV14" s="15" t="s">
        <v>519</v>
      </c>
      <c r="AW14" s="261"/>
      <c r="BF14">
        <v>-2.8818000000000077</v>
      </c>
      <c r="BG14">
        <v>-2.65</v>
      </c>
      <c r="BI14">
        <v>0.32290400000000002</v>
      </c>
      <c r="BK14" s="55">
        <v>-2.9432</v>
      </c>
      <c r="BL14" s="55">
        <v>-2.9432</v>
      </c>
    </row>
    <row r="15" spans="1:91" x14ac:dyDescent="0.2">
      <c r="B15" t="s">
        <v>165</v>
      </c>
      <c r="C15" t="s">
        <v>188</v>
      </c>
      <c r="D15" s="663">
        <v>1.8310937238858183E-8</v>
      </c>
      <c r="E15" s="664" t="s">
        <v>13</v>
      </c>
      <c r="F15" s="15"/>
      <c r="G15" s="261"/>
      <c r="H15" s="15"/>
      <c r="I15" t="s">
        <v>188</v>
      </c>
      <c r="J15" s="663">
        <v>1.8310937238858183E-8</v>
      </c>
      <c r="K15" s="664" t="s">
        <v>13</v>
      </c>
      <c r="L15" s="15"/>
      <c r="M15" s="261"/>
      <c r="N15" s="15"/>
      <c r="O15" t="s">
        <v>188</v>
      </c>
      <c r="P15" s="663">
        <v>1.8310937238858183E-8</v>
      </c>
      <c r="Q15" s="664" t="s">
        <v>13</v>
      </c>
      <c r="R15" s="15"/>
      <c r="S15" s="261"/>
      <c r="T15" s="15"/>
      <c r="U15" t="s">
        <v>188</v>
      </c>
      <c r="V15" s="616">
        <v>1.7507807510008528E-8</v>
      </c>
      <c r="W15" s="612" t="s">
        <v>740</v>
      </c>
      <c r="X15" s="15"/>
      <c r="Y15" s="261"/>
      <c r="Z15" s="15"/>
      <c r="AA15" t="s">
        <v>188</v>
      </c>
      <c r="AB15" s="496">
        <v>1.7507807510008528E-8</v>
      </c>
      <c r="AC15" s="497" t="s">
        <v>740</v>
      </c>
      <c r="AD15" s="15"/>
      <c r="AE15" s="261"/>
      <c r="AF15" s="15"/>
      <c r="AG15" t="s">
        <v>188</v>
      </c>
      <c r="AH15" s="471">
        <v>1.7507807510008528E-8</v>
      </c>
      <c r="AI15" s="14" t="s">
        <v>611</v>
      </c>
      <c r="AJ15" s="15"/>
      <c r="AK15" s="261"/>
      <c r="AM15" s="423">
        <v>1.7507807510008528E-8</v>
      </c>
      <c r="AN15" s="14" t="s">
        <v>611</v>
      </c>
      <c r="AO15" s="6"/>
      <c r="AP15" s="6"/>
      <c r="AQ15" s="350">
        <v>1.7507807510008528E-8</v>
      </c>
      <c r="AR15" s="15"/>
      <c r="AS15" s="220" t="s">
        <v>571</v>
      </c>
      <c r="AT15" s="220"/>
      <c r="AU15" s="263">
        <v>1.7507807510008528E-8</v>
      </c>
      <c r="AV15" s="15" t="s">
        <v>520</v>
      </c>
      <c r="AW15" s="261"/>
      <c r="BF15">
        <v>-2.9332000000000069</v>
      </c>
      <c r="BG15">
        <v>-2.65</v>
      </c>
      <c r="BI15">
        <v>1.6800000000000002E-8</v>
      </c>
      <c r="BK15" s="55">
        <v>-2.9937999999999998</v>
      </c>
      <c r="BL15" s="55">
        <v>-2.9937999999999998</v>
      </c>
    </row>
    <row r="16" spans="1:91" x14ac:dyDescent="0.2">
      <c r="A16" t="s">
        <v>194</v>
      </c>
      <c r="B16" t="s">
        <v>192</v>
      </c>
      <c r="C16" t="s">
        <v>191</v>
      </c>
      <c r="D16" s="632">
        <v>200</v>
      </c>
      <c r="E16" s="92" t="s">
        <v>740</v>
      </c>
      <c r="F16" s="15"/>
      <c r="G16" s="261"/>
      <c r="H16" s="15"/>
      <c r="I16" t="s">
        <v>191</v>
      </c>
      <c r="J16" s="632">
        <v>200</v>
      </c>
      <c r="K16" s="92" t="s">
        <v>740</v>
      </c>
      <c r="L16" s="15"/>
      <c r="M16" s="261"/>
      <c r="N16" s="15"/>
      <c r="O16" t="s">
        <v>191</v>
      </c>
      <c r="P16" s="632">
        <v>200</v>
      </c>
      <c r="Q16" s="92" t="s">
        <v>740</v>
      </c>
      <c r="R16" s="15"/>
      <c r="S16" s="261"/>
      <c r="T16" s="15"/>
      <c r="U16" t="s">
        <v>191</v>
      </c>
      <c r="V16" s="494">
        <v>200</v>
      </c>
      <c r="W16" s="612" t="s">
        <v>740</v>
      </c>
      <c r="X16" s="15"/>
      <c r="Y16" s="261"/>
      <c r="Z16" s="15"/>
      <c r="AA16" t="s">
        <v>191</v>
      </c>
      <c r="AB16" s="498">
        <v>200</v>
      </c>
      <c r="AC16" s="497" t="s">
        <v>740</v>
      </c>
      <c r="AD16" s="15"/>
      <c r="AE16" s="261"/>
      <c r="AF16" s="15"/>
      <c r="AG16" t="s">
        <v>191</v>
      </c>
      <c r="AH16" s="470">
        <v>200</v>
      </c>
      <c r="AI16" s="417" t="s">
        <v>571</v>
      </c>
      <c r="AJ16" s="15"/>
      <c r="AK16" s="261"/>
      <c r="AM16" s="342">
        <v>200</v>
      </c>
      <c r="AN16" s="220" t="s">
        <v>571</v>
      </c>
      <c r="AO16" s="220"/>
      <c r="AP16" s="6"/>
      <c r="AQ16" s="342">
        <v>200</v>
      </c>
      <c r="AR16" s="15"/>
      <c r="AS16" s="220" t="s">
        <v>571</v>
      </c>
      <c r="AT16" s="220"/>
      <c r="AU16" s="260">
        <v>200</v>
      </c>
      <c r="AV16" s="15" t="s">
        <v>521</v>
      </c>
      <c r="AW16" s="261"/>
      <c r="BF16">
        <v>-2.9846000000000066</v>
      </c>
      <c r="BG16">
        <v>-2.65</v>
      </c>
      <c r="BI16">
        <v>200</v>
      </c>
      <c r="BK16" s="55">
        <v>-3.0444</v>
      </c>
      <c r="BL16" s="55">
        <v>-3.0444</v>
      </c>
    </row>
    <row r="17" spans="1:61" x14ac:dyDescent="0.2">
      <c r="A17" t="s">
        <v>195</v>
      </c>
      <c r="B17" t="s">
        <v>165</v>
      </c>
      <c r="C17" t="s">
        <v>190</v>
      </c>
      <c r="D17" s="633">
        <v>9.9999999999999995E-8</v>
      </c>
      <c r="E17" s="92" t="s">
        <v>740</v>
      </c>
      <c r="F17" s="15"/>
      <c r="G17" s="261"/>
      <c r="H17" s="15"/>
      <c r="I17" t="s">
        <v>190</v>
      </c>
      <c r="J17" s="633">
        <v>9.9999999999999995E-8</v>
      </c>
      <c r="K17" s="92" t="s">
        <v>740</v>
      </c>
      <c r="L17" s="15"/>
      <c r="M17" s="261"/>
      <c r="N17" s="15"/>
      <c r="O17" t="s">
        <v>190</v>
      </c>
      <c r="P17" s="633">
        <v>9.9999999999999995E-8</v>
      </c>
      <c r="Q17" s="92" t="s">
        <v>740</v>
      </c>
      <c r="R17" s="15"/>
      <c r="S17" s="261"/>
      <c r="T17" s="15"/>
      <c r="U17" t="s">
        <v>190</v>
      </c>
      <c r="V17" s="616">
        <v>9.9999999999999995E-8</v>
      </c>
      <c r="W17" s="612" t="s">
        <v>740</v>
      </c>
      <c r="X17" s="15"/>
      <c r="Y17" s="261"/>
      <c r="Z17" s="15"/>
      <c r="AA17" t="s">
        <v>190</v>
      </c>
      <c r="AB17" s="496">
        <v>9.9999999999999995E-8</v>
      </c>
      <c r="AC17" s="497" t="s">
        <v>740</v>
      </c>
      <c r="AD17" s="15"/>
      <c r="AE17" s="261"/>
      <c r="AF17" s="15"/>
      <c r="AG17" t="s">
        <v>190</v>
      </c>
      <c r="AH17" s="471">
        <v>9.9999999999999995E-8</v>
      </c>
      <c r="AI17" s="417" t="s">
        <v>571</v>
      </c>
      <c r="AJ17" s="15"/>
      <c r="AK17" s="261"/>
      <c r="AM17" s="350">
        <v>9.9999999999999995E-8</v>
      </c>
      <c r="AN17" s="220" t="s">
        <v>571</v>
      </c>
      <c r="AO17" s="220"/>
      <c r="AP17" s="6"/>
      <c r="AQ17" s="350">
        <v>9.9999999999999995E-8</v>
      </c>
      <c r="AR17" s="15"/>
      <c r="AS17" s="220" t="s">
        <v>571</v>
      </c>
      <c r="AT17" s="220"/>
      <c r="AU17" s="263">
        <v>9.9999999999999995E-8</v>
      </c>
      <c r="AV17" s="15"/>
      <c r="AW17" s="261"/>
      <c r="BI17">
        <v>9.9999999999999995E-8</v>
      </c>
    </row>
    <row r="18" spans="1:61" x14ac:dyDescent="0.2">
      <c r="A18" t="s">
        <v>25</v>
      </c>
      <c r="B18" t="s">
        <v>26</v>
      </c>
      <c r="C18" t="s">
        <v>27</v>
      </c>
      <c r="D18" s="498">
        <v>23.511347790000002</v>
      </c>
      <c r="E18" s="15"/>
      <c r="F18" s="15"/>
      <c r="G18" s="261"/>
      <c r="H18" s="15"/>
      <c r="I18" t="s">
        <v>27</v>
      </c>
      <c r="J18" s="498">
        <v>23.511347790000002</v>
      </c>
      <c r="K18" s="15"/>
      <c r="L18" s="15"/>
      <c r="M18" s="261"/>
      <c r="N18" s="15"/>
      <c r="P18" s="260"/>
      <c r="Q18" s="15"/>
      <c r="R18" s="15"/>
      <c r="S18" s="261"/>
      <c r="T18" s="15"/>
      <c r="U18" t="s">
        <v>511</v>
      </c>
      <c r="V18" s="260"/>
      <c r="W18" s="15"/>
      <c r="X18" s="15"/>
      <c r="Y18" s="261"/>
      <c r="Z18" s="15"/>
      <c r="AA18" t="s">
        <v>511</v>
      </c>
      <c r="AB18" s="260"/>
      <c r="AC18" s="15"/>
      <c r="AD18" s="15"/>
      <c r="AE18" s="261"/>
      <c r="AF18" s="15"/>
      <c r="AG18" t="s">
        <v>511</v>
      </c>
      <c r="AH18" s="260"/>
      <c r="AI18" s="15"/>
      <c r="AJ18" s="15"/>
      <c r="AK18" s="261"/>
      <c r="AM18" s="6"/>
      <c r="AP18" s="15"/>
      <c r="AQ18" s="260"/>
      <c r="AR18" s="15"/>
      <c r="AS18" s="261"/>
      <c r="AU18" s="260"/>
      <c r="AV18" s="15"/>
      <c r="AW18" s="261"/>
    </row>
    <row r="19" spans="1:61" x14ac:dyDescent="0.2">
      <c r="A19" t="s">
        <v>511</v>
      </c>
      <c r="C19" s="66" t="s">
        <v>446</v>
      </c>
      <c r="D19" s="707">
        <v>0.99981204584576</v>
      </c>
      <c r="E19" s="14"/>
      <c r="F19" s="14"/>
      <c r="G19" s="276"/>
      <c r="H19" s="14"/>
      <c r="I19" s="66" t="s">
        <v>446</v>
      </c>
      <c r="J19" s="707">
        <v>0.99981204584576</v>
      </c>
      <c r="K19" s="14"/>
      <c r="L19" s="14"/>
      <c r="M19" s="276"/>
      <c r="N19" s="14"/>
      <c r="O19" s="66" t="s">
        <v>446</v>
      </c>
      <c r="P19" s="634">
        <v>0.99984076488231721</v>
      </c>
      <c r="Q19" s="14"/>
      <c r="R19" s="14"/>
      <c r="S19" s="276"/>
      <c r="T19" s="14"/>
      <c r="U19" s="66" t="s">
        <v>446</v>
      </c>
      <c r="V19" s="617">
        <v>0.99982734036711396</v>
      </c>
      <c r="W19" s="14"/>
      <c r="X19" s="14"/>
      <c r="Y19" s="276"/>
      <c r="Z19" s="14"/>
      <c r="AA19" s="66" t="s">
        <v>446</v>
      </c>
      <c r="AB19" s="493">
        <v>0.99986648129734523</v>
      </c>
      <c r="AC19" s="14"/>
      <c r="AD19" s="14"/>
      <c r="AE19" s="276"/>
      <c r="AF19" s="14"/>
      <c r="AG19" s="66" t="s">
        <v>446</v>
      </c>
      <c r="AH19" s="472">
        <v>0.99982138994756686</v>
      </c>
      <c r="AI19" s="14"/>
      <c r="AJ19" s="14"/>
      <c r="AK19" s="276"/>
      <c r="AL19" s="6"/>
      <c r="AM19" s="220">
        <v>0.99986123358904344</v>
      </c>
      <c r="AN19" s="15" t="s">
        <v>607</v>
      </c>
      <c r="AO19" s="261"/>
      <c r="AP19" s="15"/>
      <c r="AQ19" s="351">
        <v>0.99984499779039915</v>
      </c>
      <c r="AR19" s="15" t="s">
        <v>527</v>
      </c>
      <c r="AS19" s="261"/>
      <c r="AU19" s="264">
        <v>1</v>
      </c>
      <c r="AV19" s="15"/>
      <c r="AW19" s="261"/>
    </row>
    <row r="20" spans="1:61" x14ac:dyDescent="0.2">
      <c r="C20" s="66" t="s">
        <v>447</v>
      </c>
      <c r="D20" s="704">
        <v>1135.2723906249857</v>
      </c>
      <c r="E20" s="14"/>
      <c r="F20" s="14"/>
      <c r="G20" s="276"/>
      <c r="H20" s="14"/>
      <c r="I20" s="66" t="s">
        <v>447</v>
      </c>
      <c r="J20" s="704">
        <v>1135.2723906249857</v>
      </c>
      <c r="K20" s="14"/>
      <c r="L20" s="14"/>
      <c r="M20" s="276"/>
      <c r="N20" s="14"/>
      <c r="O20" s="66" t="s">
        <v>447</v>
      </c>
      <c r="P20" s="629">
        <v>1135.2690109361774</v>
      </c>
      <c r="Q20" s="14"/>
      <c r="R20" s="14"/>
      <c r="S20" s="276"/>
      <c r="T20" s="14"/>
      <c r="U20" s="66" t="s">
        <v>447</v>
      </c>
      <c r="V20" s="493">
        <v>1135.2764237548549</v>
      </c>
      <c r="W20" s="14"/>
      <c r="X20" s="14"/>
      <c r="Y20" s="276"/>
      <c r="Z20" s="14"/>
      <c r="AA20" s="66" t="s">
        <v>447</v>
      </c>
      <c r="AB20" s="493">
        <v>1135.3276235907065</v>
      </c>
      <c r="AC20" s="14"/>
      <c r="AD20" s="14"/>
      <c r="AE20" s="276"/>
      <c r="AF20" s="14"/>
      <c r="AG20" s="66" t="s">
        <v>447</v>
      </c>
      <c r="AH20" s="472">
        <v>1134.9984879106951</v>
      </c>
      <c r="AI20" s="14"/>
      <c r="AJ20" s="14"/>
      <c r="AK20" s="276"/>
      <c r="AL20" s="6"/>
      <c r="AM20" s="342">
        <v>1134.9540216262885</v>
      </c>
      <c r="AN20" s="15" t="s">
        <v>607</v>
      </c>
      <c r="AO20" s="261"/>
      <c r="AP20" s="15"/>
      <c r="AQ20" s="352">
        <f>DetAmpGain</f>
        <v>1135.2723906249857</v>
      </c>
      <c r="AR20" s="15" t="s">
        <v>527</v>
      </c>
      <c r="AS20" s="261"/>
      <c r="AU20" s="264">
        <f>DetAmpGain</f>
        <v>1135.2723906249857</v>
      </c>
      <c r="AV20" s="15"/>
      <c r="AW20" s="261"/>
    </row>
    <row r="21" spans="1:61" x14ac:dyDescent="0.2">
      <c r="C21" t="s">
        <v>515</v>
      </c>
      <c r="D21" s="260"/>
      <c r="E21" s="15"/>
      <c r="F21" s="15"/>
      <c r="G21" s="261"/>
      <c r="H21" s="15"/>
      <c r="I21" t="s">
        <v>515</v>
      </c>
      <c r="J21" s="260"/>
      <c r="K21" s="15"/>
      <c r="L21" s="15"/>
      <c r="M21" s="261"/>
      <c r="N21" s="15"/>
      <c r="O21" t="s">
        <v>515</v>
      </c>
      <c r="P21" s="260"/>
      <c r="Q21" s="15"/>
      <c r="R21" s="15"/>
      <c r="S21" s="261"/>
      <c r="T21" s="15"/>
      <c r="U21" t="s">
        <v>515</v>
      </c>
      <c r="V21" s="260"/>
      <c r="W21" s="15"/>
      <c r="X21" s="15"/>
      <c r="Y21" s="261"/>
      <c r="Z21" s="15"/>
      <c r="AA21" t="s">
        <v>515</v>
      </c>
      <c r="AB21" s="260"/>
      <c r="AC21" s="15"/>
      <c r="AD21" s="15"/>
      <c r="AE21" s="261"/>
      <c r="AF21" s="15"/>
      <c r="AG21" t="s">
        <v>515</v>
      </c>
      <c r="AH21" s="260"/>
      <c r="AI21" s="15"/>
      <c r="AJ21" s="15"/>
      <c r="AK21" s="261"/>
      <c r="AM21" s="6"/>
      <c r="AP21" s="15"/>
      <c r="AQ21" s="260"/>
      <c r="AR21" s="15"/>
      <c r="AS21" s="261"/>
      <c r="AU21" s="260"/>
      <c r="AV21" s="15"/>
      <c r="AW21" s="261"/>
    </row>
    <row r="22" spans="1:61" ht="51" x14ac:dyDescent="0.2">
      <c r="A22" t="s">
        <v>538</v>
      </c>
      <c r="C22" s="66" t="s">
        <v>537</v>
      </c>
      <c r="D22" s="498">
        <f>0.1*(1-73.61/1000000)</f>
        <v>9.9992639000000008E-2</v>
      </c>
      <c r="E22" s="695" t="s">
        <v>35</v>
      </c>
      <c r="F22" s="273"/>
      <c r="G22" s="462" t="s">
        <v>612</v>
      </c>
      <c r="H22" s="424"/>
      <c r="I22" s="66" t="s">
        <v>537</v>
      </c>
      <c r="J22" s="498">
        <v>9.9992639000000008E-2</v>
      </c>
      <c r="K22" s="695" t="s">
        <v>35</v>
      </c>
      <c r="L22" s="273"/>
      <c r="M22" s="462" t="s">
        <v>612</v>
      </c>
      <c r="N22" s="424"/>
      <c r="O22" s="66" t="s">
        <v>537</v>
      </c>
      <c r="P22" s="632">
        <f>0.1*(1-70.877/1000000)</f>
        <v>9.9992912300000014E-2</v>
      </c>
      <c r="Q22" s="292">
        <v>0</v>
      </c>
      <c r="R22" s="273"/>
      <c r="S22" s="462" t="s">
        <v>612</v>
      </c>
      <c r="T22" s="424"/>
      <c r="U22" s="66" t="s">
        <v>537</v>
      </c>
      <c r="V22" s="620">
        <v>9.9992977699999999E-2</v>
      </c>
      <c r="W22" s="292">
        <v>0</v>
      </c>
      <c r="X22" s="273"/>
      <c r="Y22" s="462" t="s">
        <v>612</v>
      </c>
      <c r="Z22" s="424"/>
      <c r="AA22" s="66" t="s">
        <v>537</v>
      </c>
      <c r="AB22" s="502">
        <v>9.9992977699999999E-2</v>
      </c>
      <c r="AC22" s="292">
        <v>0</v>
      </c>
      <c r="AD22" s="273"/>
      <c r="AE22" s="462" t="s">
        <v>612</v>
      </c>
      <c r="AF22" s="424"/>
      <c r="AG22" s="66" t="s">
        <v>537</v>
      </c>
      <c r="AH22" s="476">
        <f>0.1*(1-0.000070223)</f>
        <v>9.9992977699999999E-2</v>
      </c>
      <c r="AI22" s="292">
        <v>0</v>
      </c>
      <c r="AJ22" s="273" t="s">
        <v>574</v>
      </c>
      <c r="AK22" s="462" t="s">
        <v>612</v>
      </c>
      <c r="AL22" s="448"/>
      <c r="AM22" s="432">
        <f>0.1*(1-0.000064751)</f>
        <v>9.9993524900000005E-2</v>
      </c>
      <c r="AN22" s="292">
        <v>0</v>
      </c>
      <c r="AO22" s="266" t="s">
        <v>574</v>
      </c>
      <c r="AP22" s="424" t="s">
        <v>612</v>
      </c>
      <c r="AQ22" s="432">
        <f>0.1*(1-0.00007165)</f>
        <v>9.9992835000000002E-2</v>
      </c>
      <c r="AR22" s="292">
        <v>0</v>
      </c>
      <c r="AS22" s="266" t="s">
        <v>574</v>
      </c>
      <c r="AU22" s="265" t="s">
        <v>513</v>
      </c>
      <c r="AV22" s="273" t="s">
        <v>514</v>
      </c>
      <c r="AW22" s="266"/>
      <c r="BA22" s="1"/>
    </row>
    <row r="23" spans="1:61" x14ac:dyDescent="0.2">
      <c r="B23" t="s">
        <v>512</v>
      </c>
      <c r="C23" s="66" t="s">
        <v>131</v>
      </c>
      <c r="D23" s="708">
        <f>0.2*(1-26/1000000)</f>
        <v>0.19999480000000003</v>
      </c>
      <c r="E23" s="153">
        <v>0</v>
      </c>
      <c r="F23" s="14"/>
      <c r="G23" s="276"/>
      <c r="H23" s="14"/>
      <c r="I23" s="66" t="s">
        <v>131</v>
      </c>
      <c r="J23" s="708">
        <v>0.19999480000000003</v>
      </c>
      <c r="K23" s="153">
        <v>0</v>
      </c>
      <c r="L23" s="14"/>
      <c r="M23" s="276"/>
      <c r="N23" s="14"/>
      <c r="O23" s="66" t="s">
        <v>131</v>
      </c>
      <c r="P23" s="644">
        <v>0.19999396359999999</v>
      </c>
      <c r="Q23" s="274">
        <v>0</v>
      </c>
      <c r="R23" s="14"/>
      <c r="S23" s="276"/>
      <c r="T23" s="14"/>
      <c r="U23" s="66" t="s">
        <v>131</v>
      </c>
      <c r="V23" s="620">
        <v>0.19999396359999999</v>
      </c>
      <c r="W23" s="274">
        <v>0</v>
      </c>
      <c r="X23" s="14"/>
      <c r="Y23" s="276"/>
      <c r="Z23" s="14"/>
      <c r="AA23" s="66" t="s">
        <v>131</v>
      </c>
      <c r="AB23" s="494">
        <v>0.19999267324000003</v>
      </c>
      <c r="AC23" s="274">
        <v>0</v>
      </c>
      <c r="AD23" s="14"/>
      <c r="AE23" s="276"/>
      <c r="AF23" s="14"/>
      <c r="AG23" s="66" t="s">
        <v>131</v>
      </c>
      <c r="AH23" s="470">
        <v>0.19999267324000003</v>
      </c>
      <c r="AI23" s="274">
        <v>0</v>
      </c>
      <c r="AJ23" s="14"/>
      <c r="AK23" s="276"/>
      <c r="AL23" s="14"/>
      <c r="AM23" s="431">
        <f>0.2*(1-32.386*0.000001)</f>
        <v>0.19999352280000002</v>
      </c>
      <c r="AN23" s="274">
        <v>0</v>
      </c>
      <c r="AO23" s="276"/>
      <c r="AP23" s="14"/>
      <c r="AQ23" s="431">
        <f>0.2*(1-38.4*0.000001)</f>
        <v>0.19999232</v>
      </c>
      <c r="AR23" s="274">
        <v>0</v>
      </c>
      <c r="AS23" s="276"/>
      <c r="AU23" s="264">
        <v>0.19999020000000001</v>
      </c>
      <c r="AV23" s="274">
        <v>0</v>
      </c>
      <c r="AW23" s="276"/>
    </row>
    <row r="24" spans="1:61" ht="13.9" customHeight="1" x14ac:dyDescent="0.2">
      <c r="B24" t="s">
        <v>512</v>
      </c>
      <c r="C24" s="66" t="s">
        <v>1025</v>
      </c>
      <c r="D24" s="691" t="s">
        <v>34</v>
      </c>
      <c r="E24" s="274">
        <v>0.215</v>
      </c>
      <c r="F24" s="14"/>
      <c r="G24" s="276"/>
      <c r="H24" s="14"/>
      <c r="I24" s="66" t="s">
        <v>1025</v>
      </c>
      <c r="J24" s="691" t="s">
        <v>34</v>
      </c>
      <c r="K24" s="274">
        <v>0.215</v>
      </c>
      <c r="L24" s="14"/>
      <c r="M24" s="276"/>
      <c r="N24" s="14"/>
      <c r="O24" s="66" t="s">
        <v>1025</v>
      </c>
      <c r="P24" s="632">
        <v>1.7077053343800408</v>
      </c>
      <c r="Q24" s="274">
        <v>0.215</v>
      </c>
      <c r="R24" s="14"/>
      <c r="S24" s="276"/>
      <c r="T24" s="14"/>
      <c r="U24" s="66" t="s">
        <v>1025</v>
      </c>
      <c r="V24" s="620">
        <v>1.000001656</v>
      </c>
      <c r="W24" s="274">
        <v>0.215</v>
      </c>
      <c r="X24" s="14"/>
      <c r="Y24" s="276"/>
      <c r="Z24" s="14"/>
      <c r="AA24" s="66" t="s">
        <v>153</v>
      </c>
      <c r="AB24" s="494">
        <v>1.0000015149999999</v>
      </c>
      <c r="AC24" s="274">
        <v>0.215</v>
      </c>
      <c r="AD24" s="14"/>
      <c r="AE24" s="276"/>
      <c r="AF24" s="14"/>
      <c r="AG24" s="66" t="s">
        <v>153</v>
      </c>
      <c r="AH24" s="470">
        <v>1.0000014829999999</v>
      </c>
      <c r="AI24" s="274">
        <v>0.215</v>
      </c>
      <c r="AJ24" s="14"/>
      <c r="AK24" s="276"/>
      <c r="AL24" s="14"/>
      <c r="AM24" s="342">
        <v>1.000001382</v>
      </c>
      <c r="AN24" s="274">
        <v>0.215</v>
      </c>
      <c r="AO24" s="276"/>
      <c r="AP24" s="14"/>
      <c r="AQ24" s="342">
        <f>1*(1+0.000001391)</f>
        <v>1.0000013910000001</v>
      </c>
      <c r="AR24" s="274">
        <v>0.215</v>
      </c>
      <c r="AS24" s="276"/>
      <c r="AU24" s="264">
        <v>1</v>
      </c>
      <c r="AV24" s="274">
        <v>0.215</v>
      </c>
      <c r="AW24" s="276"/>
    </row>
    <row r="25" spans="1:61" ht="13.9" customHeight="1" x14ac:dyDescent="0.2">
      <c r="A25" t="s">
        <v>523</v>
      </c>
      <c r="B25" t="s">
        <v>512</v>
      </c>
      <c r="C25" s="66" t="s">
        <v>1067</v>
      </c>
      <c r="D25" s="691" t="s">
        <v>34</v>
      </c>
      <c r="E25" s="274">
        <v>7.5999999999999998E-2</v>
      </c>
      <c r="F25" s="430" t="s">
        <v>618</v>
      </c>
      <c r="G25" s="429"/>
      <c r="H25" s="430"/>
      <c r="I25" s="66" t="s">
        <v>1067</v>
      </c>
      <c r="J25" s="691" t="s">
        <v>34</v>
      </c>
      <c r="K25" s="274">
        <v>7.5999999999999998E-2</v>
      </c>
      <c r="L25" s="430" t="s">
        <v>618</v>
      </c>
      <c r="M25" s="429"/>
      <c r="N25" s="430"/>
      <c r="O25" s="66" t="s">
        <v>1067</v>
      </c>
      <c r="P25" s="487" t="s">
        <v>741</v>
      </c>
      <c r="Q25" s="274">
        <v>7.5999999999999998E-2</v>
      </c>
      <c r="R25" s="430" t="s">
        <v>618</v>
      </c>
      <c r="S25" s="429"/>
      <c r="T25" s="430"/>
      <c r="U25" s="66" t="s">
        <v>151</v>
      </c>
      <c r="V25" s="487" t="s">
        <v>741</v>
      </c>
      <c r="W25" s="274">
        <v>7.5999999999999998E-2</v>
      </c>
      <c r="X25" s="430" t="s">
        <v>618</v>
      </c>
      <c r="Y25" s="429"/>
      <c r="Z25" s="430"/>
      <c r="AA25" s="66" t="s">
        <v>151</v>
      </c>
      <c r="AB25" s="487" t="s">
        <v>741</v>
      </c>
      <c r="AC25" s="274">
        <v>7.5999999999999998E-2</v>
      </c>
      <c r="AD25" s="430" t="s">
        <v>618</v>
      </c>
      <c r="AE25" s="429"/>
      <c r="AF25" s="430"/>
      <c r="AG25" s="66" t="s">
        <v>151</v>
      </c>
      <c r="AH25" s="473">
        <v>9.9998118736976546E-2</v>
      </c>
      <c r="AI25" s="274">
        <v>7.5999999999999998E-2</v>
      </c>
      <c r="AJ25" s="430" t="s">
        <v>618</v>
      </c>
      <c r="AK25" s="429"/>
      <c r="AL25" s="456"/>
      <c r="AM25" s="428">
        <f>0.1*(1-0.000005)</f>
        <v>9.9999500000000005E-2</v>
      </c>
      <c r="AN25" s="274">
        <v>7.5999999999999998E-2</v>
      </c>
      <c r="AO25" s="429" t="s">
        <v>618</v>
      </c>
      <c r="AP25" s="430"/>
      <c r="AQ25" s="355">
        <f>0.1*(1-0.0000313)</f>
        <v>9.9996870000000015E-2</v>
      </c>
      <c r="AR25" s="274">
        <v>7.5999999999999998E-2</v>
      </c>
      <c r="AS25" s="276"/>
      <c r="AU25" s="264">
        <v>0.1000014</v>
      </c>
      <c r="AV25" s="274">
        <v>7.5999999999999998E-2</v>
      </c>
      <c r="AW25" s="276"/>
    </row>
    <row r="26" spans="1:61" x14ac:dyDescent="0.2">
      <c r="B26" t="s">
        <v>512</v>
      </c>
      <c r="C26" s="66" t="s">
        <v>1068</v>
      </c>
      <c r="D26" s="690" t="s">
        <v>34</v>
      </c>
      <c r="E26" s="274">
        <v>0.96</v>
      </c>
      <c r="F26" s="14"/>
      <c r="G26" s="276"/>
      <c r="H26" s="14"/>
      <c r="I26" s="66" t="s">
        <v>1068</v>
      </c>
      <c r="J26" s="690" t="s">
        <v>34</v>
      </c>
      <c r="K26" s="274">
        <v>0.96</v>
      </c>
      <c r="L26" s="14"/>
      <c r="M26" s="276"/>
      <c r="N26" s="14"/>
      <c r="O26" s="66" t="s">
        <v>1068</v>
      </c>
      <c r="P26" s="632">
        <v>-10.871364140923541</v>
      </c>
      <c r="Q26" s="274">
        <v>0.96</v>
      </c>
      <c r="R26" s="14"/>
      <c r="S26" s="276"/>
      <c r="T26" s="14"/>
      <c r="U26" s="220" t="s">
        <v>729</v>
      </c>
      <c r="V26" s="487">
        <v>9.9998890300000003</v>
      </c>
      <c r="W26" s="274">
        <v>0.96</v>
      </c>
      <c r="X26" s="14"/>
      <c r="Y26" s="276"/>
      <c r="Z26" s="14"/>
      <c r="AA26" s="220" t="s">
        <v>729</v>
      </c>
      <c r="AB26" s="494">
        <v>9.9998890300000003</v>
      </c>
      <c r="AC26" s="274">
        <v>0.96</v>
      </c>
      <c r="AD26" s="14"/>
      <c r="AE26" s="276"/>
      <c r="AF26" s="14"/>
      <c r="AG26" s="220" t="s">
        <v>729</v>
      </c>
      <c r="AH26" s="470">
        <v>9.9998885400000006</v>
      </c>
      <c r="AI26" s="274">
        <v>0.96</v>
      </c>
      <c r="AJ26" s="14"/>
      <c r="AK26" s="276"/>
      <c r="AL26" s="66" t="s">
        <v>154</v>
      </c>
      <c r="AM26" s="342">
        <f>10*(1+0.000002442)</f>
        <v>10.000024419999999</v>
      </c>
      <c r="AN26" s="274">
        <v>0.96</v>
      </c>
      <c r="AO26" s="276"/>
      <c r="AP26" s="14"/>
      <c r="AQ26" s="342">
        <f>10*(1+0.000001938)</f>
        <v>10.000019380000001</v>
      </c>
      <c r="AR26" s="274">
        <v>0.96</v>
      </c>
      <c r="AS26" s="276"/>
      <c r="AU26" s="264">
        <v>10.000006000000001</v>
      </c>
      <c r="AV26" s="274">
        <v>0.96</v>
      </c>
      <c r="AW26" s="276"/>
    </row>
    <row r="27" spans="1:61" x14ac:dyDescent="0.2">
      <c r="A27" t="s">
        <v>360</v>
      </c>
      <c r="B27" t="s">
        <v>512</v>
      </c>
      <c r="C27" s="66" t="s">
        <v>359</v>
      </c>
      <c r="D27" s="498">
        <f>1*(1-6.439/1000000)</f>
        <v>0.99999356100000003</v>
      </c>
      <c r="E27" s="153">
        <v>3.3000000000000002E-2</v>
      </c>
      <c r="F27" s="693" t="s">
        <v>33</v>
      </c>
      <c r="G27" s="694">
        <f>TAN(10.35/1000000)/(2*PI()*50)*1000000</f>
        <v>3.2945073221198717E-2</v>
      </c>
      <c r="H27" s="720"/>
      <c r="I27" s="66" t="s">
        <v>359</v>
      </c>
      <c r="J27" s="498">
        <v>0.99999356100000003</v>
      </c>
      <c r="K27" s="153">
        <v>3.3000000000000002E-2</v>
      </c>
      <c r="L27" s="693" t="s">
        <v>33</v>
      </c>
      <c r="M27" s="694">
        <v>3.2945073221198717E-2</v>
      </c>
      <c r="N27" s="14"/>
      <c r="O27" s="66" t="s">
        <v>359</v>
      </c>
      <c r="P27" s="632">
        <f>1*(1-5.878/1000000)</f>
        <v>0.99999412200000004</v>
      </c>
      <c r="Q27" s="274">
        <v>3.3000000000000002E-2</v>
      </c>
      <c r="R27" s="14"/>
      <c r="S27" s="276"/>
      <c r="T27" s="14"/>
      <c r="U27" s="66" t="s">
        <v>359</v>
      </c>
      <c r="V27" s="620">
        <v>0.99999343811101027</v>
      </c>
      <c r="W27" s="274">
        <v>3.3000000000000002E-2</v>
      </c>
      <c r="X27" s="14"/>
      <c r="Y27" s="276"/>
      <c r="Z27" s="14"/>
      <c r="AA27" s="66" t="s">
        <v>359</v>
      </c>
      <c r="AB27" s="494">
        <v>0.99999239929999995</v>
      </c>
      <c r="AC27" s="274">
        <v>3.3000000000000002E-2</v>
      </c>
      <c r="AD27" s="14"/>
      <c r="AE27" s="276"/>
      <c r="AF27" s="14"/>
      <c r="AG27" s="66" t="s">
        <v>359</v>
      </c>
      <c r="AH27" s="470">
        <v>0.99999239929999995</v>
      </c>
      <c r="AI27" s="274">
        <v>3.3000000000000002E-2</v>
      </c>
      <c r="AJ27" s="14"/>
      <c r="AK27" s="276"/>
      <c r="AL27" s="14"/>
      <c r="AM27" s="342">
        <f>1*(1-0.000007601)</f>
        <v>0.99999239900000003</v>
      </c>
      <c r="AN27" s="274">
        <v>3.3000000000000002E-2</v>
      </c>
      <c r="AO27" s="276"/>
      <c r="AP27" s="14"/>
      <c r="AQ27" s="431">
        <f>1-0.000008521</f>
        <v>0.99999147899999996</v>
      </c>
      <c r="AR27" s="274">
        <f>0.033</f>
        <v>3.3000000000000002E-2</v>
      </c>
      <c r="AS27" s="276"/>
      <c r="AU27" s="264">
        <f>1-0.0000072</f>
        <v>0.99999280000000002</v>
      </c>
      <c r="AV27" s="274">
        <f>0.033</f>
        <v>3.3000000000000002E-2</v>
      </c>
      <c r="AW27" s="276"/>
    </row>
    <row r="28" spans="1:61" x14ac:dyDescent="0.2">
      <c r="A28" t="s">
        <v>362</v>
      </c>
      <c r="B28" t="s">
        <v>512</v>
      </c>
      <c r="C28" s="66" t="s">
        <v>361</v>
      </c>
      <c r="D28" s="498">
        <f>10*(1-4.582/1000000)</f>
        <v>9.9999541799999996</v>
      </c>
      <c r="E28" s="153">
        <v>0.33</v>
      </c>
      <c r="F28" s="693" t="s">
        <v>33</v>
      </c>
      <c r="G28" s="694">
        <f>10*TAN(10.35/1000000)/(2*PI()*50)*1000000</f>
        <v>0.32945073221198717</v>
      </c>
      <c r="H28" s="720"/>
      <c r="I28" s="66" t="s">
        <v>361</v>
      </c>
      <c r="J28" s="498">
        <v>9.9999541799999996</v>
      </c>
      <c r="K28" s="153">
        <v>0.33</v>
      </c>
      <c r="L28" s="693" t="s">
        <v>33</v>
      </c>
      <c r="M28" s="694">
        <v>0.32945073221198717</v>
      </c>
      <c r="N28" s="14"/>
      <c r="O28" s="66" t="s">
        <v>361</v>
      </c>
      <c r="P28" s="632">
        <f>10*(1-4.283/1000000)</f>
        <v>9.9999571700000001</v>
      </c>
      <c r="Q28" s="274">
        <v>0.33</v>
      </c>
      <c r="R28" s="14"/>
      <c r="S28" s="276"/>
      <c r="T28" s="14"/>
      <c r="U28" s="66" t="s">
        <v>361</v>
      </c>
      <c r="V28" s="620">
        <v>9.999952711614247</v>
      </c>
      <c r="W28" s="274">
        <v>0.33</v>
      </c>
      <c r="X28" s="14"/>
      <c r="Y28" s="276"/>
      <c r="Z28" s="14"/>
      <c r="AA28" s="66" t="s">
        <v>361</v>
      </c>
      <c r="AB28" s="494">
        <v>9.9999388800000002</v>
      </c>
      <c r="AC28" s="274">
        <v>0.33</v>
      </c>
      <c r="AD28" s="14"/>
      <c r="AE28" s="276"/>
      <c r="AF28" s="14"/>
      <c r="AG28" s="66" t="s">
        <v>361</v>
      </c>
      <c r="AH28" s="470">
        <v>9.9999388800000002</v>
      </c>
      <c r="AI28" s="274">
        <v>0.33</v>
      </c>
      <c r="AJ28" s="14"/>
      <c r="AK28" s="276"/>
      <c r="AL28" s="14"/>
      <c r="AM28" s="425">
        <f>10*(1-0.000006112)</f>
        <v>9.9999388800000002</v>
      </c>
      <c r="AN28" s="274">
        <v>0.33</v>
      </c>
      <c r="AO28" s="276"/>
      <c r="AP28" s="14"/>
      <c r="AQ28" s="342">
        <f>10*(1-0.0000066)</f>
        <v>9.9999339999999997</v>
      </c>
      <c r="AR28" s="274">
        <v>0.33</v>
      </c>
      <c r="AS28" s="276"/>
      <c r="AU28" s="264">
        <f>10*AU27</f>
        <v>9.9999280000000006</v>
      </c>
      <c r="AV28" s="274">
        <v>0.33</v>
      </c>
      <c r="AW28" s="276"/>
    </row>
    <row r="29" spans="1:61" x14ac:dyDescent="0.2">
      <c r="C29" s="66" t="s">
        <v>530</v>
      </c>
      <c r="D29" s="498">
        <v>1</v>
      </c>
      <c r="E29" s="153"/>
      <c r="F29" s="658"/>
      <c r="G29" s="261"/>
      <c r="H29" s="15"/>
      <c r="I29" s="66" t="s">
        <v>530</v>
      </c>
      <c r="J29" s="498">
        <v>1</v>
      </c>
      <c r="K29" s="153"/>
      <c r="L29" s="658"/>
      <c r="M29" s="261"/>
      <c r="N29" s="15"/>
      <c r="O29" s="66" t="s">
        <v>530</v>
      </c>
      <c r="P29" s="632">
        <v>1</v>
      </c>
      <c r="Q29" s="274"/>
      <c r="R29" s="658">
        <f>0.2*(1-0.000030182)</f>
        <v>0.19999396359999999</v>
      </c>
      <c r="S29" s="261"/>
      <c r="T29" s="15"/>
      <c r="U29" s="66" t="s">
        <v>530</v>
      </c>
      <c r="V29" s="568">
        <v>1</v>
      </c>
      <c r="W29" s="274"/>
      <c r="X29" s="15"/>
      <c r="Y29" s="261"/>
      <c r="Z29" s="15"/>
      <c r="AA29" s="66" t="s">
        <v>530</v>
      </c>
      <c r="AB29" s="494">
        <v>1</v>
      </c>
      <c r="AC29" s="274"/>
      <c r="AD29" s="15"/>
      <c r="AE29" s="261"/>
      <c r="AF29" s="15"/>
      <c r="AG29" s="66" t="s">
        <v>530</v>
      </c>
      <c r="AH29" s="470">
        <v>1</v>
      </c>
      <c r="AI29" s="274"/>
      <c r="AJ29" s="15"/>
      <c r="AK29" s="261"/>
      <c r="AL29" s="15"/>
      <c r="AM29" s="342">
        <v>1</v>
      </c>
      <c r="AN29" s="274"/>
      <c r="AO29" s="261"/>
      <c r="AP29" s="15"/>
      <c r="AQ29" s="342">
        <v>1</v>
      </c>
      <c r="AR29" s="274"/>
      <c r="AS29" s="261"/>
      <c r="AU29" s="260"/>
      <c r="AV29" s="15"/>
      <c r="AW29" s="261"/>
    </row>
    <row r="30" spans="1:61" x14ac:dyDescent="0.2">
      <c r="D30" s="260"/>
      <c r="E30" s="15"/>
      <c r="F30" s="15"/>
      <c r="G30" s="261"/>
      <c r="H30" s="15"/>
      <c r="J30" s="260"/>
      <c r="K30" s="15"/>
      <c r="L30" s="15"/>
      <c r="M30" s="261"/>
      <c r="N30" s="15"/>
      <c r="P30" s="260"/>
      <c r="Q30" s="15"/>
      <c r="R30" s="15"/>
      <c r="S30" s="261"/>
      <c r="T30" s="15"/>
      <c r="V30" s="260"/>
      <c r="W30" s="15"/>
      <c r="X30" s="15"/>
      <c r="Y30" s="261"/>
      <c r="Z30" s="15"/>
      <c r="AB30" s="260"/>
      <c r="AC30" s="15"/>
      <c r="AD30" s="15"/>
      <c r="AE30" s="261"/>
      <c r="AF30" s="15"/>
      <c r="AH30" s="260"/>
      <c r="AI30" s="15"/>
      <c r="AJ30" s="15"/>
      <c r="AK30" s="261"/>
      <c r="AM30" s="6"/>
      <c r="AP30" s="15"/>
      <c r="AQ30" s="260"/>
      <c r="AR30" s="15"/>
      <c r="AS30" s="261"/>
      <c r="AU30" s="260"/>
      <c r="AV30" s="15"/>
      <c r="AW30" s="261"/>
    </row>
    <row r="31" spans="1:61" x14ac:dyDescent="0.2">
      <c r="C31" t="s">
        <v>155</v>
      </c>
      <c r="D31" s="260"/>
      <c r="E31" s="15"/>
      <c r="F31" s="15"/>
      <c r="G31" s="261"/>
      <c r="H31" s="15"/>
      <c r="I31" t="s">
        <v>155</v>
      </c>
      <c r="J31" s="260"/>
      <c r="K31" s="15"/>
      <c r="L31" s="15"/>
      <c r="M31" s="261"/>
      <c r="N31" s="15"/>
      <c r="O31" t="s">
        <v>155</v>
      </c>
      <c r="P31" s="260"/>
      <c r="Q31" s="15"/>
      <c r="R31" s="15"/>
      <c r="S31" s="261"/>
      <c r="T31" s="15"/>
      <c r="U31" t="s">
        <v>155</v>
      </c>
      <c r="V31" s="260"/>
      <c r="W31" s="15"/>
      <c r="X31" s="15"/>
      <c r="Y31" s="261"/>
      <c r="Z31" s="15"/>
      <c r="AA31" t="s">
        <v>155</v>
      </c>
      <c r="AB31" s="260"/>
      <c r="AC31" s="15"/>
      <c r="AD31" s="15"/>
      <c r="AE31" s="261"/>
      <c r="AF31" s="15"/>
      <c r="AG31" t="s">
        <v>155</v>
      </c>
      <c r="AH31" s="260"/>
      <c r="AI31" s="15"/>
      <c r="AJ31" s="15"/>
      <c r="AK31" s="261"/>
      <c r="AM31" s="6"/>
      <c r="AP31" s="15"/>
      <c r="AQ31" s="260"/>
      <c r="AR31" s="15"/>
      <c r="AS31" s="261"/>
      <c r="AU31" s="260"/>
      <c r="AV31" s="15"/>
      <c r="AW31" s="261"/>
    </row>
    <row r="32" spans="1:61" x14ac:dyDescent="0.2">
      <c r="C32" s="66" t="s">
        <v>132</v>
      </c>
      <c r="D32" s="708">
        <v>0.99999960445558456</v>
      </c>
      <c r="E32" s="14"/>
      <c r="F32" s="14"/>
      <c r="G32" s="276"/>
      <c r="H32" s="14"/>
      <c r="I32" s="66" t="s">
        <v>132</v>
      </c>
      <c r="J32" s="708">
        <v>0.99999960445558456</v>
      </c>
      <c r="K32" s="14"/>
      <c r="L32" s="14"/>
      <c r="M32" s="276"/>
      <c r="N32" s="14"/>
      <c r="O32" s="66" t="s">
        <v>132</v>
      </c>
      <c r="P32" s="635">
        <v>0.99999986353392578</v>
      </c>
      <c r="Q32" s="14"/>
      <c r="R32" s="14"/>
      <c r="S32" s="276"/>
      <c r="T32" s="14"/>
      <c r="U32" s="66" t="s">
        <v>132</v>
      </c>
      <c r="V32" s="499">
        <v>1.0000018028714459</v>
      </c>
      <c r="W32" s="14"/>
      <c r="X32" s="14"/>
      <c r="Y32" s="276"/>
      <c r="Z32" s="14"/>
      <c r="AA32" s="66" t="s">
        <v>132</v>
      </c>
      <c r="AB32" s="499">
        <v>1.0000025253673255</v>
      </c>
      <c r="AC32" s="14"/>
      <c r="AD32" s="14"/>
      <c r="AE32" s="276"/>
      <c r="AF32" s="14"/>
      <c r="AG32" s="66" t="s">
        <v>132</v>
      </c>
      <c r="AH32" s="473">
        <v>0.99999940041602797</v>
      </c>
      <c r="AI32" s="14"/>
      <c r="AJ32" s="14"/>
      <c r="AK32" s="276"/>
      <c r="AL32" s="6"/>
      <c r="AM32" s="342">
        <v>1.000002289</v>
      </c>
      <c r="AN32" s="15" t="s">
        <v>607</v>
      </c>
      <c r="AO32" s="261"/>
      <c r="AP32" s="15"/>
      <c r="AQ32" s="343">
        <v>1.0000008733542223</v>
      </c>
      <c r="AR32" s="15"/>
      <c r="AS32" s="261"/>
      <c r="AU32" s="267">
        <v>1</v>
      </c>
      <c r="AV32" s="15"/>
      <c r="AW32" s="261"/>
      <c r="AX32" s="56"/>
    </row>
    <row r="33" spans="1:52" x14ac:dyDescent="0.2">
      <c r="C33" s="66" t="s">
        <v>134</v>
      </c>
      <c r="D33" s="708">
        <v>-1.0003321326818189</v>
      </c>
      <c r="E33" s="14"/>
      <c r="F33" s="14"/>
      <c r="G33" s="276"/>
      <c r="H33" s="14"/>
      <c r="I33" s="66" t="s">
        <v>134</v>
      </c>
      <c r="J33" s="708">
        <v>-1.0003321326818189</v>
      </c>
      <c r="K33" s="14"/>
      <c r="L33" s="14"/>
      <c r="M33" s="276"/>
      <c r="N33" s="14"/>
      <c r="O33" s="66" t="s">
        <v>134</v>
      </c>
      <c r="P33" s="635">
        <v>-1.000333576565348</v>
      </c>
      <c r="Q33" s="14"/>
      <c r="R33" s="14"/>
      <c r="S33" s="276"/>
      <c r="T33" s="14"/>
      <c r="U33" s="66" t="s">
        <v>134</v>
      </c>
      <c r="V33" s="499">
        <v>-1.0003246955856788</v>
      </c>
      <c r="W33" s="14"/>
      <c r="X33" s="14"/>
      <c r="Y33" s="276"/>
      <c r="Z33" s="14"/>
      <c r="AA33" s="66" t="s">
        <v>134</v>
      </c>
      <c r="AB33" s="499">
        <v>-1.0003213804550151</v>
      </c>
      <c r="AC33" s="14"/>
      <c r="AD33" s="14"/>
      <c r="AE33" s="276"/>
      <c r="AF33" s="14"/>
      <c r="AG33" s="66" t="s">
        <v>134</v>
      </c>
      <c r="AH33" s="473">
        <v>-1.0003241171647175</v>
      </c>
      <c r="AI33" s="14"/>
      <c r="AJ33" s="14"/>
      <c r="AK33" s="276"/>
      <c r="AL33" s="6"/>
      <c r="AM33" s="342">
        <v>-1.0003231539999999</v>
      </c>
      <c r="AN33" s="15" t="s">
        <v>607</v>
      </c>
      <c r="AO33" s="261"/>
      <c r="AP33" s="15"/>
      <c r="AQ33" s="343">
        <v>-1.0003118288667077</v>
      </c>
      <c r="AR33" s="15"/>
      <c r="AS33" s="261"/>
      <c r="AU33" s="267">
        <v>-1.0003084636811701</v>
      </c>
      <c r="AV33" s="15" t="s">
        <v>522</v>
      </c>
      <c r="AW33" s="261"/>
      <c r="AX33" s="56"/>
    </row>
    <row r="34" spans="1:52" x14ac:dyDescent="0.2">
      <c r="C34" s="66" t="s">
        <v>133</v>
      </c>
      <c r="D34" s="708">
        <v>0.99999960445558456</v>
      </c>
      <c r="E34" s="14"/>
      <c r="F34" s="14"/>
      <c r="G34" s="276"/>
      <c r="H34" s="14"/>
      <c r="I34" s="66" t="s">
        <v>133</v>
      </c>
      <c r="J34" s="708">
        <v>0.99999960445558456</v>
      </c>
      <c r="K34" s="14"/>
      <c r="L34" s="14"/>
      <c r="M34" s="276"/>
      <c r="N34" s="14"/>
      <c r="O34" s="66" t="s">
        <v>133</v>
      </c>
      <c r="P34" s="635">
        <v>0.99999986353392578</v>
      </c>
      <c r="Q34" s="14"/>
      <c r="R34" s="14"/>
      <c r="S34" s="276"/>
      <c r="T34" s="14"/>
      <c r="U34" s="66" t="s">
        <v>133</v>
      </c>
      <c r="V34" s="499">
        <v>1.0000018028714459</v>
      </c>
      <c r="W34" s="14"/>
      <c r="X34" s="14"/>
      <c r="Y34" s="276"/>
      <c r="Z34" s="14"/>
      <c r="AA34" s="66" t="s">
        <v>133</v>
      </c>
      <c r="AB34" s="499">
        <v>1.0000025253673255</v>
      </c>
      <c r="AC34" s="14"/>
      <c r="AD34" s="14"/>
      <c r="AE34" s="276"/>
      <c r="AF34" s="14"/>
      <c r="AG34" s="66" t="s">
        <v>133</v>
      </c>
      <c r="AH34" s="473">
        <v>0.99999940041602797</v>
      </c>
      <c r="AI34" s="14"/>
      <c r="AJ34" s="14"/>
      <c r="AK34" s="276"/>
      <c r="AL34" s="6"/>
      <c r="AM34" s="342">
        <v>1.000002289</v>
      </c>
      <c r="AN34" s="15" t="s">
        <v>607</v>
      </c>
      <c r="AO34" s="261"/>
      <c r="AP34" s="15"/>
      <c r="AQ34" s="343">
        <v>1.0000008733542223</v>
      </c>
      <c r="AR34" s="15"/>
      <c r="AS34" s="261"/>
      <c r="AU34" s="267">
        <v>1</v>
      </c>
      <c r="AV34" s="15"/>
      <c r="AW34" s="261"/>
      <c r="AX34" s="56"/>
    </row>
    <row r="35" spans="1:52" x14ac:dyDescent="0.2">
      <c r="C35" s="66" t="s">
        <v>135</v>
      </c>
      <c r="D35" s="708">
        <v>-1.0003321326818189</v>
      </c>
      <c r="E35" s="14"/>
      <c r="F35" s="14"/>
      <c r="G35" s="276"/>
      <c r="H35" s="14"/>
      <c r="I35" s="66" t="s">
        <v>135</v>
      </c>
      <c r="J35" s="708">
        <v>-1.0003321326818189</v>
      </c>
      <c r="K35" s="14"/>
      <c r="L35" s="14"/>
      <c r="M35" s="276"/>
      <c r="N35" s="14"/>
      <c r="O35" s="66" t="s">
        <v>135</v>
      </c>
      <c r="P35" s="635">
        <v>-1.000333576565348</v>
      </c>
      <c r="Q35" s="14"/>
      <c r="R35" s="14"/>
      <c r="S35" s="276"/>
      <c r="T35" s="14"/>
      <c r="U35" s="66" t="s">
        <v>135</v>
      </c>
      <c r="V35" s="499">
        <v>-1.0003246955856788</v>
      </c>
      <c r="W35" s="14"/>
      <c r="X35" s="14"/>
      <c r="Y35" s="276"/>
      <c r="Z35" s="14"/>
      <c r="AA35" s="66" t="s">
        <v>135</v>
      </c>
      <c r="AB35" s="499">
        <v>-1.0003213804550151</v>
      </c>
      <c r="AC35" s="14"/>
      <c r="AD35" s="14"/>
      <c r="AE35" s="276"/>
      <c r="AF35" s="14"/>
      <c r="AG35" s="66" t="s">
        <v>135</v>
      </c>
      <c r="AH35" s="473">
        <v>-1.0003241171647175</v>
      </c>
      <c r="AI35" s="14"/>
      <c r="AJ35" s="14"/>
      <c r="AK35" s="276"/>
      <c r="AL35" s="6"/>
      <c r="AM35" s="342">
        <v>-1.0003231539999999</v>
      </c>
      <c r="AN35" s="15" t="s">
        <v>607</v>
      </c>
      <c r="AO35" s="261"/>
      <c r="AP35" s="15"/>
      <c r="AQ35" s="343">
        <v>-1.0003118288667077</v>
      </c>
      <c r="AR35" s="15"/>
      <c r="AS35" s="261"/>
      <c r="AU35" s="267">
        <v>-1.0003084636811701</v>
      </c>
      <c r="AV35" s="15" t="s">
        <v>522</v>
      </c>
      <c r="AW35" s="261"/>
      <c r="AX35" s="56"/>
    </row>
    <row r="36" spans="1:52" x14ac:dyDescent="0.2">
      <c r="D36" s="260"/>
      <c r="E36" s="15"/>
      <c r="F36" s="15"/>
      <c r="G36" s="261"/>
      <c r="H36" s="15"/>
      <c r="J36" s="260"/>
      <c r="K36" s="15"/>
      <c r="L36" s="15"/>
      <c r="M36" s="261"/>
      <c r="N36" s="15"/>
      <c r="P36" s="260"/>
      <c r="Q36" s="15"/>
      <c r="R36" s="15"/>
      <c r="S36" s="261"/>
      <c r="T36" s="15"/>
      <c r="V36" s="260"/>
      <c r="W36" s="15"/>
      <c r="X36" s="15"/>
      <c r="Y36" s="261"/>
      <c r="Z36" s="15"/>
      <c r="AB36" s="260"/>
      <c r="AC36" s="15"/>
      <c r="AD36" s="15"/>
      <c r="AE36" s="261"/>
      <c r="AF36" s="15"/>
      <c r="AH36" s="260"/>
      <c r="AI36" s="15"/>
      <c r="AJ36" s="15"/>
      <c r="AK36" s="261"/>
      <c r="AM36" s="6"/>
      <c r="AP36" s="15"/>
      <c r="AQ36" s="260"/>
      <c r="AR36" s="15"/>
      <c r="AS36" s="261"/>
      <c r="AU36" s="260"/>
      <c r="AV36" s="15"/>
      <c r="AW36" s="261"/>
    </row>
    <row r="37" spans="1:52" x14ac:dyDescent="0.2">
      <c r="C37" t="s">
        <v>170</v>
      </c>
      <c r="D37" s="260"/>
      <c r="F37" s="14"/>
      <c r="G37" s="261"/>
      <c r="H37" s="15"/>
      <c r="I37" t="s">
        <v>170</v>
      </c>
      <c r="J37" s="260"/>
      <c r="L37" s="14"/>
      <c r="M37" s="261"/>
      <c r="N37" s="15"/>
      <c r="O37" t="s">
        <v>170</v>
      </c>
      <c r="P37" s="260"/>
      <c r="R37" s="14"/>
      <c r="S37" s="261"/>
      <c r="T37" s="15"/>
      <c r="U37" t="s">
        <v>170</v>
      </c>
      <c r="V37" s="260"/>
      <c r="X37" s="14"/>
      <c r="Y37" s="261"/>
      <c r="Z37" s="15"/>
      <c r="AA37" t="s">
        <v>170</v>
      </c>
      <c r="AB37" s="260"/>
      <c r="AD37" s="14"/>
      <c r="AE37" s="261"/>
      <c r="AF37" s="15"/>
      <c r="AG37" t="s">
        <v>170</v>
      </c>
      <c r="AH37" s="260"/>
      <c r="AJ37" s="14"/>
      <c r="AK37" s="261"/>
      <c r="AM37" s="421"/>
      <c r="AN37" s="15"/>
      <c r="AO37" s="15" t="s">
        <v>607</v>
      </c>
      <c r="AP37" s="15"/>
      <c r="AQ37" s="260"/>
      <c r="AR37" s="15"/>
      <c r="AS37" s="15" t="s">
        <v>527</v>
      </c>
      <c r="AU37" s="260"/>
      <c r="AV37" s="15"/>
      <c r="AW37" s="261"/>
    </row>
    <row r="38" spans="1:52" ht="25.5" x14ac:dyDescent="0.2">
      <c r="C38" t="s">
        <v>156</v>
      </c>
      <c r="D38" s="421" t="s">
        <v>157</v>
      </c>
      <c r="E38" s="273" t="s">
        <v>1023</v>
      </c>
      <c r="F38" s="266" t="s">
        <v>1024</v>
      </c>
      <c r="G38" s="261"/>
      <c r="H38" s="15"/>
      <c r="I38" t="s">
        <v>156</v>
      </c>
      <c r="J38" s="421" t="s">
        <v>157</v>
      </c>
      <c r="K38" s="273" t="s">
        <v>1023</v>
      </c>
      <c r="L38" s="266" t="s">
        <v>1024</v>
      </c>
      <c r="M38" s="261"/>
      <c r="N38" s="15"/>
      <c r="O38" t="s">
        <v>156</v>
      </c>
      <c r="P38" s="421"/>
      <c r="Q38" s="273"/>
      <c r="R38" s="266"/>
      <c r="S38" s="261"/>
      <c r="T38" s="15"/>
      <c r="U38" t="s">
        <v>156</v>
      </c>
      <c r="V38" s="421" t="s">
        <v>157</v>
      </c>
      <c r="W38" s="273" t="s">
        <v>1023</v>
      </c>
      <c r="X38" s="266" t="s">
        <v>1024</v>
      </c>
      <c r="Y38" s="261"/>
      <c r="Z38" s="15"/>
      <c r="AA38" t="s">
        <v>156</v>
      </c>
      <c r="AB38" s="421" t="s">
        <v>157</v>
      </c>
      <c r="AC38" s="273" t="s">
        <v>166</v>
      </c>
      <c r="AD38" s="266" t="s">
        <v>526</v>
      </c>
      <c r="AE38" s="261"/>
      <c r="AF38" s="15"/>
      <c r="AG38" t="s">
        <v>156</v>
      </c>
      <c r="AH38" s="421" t="s">
        <v>157</v>
      </c>
      <c r="AI38" s="273" t="s">
        <v>166</v>
      </c>
      <c r="AJ38" s="266" t="s">
        <v>526</v>
      </c>
      <c r="AK38" s="261"/>
      <c r="AM38" s="421" t="s">
        <v>157</v>
      </c>
      <c r="AN38" s="273" t="s">
        <v>166</v>
      </c>
      <c r="AO38" s="266" t="s">
        <v>526</v>
      </c>
      <c r="AP38" s="273"/>
      <c r="AQ38" s="260" t="s">
        <v>157</v>
      </c>
      <c r="AR38" s="273" t="s">
        <v>166</v>
      </c>
      <c r="AS38" s="266" t="s">
        <v>526</v>
      </c>
      <c r="AU38" s="260" t="s">
        <v>157</v>
      </c>
      <c r="AV38" s="273" t="s">
        <v>166</v>
      </c>
      <c r="AW38" s="266"/>
    </row>
    <row r="39" spans="1:52" x14ac:dyDescent="0.2">
      <c r="A39" s="426"/>
      <c r="B39" s="427"/>
      <c r="C39" s="344">
        <v>60</v>
      </c>
      <c r="D39" s="708">
        <v>67.670642417899671</v>
      </c>
      <c r="E39" s="709">
        <v>2.3655337093498782E-6</v>
      </c>
      <c r="F39" s="710">
        <v>3.4895310006152725E-6</v>
      </c>
      <c r="G39" s="463"/>
      <c r="H39" s="484"/>
      <c r="I39" s="344">
        <v>60</v>
      </c>
      <c r="J39" s="708">
        <v>67.670642417899671</v>
      </c>
      <c r="K39" s="709">
        <v>2.3655337093498782E-6</v>
      </c>
      <c r="L39" s="710">
        <v>3.4895310006152725E-6</v>
      </c>
      <c r="M39" s="463"/>
      <c r="N39" s="484"/>
      <c r="O39" s="344">
        <v>60</v>
      </c>
      <c r="P39" s="635">
        <v>67.670643340699712</v>
      </c>
      <c r="Q39" s="636">
        <v>2.6828286765973054E-6</v>
      </c>
      <c r="R39" s="637">
        <v>9.5482004581731408E-7</v>
      </c>
      <c r="S39" s="463"/>
      <c r="T39" s="484"/>
      <c r="U39" s="344">
        <v>60</v>
      </c>
      <c r="V39" s="499">
        <v>67.670120336569227</v>
      </c>
      <c r="W39" s="613">
        <v>2.2332919614021401E-6</v>
      </c>
      <c r="X39" s="614">
        <v>2.6758573012276046E-5</v>
      </c>
      <c r="Y39" s="463"/>
      <c r="Z39" s="484"/>
      <c r="AA39" s="344">
        <v>60</v>
      </c>
      <c r="AB39" s="494">
        <v>67.670398778469092</v>
      </c>
      <c r="AC39" s="497">
        <v>2.481037500576027E-6</v>
      </c>
      <c r="AD39" s="500">
        <v>1.8166027012362804E-5</v>
      </c>
      <c r="AE39" s="463"/>
      <c r="AF39" s="484"/>
      <c r="AG39" s="344">
        <v>60</v>
      </c>
      <c r="AH39" s="470">
        <v>67.670130549864055</v>
      </c>
      <c r="AI39" s="474">
        <v>2.2302668867792453E-6</v>
      </c>
      <c r="AJ39" s="475">
        <v>5.0788575845575392E-6</v>
      </c>
      <c r="AK39" s="463"/>
      <c r="AL39" s="454"/>
      <c r="AM39" s="220">
        <v>67.670047424068414</v>
      </c>
      <c r="AN39" s="417">
        <v>1.841284171048187E-6</v>
      </c>
      <c r="AO39" s="418">
        <v>-2.2262547148220335E-7</v>
      </c>
      <c r="AP39" s="348"/>
      <c r="AQ39" s="220">
        <v>67.670734911746379</v>
      </c>
      <c r="AR39" s="345">
        <v>2.2670906066696637E-6</v>
      </c>
      <c r="AS39" s="346">
        <v>-1.3408571355333194E-5</v>
      </c>
      <c r="AU39" s="268">
        <v>67.670708508791321</v>
      </c>
      <c r="AV39" s="13">
        <v>2.5097578322105038E-6</v>
      </c>
      <c r="AW39" s="276"/>
      <c r="AX39" s="10"/>
      <c r="AY39" s="10"/>
    </row>
    <row r="40" spans="1:52" x14ac:dyDescent="0.2">
      <c r="A40" s="426"/>
      <c r="B40" s="427"/>
      <c r="C40" s="347">
        <v>120</v>
      </c>
      <c r="D40" s="711">
        <v>101.49754141711762</v>
      </c>
      <c r="E40" s="709">
        <v>2.4455268840657139E-6</v>
      </c>
      <c r="F40" s="710">
        <v>-9.2679249154348037E-6</v>
      </c>
      <c r="G40" s="464"/>
      <c r="H40" s="485"/>
      <c r="I40" s="347">
        <v>120</v>
      </c>
      <c r="J40" s="711">
        <v>101.49754141711762</v>
      </c>
      <c r="K40" s="709">
        <v>2.4455268840657139E-6</v>
      </c>
      <c r="L40" s="710">
        <v>-9.2679249154348037E-6</v>
      </c>
      <c r="M40" s="464"/>
      <c r="N40" s="485"/>
      <c r="O40" s="347">
        <v>120</v>
      </c>
      <c r="P40" s="638">
        <v>101.49754418402902</v>
      </c>
      <c r="Q40" s="636">
        <v>2.6592218050002381E-6</v>
      </c>
      <c r="R40" s="637">
        <v>-1.3734667299444311E-5</v>
      </c>
      <c r="S40" s="464"/>
      <c r="T40" s="485"/>
      <c r="U40" s="347">
        <v>120</v>
      </c>
      <c r="V40" s="615">
        <v>101.49681238189177</v>
      </c>
      <c r="W40" s="613">
        <v>2.6895188612493423E-6</v>
      </c>
      <c r="X40" s="614">
        <v>-9.7096203429173897E-6</v>
      </c>
      <c r="Y40" s="464"/>
      <c r="Z40" s="485"/>
      <c r="AA40" s="347">
        <v>120</v>
      </c>
      <c r="AB40" s="494">
        <v>101.49721961161342</v>
      </c>
      <c r="AC40" s="497">
        <v>2.6088569138823059E-6</v>
      </c>
      <c r="AD40" s="500">
        <v>-6.4009828920955838E-6</v>
      </c>
      <c r="AE40" s="464"/>
      <c r="AF40" s="485"/>
      <c r="AG40" s="347">
        <v>120</v>
      </c>
      <c r="AH40" s="470">
        <v>101.496982089299</v>
      </c>
      <c r="AI40" s="474">
        <v>2.8566700183768509E-6</v>
      </c>
      <c r="AJ40" s="475">
        <v>-1.6270153774474211E-5</v>
      </c>
      <c r="AK40" s="464"/>
      <c r="AL40" s="455"/>
      <c r="AM40" s="220">
        <v>101.497136261463</v>
      </c>
      <c r="AN40" s="417">
        <v>1.6081090626068999E-6</v>
      </c>
      <c r="AO40" s="417">
        <v>1.8219966890326233E-5</v>
      </c>
      <c r="AP40" s="348"/>
      <c r="AQ40" s="220">
        <v>101.4982389428161</v>
      </c>
      <c r="AR40" s="345">
        <v>2.6956752725649197E-6</v>
      </c>
      <c r="AS40" s="348">
        <v>-2.9065536374010762E-5</v>
      </c>
      <c r="AU40" s="268">
        <v>101.49752621545409</v>
      </c>
      <c r="AV40" s="13">
        <v>2.5097578322105038E-6</v>
      </c>
      <c r="AW40" s="261" t="s">
        <v>525</v>
      </c>
      <c r="AX40" s="10"/>
      <c r="AY40" s="10"/>
    </row>
    <row r="41" spans="1:52" x14ac:dyDescent="0.2">
      <c r="A41" s="426"/>
      <c r="B41" s="427"/>
      <c r="C41" s="347">
        <v>230</v>
      </c>
      <c r="D41" s="711">
        <v>202.98163333776961</v>
      </c>
      <c r="E41" s="709">
        <v>2.6761667694210587E-6</v>
      </c>
      <c r="F41" s="710">
        <v>-2.6103763958203885E-5</v>
      </c>
      <c r="G41" s="464"/>
      <c r="H41" s="485"/>
      <c r="I41" s="347">
        <v>230</v>
      </c>
      <c r="J41" s="711">
        <v>202.98163333776961</v>
      </c>
      <c r="K41" s="709">
        <v>2.6761667694210587E-6</v>
      </c>
      <c r="L41" s="710">
        <v>-2.6103763958203885E-5</v>
      </c>
      <c r="M41" s="464"/>
      <c r="N41" s="485"/>
      <c r="O41" s="347">
        <v>230</v>
      </c>
      <c r="P41" s="638">
        <v>202.98163887122578</v>
      </c>
      <c r="Q41" s="636">
        <v>2.6041892052486568E-6</v>
      </c>
      <c r="R41" s="637">
        <v>-1.9212948303460207E-5</v>
      </c>
      <c r="S41" s="464"/>
      <c r="T41" s="485"/>
      <c r="U41" s="347">
        <v>230</v>
      </c>
      <c r="V41" s="615">
        <v>202.98110379601937</v>
      </c>
      <c r="W41" s="613">
        <v>2.5014242754926881E-6</v>
      </c>
      <c r="X41" s="614">
        <v>-8.7250421895792553E-6</v>
      </c>
      <c r="Y41" s="464"/>
      <c r="Z41" s="485"/>
      <c r="AA41" s="347">
        <v>230</v>
      </c>
      <c r="AB41" s="494">
        <v>202.98152191664923</v>
      </c>
      <c r="AC41" s="497">
        <v>2.4463072649809326E-6</v>
      </c>
      <c r="AD41" s="500">
        <v>-5.2480449575476059E-6</v>
      </c>
      <c r="AE41" s="464"/>
      <c r="AF41" s="485"/>
      <c r="AG41" s="347">
        <v>230</v>
      </c>
      <c r="AH41" s="470">
        <v>202.98076492016293</v>
      </c>
      <c r="AI41" s="474">
        <v>2.28265344473067E-6</v>
      </c>
      <c r="AJ41" s="475">
        <v>2.5597540156385436E-5</v>
      </c>
      <c r="AK41" s="464"/>
      <c r="AL41" s="455"/>
      <c r="AM41" s="220">
        <v>202.98127278678083</v>
      </c>
      <c r="AN41" s="417">
        <v>1.2107654798105851E-6</v>
      </c>
      <c r="AO41" s="418">
        <v>5.7783976057919221E-5</v>
      </c>
      <c r="AP41" s="348"/>
      <c r="AQ41" s="220">
        <v>202.9846574761543</v>
      </c>
      <c r="AR41" s="345">
        <v>2.69384494753209E-6</v>
      </c>
      <c r="AS41" s="346">
        <v>-2.4016045777611623E-5</v>
      </c>
      <c r="AU41" s="268">
        <v>202.98156461072838</v>
      </c>
      <c r="AV41" s="13">
        <v>2.5097578322105038E-6</v>
      </c>
      <c r="AW41" s="261"/>
      <c r="AX41" s="10"/>
      <c r="AY41" s="10"/>
    </row>
    <row r="42" spans="1:52" x14ac:dyDescent="0.2">
      <c r="D42" s="260"/>
      <c r="E42" s="15"/>
      <c r="F42" s="15"/>
      <c r="G42" s="261"/>
      <c r="H42" s="15"/>
      <c r="J42" s="260"/>
      <c r="K42" s="15"/>
      <c r="L42" s="15"/>
      <c r="M42" s="261"/>
      <c r="N42" s="15"/>
      <c r="P42" s="260"/>
      <c r="Q42" s="15"/>
      <c r="R42" s="15"/>
      <c r="S42" s="261"/>
      <c r="T42" s="15"/>
      <c r="V42" s="260"/>
      <c r="W42" s="15"/>
      <c r="X42" s="15"/>
      <c r="Y42" s="261"/>
      <c r="Z42" s="15"/>
      <c r="AB42" s="260"/>
      <c r="AC42" s="15"/>
      <c r="AD42" s="15"/>
      <c r="AE42" s="261"/>
      <c r="AF42" s="15"/>
      <c r="AH42" s="260"/>
      <c r="AI42" s="15"/>
      <c r="AJ42" s="15"/>
      <c r="AK42" s="261"/>
      <c r="AM42" s="6"/>
      <c r="AP42" s="15"/>
      <c r="AQ42" s="260" t="s">
        <v>525</v>
      </c>
      <c r="AR42" s="14"/>
      <c r="AS42" s="261"/>
      <c r="AU42" s="260" t="s">
        <v>525</v>
      </c>
      <c r="AV42" s="14" t="s">
        <v>520</v>
      </c>
      <c r="AW42" s="261"/>
    </row>
    <row r="43" spans="1:52" x14ac:dyDescent="0.2">
      <c r="D43" s="260"/>
      <c r="E43" s="15"/>
      <c r="F43" s="15"/>
      <c r="G43" s="261"/>
      <c r="H43" s="15"/>
      <c r="J43" s="260"/>
      <c r="K43" s="15"/>
      <c r="L43" s="15"/>
      <c r="M43" s="261"/>
      <c r="N43" s="15"/>
      <c r="P43" s="260"/>
      <c r="Q43" s="15"/>
      <c r="R43" s="15"/>
      <c r="S43" s="261"/>
      <c r="T43" s="15"/>
      <c r="V43" s="260"/>
      <c r="W43" s="15"/>
      <c r="X43" s="15"/>
      <c r="Y43" s="261"/>
      <c r="Z43" s="15"/>
      <c r="AB43" s="260"/>
      <c r="AC43" s="15"/>
      <c r="AD43" s="15"/>
      <c r="AE43" s="261"/>
      <c r="AF43" s="15"/>
      <c r="AH43" s="260"/>
      <c r="AI43" s="15"/>
      <c r="AJ43" s="15"/>
      <c r="AK43" s="261"/>
      <c r="AM43" s="6"/>
      <c r="AP43" s="15"/>
      <c r="AQ43" s="260"/>
      <c r="AR43" s="14"/>
      <c r="AS43" s="261"/>
      <c r="AU43" s="260"/>
      <c r="AV43" s="14" t="s">
        <v>524</v>
      </c>
      <c r="AW43" s="261"/>
    </row>
    <row r="44" spans="1:52" x14ac:dyDescent="0.2">
      <c r="C44" s="220" t="s">
        <v>723</v>
      </c>
      <c r="D44" s="342"/>
      <c r="E44" s="220"/>
      <c r="F44" s="14"/>
      <c r="G44" s="261"/>
      <c r="H44" s="15"/>
      <c r="I44" s="220" t="s">
        <v>723</v>
      </c>
      <c r="J44" s="342"/>
      <c r="K44" s="220"/>
      <c r="L44" s="14"/>
      <c r="M44" s="261"/>
      <c r="N44" s="15"/>
      <c r="O44" s="220" t="s">
        <v>723</v>
      </c>
      <c r="P44" s="342"/>
      <c r="Q44" s="220"/>
      <c r="R44" s="14"/>
      <c r="S44" s="261"/>
      <c r="T44" s="15"/>
      <c r="U44" s="220" t="s">
        <v>723</v>
      </c>
      <c r="V44" s="342"/>
      <c r="W44" s="220"/>
      <c r="X44" s="14" t="s">
        <v>744</v>
      </c>
      <c r="Y44" s="261"/>
      <c r="Z44" s="15"/>
      <c r="AA44" s="220" t="s">
        <v>723</v>
      </c>
      <c r="AB44" s="342"/>
      <c r="AC44" s="220"/>
      <c r="AD44" s="14" t="s">
        <v>744</v>
      </c>
      <c r="AE44" s="261"/>
      <c r="AF44" s="15"/>
      <c r="AG44" s="446" t="s">
        <v>723</v>
      </c>
      <c r="AH44" s="470"/>
      <c r="AI44" s="446"/>
      <c r="AJ44" s="14" t="s">
        <v>720</v>
      </c>
      <c r="AK44" s="261"/>
      <c r="AM44" s="6"/>
      <c r="AP44" s="15"/>
      <c r="AQ44" s="260"/>
      <c r="AR44" s="15"/>
      <c r="AS44" s="261"/>
      <c r="AU44" s="260"/>
      <c r="AV44" s="15"/>
      <c r="AW44" s="261"/>
    </row>
    <row r="45" spans="1:52" x14ac:dyDescent="0.2">
      <c r="B45" t="s">
        <v>451</v>
      </c>
      <c r="C45" t="s">
        <v>167</v>
      </c>
      <c r="D45" s="421"/>
      <c r="E45" s="15"/>
      <c r="G45" s="261"/>
      <c r="H45" s="15"/>
      <c r="I45" t="s">
        <v>167</v>
      </c>
      <c r="J45" s="421"/>
      <c r="K45" s="15"/>
      <c r="M45" s="261"/>
      <c r="N45" s="15"/>
      <c r="O45" t="s">
        <v>167</v>
      </c>
      <c r="P45" s="421"/>
      <c r="Q45" s="15"/>
      <c r="S45" s="261"/>
      <c r="T45" s="15"/>
      <c r="U45" t="s">
        <v>167</v>
      </c>
      <c r="V45" s="421" t="s">
        <v>397</v>
      </c>
      <c r="W45" s="15" t="s">
        <v>398</v>
      </c>
      <c r="Y45" s="261"/>
      <c r="Z45" s="15"/>
      <c r="AA45" t="s">
        <v>167</v>
      </c>
      <c r="AB45" s="421" t="s">
        <v>397</v>
      </c>
      <c r="AC45" s="15" t="s">
        <v>398</v>
      </c>
      <c r="AE45" s="261"/>
      <c r="AF45" s="15"/>
      <c r="AG45" t="s">
        <v>167</v>
      </c>
      <c r="AH45" s="421" t="s">
        <v>397</v>
      </c>
      <c r="AI45" s="15" t="s">
        <v>398</v>
      </c>
      <c r="AK45" s="261"/>
      <c r="AM45" s="421" t="s">
        <v>397</v>
      </c>
      <c r="AN45" s="15" t="s">
        <v>398</v>
      </c>
      <c r="AO45" s="15" t="s">
        <v>607</v>
      </c>
      <c r="AP45" s="15"/>
      <c r="AQ45" s="260" t="s">
        <v>397</v>
      </c>
      <c r="AR45" s="15" t="s">
        <v>398</v>
      </c>
      <c r="AS45" s="15" t="s">
        <v>527</v>
      </c>
      <c r="AU45" s="260" t="s">
        <v>397</v>
      </c>
      <c r="AV45" s="15" t="s">
        <v>398</v>
      </c>
      <c r="AW45" s="261"/>
    </row>
    <row r="46" spans="1:52" x14ac:dyDescent="0.2">
      <c r="A46" s="55"/>
      <c r="B46" s="55"/>
      <c r="C46" s="35">
        <v>47</v>
      </c>
      <c r="D46" s="712">
        <v>-2.4778720000000001</v>
      </c>
      <c r="E46" s="713">
        <v>-2.3525469999999999</v>
      </c>
      <c r="F46" s="14"/>
      <c r="G46" s="276"/>
      <c r="H46" s="14"/>
      <c r="I46" s="35">
        <v>47</v>
      </c>
      <c r="J46" s="712">
        <v>-2.4778720000000001</v>
      </c>
      <c r="K46" s="713">
        <v>-2.3525469999999999</v>
      </c>
      <c r="L46" s="14"/>
      <c r="M46" s="276"/>
      <c r="N46" s="14"/>
      <c r="O46" s="35">
        <v>47</v>
      </c>
      <c r="P46" s="569">
        <v>-2.4305317</v>
      </c>
      <c r="Q46" s="681">
        <v>-2.3452356500000002</v>
      </c>
      <c r="R46" s="14"/>
      <c r="S46" s="276"/>
      <c r="T46" s="14"/>
      <c r="U46" s="35">
        <v>47</v>
      </c>
      <c r="V46" s="159">
        <v>-2.4520918000000003</v>
      </c>
      <c r="W46" s="501">
        <v>-2.3661791000000001</v>
      </c>
      <c r="X46" s="14"/>
      <c r="Y46" s="276"/>
      <c r="Z46" s="14"/>
      <c r="AA46" s="35">
        <v>47</v>
      </c>
      <c r="AB46" s="159">
        <v>-2.4290364500000003</v>
      </c>
      <c r="AC46" s="501">
        <v>-2.3373989000000002</v>
      </c>
      <c r="AD46" s="14"/>
      <c r="AE46" s="276"/>
      <c r="AF46" s="14"/>
      <c r="AG46" s="113">
        <v>47</v>
      </c>
      <c r="AH46" s="479">
        <v>-2.4510982000000001</v>
      </c>
      <c r="AI46" s="480">
        <v>-2.3269653999999997</v>
      </c>
      <c r="AJ46" s="14"/>
      <c r="AK46" s="276"/>
      <c r="AL46" s="6"/>
      <c r="AM46" s="410">
        <v>-2.4336913999999998</v>
      </c>
      <c r="AN46" s="411">
        <v>-2.3529039000000003</v>
      </c>
      <c r="AO46" s="412"/>
      <c r="AP46" s="275"/>
      <c r="AQ46" s="410">
        <v>-2.5280829999999996</v>
      </c>
      <c r="AR46" s="411">
        <v>-2.3590458000000001</v>
      </c>
      <c r="AS46" s="412"/>
      <c r="AU46" s="269">
        <v>-2.3034000000000017</v>
      </c>
      <c r="AV46" s="275">
        <v>-2.3962000000000026</v>
      </c>
      <c r="AW46" s="270"/>
      <c r="AY46" s="337">
        <v>-2.5280829999999996</v>
      </c>
      <c r="AZ46" s="339">
        <v>-2.3590458000000001</v>
      </c>
    </row>
    <row r="47" spans="1:52" x14ac:dyDescent="0.2">
      <c r="A47" s="55"/>
      <c r="B47" s="55"/>
      <c r="C47" s="35">
        <v>48</v>
      </c>
      <c r="D47" s="712">
        <v>-2.5275221000000001</v>
      </c>
      <c r="E47" s="713">
        <v>-2.4022914000000002</v>
      </c>
      <c r="F47" s="14"/>
      <c r="G47" s="276"/>
      <c r="H47" s="14"/>
      <c r="I47" s="35">
        <v>48</v>
      </c>
      <c r="J47" s="712">
        <v>-2.5275221000000001</v>
      </c>
      <c r="K47" s="713">
        <v>-2.4022914000000002</v>
      </c>
      <c r="L47" s="14"/>
      <c r="M47" s="276"/>
      <c r="N47" s="14"/>
      <c r="O47" s="35">
        <v>48</v>
      </c>
      <c r="P47" s="569">
        <v>-2.4806643749999999</v>
      </c>
      <c r="Q47" s="681">
        <v>-2.3956045500000003</v>
      </c>
      <c r="R47" s="14"/>
      <c r="S47" s="276"/>
      <c r="T47" s="14"/>
      <c r="U47" s="35">
        <v>48</v>
      </c>
      <c r="V47" s="159">
        <v>-2.5025913750000002</v>
      </c>
      <c r="W47" s="501">
        <v>-2.4159538</v>
      </c>
      <c r="X47" s="14"/>
      <c r="Y47" s="276"/>
      <c r="Z47" s="14"/>
      <c r="AA47" s="35">
        <v>48</v>
      </c>
      <c r="AB47" s="159">
        <v>-2.4774281750000005</v>
      </c>
      <c r="AC47" s="501">
        <v>-2.3871438</v>
      </c>
      <c r="AD47" s="14"/>
      <c r="AE47" s="276"/>
      <c r="AF47" s="14"/>
      <c r="AG47" s="113">
        <v>48</v>
      </c>
      <c r="AH47" s="479">
        <v>-2.4986014000000001</v>
      </c>
      <c r="AI47" s="480">
        <v>-2.3789112000000001</v>
      </c>
      <c r="AJ47" s="14"/>
      <c r="AK47" s="276"/>
      <c r="AL47" s="6"/>
      <c r="AM47" s="337">
        <v>-2.4804292000000001</v>
      </c>
      <c r="AN47" s="339">
        <v>-2.4016633000000001</v>
      </c>
      <c r="AO47" s="270"/>
      <c r="AP47" s="275"/>
      <c r="AQ47" s="337">
        <v>-2.5757969999999997</v>
      </c>
      <c r="AR47" s="339">
        <v>-2.4079029000000003</v>
      </c>
      <c r="AS47" s="270"/>
      <c r="AU47" s="269">
        <v>-2.3565000000000014</v>
      </c>
      <c r="AV47" s="275">
        <v>-2.4470000000000023</v>
      </c>
      <c r="AW47" s="270"/>
      <c r="AY47" s="337">
        <v>-2.5757969999999997</v>
      </c>
      <c r="AZ47" s="339">
        <v>-2.4079029000000003</v>
      </c>
    </row>
    <row r="48" spans="1:52" x14ac:dyDescent="0.2">
      <c r="A48" s="55"/>
      <c r="B48" s="55"/>
      <c r="C48" s="35">
        <v>49</v>
      </c>
      <c r="D48" s="712">
        <v>-2.5771722000000001</v>
      </c>
      <c r="E48" s="713">
        <v>-2.4520358</v>
      </c>
      <c r="F48" s="14"/>
      <c r="G48" s="276"/>
      <c r="H48" s="14"/>
      <c r="I48" s="35">
        <v>49</v>
      </c>
      <c r="J48" s="712">
        <v>-2.5771722000000001</v>
      </c>
      <c r="K48" s="713">
        <v>-2.4520358</v>
      </c>
      <c r="L48" s="14"/>
      <c r="M48" s="276"/>
      <c r="N48" s="14"/>
      <c r="O48" s="35">
        <v>49</v>
      </c>
      <c r="P48" s="569">
        <v>-2.5307970500000003</v>
      </c>
      <c r="Q48" s="681">
        <v>-2.4459734500000003</v>
      </c>
      <c r="R48" s="14"/>
      <c r="S48" s="276"/>
      <c r="T48" s="14"/>
      <c r="U48" s="35">
        <v>49</v>
      </c>
      <c r="V48" s="159">
        <v>-2.5530909500000005</v>
      </c>
      <c r="W48" s="501">
        <v>-2.4657285</v>
      </c>
      <c r="X48" s="14"/>
      <c r="Y48" s="276"/>
      <c r="Z48" s="14"/>
      <c r="AA48" s="35">
        <v>49</v>
      </c>
      <c r="AB48" s="159">
        <v>-2.5258199000000006</v>
      </c>
      <c r="AC48" s="501">
        <v>-2.4368887000000004</v>
      </c>
      <c r="AD48" s="14"/>
      <c r="AE48" s="276"/>
      <c r="AF48" s="14"/>
      <c r="AG48" s="113">
        <v>49</v>
      </c>
      <c r="AH48" s="479">
        <v>-2.5461046000000001</v>
      </c>
      <c r="AI48" s="480">
        <v>-2.430857</v>
      </c>
      <c r="AJ48" s="14"/>
      <c r="AK48" s="276"/>
      <c r="AL48" s="6"/>
      <c r="AM48" s="337">
        <v>-2.5271669999999999</v>
      </c>
      <c r="AN48" s="339">
        <v>-2.4504227000000003</v>
      </c>
      <c r="AO48" s="270"/>
      <c r="AP48" s="275"/>
      <c r="AQ48" s="337">
        <v>-2.6235109999999997</v>
      </c>
      <c r="AR48" s="339">
        <v>-2.4567600000000001</v>
      </c>
      <c r="AS48" s="270"/>
      <c r="AU48" s="269">
        <v>-2.4096000000000011</v>
      </c>
      <c r="AV48" s="275">
        <v>-2.497800000000002</v>
      </c>
      <c r="AW48" s="270"/>
      <c r="AY48" s="337">
        <v>-2.6235109999999997</v>
      </c>
      <c r="AZ48" s="339">
        <v>-2.4567600000000001</v>
      </c>
    </row>
    <row r="49" spans="1:52" x14ac:dyDescent="0.2">
      <c r="A49" s="55"/>
      <c r="B49" s="55"/>
      <c r="C49" s="35">
        <v>49.5</v>
      </c>
      <c r="D49" s="712">
        <v>-2.6019972500000002</v>
      </c>
      <c r="E49" s="713">
        <v>-2.4769079999999999</v>
      </c>
      <c r="F49" s="14"/>
      <c r="G49" s="276"/>
      <c r="H49" s="14"/>
      <c r="I49" s="35">
        <v>49.5</v>
      </c>
      <c r="J49" s="712">
        <v>-2.6019972500000002</v>
      </c>
      <c r="K49" s="713">
        <v>-2.4769079999999999</v>
      </c>
      <c r="L49" s="14"/>
      <c r="M49" s="276"/>
      <c r="N49" s="14"/>
      <c r="O49" s="35">
        <v>49.5</v>
      </c>
      <c r="P49" s="569">
        <v>-2.5558633875000001</v>
      </c>
      <c r="Q49" s="681">
        <v>-2.4711579000000001</v>
      </c>
      <c r="R49" s="14"/>
      <c r="S49" s="276"/>
      <c r="T49" s="14"/>
      <c r="U49" s="35">
        <v>49.5</v>
      </c>
      <c r="V49" s="159">
        <v>-2.5783407375000005</v>
      </c>
      <c r="W49" s="501">
        <v>-2.4906158500000002</v>
      </c>
      <c r="X49" s="14"/>
      <c r="Y49" s="276"/>
      <c r="Z49" s="14"/>
      <c r="AA49" s="35">
        <v>49.5</v>
      </c>
      <c r="AB49" s="159">
        <v>-2.5500157625000002</v>
      </c>
      <c r="AC49" s="501">
        <v>-2.4617611500000001</v>
      </c>
      <c r="AD49" s="14"/>
      <c r="AE49" s="276"/>
      <c r="AF49" s="14"/>
      <c r="AG49" s="113">
        <v>49.5</v>
      </c>
      <c r="AH49" s="479">
        <v>-2.5698561999999998</v>
      </c>
      <c r="AI49" s="480">
        <v>-2.4568298999999998</v>
      </c>
      <c r="AJ49" s="14"/>
      <c r="AK49" s="276"/>
      <c r="AL49" s="6"/>
      <c r="AM49" s="337">
        <v>-2.5505358999999999</v>
      </c>
      <c r="AN49" s="339">
        <v>-2.4748024000000002</v>
      </c>
      <c r="AO49" s="270"/>
      <c r="AP49" s="275"/>
      <c r="AQ49" s="337">
        <v>-2.6473679999999997</v>
      </c>
      <c r="AR49" s="339">
        <v>-2.4811885500000002</v>
      </c>
      <c r="AS49" s="270"/>
      <c r="AU49" s="269"/>
      <c r="AV49" s="275"/>
      <c r="AW49" s="270"/>
      <c r="AY49" s="337"/>
      <c r="AZ49" s="339"/>
    </row>
    <row r="50" spans="1:52" x14ac:dyDescent="0.2">
      <c r="A50" s="55"/>
      <c r="B50" s="55"/>
      <c r="C50" s="35">
        <v>50</v>
      </c>
      <c r="D50" s="712">
        <v>-2.6268223000000002</v>
      </c>
      <c r="E50" s="713">
        <v>-2.5017802000000002</v>
      </c>
      <c r="F50" s="14"/>
      <c r="G50" s="276"/>
      <c r="H50" s="14"/>
      <c r="I50" s="35">
        <v>50</v>
      </c>
      <c r="J50" s="712">
        <v>-2.6268223000000002</v>
      </c>
      <c r="K50" s="713">
        <v>-2.5017802000000002</v>
      </c>
      <c r="L50" s="14"/>
      <c r="M50" s="276"/>
      <c r="N50" s="14"/>
      <c r="O50" s="35">
        <v>50</v>
      </c>
      <c r="P50" s="569">
        <v>-2.5809297250000003</v>
      </c>
      <c r="Q50" s="681">
        <v>-2.4963423500000004</v>
      </c>
      <c r="R50" s="14"/>
      <c r="S50" s="276"/>
      <c r="T50" s="14"/>
      <c r="U50" s="35">
        <v>50</v>
      </c>
      <c r="V50" s="159">
        <v>-2.6035905250000004</v>
      </c>
      <c r="W50" s="501">
        <v>-2.5155031999999999</v>
      </c>
      <c r="X50" s="14"/>
      <c r="Y50" s="276"/>
      <c r="Z50" s="14"/>
      <c r="AA50" s="35">
        <v>50</v>
      </c>
      <c r="AB50" s="159">
        <v>-2.5742116250000002</v>
      </c>
      <c r="AC50" s="501">
        <v>-2.4866336000000002</v>
      </c>
      <c r="AD50" s="14"/>
      <c r="AE50" s="276"/>
      <c r="AF50" s="14"/>
      <c r="AG50" s="113">
        <v>50</v>
      </c>
      <c r="AH50" s="479">
        <v>-2.5936078</v>
      </c>
      <c r="AI50" s="480">
        <v>-2.4828028</v>
      </c>
      <c r="AJ50" s="14"/>
      <c r="AK50" s="276"/>
      <c r="AL50" s="6"/>
      <c r="AM50" s="337">
        <v>-2.5739048000000002</v>
      </c>
      <c r="AN50" s="339">
        <v>-2.4991821000000001</v>
      </c>
      <c r="AO50" s="270"/>
      <c r="AP50" s="275"/>
      <c r="AQ50" s="337">
        <v>-2.6712249999999997</v>
      </c>
      <c r="AR50" s="339">
        <v>-2.5056171000000003</v>
      </c>
      <c r="AS50" s="270"/>
      <c r="AU50" s="269">
        <v>-2.4627000000000012</v>
      </c>
      <c r="AV50" s="275">
        <v>-2.5486000000000022</v>
      </c>
      <c r="AW50" s="270"/>
      <c r="AY50" s="337">
        <v>-2.6712249999999997</v>
      </c>
      <c r="AZ50" s="339">
        <v>-2.5056171000000003</v>
      </c>
    </row>
    <row r="51" spans="1:52" x14ac:dyDescent="0.2">
      <c r="A51" s="55"/>
      <c r="B51" s="55"/>
      <c r="C51" s="35">
        <v>50.5</v>
      </c>
      <c r="D51" s="712">
        <v>-2.6516473500000002</v>
      </c>
      <c r="E51" s="713">
        <v>-2.5266524000000001</v>
      </c>
      <c r="F51" s="14"/>
      <c r="G51" s="276"/>
      <c r="H51" s="14"/>
      <c r="I51" s="35">
        <v>50.5</v>
      </c>
      <c r="J51" s="712">
        <v>-2.6516473500000002</v>
      </c>
      <c r="K51" s="713">
        <v>-2.5266524000000001</v>
      </c>
      <c r="L51" s="14"/>
      <c r="M51" s="276"/>
      <c r="N51" s="14"/>
      <c r="O51" s="35">
        <v>50.5</v>
      </c>
      <c r="P51" s="569">
        <v>-2.6059960625</v>
      </c>
      <c r="Q51" s="681">
        <v>-2.5215268000000002</v>
      </c>
      <c r="R51" s="14"/>
      <c r="S51" s="276"/>
      <c r="T51" s="14"/>
      <c r="U51" s="35">
        <v>50.5</v>
      </c>
      <c r="V51" s="159">
        <v>-2.6288403125000004</v>
      </c>
      <c r="W51" s="501">
        <v>-2.5403905500000001</v>
      </c>
      <c r="X51" s="14"/>
      <c r="Y51" s="276"/>
      <c r="Z51" s="14"/>
      <c r="AA51" s="35">
        <v>50.5</v>
      </c>
      <c r="AB51" s="159">
        <v>-2.5984074875000003</v>
      </c>
      <c r="AC51" s="501">
        <v>-2.5115060499999999</v>
      </c>
      <c r="AD51" s="14"/>
      <c r="AE51" s="276"/>
      <c r="AF51" s="14"/>
      <c r="AG51" s="113">
        <v>50.5</v>
      </c>
      <c r="AH51" s="479">
        <v>-2.6173593999999998</v>
      </c>
      <c r="AI51" s="480">
        <v>-2.5087756999999997</v>
      </c>
      <c r="AJ51" s="14"/>
      <c r="AK51" s="276"/>
      <c r="AL51" s="6"/>
      <c r="AM51" s="337">
        <v>-2.5972737000000001</v>
      </c>
      <c r="AN51" s="339">
        <v>-2.5235618</v>
      </c>
      <c r="AO51" s="270"/>
      <c r="AP51" s="275"/>
      <c r="AQ51" s="337">
        <v>-2.6950819999999998</v>
      </c>
      <c r="AR51" s="339">
        <v>-2.5300456499999999</v>
      </c>
      <c r="AS51" s="270"/>
      <c r="AU51" s="269"/>
      <c r="AV51" s="275"/>
      <c r="AW51" s="270"/>
      <c r="AY51" s="337"/>
      <c r="AZ51" s="339"/>
    </row>
    <row r="52" spans="1:52" x14ac:dyDescent="0.2">
      <c r="A52" s="55"/>
      <c r="B52" s="55"/>
      <c r="C52" s="35">
        <v>51</v>
      </c>
      <c r="D52" s="712">
        <v>-2.6764724000000002</v>
      </c>
      <c r="E52" s="713">
        <v>-2.5515246</v>
      </c>
      <c r="F52" s="14"/>
      <c r="G52" s="276"/>
      <c r="H52" s="14"/>
      <c r="I52" s="35">
        <v>51</v>
      </c>
      <c r="J52" s="712">
        <v>-2.6764724000000002</v>
      </c>
      <c r="K52" s="713">
        <v>-2.5515246</v>
      </c>
      <c r="L52" s="14"/>
      <c r="M52" s="276"/>
      <c r="N52" s="14"/>
      <c r="O52" s="35">
        <v>51</v>
      </c>
      <c r="P52" s="569">
        <v>-2.6310624000000002</v>
      </c>
      <c r="Q52" s="681">
        <v>-2.54671125</v>
      </c>
      <c r="R52" s="14"/>
      <c r="S52" s="276"/>
      <c r="T52" s="14"/>
      <c r="U52" s="35">
        <v>51</v>
      </c>
      <c r="V52" s="159">
        <v>-2.6540901000000003</v>
      </c>
      <c r="W52" s="501">
        <v>-2.5652778999999999</v>
      </c>
      <c r="X52" s="14"/>
      <c r="Y52" s="276"/>
      <c r="Z52" s="14"/>
      <c r="AA52" s="35">
        <v>51</v>
      </c>
      <c r="AB52" s="159">
        <v>-2.6226033500000003</v>
      </c>
      <c r="AC52" s="501">
        <v>-2.5363785000000001</v>
      </c>
      <c r="AD52" s="14"/>
      <c r="AE52" s="276"/>
      <c r="AF52" s="14"/>
      <c r="AG52" s="113">
        <v>51</v>
      </c>
      <c r="AH52" s="479">
        <v>-2.641111</v>
      </c>
      <c r="AI52" s="480">
        <v>-2.5347485999999999</v>
      </c>
      <c r="AJ52" s="14"/>
      <c r="AK52" s="276"/>
      <c r="AL52" s="6"/>
      <c r="AM52" s="337">
        <v>-2.6206426</v>
      </c>
      <c r="AN52" s="339">
        <v>-2.5479415000000003</v>
      </c>
      <c r="AO52" s="270"/>
      <c r="AP52" s="275"/>
      <c r="AQ52" s="337">
        <v>-2.7189389999999998</v>
      </c>
      <c r="AR52" s="339">
        <v>-2.5544742</v>
      </c>
      <c r="AS52" s="270"/>
      <c r="AU52" s="269">
        <v>-2.5158000000000014</v>
      </c>
      <c r="AV52" s="275">
        <v>-2.5994000000000019</v>
      </c>
      <c r="AW52" s="270"/>
      <c r="AY52" s="337">
        <v>-2.7189389999999998</v>
      </c>
      <c r="AZ52" s="339">
        <v>-2.5544742</v>
      </c>
    </row>
    <row r="53" spans="1:52" x14ac:dyDescent="0.2">
      <c r="A53" s="55"/>
      <c r="B53" s="55"/>
      <c r="C53" s="35">
        <v>52</v>
      </c>
      <c r="D53" s="712">
        <v>-2.7261225000000002</v>
      </c>
      <c r="E53" s="713">
        <v>-2.6012690000000003</v>
      </c>
      <c r="F53" s="14"/>
      <c r="G53" s="276"/>
      <c r="H53" s="14"/>
      <c r="I53" s="35">
        <v>52</v>
      </c>
      <c r="J53" s="712">
        <v>-2.7261225000000002</v>
      </c>
      <c r="K53" s="713">
        <v>-2.6012690000000003</v>
      </c>
      <c r="L53" s="14"/>
      <c r="M53" s="276"/>
      <c r="N53" s="14"/>
      <c r="O53" s="35">
        <v>52</v>
      </c>
      <c r="P53" s="569">
        <v>-2.6811950750000002</v>
      </c>
      <c r="Q53" s="681">
        <v>-2.59708015</v>
      </c>
      <c r="R53" s="14"/>
      <c r="S53" s="276"/>
      <c r="T53" s="14"/>
      <c r="U53" s="35">
        <v>52</v>
      </c>
      <c r="V53" s="159">
        <v>-2.7045896750000002</v>
      </c>
      <c r="W53" s="501">
        <v>-2.6150525999999998</v>
      </c>
      <c r="X53" s="14"/>
      <c r="Y53" s="276"/>
      <c r="Z53" s="14"/>
      <c r="AA53" s="35">
        <v>52</v>
      </c>
      <c r="AB53" s="159">
        <v>-2.6709950750000004</v>
      </c>
      <c r="AC53" s="501">
        <v>-2.5861234</v>
      </c>
      <c r="AD53" s="14"/>
      <c r="AE53" s="276"/>
      <c r="AF53" s="14"/>
      <c r="AG53" s="113">
        <v>52</v>
      </c>
      <c r="AH53" s="479">
        <v>-2.6886142</v>
      </c>
      <c r="AI53" s="480">
        <v>-2.5866943999999998</v>
      </c>
      <c r="AJ53" s="14"/>
      <c r="AK53" s="276"/>
      <c r="AL53" s="6"/>
      <c r="AM53" s="337">
        <v>-2.6673803999999999</v>
      </c>
      <c r="AN53" s="339">
        <v>-2.5967009000000001</v>
      </c>
      <c r="AO53" s="270"/>
      <c r="AP53" s="275"/>
      <c r="AQ53" s="337">
        <v>-2.7666529999999998</v>
      </c>
      <c r="AR53" s="339">
        <v>-2.6033313000000002</v>
      </c>
      <c r="AS53" s="270"/>
      <c r="AU53" s="269">
        <v>-2.5689000000000011</v>
      </c>
      <c r="AV53" s="275">
        <v>-2.6502000000000017</v>
      </c>
      <c r="AW53" s="270"/>
      <c r="AY53" s="337">
        <v>-2.7666529999999998</v>
      </c>
      <c r="AZ53" s="339">
        <v>-2.6033313000000002</v>
      </c>
    </row>
    <row r="54" spans="1:52" x14ac:dyDescent="0.2">
      <c r="A54" s="55"/>
      <c r="B54" s="55"/>
      <c r="C54" s="35">
        <v>53</v>
      </c>
      <c r="D54" s="712">
        <v>-2.7757726000000003</v>
      </c>
      <c r="E54" s="713">
        <v>-2.6510134000000001</v>
      </c>
      <c r="F54" s="14"/>
      <c r="G54" s="276"/>
      <c r="H54" s="14"/>
      <c r="I54" s="35">
        <v>53</v>
      </c>
      <c r="J54" s="712">
        <v>-2.7757726000000003</v>
      </c>
      <c r="K54" s="713">
        <v>-2.6510134000000001</v>
      </c>
      <c r="L54" s="14"/>
      <c r="M54" s="276"/>
      <c r="N54" s="14"/>
      <c r="O54" s="35">
        <v>53</v>
      </c>
      <c r="P54" s="569">
        <v>-2.7313277500000002</v>
      </c>
      <c r="Q54" s="681">
        <v>-2.6474490500000001</v>
      </c>
      <c r="R54" s="14"/>
      <c r="S54" s="276"/>
      <c r="T54" s="14"/>
      <c r="U54" s="35">
        <v>53</v>
      </c>
      <c r="V54" s="159">
        <v>-2.7550892500000006</v>
      </c>
      <c r="W54" s="501">
        <v>-2.6648273000000002</v>
      </c>
      <c r="X54" s="14"/>
      <c r="Y54" s="276"/>
      <c r="Z54" s="14"/>
      <c r="AA54" s="35">
        <v>53</v>
      </c>
      <c r="AB54" s="159">
        <v>-2.7193868000000005</v>
      </c>
      <c r="AC54" s="501">
        <v>-2.6358683000000003</v>
      </c>
      <c r="AD54" s="14"/>
      <c r="AE54" s="276"/>
      <c r="AF54" s="14"/>
      <c r="AG54" s="113">
        <v>53</v>
      </c>
      <c r="AH54" s="479">
        <v>-2.7361173999999999</v>
      </c>
      <c r="AI54" s="480">
        <v>-2.6386401999999998</v>
      </c>
      <c r="AJ54" s="14"/>
      <c r="AK54" s="276"/>
      <c r="AL54" s="6"/>
      <c r="AM54" s="337">
        <v>-2.7141182000000001</v>
      </c>
      <c r="AN54" s="339">
        <v>-2.6454603000000003</v>
      </c>
      <c r="AO54" s="270"/>
      <c r="AP54" s="275"/>
      <c r="AQ54" s="337">
        <v>-2.8143669999999998</v>
      </c>
      <c r="AR54" s="339">
        <v>-2.6521884</v>
      </c>
      <c r="AS54" s="270"/>
      <c r="AU54" s="269">
        <v>-2.6220000000000008</v>
      </c>
      <c r="AV54" s="275">
        <v>-2.7010000000000014</v>
      </c>
      <c r="AW54" s="270"/>
      <c r="AY54" s="337">
        <v>-2.8143669999999998</v>
      </c>
      <c r="AZ54" s="339">
        <v>-2.6521884</v>
      </c>
    </row>
    <row r="55" spans="1:52" x14ac:dyDescent="0.2">
      <c r="A55" s="55"/>
      <c r="B55" s="55"/>
      <c r="C55" s="35">
        <v>54</v>
      </c>
      <c r="D55" s="712">
        <v>-2.8254227000000003</v>
      </c>
      <c r="E55" s="713">
        <v>-2.7007577999999999</v>
      </c>
      <c r="F55" s="14"/>
      <c r="G55" s="276"/>
      <c r="H55" s="14"/>
      <c r="I55" s="35">
        <v>54</v>
      </c>
      <c r="J55" s="712">
        <v>-2.8254227000000003</v>
      </c>
      <c r="K55" s="713">
        <v>-2.7007577999999999</v>
      </c>
      <c r="L55" s="14"/>
      <c r="M55" s="276"/>
      <c r="N55" s="14"/>
      <c r="O55" s="35">
        <v>54</v>
      </c>
      <c r="P55" s="569">
        <v>-2.7814604250000001</v>
      </c>
      <c r="Q55" s="681">
        <v>-2.6978179500000001</v>
      </c>
      <c r="R55" s="14"/>
      <c r="S55" s="276"/>
      <c r="T55" s="14"/>
      <c r="U55" s="35">
        <v>54</v>
      </c>
      <c r="V55" s="159">
        <v>-2.8055888250000005</v>
      </c>
      <c r="W55" s="501">
        <v>-2.7146020000000002</v>
      </c>
      <c r="X55" s="14"/>
      <c r="Y55" s="276"/>
      <c r="Z55" s="14"/>
      <c r="AA55" s="35">
        <v>54</v>
      </c>
      <c r="AB55" s="159">
        <v>-2.7677785250000002</v>
      </c>
      <c r="AC55" s="501">
        <v>-2.6856132000000001</v>
      </c>
      <c r="AD55" s="14"/>
      <c r="AE55" s="276"/>
      <c r="AF55" s="14"/>
      <c r="AG55" s="113">
        <v>54</v>
      </c>
      <c r="AH55" s="479">
        <v>-2.7836205999999999</v>
      </c>
      <c r="AI55" s="480">
        <v>-2.6905859999999997</v>
      </c>
      <c r="AJ55" s="14"/>
      <c r="AK55" s="276"/>
      <c r="AL55" s="6"/>
      <c r="AM55" s="337">
        <v>-2.760856</v>
      </c>
      <c r="AN55" s="339">
        <v>-2.6942197000000001</v>
      </c>
      <c r="AO55" s="270"/>
      <c r="AP55" s="275"/>
      <c r="AQ55" s="337">
        <v>-2.8620809999999999</v>
      </c>
      <c r="AR55" s="339">
        <v>-2.7010455000000002</v>
      </c>
      <c r="AS55" s="270"/>
      <c r="AU55" s="269">
        <v>-2.6751000000000009</v>
      </c>
      <c r="AV55" s="275">
        <v>-2.7518000000000011</v>
      </c>
      <c r="AW55" s="270"/>
      <c r="AY55" s="337">
        <v>-2.8620809999999999</v>
      </c>
      <c r="AZ55" s="339">
        <v>-2.7010455000000002</v>
      </c>
    </row>
    <row r="56" spans="1:52" x14ac:dyDescent="0.2">
      <c r="A56" s="55"/>
      <c r="B56" s="55"/>
      <c r="C56" s="35">
        <v>55</v>
      </c>
      <c r="D56" s="712">
        <v>-2.8750728000000003</v>
      </c>
      <c r="E56" s="713">
        <v>-2.7505022000000001</v>
      </c>
      <c r="F56" s="14"/>
      <c r="G56" s="276"/>
      <c r="H56" s="14"/>
      <c r="I56" s="35">
        <v>55</v>
      </c>
      <c r="J56" s="712">
        <v>-2.8750728000000003</v>
      </c>
      <c r="K56" s="713">
        <v>-2.7505022000000001</v>
      </c>
      <c r="L56" s="14"/>
      <c r="M56" s="276"/>
      <c r="N56" s="14"/>
      <c r="O56" s="35">
        <v>55</v>
      </c>
      <c r="P56" s="569">
        <v>-2.8315931000000001</v>
      </c>
      <c r="Q56" s="681">
        <v>-2.7481868500000002</v>
      </c>
      <c r="R56" s="14"/>
      <c r="S56" s="276"/>
      <c r="T56" s="14"/>
      <c r="U56" s="35">
        <v>55</v>
      </c>
      <c r="V56" s="159">
        <v>-2.8560884000000004</v>
      </c>
      <c r="W56" s="501">
        <v>-2.7643767000000001</v>
      </c>
      <c r="X56" s="14"/>
      <c r="Y56" s="276"/>
      <c r="Z56" s="14"/>
      <c r="AA56" s="35">
        <v>55</v>
      </c>
      <c r="AB56" s="159">
        <v>-2.8161702500000003</v>
      </c>
      <c r="AC56" s="501">
        <v>-2.7353581</v>
      </c>
      <c r="AD56" s="14"/>
      <c r="AE56" s="276"/>
      <c r="AF56" s="14"/>
      <c r="AG56" s="113">
        <v>55</v>
      </c>
      <c r="AH56" s="479">
        <v>-2.8311237999999999</v>
      </c>
      <c r="AI56" s="480">
        <v>-2.7425318000000001</v>
      </c>
      <c r="AJ56" s="14"/>
      <c r="AK56" s="276"/>
      <c r="AL56" s="6"/>
      <c r="AM56" s="337">
        <v>-2.8075937999999998</v>
      </c>
      <c r="AN56" s="339">
        <v>-2.7429791000000003</v>
      </c>
      <c r="AO56" s="270"/>
      <c r="AP56" s="275"/>
      <c r="AQ56" s="337">
        <v>-2.9097949999999999</v>
      </c>
      <c r="AR56" s="339">
        <v>-2.7499026</v>
      </c>
      <c r="AS56" s="270"/>
      <c r="AU56" s="269">
        <v>-2.7282000000000011</v>
      </c>
      <c r="AV56" s="275">
        <v>-2.8026000000000009</v>
      </c>
      <c r="AW56" s="270"/>
      <c r="AY56" s="337">
        <v>-2.9097949999999999</v>
      </c>
      <c r="AZ56" s="339">
        <v>-2.7499026</v>
      </c>
    </row>
    <row r="57" spans="1:52" x14ac:dyDescent="0.2">
      <c r="A57" s="55"/>
      <c r="B57" s="55"/>
      <c r="C57" s="35">
        <v>56</v>
      </c>
      <c r="D57" s="712">
        <v>-2.9247228999999999</v>
      </c>
      <c r="E57" s="713">
        <v>-2.8002465999999999</v>
      </c>
      <c r="F57" s="14"/>
      <c r="G57" s="276"/>
      <c r="H57" s="14"/>
      <c r="I57" s="35">
        <v>56</v>
      </c>
      <c r="J57" s="712">
        <v>-2.9247228999999999</v>
      </c>
      <c r="K57" s="713">
        <v>-2.8002465999999999</v>
      </c>
      <c r="L57" s="14"/>
      <c r="M57" s="276"/>
      <c r="N57" s="14"/>
      <c r="O57" s="35">
        <v>56</v>
      </c>
      <c r="P57" s="569">
        <v>-2.881725775</v>
      </c>
      <c r="Q57" s="681">
        <v>-2.7985557500000002</v>
      </c>
      <c r="R57" s="14"/>
      <c r="S57" s="276"/>
      <c r="T57" s="14"/>
      <c r="U57" s="35">
        <v>56</v>
      </c>
      <c r="V57" s="159">
        <v>-2.9065879750000003</v>
      </c>
      <c r="W57" s="501">
        <v>-2.8141514000000001</v>
      </c>
      <c r="X57" s="14"/>
      <c r="Y57" s="276"/>
      <c r="Z57" s="14"/>
      <c r="AA57" s="35">
        <v>56</v>
      </c>
      <c r="AB57" s="159">
        <v>-2.8645619750000004</v>
      </c>
      <c r="AC57" s="501">
        <v>-2.7851030000000003</v>
      </c>
      <c r="AD57" s="14"/>
      <c r="AE57" s="276"/>
      <c r="AF57" s="14"/>
      <c r="AG57" s="113">
        <v>56</v>
      </c>
      <c r="AH57" s="479">
        <v>-2.8786269999999998</v>
      </c>
      <c r="AI57" s="480">
        <v>-2.7944776</v>
      </c>
      <c r="AJ57" s="14"/>
      <c r="AK57" s="276"/>
      <c r="AL57" s="6"/>
      <c r="AM57" s="337">
        <v>-2.8543316000000001</v>
      </c>
      <c r="AN57" s="339">
        <v>-2.7917385000000001</v>
      </c>
      <c r="AO57" s="270"/>
      <c r="AP57" s="275"/>
      <c r="AQ57" s="337">
        <v>-2.9575089999999999</v>
      </c>
      <c r="AR57" s="339">
        <v>-2.7987597000000002</v>
      </c>
      <c r="AS57" s="270"/>
      <c r="AU57" s="269">
        <v>-2.7813000000000008</v>
      </c>
      <c r="AV57" s="275">
        <v>-2.853400000000001</v>
      </c>
      <c r="AW57" s="270"/>
      <c r="AY57" s="337">
        <v>-2.9575089999999999</v>
      </c>
      <c r="AZ57" s="339">
        <v>-2.7987597000000002</v>
      </c>
    </row>
    <row r="58" spans="1:52" x14ac:dyDescent="0.2">
      <c r="A58" s="55"/>
      <c r="B58" s="55"/>
      <c r="C58" s="35">
        <v>57</v>
      </c>
      <c r="D58" s="712">
        <v>-2.9743729999999999</v>
      </c>
      <c r="E58" s="713">
        <v>-2.8499910000000002</v>
      </c>
      <c r="F58" s="14"/>
      <c r="G58" s="276"/>
      <c r="H58" s="14"/>
      <c r="I58" s="35">
        <v>57</v>
      </c>
      <c r="J58" s="712">
        <v>-2.9743729999999999</v>
      </c>
      <c r="K58" s="713">
        <v>-2.8499910000000002</v>
      </c>
      <c r="L58" s="14"/>
      <c r="M58" s="276"/>
      <c r="N58" s="14"/>
      <c r="O58" s="35">
        <v>57</v>
      </c>
      <c r="P58" s="569">
        <v>-2.93185845</v>
      </c>
      <c r="Q58" s="681">
        <v>-2.8489246500000003</v>
      </c>
      <c r="R58" s="14"/>
      <c r="S58" s="276"/>
      <c r="T58" s="14"/>
      <c r="U58" s="35">
        <v>57</v>
      </c>
      <c r="V58" s="159">
        <v>-2.9570875500000002</v>
      </c>
      <c r="W58" s="501">
        <v>-2.8639261</v>
      </c>
      <c r="X58" s="14"/>
      <c r="Y58" s="276"/>
      <c r="Z58" s="14"/>
      <c r="AA58" s="35">
        <v>57</v>
      </c>
      <c r="AB58" s="159">
        <v>-2.9129537000000005</v>
      </c>
      <c r="AC58" s="501">
        <v>-2.8348479000000002</v>
      </c>
      <c r="AD58" s="14"/>
      <c r="AE58" s="276"/>
      <c r="AF58" s="14"/>
      <c r="AG58" s="113">
        <v>57</v>
      </c>
      <c r="AH58" s="479">
        <v>-2.9261301999999998</v>
      </c>
      <c r="AI58" s="480">
        <v>-2.8464233999999999</v>
      </c>
      <c r="AJ58" s="14"/>
      <c r="AK58" s="276"/>
      <c r="AL58" s="6"/>
      <c r="AM58" s="337">
        <v>-2.9010693999999999</v>
      </c>
      <c r="AN58" s="339">
        <v>-2.8404979000000004</v>
      </c>
      <c r="AO58" s="270"/>
      <c r="AP58" s="275"/>
      <c r="AQ58" s="337">
        <v>-3.005223</v>
      </c>
      <c r="AR58" s="339">
        <v>-2.8476167999999999</v>
      </c>
      <c r="AS58" s="270"/>
      <c r="AU58" s="271">
        <v>-2.8344000000000005</v>
      </c>
      <c r="AV58" s="277">
        <v>-2.9042000000000008</v>
      </c>
      <c r="AW58" s="272"/>
      <c r="AY58" s="338">
        <v>-3.005223</v>
      </c>
      <c r="AZ58" s="340">
        <v>-2.8476167999999999</v>
      </c>
    </row>
    <row r="59" spans="1:52" x14ac:dyDescent="0.2">
      <c r="A59" s="55"/>
      <c r="B59" s="55"/>
      <c r="C59" s="35">
        <v>58</v>
      </c>
      <c r="D59" s="712">
        <v>-3.0240231</v>
      </c>
      <c r="E59" s="713">
        <v>-2.8997354</v>
      </c>
      <c r="F59" s="14"/>
      <c r="G59" s="276"/>
      <c r="H59" s="14"/>
      <c r="I59" s="35">
        <v>58</v>
      </c>
      <c r="J59" s="712">
        <v>-3.0240231</v>
      </c>
      <c r="K59" s="713">
        <v>-2.8997354</v>
      </c>
      <c r="L59" s="14"/>
      <c r="M59" s="276"/>
      <c r="N59" s="14"/>
      <c r="O59" s="35">
        <v>58</v>
      </c>
      <c r="P59" s="569">
        <v>-2.981991125</v>
      </c>
      <c r="Q59" s="681">
        <v>-2.8992935500000003</v>
      </c>
      <c r="R59" s="14"/>
      <c r="S59" s="276"/>
      <c r="T59" s="14"/>
      <c r="U59" s="35">
        <v>58</v>
      </c>
      <c r="V59" s="159">
        <v>-3.0075871250000006</v>
      </c>
      <c r="W59" s="501">
        <v>-2.9137008</v>
      </c>
      <c r="X59" s="14"/>
      <c r="Y59" s="276"/>
      <c r="Z59" s="14"/>
      <c r="AA59" s="35">
        <v>58</v>
      </c>
      <c r="AB59" s="159">
        <v>-2.9613454250000002</v>
      </c>
      <c r="AC59" s="501">
        <v>-2.8845928000000001</v>
      </c>
      <c r="AD59" s="14"/>
      <c r="AE59" s="276"/>
      <c r="AF59" s="14"/>
      <c r="AG59" s="113">
        <v>58</v>
      </c>
      <c r="AH59" s="479">
        <v>-2.9736334000000002</v>
      </c>
      <c r="AI59" s="480">
        <v>-2.8983691999999999</v>
      </c>
      <c r="AJ59" s="14"/>
      <c r="AK59" s="276"/>
      <c r="AL59" s="6"/>
      <c r="AM59" s="337">
        <v>-2.9478072000000002</v>
      </c>
      <c r="AN59" s="339">
        <v>-2.8892573000000001</v>
      </c>
      <c r="AO59" s="413"/>
      <c r="AP59" s="13"/>
      <c r="AQ59" s="337">
        <v>-3.0529369999999996</v>
      </c>
      <c r="AR59" s="339">
        <v>-2.8964739000000002</v>
      </c>
      <c r="AS59" s="413"/>
    </row>
    <row r="60" spans="1:52" x14ac:dyDescent="0.2">
      <c r="A60" s="55"/>
      <c r="B60" s="55"/>
      <c r="C60" s="35">
        <v>59</v>
      </c>
      <c r="D60" s="712">
        <v>-3.0736732</v>
      </c>
      <c r="E60" s="713">
        <v>-2.9494798000000002</v>
      </c>
      <c r="F60" s="14"/>
      <c r="G60" s="276"/>
      <c r="H60" s="14"/>
      <c r="I60" s="35">
        <v>59</v>
      </c>
      <c r="J60" s="712">
        <v>-3.0736732</v>
      </c>
      <c r="K60" s="713">
        <v>-2.9494798000000002</v>
      </c>
      <c r="L60" s="14"/>
      <c r="M60" s="276"/>
      <c r="N60" s="14"/>
      <c r="O60" s="35">
        <v>59</v>
      </c>
      <c r="P60" s="569">
        <v>-3.0321238000000004</v>
      </c>
      <c r="Q60" s="681">
        <v>-2.9496624500000004</v>
      </c>
      <c r="R60" s="14"/>
      <c r="S60" s="276"/>
      <c r="T60" s="14"/>
      <c r="U60" s="35">
        <v>59</v>
      </c>
      <c r="V60" s="159">
        <v>-3.0580867000000005</v>
      </c>
      <c r="W60" s="501">
        <v>-2.9634754999999999</v>
      </c>
      <c r="X60" s="14"/>
      <c r="Y60" s="276"/>
      <c r="Z60" s="14"/>
      <c r="AA60" s="35">
        <v>59</v>
      </c>
      <c r="AB60" s="159">
        <v>-3.0097371500000003</v>
      </c>
      <c r="AC60" s="501">
        <v>-2.9343377000000004</v>
      </c>
      <c r="AD60" s="14"/>
      <c r="AE60" s="276"/>
      <c r="AF60" s="14"/>
      <c r="AG60" s="113">
        <v>59</v>
      </c>
      <c r="AH60" s="479">
        <v>-3.0211366000000002</v>
      </c>
      <c r="AI60" s="480">
        <v>-2.9503149999999998</v>
      </c>
      <c r="AJ60" s="14"/>
      <c r="AK60" s="276"/>
      <c r="AL60" s="6"/>
      <c r="AM60" s="337">
        <v>-2.994545</v>
      </c>
      <c r="AN60" s="339">
        <v>-2.9380167000000004</v>
      </c>
      <c r="AO60" s="413"/>
      <c r="AP60" s="13"/>
      <c r="AQ60" s="337">
        <v>-3.1006509999999996</v>
      </c>
      <c r="AR60" s="339">
        <v>-2.9453309999999999</v>
      </c>
      <c r="AS60" s="413"/>
    </row>
    <row r="61" spans="1:52" x14ac:dyDescent="0.2">
      <c r="A61" s="55"/>
      <c r="B61" s="55"/>
      <c r="C61" s="35">
        <v>60</v>
      </c>
      <c r="D61" s="712">
        <v>-3.1233233</v>
      </c>
      <c r="E61" s="713">
        <v>-2.9992242</v>
      </c>
      <c r="F61" s="14"/>
      <c r="G61" s="276"/>
      <c r="H61" s="14"/>
      <c r="I61" s="35">
        <v>60</v>
      </c>
      <c r="J61" s="712">
        <v>-3.1233233</v>
      </c>
      <c r="K61" s="713">
        <v>-2.9992242</v>
      </c>
      <c r="L61" s="14"/>
      <c r="M61" s="276"/>
      <c r="N61" s="14"/>
      <c r="O61" s="35">
        <v>60</v>
      </c>
      <c r="P61" s="569">
        <v>-3.0822564750000003</v>
      </c>
      <c r="Q61" s="681">
        <v>-3.00003135</v>
      </c>
      <c r="R61" s="14"/>
      <c r="S61" s="276"/>
      <c r="T61" s="14"/>
      <c r="U61" s="35">
        <v>60</v>
      </c>
      <c r="V61" s="159">
        <v>-3.1085862750000004</v>
      </c>
      <c r="W61" s="501">
        <v>-3.0132502000000003</v>
      </c>
      <c r="X61" s="14"/>
      <c r="Y61" s="276"/>
      <c r="Z61" s="14"/>
      <c r="AA61" s="35">
        <v>60</v>
      </c>
      <c r="AB61" s="159">
        <v>-3.0581288750000004</v>
      </c>
      <c r="AC61" s="501">
        <v>-2.9840826000000003</v>
      </c>
      <c r="AD61" s="14"/>
      <c r="AE61" s="276"/>
      <c r="AF61" s="14"/>
      <c r="AG61" s="113">
        <v>60</v>
      </c>
      <c r="AH61" s="479">
        <v>-3.0686398000000001</v>
      </c>
      <c r="AI61" s="480">
        <v>-3.0022607999999997</v>
      </c>
      <c r="AJ61" s="14"/>
      <c r="AK61" s="276"/>
      <c r="AL61" s="6"/>
      <c r="AM61" s="337">
        <v>-3.0412827999999998</v>
      </c>
      <c r="AN61" s="339">
        <v>-2.9867761000000002</v>
      </c>
      <c r="AO61" s="413"/>
      <c r="AP61" s="13"/>
      <c r="AQ61" s="337">
        <v>-3.1483649999999996</v>
      </c>
      <c r="AR61" s="339">
        <v>-2.9941881000000001</v>
      </c>
      <c r="AS61" s="413"/>
    </row>
    <row r="62" spans="1:52" x14ac:dyDescent="0.2">
      <c r="A62" s="55"/>
      <c r="B62" s="55"/>
      <c r="C62" s="35">
        <v>61</v>
      </c>
      <c r="D62" s="712">
        <v>-3.1729734000000001</v>
      </c>
      <c r="E62" s="713">
        <v>-3.0489686000000003</v>
      </c>
      <c r="F62" s="14"/>
      <c r="G62" s="276"/>
      <c r="H62" s="14"/>
      <c r="I62" s="35">
        <v>61</v>
      </c>
      <c r="J62" s="712">
        <v>-3.1729734000000001</v>
      </c>
      <c r="K62" s="713">
        <v>-3.0489686000000003</v>
      </c>
      <c r="L62" s="14"/>
      <c r="M62" s="276"/>
      <c r="N62" s="14"/>
      <c r="O62" s="35">
        <v>61</v>
      </c>
      <c r="P62" s="569">
        <v>-3.1323891500000003</v>
      </c>
      <c r="Q62" s="681">
        <v>-3.05040025</v>
      </c>
      <c r="R62" s="14"/>
      <c r="S62" s="276"/>
      <c r="T62" s="14"/>
      <c r="U62" s="35">
        <v>61</v>
      </c>
      <c r="V62" s="159">
        <v>-3.1590858500000003</v>
      </c>
      <c r="W62" s="501">
        <v>-3.0630249000000003</v>
      </c>
      <c r="X62" s="14"/>
      <c r="Y62" s="276"/>
      <c r="Z62" s="14"/>
      <c r="AA62" s="35">
        <v>61</v>
      </c>
      <c r="AB62" s="159">
        <v>-3.1065206000000005</v>
      </c>
      <c r="AC62" s="501">
        <v>-3.0338275000000001</v>
      </c>
      <c r="AD62" s="14"/>
      <c r="AE62" s="276"/>
      <c r="AF62" s="14"/>
      <c r="AG62" s="113">
        <v>61</v>
      </c>
      <c r="AH62" s="479">
        <v>-3.1161430000000001</v>
      </c>
      <c r="AI62" s="480">
        <v>-3.0542066000000001</v>
      </c>
      <c r="AJ62" s="14"/>
      <c r="AK62" s="276"/>
      <c r="AL62" s="6"/>
      <c r="AM62" s="337">
        <v>-3.0880206000000001</v>
      </c>
      <c r="AN62" s="339">
        <v>-3.0355355000000004</v>
      </c>
      <c r="AO62" s="413"/>
      <c r="AP62" s="13"/>
      <c r="AQ62" s="337">
        <v>-3.1960789999999997</v>
      </c>
      <c r="AR62" s="339">
        <v>-3.0430451999999999</v>
      </c>
      <c r="AS62" s="413"/>
    </row>
    <row r="63" spans="1:52" x14ac:dyDescent="0.2">
      <c r="A63" s="55"/>
      <c r="B63" s="55"/>
      <c r="C63" s="35">
        <v>62</v>
      </c>
      <c r="D63" s="712">
        <v>-3.2226235000000001</v>
      </c>
      <c r="E63" s="713">
        <v>-3.0987130000000001</v>
      </c>
      <c r="F63" s="14"/>
      <c r="G63" s="276"/>
      <c r="H63" s="14"/>
      <c r="I63" s="35">
        <v>62</v>
      </c>
      <c r="J63" s="712">
        <v>-3.2226235000000001</v>
      </c>
      <c r="K63" s="713">
        <v>-3.0987130000000001</v>
      </c>
      <c r="L63" s="14"/>
      <c r="M63" s="276"/>
      <c r="N63" s="14"/>
      <c r="O63" s="35">
        <v>62</v>
      </c>
      <c r="P63" s="569">
        <v>-3.1825218250000002</v>
      </c>
      <c r="Q63" s="681">
        <v>-3.1007691500000001</v>
      </c>
      <c r="R63" s="14"/>
      <c r="S63" s="276"/>
      <c r="T63" s="14"/>
      <c r="U63" s="35">
        <v>62</v>
      </c>
      <c r="V63" s="159">
        <v>-3.2095854250000007</v>
      </c>
      <c r="W63" s="501">
        <v>-3.1127996000000002</v>
      </c>
      <c r="X63" s="14"/>
      <c r="Y63" s="276"/>
      <c r="Z63" s="14"/>
      <c r="AA63" s="35">
        <v>62</v>
      </c>
      <c r="AB63" s="159">
        <v>-3.1549123250000002</v>
      </c>
      <c r="AC63" s="501">
        <v>-3.0835724</v>
      </c>
      <c r="AD63" s="14"/>
      <c r="AE63" s="276"/>
      <c r="AF63" s="14"/>
      <c r="AG63" s="113">
        <v>62</v>
      </c>
      <c r="AH63" s="479">
        <v>-3.1636462000000001</v>
      </c>
      <c r="AI63" s="480">
        <v>-3.1061524</v>
      </c>
      <c r="AJ63" s="14"/>
      <c r="AK63" s="276"/>
      <c r="AL63" s="6"/>
      <c r="AM63" s="337">
        <v>-3.1347583999999999</v>
      </c>
      <c r="AN63" s="339">
        <v>-3.0842949000000002</v>
      </c>
      <c r="AO63" s="413"/>
      <c r="AP63" s="13"/>
      <c r="AQ63" s="337">
        <v>-3.2437929999999997</v>
      </c>
      <c r="AR63" s="339">
        <v>-3.0919023000000001</v>
      </c>
      <c r="AS63" s="413"/>
    </row>
    <row r="64" spans="1:52" x14ac:dyDescent="0.2">
      <c r="A64" s="55"/>
      <c r="B64" s="55"/>
      <c r="C64" s="35">
        <v>63</v>
      </c>
      <c r="D64" s="712">
        <v>-3.2722736000000001</v>
      </c>
      <c r="E64" s="713">
        <v>-3.1484574000000003</v>
      </c>
      <c r="F64" s="14"/>
      <c r="G64" s="276"/>
      <c r="H64" s="14"/>
      <c r="I64" s="35">
        <v>63</v>
      </c>
      <c r="J64" s="712">
        <v>-3.2722736000000001</v>
      </c>
      <c r="K64" s="713">
        <v>-3.1484574000000003</v>
      </c>
      <c r="L64" s="14"/>
      <c r="M64" s="276"/>
      <c r="N64" s="14"/>
      <c r="O64" s="35">
        <v>63</v>
      </c>
      <c r="P64" s="569">
        <v>-3.2326545000000002</v>
      </c>
      <c r="Q64" s="681">
        <v>-3.1511380500000001</v>
      </c>
      <c r="R64" s="14"/>
      <c r="S64" s="276"/>
      <c r="T64" s="14"/>
      <c r="U64" s="35">
        <v>63</v>
      </c>
      <c r="V64" s="159">
        <v>-3.2600850000000006</v>
      </c>
      <c r="W64" s="501">
        <v>-3.1625743000000002</v>
      </c>
      <c r="X64" s="14"/>
      <c r="Y64" s="276"/>
      <c r="Z64" s="14"/>
      <c r="AA64" s="35">
        <v>63</v>
      </c>
      <c r="AB64" s="159">
        <v>-3.2033040500000003</v>
      </c>
      <c r="AC64" s="501">
        <v>-3.1333173000000003</v>
      </c>
      <c r="AD64" s="14"/>
      <c r="AE64" s="276"/>
      <c r="AF64" s="14"/>
      <c r="AG64" s="113">
        <v>63</v>
      </c>
      <c r="AH64" s="479">
        <v>-3.2111494</v>
      </c>
      <c r="AI64" s="480">
        <v>-3.1580982</v>
      </c>
      <c r="AJ64" s="14"/>
      <c r="AK64" s="276"/>
      <c r="AL64" s="6"/>
      <c r="AM64" s="338">
        <v>-3.1814962000000002</v>
      </c>
      <c r="AN64" s="340">
        <v>-3.1330543000000004</v>
      </c>
      <c r="AO64" s="414"/>
      <c r="AP64" s="13"/>
      <c r="AQ64" s="338">
        <v>-3.2915069999999997</v>
      </c>
      <c r="AR64" s="340">
        <v>-3.1407593999999999</v>
      </c>
      <c r="AS64" s="414"/>
    </row>
    <row r="65" spans="1:39" x14ac:dyDescent="0.2">
      <c r="C65" s="35">
        <v>75</v>
      </c>
      <c r="D65" s="712">
        <v>-3.8680748</v>
      </c>
      <c r="E65" s="713">
        <v>-3.7453902000000001</v>
      </c>
      <c r="F65" s="15"/>
      <c r="G65" s="261"/>
      <c r="H65" s="15"/>
      <c r="I65" s="35">
        <v>75</v>
      </c>
      <c r="J65" s="712">
        <v>-3.8680748</v>
      </c>
      <c r="K65" s="713">
        <v>-3.7453902000000001</v>
      </c>
      <c r="L65" s="15"/>
      <c r="M65" s="261"/>
      <c r="N65" s="15"/>
      <c r="O65" s="35">
        <v>75</v>
      </c>
      <c r="P65" s="569">
        <v>-3.8342466000000002</v>
      </c>
      <c r="Q65" s="681">
        <v>-3.7555648500000003</v>
      </c>
      <c r="R65" s="15"/>
      <c r="S65" s="261"/>
      <c r="T65" s="15"/>
      <c r="U65" s="35">
        <v>75</v>
      </c>
      <c r="V65" s="159">
        <v>-3.8660799000000003</v>
      </c>
      <c r="W65" s="501">
        <v>-3.7598707</v>
      </c>
      <c r="X65" s="15"/>
      <c r="Y65" s="261"/>
      <c r="Z65" s="15"/>
      <c r="AA65" s="35">
        <v>75</v>
      </c>
      <c r="AB65" s="159">
        <v>-3.7840047500000003</v>
      </c>
      <c r="AC65" s="501">
        <v>-3.7302561000000001</v>
      </c>
      <c r="AD65" s="15"/>
      <c r="AE65" s="261"/>
      <c r="AF65" s="15"/>
      <c r="AG65" s="113">
        <v>75</v>
      </c>
      <c r="AH65" s="479">
        <v>-3.7811878000000001</v>
      </c>
      <c r="AI65" s="480">
        <v>-3.7814478</v>
      </c>
      <c r="AJ65" s="15"/>
      <c r="AK65" s="261"/>
      <c r="AM65" s="6"/>
    </row>
    <row r="66" spans="1:39" x14ac:dyDescent="0.2">
      <c r="A66" t="s">
        <v>593</v>
      </c>
      <c r="B66" t="s">
        <v>596</v>
      </c>
      <c r="C66" s="66" t="s">
        <v>598</v>
      </c>
      <c r="D66" s="721">
        <v>99.962545399750624</v>
      </c>
      <c r="E66" s="14"/>
      <c r="F66" s="14"/>
      <c r="G66" s="276"/>
      <c r="H66" s="14"/>
      <c r="I66" s="66" t="s">
        <v>598</v>
      </c>
      <c r="J66" s="714">
        <v>99.96358692375</v>
      </c>
      <c r="K66" s="14"/>
      <c r="L66" s="14"/>
      <c r="M66" s="276"/>
      <c r="N66" s="14"/>
      <c r="O66" s="66" t="s">
        <v>598</v>
      </c>
      <c r="P66" s="639">
        <v>99.961677076674988</v>
      </c>
      <c r="Q66" s="14"/>
      <c r="R66" s="14"/>
      <c r="S66" s="276"/>
      <c r="T66" s="14"/>
      <c r="U66" s="66" t="s">
        <v>598</v>
      </c>
      <c r="V66" s="621">
        <v>99.961001396692495</v>
      </c>
      <c r="W66" s="14"/>
      <c r="X66" s="14"/>
      <c r="Y66" s="276"/>
      <c r="Z66" s="14"/>
      <c r="AA66" s="66" t="s">
        <v>598</v>
      </c>
      <c r="AB66" s="504">
        <v>99.961167068725999</v>
      </c>
      <c r="AC66" s="14"/>
      <c r="AD66" s="14"/>
      <c r="AE66" s="276"/>
      <c r="AF66" s="14"/>
      <c r="AG66" s="66" t="s">
        <v>598</v>
      </c>
      <c r="AH66" s="470">
        <v>99.957300000000004</v>
      </c>
      <c r="AI66" s="14"/>
      <c r="AJ66" s="14"/>
      <c r="AK66" s="276"/>
      <c r="AL66" s="6"/>
      <c r="AM66" s="421">
        <v>99.966811142326506</v>
      </c>
    </row>
    <row r="67" spans="1:39" x14ac:dyDescent="0.2">
      <c r="B67" t="s">
        <v>599</v>
      </c>
      <c r="C67" s="66" t="s">
        <v>594</v>
      </c>
      <c r="D67" s="715">
        <v>3.91253E-3</v>
      </c>
      <c r="E67" s="14"/>
      <c r="F67" s="14"/>
      <c r="G67" s="276"/>
      <c r="H67" s="14"/>
      <c r="I67" s="66" t="s">
        <v>594</v>
      </c>
      <c r="J67" s="715">
        <v>3.91253E-3</v>
      </c>
      <c r="K67" s="14"/>
      <c r="L67" s="14"/>
      <c r="M67" s="276"/>
      <c r="N67" s="14"/>
      <c r="O67" s="66" t="s">
        <v>594</v>
      </c>
      <c r="P67" s="640">
        <v>3.9080299999999998E-3</v>
      </c>
      <c r="Q67" s="14"/>
      <c r="R67" s="14"/>
      <c r="S67" s="276"/>
      <c r="T67" s="14"/>
      <c r="U67" s="66" t="s">
        <v>594</v>
      </c>
      <c r="V67" s="622">
        <v>3.9080299999999998E-3</v>
      </c>
      <c r="W67" s="14"/>
      <c r="X67" s="14"/>
      <c r="Y67" s="276"/>
      <c r="Z67" s="14"/>
      <c r="AA67" s="66" t="s">
        <v>594</v>
      </c>
      <c r="AB67" s="505">
        <v>3.9080299999999998E-3</v>
      </c>
      <c r="AC67" s="14"/>
      <c r="AD67" s="14"/>
      <c r="AE67" s="276"/>
      <c r="AF67" s="14"/>
      <c r="AG67" s="66" t="s">
        <v>594</v>
      </c>
      <c r="AH67" s="471">
        <v>3.9080299999999998E-3</v>
      </c>
      <c r="AI67" s="14"/>
      <c r="AJ67" s="14"/>
      <c r="AK67" s="276"/>
      <c r="AL67" s="6"/>
      <c r="AM67" s="422">
        <v>3.9113899999999998E-3</v>
      </c>
    </row>
    <row r="68" spans="1:39" x14ac:dyDescent="0.2">
      <c r="B68" t="s">
        <v>600</v>
      </c>
      <c r="C68" s="66" t="s">
        <v>595</v>
      </c>
      <c r="D68" s="716">
        <v>-6.2789999999999995E-7</v>
      </c>
      <c r="E68" s="14"/>
      <c r="F68" s="14"/>
      <c r="G68" s="276"/>
      <c r="H68" s="14"/>
      <c r="I68" s="66" t="s">
        <v>595</v>
      </c>
      <c r="J68" s="716">
        <v>-6.2789999999999995E-7</v>
      </c>
      <c r="K68" s="14"/>
      <c r="L68" s="14"/>
      <c r="M68" s="276"/>
      <c r="N68" s="14"/>
      <c r="O68" s="66" t="s">
        <v>595</v>
      </c>
      <c r="P68" s="641">
        <v>-5.1429999999999999E-7</v>
      </c>
      <c r="Q68" s="14"/>
      <c r="R68" s="14"/>
      <c r="S68" s="276"/>
      <c r="T68" s="14"/>
      <c r="U68" s="66" t="s">
        <v>595</v>
      </c>
      <c r="V68" s="620">
        <v>-5.1429999999999999E-7</v>
      </c>
      <c r="W68" s="14"/>
      <c r="X68" s="14"/>
      <c r="Y68" s="276"/>
      <c r="Z68" s="14"/>
      <c r="AA68" s="66" t="s">
        <v>595</v>
      </c>
      <c r="AB68" s="505">
        <v>-5.1429999999999999E-7</v>
      </c>
      <c r="AC68" s="14"/>
      <c r="AD68" s="14"/>
      <c r="AE68" s="276"/>
      <c r="AF68" s="14"/>
      <c r="AG68" s="66" t="s">
        <v>595</v>
      </c>
      <c r="AH68" s="471">
        <v>-5.1429999999999999E-7</v>
      </c>
      <c r="AI68" s="14"/>
      <c r="AJ68" s="14"/>
      <c r="AK68" s="276"/>
      <c r="AL68" s="6"/>
      <c r="AM68" s="422">
        <v>-5.9640000000000002E-7</v>
      </c>
    </row>
    <row r="69" spans="1:39" x14ac:dyDescent="0.2">
      <c r="B69" t="s">
        <v>597</v>
      </c>
      <c r="C69" s="66" t="s">
        <v>606</v>
      </c>
      <c r="D69" s="722">
        <v>-124.2698315739385</v>
      </c>
      <c r="E69" s="468"/>
      <c r="F69" s="468"/>
      <c r="G69" s="469"/>
      <c r="H69" s="14"/>
      <c r="I69" s="66" t="s">
        <v>606</v>
      </c>
      <c r="J69" s="717">
        <v>-113.06574999986245</v>
      </c>
      <c r="K69" s="468"/>
      <c r="L69" s="468"/>
      <c r="M69" s="469"/>
      <c r="N69" s="14"/>
      <c r="O69" s="66" t="s">
        <v>606</v>
      </c>
      <c r="P69" s="642">
        <v>-88.982724833575418</v>
      </c>
      <c r="Q69" s="468"/>
      <c r="R69" s="468"/>
      <c r="S69" s="469"/>
      <c r="T69" s="14"/>
      <c r="U69" s="66" t="s">
        <v>606</v>
      </c>
      <c r="V69" s="620">
        <v>0</v>
      </c>
      <c r="W69" s="468"/>
      <c r="X69" s="468"/>
      <c r="Y69" s="469"/>
      <c r="Z69" s="14"/>
      <c r="AA69" s="66" t="s">
        <v>606</v>
      </c>
      <c r="AB69" s="503">
        <v>0</v>
      </c>
      <c r="AC69" s="468"/>
      <c r="AD69" s="468"/>
      <c r="AE69" s="469"/>
      <c r="AF69" s="14"/>
      <c r="AG69" s="66" t="s">
        <v>606</v>
      </c>
      <c r="AH69" s="481">
        <v>0</v>
      </c>
      <c r="AI69" s="468"/>
      <c r="AJ69" s="468"/>
      <c r="AK69" s="469"/>
      <c r="AL69" s="6"/>
      <c r="AM69" s="421">
        <v>0</v>
      </c>
    </row>
    <row r="71" spans="1:39" x14ac:dyDescent="0.2">
      <c r="A71" t="s">
        <v>1057</v>
      </c>
      <c r="B71" t="s">
        <v>597</v>
      </c>
      <c r="C71" s="274" t="s">
        <v>1058</v>
      </c>
      <c r="D71" s="723">
        <v>0</v>
      </c>
      <c r="E71" s="657" t="s">
        <v>46</v>
      </c>
      <c r="I71" s="274" t="s">
        <v>1058</v>
      </c>
      <c r="J71" s="718">
        <v>-1.79</v>
      </c>
      <c r="K71" t="s">
        <v>1070</v>
      </c>
      <c r="O71" s="274" t="s">
        <v>1058</v>
      </c>
      <c r="P71" s="67">
        <v>-1.58</v>
      </c>
      <c r="Q71" t="s">
        <v>1070</v>
      </c>
    </row>
    <row r="78" spans="1:39" x14ac:dyDescent="0.2">
      <c r="F78" s="32"/>
      <c r="L78" s="32"/>
      <c r="R78" s="32"/>
      <c r="X78" s="32"/>
    </row>
    <row r="79" spans="1:39" x14ac:dyDescent="0.2">
      <c r="F79" s="32"/>
      <c r="L79" s="32"/>
      <c r="R79" s="32"/>
      <c r="X79" s="32"/>
    </row>
  </sheetData>
  <customSheetViews>
    <customSheetView guid="{1F7EA7B0-7CBB-4C85-991C-384D0AE2B3A5}" scale="75" showRuler="0" topLeftCell="A4">
      <selection activeCell="D14" sqref="D14"/>
      <pageMargins left="0.75" right="0.75" top="1" bottom="1" header="0.5" footer="0.5"/>
      <printOptions gridLines="1"/>
      <pageSetup paperSize="9" orientation="portrait" r:id="rId1"/>
      <headerFooter alignWithMargins="0">
        <oddHeader>&amp;A</oddHeader>
        <oddFooter>Page &amp;P</oddFooter>
      </headerFooter>
    </customSheetView>
  </customSheetViews>
  <phoneticPr fontId="13" type="noConversion"/>
  <printOptions gridLines="1" gridLinesSet="0"/>
  <pageMargins left="0.75" right="0.75" top="1" bottom="1" header="0.5" footer="0.5"/>
  <pageSetup paperSize="9" orientation="portrait" r:id="rId2"/>
  <headerFooter alignWithMargins="0">
    <oddHeader>&amp;A</oddHeader>
    <oddFooter>Page &amp;P</oddFooter>
  </headerFooter>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M31"/>
  <sheetViews>
    <sheetView workbookViewId="0">
      <selection activeCell="C33" sqref="C33"/>
    </sheetView>
  </sheetViews>
  <sheetFormatPr defaultRowHeight="12.75" x14ac:dyDescent="0.2"/>
  <cols>
    <col min="2" max="2" width="23.85546875" customWidth="1"/>
    <col min="3" max="3" width="19.85546875" customWidth="1"/>
    <col min="4" max="4" width="11.140625" customWidth="1"/>
    <col min="5" max="5" width="12.5703125" customWidth="1"/>
    <col min="6" max="6" width="19" customWidth="1"/>
    <col min="7" max="7" width="10.140625" customWidth="1"/>
    <col min="8" max="8" width="19.85546875" customWidth="1"/>
    <col min="9" max="9" width="11.140625" customWidth="1"/>
    <col min="10" max="10" width="12.5703125" customWidth="1"/>
    <col min="11" max="11" width="19" customWidth="1"/>
    <col min="12" max="12" width="10.140625" customWidth="1"/>
    <col min="17" max="18" width="9" customWidth="1"/>
    <col min="19" max="19" width="19.85546875" customWidth="1"/>
    <col min="20" max="20" width="11.140625" customWidth="1"/>
    <col min="21" max="21" width="12.5703125" customWidth="1"/>
    <col min="22" max="22" width="19" customWidth="1"/>
    <col min="23" max="23" width="10.140625" customWidth="1"/>
    <col min="28" max="29" width="9" customWidth="1"/>
    <col min="30" max="30" width="21.5703125" customWidth="1"/>
  </cols>
  <sheetData>
    <row r="1" spans="1:39" x14ac:dyDescent="0.2">
      <c r="C1" s="659" t="s">
        <v>12</v>
      </c>
      <c r="D1" s="660"/>
      <c r="E1" s="660"/>
      <c r="F1" s="659"/>
      <c r="G1" s="537"/>
      <c r="H1" s="336" t="s">
        <v>1046</v>
      </c>
      <c r="I1" s="220"/>
      <c r="J1" s="66" t="s">
        <v>1043</v>
      </c>
      <c r="K1" s="536"/>
      <c r="L1" s="537"/>
      <c r="M1" s="66"/>
      <c r="N1" s="66"/>
      <c r="O1" s="66"/>
      <c r="P1" s="66"/>
      <c r="Q1" s="66"/>
      <c r="R1" s="66"/>
      <c r="S1" s="336" t="s">
        <v>753</v>
      </c>
      <c r="T1" s="220"/>
      <c r="U1" s="66" t="s">
        <v>754</v>
      </c>
      <c r="V1" s="536"/>
      <c r="W1" s="537"/>
      <c r="X1" s="66"/>
      <c r="Y1" s="66"/>
      <c r="Z1" s="66"/>
      <c r="AA1" s="66"/>
      <c r="AB1" s="66"/>
      <c r="AD1" s="538" t="s">
        <v>615</v>
      </c>
      <c r="AE1" s="539"/>
      <c r="AF1" s="540"/>
      <c r="AG1" s="540"/>
      <c r="AH1" s="540"/>
      <c r="AI1" s="540"/>
      <c r="AJ1" s="540"/>
      <c r="AK1" s="540"/>
      <c r="AL1" s="540"/>
      <c r="AM1" s="540"/>
    </row>
    <row r="2" spans="1:39" x14ac:dyDescent="0.2">
      <c r="F2" s="550"/>
      <c r="H2" s="336"/>
      <c r="I2" s="220"/>
      <c r="J2" s="220"/>
      <c r="K2" s="550"/>
      <c r="S2" s="336" t="s">
        <v>755</v>
      </c>
      <c r="T2" s="220"/>
      <c r="U2" s="220"/>
      <c r="V2" s="550" t="s">
        <v>758</v>
      </c>
      <c r="AD2" s="538" t="s">
        <v>616</v>
      </c>
      <c r="AE2" s="539"/>
      <c r="AF2" s="539"/>
      <c r="AG2" s="540"/>
      <c r="AH2" s="540"/>
      <c r="AI2" s="540"/>
      <c r="AJ2" s="540"/>
      <c r="AK2" s="540"/>
      <c r="AL2" s="540"/>
      <c r="AM2" s="540"/>
    </row>
    <row r="3" spans="1:39" ht="15.75" x14ac:dyDescent="0.25">
      <c r="C3" s="3" t="s">
        <v>158</v>
      </c>
      <c r="D3" t="s">
        <v>159</v>
      </c>
      <c r="E3" t="s">
        <v>160</v>
      </c>
      <c r="F3" s="550"/>
      <c r="H3" s="3" t="s">
        <v>158</v>
      </c>
      <c r="I3" t="s">
        <v>159</v>
      </c>
      <c r="J3" t="s">
        <v>160</v>
      </c>
      <c r="K3" s="550"/>
      <c r="S3" s="3" t="s">
        <v>158</v>
      </c>
      <c r="T3" t="s">
        <v>159</v>
      </c>
      <c r="U3" t="s">
        <v>160</v>
      </c>
      <c r="V3" s="550" t="s">
        <v>757</v>
      </c>
      <c r="AD3" s="541" t="s">
        <v>158</v>
      </c>
      <c r="AE3" s="540" t="s">
        <v>159</v>
      </c>
      <c r="AF3" s="540" t="s">
        <v>160</v>
      </c>
      <c r="AG3" s="549"/>
      <c r="AH3" s="554" t="s">
        <v>759</v>
      </c>
      <c r="AI3" s="113"/>
      <c r="AJ3" s="113"/>
      <c r="AK3" s="113"/>
      <c r="AL3" s="113"/>
      <c r="AM3" s="113"/>
    </row>
    <row r="4" spans="1:39" x14ac:dyDescent="0.2">
      <c r="C4" s="3" t="s">
        <v>161</v>
      </c>
      <c r="D4" t="s">
        <v>162</v>
      </c>
      <c r="E4" t="s">
        <v>163</v>
      </c>
      <c r="F4" t="s">
        <v>174</v>
      </c>
      <c r="H4" s="3" t="s">
        <v>161</v>
      </c>
      <c r="I4" t="s">
        <v>162</v>
      </c>
      <c r="J4" t="s">
        <v>163</v>
      </c>
      <c r="K4" t="s">
        <v>174</v>
      </c>
      <c r="S4" s="3" t="s">
        <v>161</v>
      </c>
      <c r="T4" t="s">
        <v>162</v>
      </c>
      <c r="U4" t="s">
        <v>163</v>
      </c>
      <c r="V4" t="s">
        <v>174</v>
      </c>
      <c r="AD4" s="541" t="s">
        <v>161</v>
      </c>
      <c r="AE4" s="540" t="s">
        <v>162</v>
      </c>
      <c r="AF4" s="540" t="s">
        <v>163</v>
      </c>
      <c r="AG4" s="540" t="s">
        <v>174</v>
      </c>
      <c r="AH4" s="540"/>
      <c r="AI4" s="540"/>
      <c r="AJ4" s="540"/>
      <c r="AK4" s="540"/>
      <c r="AL4" s="540"/>
      <c r="AM4" s="540"/>
    </row>
    <row r="5" spans="1:39" x14ac:dyDescent="0.2">
      <c r="A5">
        <v>1</v>
      </c>
      <c r="B5" t="s">
        <v>214</v>
      </c>
      <c r="C5">
        <v>5</v>
      </c>
      <c r="E5" s="5">
        <v>6</v>
      </c>
      <c r="H5">
        <v>5</v>
      </c>
      <c r="I5">
        <v>40</v>
      </c>
      <c r="J5" s="5">
        <v>3.125</v>
      </c>
      <c r="L5">
        <v>5</v>
      </c>
      <c r="M5">
        <v>5</v>
      </c>
      <c r="S5">
        <v>5</v>
      </c>
      <c r="T5">
        <v>40</v>
      </c>
      <c r="U5" s="5">
        <f t="shared" ref="U5:U25" si="0">0.5*(1/(0.01*T5)^2)</f>
        <v>3.1249999999999996</v>
      </c>
      <c r="W5">
        <v>5</v>
      </c>
      <c r="X5">
        <v>5</v>
      </c>
      <c r="AD5" s="539">
        <v>7</v>
      </c>
      <c r="AE5" s="540">
        <v>40</v>
      </c>
      <c r="AF5" s="542">
        <f t="shared" ref="AF5:AF15" si="1">0.5*(1/(0.01*AE5)^2)</f>
        <v>3.1249999999999996</v>
      </c>
      <c r="AG5" s="540"/>
      <c r="AH5" s="540">
        <v>5</v>
      </c>
      <c r="AI5" s="540">
        <v>5</v>
      </c>
      <c r="AJ5" s="540"/>
      <c r="AK5" s="540"/>
      <c r="AL5" s="540"/>
      <c r="AM5" s="540"/>
    </row>
    <row r="6" spans="1:39" x14ac:dyDescent="0.2">
      <c r="A6">
        <v>2</v>
      </c>
      <c r="B6" t="s">
        <v>215</v>
      </c>
      <c r="C6" s="4">
        <v>5</v>
      </c>
      <c r="D6">
        <v>20</v>
      </c>
      <c r="E6">
        <f>0.5*(100/D6)^2</f>
        <v>12.5</v>
      </c>
      <c r="G6" s="4"/>
      <c r="H6" s="4">
        <v>15</v>
      </c>
      <c r="I6">
        <v>30</v>
      </c>
      <c r="J6" s="5">
        <v>5.5555555555555554</v>
      </c>
      <c r="L6" s="4">
        <v>15</v>
      </c>
      <c r="M6" s="4">
        <v>15</v>
      </c>
      <c r="O6" t="s">
        <v>240</v>
      </c>
      <c r="P6">
        <v>15</v>
      </c>
      <c r="Q6">
        <v>40</v>
      </c>
      <c r="S6" s="4">
        <v>15</v>
      </c>
      <c r="T6">
        <v>30</v>
      </c>
      <c r="U6" s="5">
        <f t="shared" si="0"/>
        <v>5.5555555555555554</v>
      </c>
      <c r="W6" s="4">
        <v>15</v>
      </c>
      <c r="X6" s="4">
        <v>15</v>
      </c>
      <c r="Z6" t="s">
        <v>240</v>
      </c>
      <c r="AA6">
        <v>15</v>
      </c>
      <c r="AB6">
        <v>40</v>
      </c>
      <c r="AD6" s="543">
        <v>15</v>
      </c>
      <c r="AE6" s="540">
        <v>30</v>
      </c>
      <c r="AF6" s="542">
        <f t="shared" si="1"/>
        <v>5.5555555555555554</v>
      </c>
      <c r="AG6" s="540"/>
      <c r="AH6" s="544">
        <v>15</v>
      </c>
      <c r="AI6" s="544">
        <v>15</v>
      </c>
      <c r="AJ6" s="540"/>
      <c r="AK6" s="540" t="s">
        <v>240</v>
      </c>
      <c r="AL6" s="540">
        <v>15</v>
      </c>
      <c r="AM6" s="540">
        <v>40</v>
      </c>
    </row>
    <row r="7" spans="1:39" x14ac:dyDescent="0.2">
      <c r="A7">
        <v>3</v>
      </c>
      <c r="B7" t="s">
        <v>228</v>
      </c>
      <c r="C7" s="661">
        <f>SQRT(3.7^2+2.3^2)</f>
        <v>4.3566041821583932</v>
      </c>
      <c r="E7" s="5">
        <v>50</v>
      </c>
      <c r="H7" s="534">
        <v>6.8</v>
      </c>
      <c r="I7">
        <v>30</v>
      </c>
      <c r="J7" s="5">
        <v>5.5555555555555554</v>
      </c>
      <c r="L7">
        <v>15</v>
      </c>
      <c r="M7">
        <v>15</v>
      </c>
      <c r="O7" t="s">
        <v>241</v>
      </c>
      <c r="P7">
        <v>500</v>
      </c>
      <c r="Q7">
        <v>20</v>
      </c>
      <c r="S7" s="534">
        <v>6.8</v>
      </c>
      <c r="T7">
        <v>30</v>
      </c>
      <c r="U7" s="5">
        <f t="shared" si="0"/>
        <v>5.5555555555555554</v>
      </c>
      <c r="W7">
        <v>15</v>
      </c>
      <c r="X7">
        <v>15</v>
      </c>
      <c r="Z7" t="s">
        <v>241</v>
      </c>
      <c r="AA7">
        <v>500</v>
      </c>
      <c r="AB7">
        <v>20</v>
      </c>
      <c r="AD7" s="545">
        <f>SQRT(3^2+(4+6)^2)/2</f>
        <v>5.2201532544552753</v>
      </c>
      <c r="AE7" s="540">
        <v>30</v>
      </c>
      <c r="AF7" s="542">
        <f t="shared" si="1"/>
        <v>5.5555555555555554</v>
      </c>
      <c r="AG7" s="540"/>
      <c r="AH7" s="540">
        <v>15</v>
      </c>
      <c r="AI7" s="540">
        <v>15</v>
      </c>
      <c r="AJ7" s="540"/>
      <c r="AK7" s="540" t="s">
        <v>241</v>
      </c>
      <c r="AL7" s="540">
        <v>500</v>
      </c>
      <c r="AM7" s="540">
        <v>20</v>
      </c>
    </row>
    <row r="8" spans="1:39" x14ac:dyDescent="0.2">
      <c r="A8">
        <v>4</v>
      </c>
      <c r="B8" t="s">
        <v>216</v>
      </c>
      <c r="C8">
        <v>10</v>
      </c>
      <c r="E8" s="662">
        <v>10</v>
      </c>
      <c r="F8" t="e">
        <f ca="1">CoverFactor(E8)</f>
        <v>#NAME?</v>
      </c>
      <c r="H8">
        <v>9.1999999999999993</v>
      </c>
      <c r="I8">
        <v>30</v>
      </c>
      <c r="J8" s="5">
        <v>5.5555555555555554</v>
      </c>
      <c r="L8">
        <v>9.1999999999999993</v>
      </c>
      <c r="M8">
        <v>9.1999999999999993</v>
      </c>
      <c r="O8" t="s">
        <v>242</v>
      </c>
      <c r="P8">
        <v>872.66462599716476</v>
      </c>
      <c r="Q8">
        <v>30</v>
      </c>
      <c r="S8">
        <v>9.1999999999999993</v>
      </c>
      <c r="T8">
        <v>30</v>
      </c>
      <c r="U8" s="5">
        <f t="shared" si="0"/>
        <v>5.5555555555555554</v>
      </c>
      <c r="W8">
        <v>9.1999999999999993</v>
      </c>
      <c r="X8">
        <v>9.1999999999999993</v>
      </c>
      <c r="Z8" t="s">
        <v>242</v>
      </c>
      <c r="AA8">
        <v>872.66462599716476</v>
      </c>
      <c r="AB8">
        <v>30</v>
      </c>
      <c r="AD8" s="540">
        <v>9.1999999999999993</v>
      </c>
      <c r="AE8" s="540">
        <v>30</v>
      </c>
      <c r="AF8" s="542">
        <f t="shared" si="1"/>
        <v>5.5555555555555554</v>
      </c>
      <c r="AG8" s="540"/>
      <c r="AH8" s="540">
        <v>9.1999999999999993</v>
      </c>
      <c r="AI8" s="540">
        <v>9.1999999999999993</v>
      </c>
      <c r="AJ8" s="540"/>
      <c r="AK8" s="540" t="s">
        <v>242</v>
      </c>
      <c r="AL8" s="540">
        <v>872.66462599716476</v>
      </c>
      <c r="AM8" s="540">
        <v>30</v>
      </c>
    </row>
    <row r="9" spans="1:39" x14ac:dyDescent="0.2">
      <c r="A9">
        <v>5</v>
      </c>
      <c r="B9" t="s">
        <v>217</v>
      </c>
      <c r="C9">
        <v>1</v>
      </c>
      <c r="E9" s="5">
        <v>50</v>
      </c>
      <c r="F9" t="e">
        <f ca="1">CoverFactor(E9)</f>
        <v>#NAME?</v>
      </c>
      <c r="H9">
        <v>7</v>
      </c>
      <c r="I9">
        <v>30</v>
      </c>
      <c r="J9" s="5">
        <v>5.5555555555555554</v>
      </c>
      <c r="L9">
        <v>7</v>
      </c>
      <c r="M9">
        <v>7</v>
      </c>
      <c r="O9" t="s">
        <v>243</v>
      </c>
      <c r="P9">
        <v>5</v>
      </c>
      <c r="Q9">
        <v>40</v>
      </c>
      <c r="S9">
        <v>7</v>
      </c>
      <c r="T9">
        <v>30</v>
      </c>
      <c r="U9" s="5">
        <f t="shared" si="0"/>
        <v>5.5555555555555554</v>
      </c>
      <c r="W9">
        <v>7</v>
      </c>
      <c r="X9">
        <v>7</v>
      </c>
      <c r="Z9" t="s">
        <v>243</v>
      </c>
      <c r="AA9">
        <v>5</v>
      </c>
      <c r="AB9">
        <v>40</v>
      </c>
      <c r="AD9" s="540">
        <v>7</v>
      </c>
      <c r="AE9" s="540">
        <v>30</v>
      </c>
      <c r="AF9" s="542">
        <f t="shared" si="1"/>
        <v>5.5555555555555554</v>
      </c>
      <c r="AG9" s="540"/>
      <c r="AH9" s="540">
        <v>7</v>
      </c>
      <c r="AI9" s="540">
        <v>7</v>
      </c>
      <c r="AJ9" s="540"/>
      <c r="AK9" s="540" t="s">
        <v>243</v>
      </c>
      <c r="AL9" s="540">
        <v>5</v>
      </c>
      <c r="AM9" s="540">
        <v>40</v>
      </c>
    </row>
    <row r="10" spans="1:39" x14ac:dyDescent="0.2">
      <c r="A10">
        <v>6</v>
      </c>
      <c r="B10" t="s">
        <v>218</v>
      </c>
      <c r="C10" s="625">
        <v>2</v>
      </c>
      <c r="D10">
        <v>25</v>
      </c>
      <c r="E10">
        <f t="shared" ref="E10:E29" si="2">0.5*(100/D10)^2</f>
        <v>8</v>
      </c>
      <c r="G10" s="10"/>
      <c r="H10" s="625">
        <v>2</v>
      </c>
      <c r="I10">
        <v>30</v>
      </c>
      <c r="J10" s="5">
        <v>5.5555555555555554</v>
      </c>
      <c r="L10" s="10">
        <v>1</v>
      </c>
      <c r="M10" s="10">
        <v>0</v>
      </c>
      <c r="O10" t="s">
        <v>244</v>
      </c>
      <c r="P10">
        <v>15</v>
      </c>
      <c r="Q10">
        <v>30</v>
      </c>
      <c r="S10" s="535">
        <v>5</v>
      </c>
      <c r="T10">
        <v>30</v>
      </c>
      <c r="U10" s="5">
        <f t="shared" si="0"/>
        <v>5.5555555555555554</v>
      </c>
      <c r="V10" t="s">
        <v>756</v>
      </c>
      <c r="W10" s="10">
        <v>1</v>
      </c>
      <c r="X10" s="10">
        <v>0</v>
      </c>
      <c r="Z10" t="s">
        <v>244</v>
      </c>
      <c r="AA10">
        <v>15</v>
      </c>
      <c r="AB10">
        <v>30</v>
      </c>
      <c r="AD10" s="546">
        <v>5</v>
      </c>
      <c r="AE10" s="540">
        <v>30</v>
      </c>
      <c r="AF10" s="542">
        <f t="shared" si="1"/>
        <v>5.5555555555555554</v>
      </c>
      <c r="AG10" s="540"/>
      <c r="AH10" s="547">
        <v>1</v>
      </c>
      <c r="AI10" s="547">
        <v>0</v>
      </c>
      <c r="AJ10" s="540"/>
      <c r="AK10" s="540" t="s">
        <v>244</v>
      </c>
      <c r="AL10" s="540">
        <v>15</v>
      </c>
      <c r="AM10" s="540">
        <v>30</v>
      </c>
    </row>
    <row r="11" spans="1:39" x14ac:dyDescent="0.2">
      <c r="A11">
        <v>7</v>
      </c>
      <c r="B11" t="s">
        <v>219</v>
      </c>
      <c r="C11">
        <v>2</v>
      </c>
      <c r="D11">
        <v>25</v>
      </c>
      <c r="E11">
        <f t="shared" si="2"/>
        <v>8</v>
      </c>
      <c r="H11">
        <v>2</v>
      </c>
      <c r="I11">
        <v>30</v>
      </c>
      <c r="J11" s="5">
        <v>5.5555555555555554</v>
      </c>
      <c r="L11">
        <v>1</v>
      </c>
      <c r="M11">
        <v>0</v>
      </c>
      <c r="O11" t="s">
        <v>245</v>
      </c>
      <c r="P11">
        <v>9.1896681115261174</v>
      </c>
      <c r="Q11">
        <v>30</v>
      </c>
      <c r="S11">
        <v>2</v>
      </c>
      <c r="T11">
        <v>30</v>
      </c>
      <c r="U11" s="5">
        <f t="shared" si="0"/>
        <v>5.5555555555555554</v>
      </c>
      <c r="W11">
        <v>1</v>
      </c>
      <c r="X11">
        <v>0</v>
      </c>
      <c r="Z11" t="s">
        <v>245</v>
      </c>
      <c r="AA11">
        <v>9.1896681115261174</v>
      </c>
      <c r="AB11">
        <v>30</v>
      </c>
      <c r="AD11" s="539">
        <v>2</v>
      </c>
      <c r="AE11" s="540">
        <v>30</v>
      </c>
      <c r="AF11" s="542">
        <f t="shared" si="1"/>
        <v>5.5555555555555554</v>
      </c>
      <c r="AG11" s="540"/>
      <c r="AH11" s="540">
        <v>1</v>
      </c>
      <c r="AI11" s="540">
        <v>0</v>
      </c>
      <c r="AJ11" s="540"/>
      <c r="AK11" s="540" t="s">
        <v>245</v>
      </c>
      <c r="AL11" s="540">
        <v>9.1896681115261174</v>
      </c>
      <c r="AM11" s="540">
        <v>30</v>
      </c>
    </row>
    <row r="12" spans="1:39" x14ac:dyDescent="0.2">
      <c r="A12">
        <v>8</v>
      </c>
      <c r="B12" t="s">
        <v>220</v>
      </c>
      <c r="C12">
        <v>5</v>
      </c>
      <c r="D12">
        <v>25</v>
      </c>
      <c r="E12">
        <f t="shared" si="2"/>
        <v>8</v>
      </c>
      <c r="H12">
        <v>5</v>
      </c>
      <c r="I12">
        <v>30</v>
      </c>
      <c r="J12" s="5">
        <v>5.5555555555555554</v>
      </c>
      <c r="L12">
        <v>2</v>
      </c>
      <c r="M12">
        <v>0</v>
      </c>
      <c r="O12" t="s">
        <v>246</v>
      </c>
      <c r="P12">
        <v>7</v>
      </c>
      <c r="Q12">
        <v>30</v>
      </c>
      <c r="S12">
        <v>5</v>
      </c>
      <c r="T12">
        <v>30</v>
      </c>
      <c r="U12" s="5">
        <f t="shared" si="0"/>
        <v>5.5555555555555554</v>
      </c>
      <c r="W12">
        <v>2</v>
      </c>
      <c r="X12">
        <v>0</v>
      </c>
      <c r="Z12" t="s">
        <v>246</v>
      </c>
      <c r="AA12">
        <v>7</v>
      </c>
      <c r="AB12">
        <v>30</v>
      </c>
      <c r="AD12" s="539">
        <v>3</v>
      </c>
      <c r="AE12" s="540">
        <v>30</v>
      </c>
      <c r="AF12" s="542">
        <f t="shared" si="1"/>
        <v>5.5555555555555554</v>
      </c>
      <c r="AG12" s="540"/>
      <c r="AH12" s="540">
        <v>2</v>
      </c>
      <c r="AI12" s="540">
        <v>0</v>
      </c>
      <c r="AJ12" s="540"/>
      <c r="AK12" s="540" t="s">
        <v>246</v>
      </c>
      <c r="AL12" s="540">
        <v>7</v>
      </c>
      <c r="AM12" s="540">
        <v>30</v>
      </c>
    </row>
    <row r="13" spans="1:39" x14ac:dyDescent="0.2">
      <c r="A13">
        <v>9</v>
      </c>
      <c r="B13" t="s">
        <v>221</v>
      </c>
      <c r="C13">
        <v>1</v>
      </c>
      <c r="D13">
        <v>25</v>
      </c>
      <c r="E13">
        <f t="shared" si="2"/>
        <v>8</v>
      </c>
      <c r="H13">
        <v>1</v>
      </c>
      <c r="I13">
        <v>30</v>
      </c>
      <c r="J13" s="5">
        <v>5.5555555555555554</v>
      </c>
      <c r="L13">
        <v>5</v>
      </c>
      <c r="M13">
        <v>0</v>
      </c>
      <c r="O13" t="s">
        <v>247</v>
      </c>
      <c r="P13">
        <v>15</v>
      </c>
      <c r="Q13">
        <v>30</v>
      </c>
      <c r="S13">
        <v>1</v>
      </c>
      <c r="T13">
        <v>30</v>
      </c>
      <c r="U13" s="5">
        <f t="shared" si="0"/>
        <v>5.5555555555555554</v>
      </c>
      <c r="W13">
        <v>5</v>
      </c>
      <c r="X13">
        <v>0</v>
      </c>
      <c r="Z13" t="s">
        <v>247</v>
      </c>
      <c r="AA13">
        <v>15</v>
      </c>
      <c r="AB13">
        <v>30</v>
      </c>
      <c r="AD13" s="546">
        <f>17.5*0.35/2</f>
        <v>3.0625</v>
      </c>
      <c r="AE13" s="540">
        <v>30</v>
      </c>
      <c r="AF13" s="542">
        <f t="shared" si="1"/>
        <v>5.5555555555555554</v>
      </c>
      <c r="AG13" s="540"/>
      <c r="AH13" s="540">
        <v>5</v>
      </c>
      <c r="AI13" s="540">
        <v>0</v>
      </c>
      <c r="AJ13" s="540"/>
      <c r="AK13" s="540" t="s">
        <v>247</v>
      </c>
      <c r="AL13" s="540">
        <v>15</v>
      </c>
      <c r="AM13" s="540">
        <v>30</v>
      </c>
    </row>
    <row r="14" spans="1:39" x14ac:dyDescent="0.2">
      <c r="A14">
        <v>10</v>
      </c>
      <c r="B14" t="s">
        <v>222</v>
      </c>
      <c r="C14" s="66">
        <v>2</v>
      </c>
      <c r="D14">
        <v>25</v>
      </c>
      <c r="E14">
        <f t="shared" si="2"/>
        <v>8</v>
      </c>
      <c r="H14" s="66">
        <v>2</v>
      </c>
      <c r="I14">
        <v>30</v>
      </c>
      <c r="J14" s="5">
        <v>5.5555555555555554</v>
      </c>
      <c r="L14">
        <v>1</v>
      </c>
      <c r="M14">
        <v>0</v>
      </c>
      <c r="O14" t="s">
        <v>248</v>
      </c>
      <c r="P14">
        <v>50</v>
      </c>
      <c r="Q14">
        <v>30</v>
      </c>
      <c r="S14" s="220">
        <v>15</v>
      </c>
      <c r="T14">
        <v>30</v>
      </c>
      <c r="U14" s="5">
        <f t="shared" si="0"/>
        <v>5.5555555555555554</v>
      </c>
      <c r="V14" t="s">
        <v>756</v>
      </c>
      <c r="W14">
        <v>1</v>
      </c>
      <c r="X14">
        <v>0</v>
      </c>
      <c r="Z14" t="s">
        <v>248</v>
      </c>
      <c r="AA14">
        <v>50</v>
      </c>
      <c r="AB14">
        <v>30</v>
      </c>
      <c r="AD14" s="546">
        <v>5</v>
      </c>
      <c r="AE14" s="540">
        <v>30</v>
      </c>
      <c r="AF14" s="542">
        <f t="shared" si="1"/>
        <v>5.5555555555555554</v>
      </c>
      <c r="AG14" s="540"/>
      <c r="AH14" s="540">
        <v>1</v>
      </c>
      <c r="AI14" s="540">
        <v>0</v>
      </c>
      <c r="AJ14" s="540"/>
      <c r="AK14" s="540" t="s">
        <v>248</v>
      </c>
      <c r="AL14" s="540">
        <v>50</v>
      </c>
      <c r="AM14" s="540">
        <v>30</v>
      </c>
    </row>
    <row r="15" spans="1:39" x14ac:dyDescent="0.2">
      <c r="A15">
        <v>11</v>
      </c>
      <c r="B15" t="s">
        <v>223</v>
      </c>
      <c r="C15">
        <v>1</v>
      </c>
      <c r="D15">
        <v>25</v>
      </c>
      <c r="E15">
        <f t="shared" si="2"/>
        <v>8</v>
      </c>
      <c r="H15">
        <v>1</v>
      </c>
      <c r="I15">
        <v>30</v>
      </c>
      <c r="J15" s="5">
        <v>5.5555555555555554</v>
      </c>
      <c r="L15">
        <v>1</v>
      </c>
      <c r="M15">
        <v>0</v>
      </c>
      <c r="S15">
        <v>1</v>
      </c>
      <c r="T15">
        <v>30</v>
      </c>
      <c r="U15" s="5">
        <f t="shared" si="0"/>
        <v>5.5555555555555554</v>
      </c>
      <c r="W15">
        <v>1</v>
      </c>
      <c r="X15">
        <v>0</v>
      </c>
      <c r="AD15" s="539">
        <v>2</v>
      </c>
      <c r="AE15" s="540">
        <v>30</v>
      </c>
      <c r="AF15" s="542">
        <f t="shared" si="1"/>
        <v>5.5555555555555554</v>
      </c>
      <c r="AG15" s="540"/>
      <c r="AH15" s="540">
        <v>1</v>
      </c>
      <c r="AI15" s="540">
        <v>0</v>
      </c>
      <c r="AJ15" s="540"/>
      <c r="AK15" s="540"/>
      <c r="AL15" s="540"/>
      <c r="AM15" s="540"/>
    </row>
    <row r="16" spans="1:39" x14ac:dyDescent="0.2">
      <c r="A16">
        <v>12</v>
      </c>
      <c r="B16" t="s">
        <v>225</v>
      </c>
      <c r="C16">
        <v>15</v>
      </c>
      <c r="D16">
        <v>20</v>
      </c>
      <c r="E16">
        <f t="shared" si="2"/>
        <v>12.5</v>
      </c>
      <c r="H16">
        <v>15</v>
      </c>
      <c r="I16">
        <v>30</v>
      </c>
      <c r="J16" s="5">
        <v>5.5555555555555554</v>
      </c>
      <c r="L16">
        <v>50</v>
      </c>
      <c r="M16">
        <v>15</v>
      </c>
      <c r="S16">
        <v>15</v>
      </c>
      <c r="T16">
        <v>30</v>
      </c>
      <c r="U16" s="5">
        <f t="shared" si="0"/>
        <v>5.5555555555555554</v>
      </c>
      <c r="W16">
        <v>50</v>
      </c>
      <c r="X16">
        <v>15</v>
      </c>
      <c r="AD16" s="539">
        <v>15</v>
      </c>
      <c r="AE16" s="540">
        <v>30</v>
      </c>
      <c r="AF16" s="542">
        <f t="shared" ref="AF16:AF25" si="3">0.5*(1/(0.01*AE16)^2)</f>
        <v>5.5555555555555554</v>
      </c>
      <c r="AG16" s="540"/>
      <c r="AH16" s="540">
        <v>50</v>
      </c>
      <c r="AI16" s="540">
        <v>15</v>
      </c>
      <c r="AJ16" s="540"/>
      <c r="AK16" s="540"/>
      <c r="AL16" s="540"/>
      <c r="AM16" s="540"/>
    </row>
    <row r="17" spans="1:39" x14ac:dyDescent="0.2">
      <c r="A17">
        <v>13</v>
      </c>
      <c r="B17" t="s">
        <v>224</v>
      </c>
      <c r="C17" s="220">
        <v>50</v>
      </c>
      <c r="D17">
        <v>20</v>
      </c>
      <c r="E17">
        <f t="shared" si="2"/>
        <v>12.5</v>
      </c>
      <c r="H17" s="220">
        <v>50</v>
      </c>
      <c r="I17">
        <v>30</v>
      </c>
      <c r="J17" s="5">
        <v>5.5555555555555554</v>
      </c>
      <c r="L17">
        <v>15</v>
      </c>
      <c r="M17">
        <v>50</v>
      </c>
      <c r="S17" s="220">
        <v>50</v>
      </c>
      <c r="T17">
        <v>30</v>
      </c>
      <c r="U17" s="5">
        <f t="shared" si="0"/>
        <v>5.5555555555555554</v>
      </c>
      <c r="W17">
        <v>15</v>
      </c>
      <c r="X17">
        <v>50</v>
      </c>
      <c r="AD17" s="548">
        <f>SQRT(12.6^2+12^2+(45/2)^2)</f>
        <v>28.443101096751036</v>
      </c>
      <c r="AE17" s="540">
        <v>30</v>
      </c>
      <c r="AF17" s="542">
        <f t="shared" si="3"/>
        <v>5.5555555555555554</v>
      </c>
      <c r="AG17" s="540"/>
      <c r="AH17" s="540">
        <v>15</v>
      </c>
      <c r="AI17" s="540">
        <v>50</v>
      </c>
      <c r="AJ17" s="540"/>
      <c r="AK17" s="540"/>
      <c r="AL17" s="540"/>
      <c r="AM17" s="540"/>
    </row>
    <row r="18" spans="1:39" x14ac:dyDescent="0.2">
      <c r="A18">
        <v>14</v>
      </c>
      <c r="B18" t="s">
        <v>226</v>
      </c>
      <c r="C18">
        <v>2</v>
      </c>
      <c r="D18">
        <v>25</v>
      </c>
      <c r="E18">
        <f t="shared" si="2"/>
        <v>8</v>
      </c>
      <c r="H18">
        <v>2</v>
      </c>
      <c r="I18">
        <v>30</v>
      </c>
      <c r="J18" s="5">
        <v>5.5555555555555554</v>
      </c>
      <c r="L18">
        <v>2</v>
      </c>
      <c r="M18">
        <v>0</v>
      </c>
      <c r="S18">
        <v>2</v>
      </c>
      <c r="T18">
        <v>30</v>
      </c>
      <c r="U18" s="5">
        <f t="shared" si="0"/>
        <v>5.5555555555555554</v>
      </c>
      <c r="W18">
        <v>2</v>
      </c>
      <c r="X18">
        <v>0</v>
      </c>
      <c r="AD18" s="539">
        <v>3</v>
      </c>
      <c r="AE18" s="540">
        <v>30</v>
      </c>
      <c r="AF18" s="542">
        <f t="shared" si="3"/>
        <v>5.5555555555555554</v>
      </c>
      <c r="AG18" s="540"/>
      <c r="AH18" s="540">
        <v>2</v>
      </c>
      <c r="AI18" s="540">
        <v>0</v>
      </c>
      <c r="AJ18" s="540"/>
      <c r="AK18" s="540"/>
      <c r="AL18" s="540"/>
      <c r="AM18" s="540"/>
    </row>
    <row r="19" spans="1:39" x14ac:dyDescent="0.2">
      <c r="A19">
        <v>15</v>
      </c>
      <c r="B19" t="s">
        <v>610</v>
      </c>
      <c r="C19">
        <v>2</v>
      </c>
      <c r="D19">
        <v>25</v>
      </c>
      <c r="E19">
        <f t="shared" si="2"/>
        <v>8</v>
      </c>
      <c r="H19">
        <v>2</v>
      </c>
      <c r="I19">
        <v>30</v>
      </c>
      <c r="J19" s="5">
        <v>5.5555555555555554</v>
      </c>
      <c r="L19">
        <v>2</v>
      </c>
      <c r="M19">
        <v>0</v>
      </c>
      <c r="S19">
        <v>2</v>
      </c>
      <c r="T19">
        <v>30</v>
      </c>
      <c r="U19" s="5">
        <f t="shared" si="0"/>
        <v>5.5555555555555554</v>
      </c>
      <c r="W19">
        <v>2</v>
      </c>
      <c r="X19">
        <v>0</v>
      </c>
      <c r="AD19" s="546">
        <f>17.5*0.35/2</f>
        <v>3.0625</v>
      </c>
      <c r="AE19" s="540">
        <v>30</v>
      </c>
      <c r="AF19" s="542">
        <f t="shared" si="3"/>
        <v>5.5555555555555554</v>
      </c>
      <c r="AG19" s="540"/>
      <c r="AH19" s="540">
        <v>2</v>
      </c>
      <c r="AI19" s="540">
        <v>0</v>
      </c>
      <c r="AJ19" s="540"/>
      <c r="AK19" s="540"/>
      <c r="AL19" s="540"/>
      <c r="AM19" s="540"/>
    </row>
    <row r="20" spans="1:39" x14ac:dyDescent="0.2">
      <c r="A20">
        <v>16</v>
      </c>
      <c r="B20" t="s">
        <v>231</v>
      </c>
      <c r="C20">
        <v>500</v>
      </c>
      <c r="D20">
        <v>20</v>
      </c>
      <c r="E20">
        <f t="shared" si="2"/>
        <v>12.5</v>
      </c>
      <c r="H20">
        <v>500</v>
      </c>
      <c r="I20">
        <v>20</v>
      </c>
      <c r="J20" s="5">
        <v>12.5</v>
      </c>
      <c r="L20">
        <v>500</v>
      </c>
      <c r="M20">
        <v>500</v>
      </c>
      <c r="S20">
        <v>500</v>
      </c>
      <c r="T20">
        <v>20</v>
      </c>
      <c r="U20" s="5">
        <f t="shared" si="0"/>
        <v>12.499999999999998</v>
      </c>
      <c r="W20">
        <v>500</v>
      </c>
      <c r="X20">
        <v>500</v>
      </c>
      <c r="AD20" s="539">
        <v>500</v>
      </c>
      <c r="AE20" s="540">
        <v>20</v>
      </c>
      <c r="AF20" s="542">
        <f t="shared" si="3"/>
        <v>12.499999999999998</v>
      </c>
      <c r="AG20" s="540"/>
      <c r="AH20" s="540">
        <v>500</v>
      </c>
      <c r="AI20" s="540">
        <v>500</v>
      </c>
      <c r="AJ20" s="540"/>
      <c r="AK20" s="540"/>
      <c r="AL20" s="540"/>
      <c r="AM20" s="540"/>
    </row>
    <row r="21" spans="1:39" x14ac:dyDescent="0.2">
      <c r="A21">
        <v>17</v>
      </c>
      <c r="B21" t="s">
        <v>614</v>
      </c>
      <c r="C21">
        <v>873</v>
      </c>
      <c r="D21">
        <v>25</v>
      </c>
      <c r="E21">
        <f t="shared" si="2"/>
        <v>8</v>
      </c>
      <c r="H21">
        <v>873</v>
      </c>
      <c r="I21">
        <v>30</v>
      </c>
      <c r="J21" s="5">
        <v>5.5555555555555554</v>
      </c>
      <c r="L21">
        <v>873</v>
      </c>
      <c r="M21">
        <v>873</v>
      </c>
      <c r="S21">
        <v>873</v>
      </c>
      <c r="T21">
        <v>30</v>
      </c>
      <c r="U21" s="5">
        <f t="shared" si="0"/>
        <v>5.5555555555555554</v>
      </c>
      <c r="W21">
        <v>873</v>
      </c>
      <c r="X21">
        <v>873</v>
      </c>
      <c r="AD21" s="539">
        <v>873</v>
      </c>
      <c r="AE21" s="540">
        <v>30</v>
      </c>
      <c r="AF21" s="542">
        <f t="shared" si="3"/>
        <v>5.5555555555555554</v>
      </c>
      <c r="AG21" s="540"/>
      <c r="AH21" s="540">
        <v>873</v>
      </c>
      <c r="AI21" s="540">
        <v>873</v>
      </c>
      <c r="AJ21" s="540"/>
      <c r="AK21" s="540"/>
      <c r="AL21" s="540"/>
      <c r="AM21" s="540"/>
    </row>
    <row r="22" spans="1:39" x14ac:dyDescent="0.2">
      <c r="A22">
        <v>18</v>
      </c>
      <c r="B22" t="s">
        <v>227</v>
      </c>
      <c r="C22">
        <v>500</v>
      </c>
      <c r="D22">
        <v>25</v>
      </c>
      <c r="E22">
        <f t="shared" si="2"/>
        <v>8</v>
      </c>
      <c r="H22">
        <v>500</v>
      </c>
      <c r="I22">
        <v>30</v>
      </c>
      <c r="J22" s="5">
        <v>5.5555555555555554</v>
      </c>
      <c r="L22">
        <v>500</v>
      </c>
      <c r="M22">
        <v>0</v>
      </c>
      <c r="S22">
        <v>500</v>
      </c>
      <c r="T22">
        <v>30</v>
      </c>
      <c r="U22" s="5">
        <f t="shared" si="0"/>
        <v>5.5555555555555554</v>
      </c>
      <c r="W22">
        <v>500</v>
      </c>
      <c r="X22">
        <v>0</v>
      </c>
      <c r="AD22" s="539">
        <v>500</v>
      </c>
      <c r="AE22" s="540">
        <v>30</v>
      </c>
      <c r="AF22" s="542">
        <f t="shared" si="3"/>
        <v>5.5555555555555554</v>
      </c>
      <c r="AG22" s="540"/>
      <c r="AH22" s="540">
        <v>500</v>
      </c>
      <c r="AI22" s="540">
        <v>0</v>
      </c>
      <c r="AJ22" s="540"/>
      <c r="AK22" s="540"/>
      <c r="AL22" s="540"/>
      <c r="AM22" s="540"/>
    </row>
    <row r="23" spans="1:39" x14ac:dyDescent="0.2">
      <c r="A23">
        <v>19</v>
      </c>
      <c r="B23" t="s">
        <v>613</v>
      </c>
      <c r="C23">
        <v>500</v>
      </c>
      <c r="D23">
        <v>25</v>
      </c>
      <c r="E23">
        <f t="shared" si="2"/>
        <v>8</v>
      </c>
      <c r="H23">
        <v>500</v>
      </c>
      <c r="I23">
        <v>30</v>
      </c>
      <c r="J23" s="5">
        <v>5.5555555555555554</v>
      </c>
      <c r="L23">
        <v>500</v>
      </c>
      <c r="M23">
        <v>0</v>
      </c>
      <c r="S23">
        <v>500</v>
      </c>
      <c r="T23">
        <v>30</v>
      </c>
      <c r="U23" s="5">
        <f t="shared" si="0"/>
        <v>5.5555555555555554</v>
      </c>
      <c r="W23">
        <v>500</v>
      </c>
      <c r="X23">
        <v>0</v>
      </c>
      <c r="AD23" s="539">
        <v>1000</v>
      </c>
      <c r="AE23" s="540">
        <v>30</v>
      </c>
      <c r="AF23" s="542">
        <f t="shared" si="3"/>
        <v>5.5555555555555554</v>
      </c>
      <c r="AG23" s="540"/>
      <c r="AH23" s="540">
        <v>500</v>
      </c>
      <c r="AI23" s="540">
        <v>0</v>
      </c>
      <c r="AJ23" s="540"/>
      <c r="AK23" s="540"/>
      <c r="AL23" s="540"/>
      <c r="AM23" s="540"/>
    </row>
    <row r="24" spans="1:39" x14ac:dyDescent="0.2">
      <c r="A24">
        <v>20</v>
      </c>
      <c r="B24" t="s">
        <v>260</v>
      </c>
      <c r="C24">
        <v>10000</v>
      </c>
      <c r="D24">
        <v>25</v>
      </c>
      <c r="E24">
        <f t="shared" si="2"/>
        <v>8</v>
      </c>
      <c r="H24">
        <v>10000</v>
      </c>
      <c r="I24">
        <v>30</v>
      </c>
      <c r="J24" s="5">
        <v>5.5555555555555554</v>
      </c>
      <c r="L24">
        <v>10000</v>
      </c>
      <c r="M24">
        <v>0</v>
      </c>
      <c r="S24">
        <v>10000</v>
      </c>
      <c r="T24">
        <v>30</v>
      </c>
      <c r="U24" s="5">
        <f t="shared" si="0"/>
        <v>5.5555555555555554</v>
      </c>
      <c r="W24">
        <v>10000</v>
      </c>
      <c r="X24">
        <v>0</v>
      </c>
      <c r="AD24" s="539">
        <v>10000</v>
      </c>
      <c r="AE24" s="540">
        <v>30</v>
      </c>
      <c r="AF24" s="542">
        <f t="shared" si="3"/>
        <v>5.5555555555555554</v>
      </c>
      <c r="AG24" s="540"/>
      <c r="AH24" s="540">
        <v>10000</v>
      </c>
      <c r="AI24" s="540">
        <v>0</v>
      </c>
      <c r="AJ24" s="540"/>
      <c r="AK24" s="540"/>
      <c r="AL24" s="540"/>
      <c r="AM24" s="540"/>
    </row>
    <row r="25" spans="1:39" x14ac:dyDescent="0.2">
      <c r="A25">
        <v>21</v>
      </c>
      <c r="B25" t="s">
        <v>261</v>
      </c>
      <c r="C25">
        <v>10000</v>
      </c>
      <c r="D25">
        <v>25</v>
      </c>
      <c r="E25">
        <f t="shared" si="2"/>
        <v>8</v>
      </c>
      <c r="H25">
        <v>10000</v>
      </c>
      <c r="I25">
        <v>30</v>
      </c>
      <c r="J25" s="5">
        <v>5.5555555555555554</v>
      </c>
      <c r="L25">
        <v>10000</v>
      </c>
      <c r="M25">
        <v>0</v>
      </c>
      <c r="S25">
        <v>10000</v>
      </c>
      <c r="T25">
        <v>30</v>
      </c>
      <c r="U25" s="5">
        <f t="shared" si="0"/>
        <v>5.5555555555555554</v>
      </c>
      <c r="W25">
        <v>10000</v>
      </c>
      <c r="X25">
        <v>0</v>
      </c>
      <c r="AD25" s="539">
        <v>10000</v>
      </c>
      <c r="AE25" s="540">
        <v>30</v>
      </c>
      <c r="AF25" s="542">
        <f t="shared" si="3"/>
        <v>5.5555555555555554</v>
      </c>
      <c r="AG25" s="540"/>
      <c r="AH25" s="540">
        <v>10000</v>
      </c>
      <c r="AI25" s="540">
        <v>0</v>
      </c>
      <c r="AJ25" s="540"/>
      <c r="AK25" s="540"/>
      <c r="AL25" s="540"/>
      <c r="AM25" s="540"/>
    </row>
    <row r="26" spans="1:39" x14ac:dyDescent="0.2">
      <c r="A26">
        <v>22</v>
      </c>
      <c r="B26" t="s">
        <v>1044</v>
      </c>
      <c r="C26">
        <v>1</v>
      </c>
      <c r="D26">
        <v>10</v>
      </c>
      <c r="E26">
        <f t="shared" si="2"/>
        <v>50</v>
      </c>
      <c r="H26">
        <v>1</v>
      </c>
      <c r="I26">
        <v>10</v>
      </c>
      <c r="J26" s="626">
        <v>50</v>
      </c>
    </row>
    <row r="27" spans="1:39" x14ac:dyDescent="0.2">
      <c r="A27">
        <v>23</v>
      </c>
      <c r="B27" t="s">
        <v>1045</v>
      </c>
      <c r="C27">
        <v>1</v>
      </c>
      <c r="D27">
        <v>10</v>
      </c>
      <c r="E27">
        <f t="shared" si="2"/>
        <v>50</v>
      </c>
      <c r="H27">
        <v>1</v>
      </c>
      <c r="I27">
        <v>10</v>
      </c>
      <c r="J27" s="626">
        <v>50</v>
      </c>
    </row>
    <row r="28" spans="1:39" x14ac:dyDescent="0.2">
      <c r="A28">
        <v>24</v>
      </c>
      <c r="B28" s="657" t="s">
        <v>6</v>
      </c>
      <c r="C28">
        <v>1</v>
      </c>
      <c r="D28">
        <v>10</v>
      </c>
      <c r="E28">
        <f t="shared" si="2"/>
        <v>50</v>
      </c>
      <c r="H28">
        <v>1</v>
      </c>
      <c r="I28">
        <v>10</v>
      </c>
      <c r="J28" s="626">
        <v>50</v>
      </c>
    </row>
    <row r="29" spans="1:39" x14ac:dyDescent="0.2">
      <c r="A29">
        <v>25</v>
      </c>
      <c r="B29" s="657" t="s">
        <v>7</v>
      </c>
      <c r="C29">
        <v>1</v>
      </c>
      <c r="D29">
        <v>10</v>
      </c>
      <c r="E29">
        <f t="shared" si="2"/>
        <v>50</v>
      </c>
      <c r="H29">
        <v>1</v>
      </c>
      <c r="I29">
        <v>10</v>
      </c>
      <c r="J29" s="626">
        <v>50</v>
      </c>
    </row>
    <row r="30" spans="1:39" x14ac:dyDescent="0.2">
      <c r="E30" s="626"/>
    </row>
    <row r="31" spans="1:39" x14ac:dyDescent="0.2">
      <c r="D31" s="20"/>
      <c r="I31" s="20"/>
      <c r="T31" s="20"/>
    </row>
  </sheetData>
  <customSheetViews>
    <customSheetView guid="{1F7EA7B0-7CBB-4C85-991C-384D0AE2B3A5}" scale="75" showRuler="0">
      <selection activeCell="F32" sqref="F32"/>
      <pageMargins left="0.75" right="0.75" top="1" bottom="1" header="0.5" footer="0.5"/>
      <printOptions gridLines="1"/>
      <pageSetup paperSize="121" orientation="portrait" r:id="rId1"/>
      <headerFooter alignWithMargins="0">
        <oddHeader>&amp;A</oddHeader>
        <oddFooter>Page &amp;P</oddFooter>
      </headerFooter>
    </customSheetView>
  </customSheetViews>
  <phoneticPr fontId="13" type="noConversion"/>
  <printOptions gridLines="1" gridLinesSet="0"/>
  <pageMargins left="0.75" right="0.75" top="1" bottom="1" header="0.5" footer="0.5"/>
  <pageSetup paperSize="121" orientation="portrait" r:id="rId2"/>
  <headerFooter alignWithMargins="0">
    <oddHeader>&amp;A</oddHeader>
    <oddFooter>Page &amp;P</oddFooter>
  </headerFooter>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C1:V69"/>
  <sheetViews>
    <sheetView showGridLines="0" zoomScale="75" workbookViewId="0">
      <selection activeCell="AB19" sqref="AB19"/>
    </sheetView>
  </sheetViews>
  <sheetFormatPr defaultRowHeight="12.75" x14ac:dyDescent="0.2"/>
  <cols>
    <col min="6" max="8" width="10.28515625" customWidth="1"/>
    <col min="9" max="9" width="12" customWidth="1"/>
    <col min="10" max="10" width="9.28515625" customWidth="1"/>
    <col min="11" max="11" width="11.140625" customWidth="1"/>
    <col min="12" max="12" width="9.42578125" customWidth="1"/>
    <col min="15" max="15" width="10.5703125" customWidth="1"/>
    <col min="18" max="18" width="11.42578125" customWidth="1"/>
    <col min="22" max="22" width="9.140625" customWidth="1"/>
  </cols>
  <sheetData>
    <row r="1" spans="3:22" x14ac:dyDescent="0.2">
      <c r="C1" s="20"/>
      <c r="D1" s="69" t="s">
        <v>148</v>
      </c>
      <c r="E1" s="20" t="s">
        <v>575</v>
      </c>
      <c r="F1" s="20"/>
      <c r="G1" s="65"/>
      <c r="H1" s="65"/>
      <c r="I1" s="315"/>
      <c r="J1" s="65"/>
      <c r="K1" s="325"/>
      <c r="L1" s="317"/>
      <c r="M1" s="65"/>
      <c r="N1" s="68"/>
      <c r="O1" s="65"/>
      <c r="R1" s="21"/>
      <c r="S1" s="21"/>
    </row>
    <row r="2" spans="3:22" x14ac:dyDescent="0.2">
      <c r="C2" s="20"/>
      <c r="D2" s="65"/>
      <c r="E2" s="65"/>
      <c r="F2" s="65"/>
      <c r="G2" s="65"/>
      <c r="H2" s="65"/>
      <c r="I2" s="315"/>
      <c r="J2" s="65"/>
      <c r="K2" s="325"/>
      <c r="L2" s="317"/>
      <c r="M2" s="65"/>
      <c r="N2" s="68"/>
      <c r="O2" s="65"/>
      <c r="R2" s="21"/>
      <c r="S2" s="21"/>
    </row>
    <row r="3" spans="3:22" ht="56.25" customHeight="1" x14ac:dyDescent="0.2">
      <c r="C3" s="54" t="s">
        <v>985</v>
      </c>
      <c r="D3" s="507" t="s">
        <v>748</v>
      </c>
      <c r="E3" s="507" t="s">
        <v>749</v>
      </c>
      <c r="F3" s="507" t="s">
        <v>19</v>
      </c>
      <c r="G3" s="602" t="str">
        <f>IF(M4="watts","Power Factor", "Reactive Power Factor")</f>
        <v>Power Factor</v>
      </c>
      <c r="H3" s="838" t="s">
        <v>66</v>
      </c>
      <c r="I3" s="602" t="str">
        <f>IF(M4="watts","Measured 
Impulses
(Imp/(W.h))", "Measured Impulses (Imp/(var.h))")</f>
        <v>Measured 
Impulses
(Imp/(W.h))</v>
      </c>
      <c r="J3" s="508" t="s">
        <v>750</v>
      </c>
      <c r="K3" s="507" t="s">
        <v>576</v>
      </c>
      <c r="L3" s="509" t="s">
        <v>751</v>
      </c>
      <c r="M3" s="65" t="s">
        <v>786</v>
      </c>
      <c r="N3" s="603" t="s">
        <v>984</v>
      </c>
      <c r="O3" s="99" t="s">
        <v>577</v>
      </c>
      <c r="P3" s="23"/>
      <c r="Q3" s="19" t="s">
        <v>578</v>
      </c>
      <c r="R3" s="21" t="s">
        <v>752</v>
      </c>
      <c r="S3" s="21"/>
    </row>
    <row r="4" spans="3:22" x14ac:dyDescent="0.2">
      <c r="C4" s="54">
        <v>48</v>
      </c>
      <c r="D4" s="510">
        <f>VLOOKUP($C4,Data!$A$12:$AA$211,19,FALSE)</f>
        <v>229.9964397</v>
      </c>
      <c r="E4" s="511">
        <f>VLOOKUP($C4,Data!$A$12:$AA$211,20,FALSE)</f>
        <v>0.500016142</v>
      </c>
      <c r="F4" s="510">
        <f>-VLOOKUP($C4,Data!$A$12:$FI$618,21,FALSE)</f>
        <v>1.61966E-3</v>
      </c>
      <c r="G4" s="647" t="str">
        <f>ROUND(IF(M4="watts",COS(RADIANS(N4)),COS(RADIANS(N4-90))),Q4)&amp;" "&amp;P4</f>
        <v xml:space="preserve">1  </v>
      </c>
      <c r="H4" s="837" t="s">
        <v>92</v>
      </c>
      <c r="I4" s="510">
        <f>ABS(VLOOKUP($C4,Data!$A$12:$AA$211,26,FALSE))</f>
        <v>100002.022</v>
      </c>
      <c r="J4" s="533">
        <f>VLOOKUP($C4,Data!$A$12:$AA$211,23,FALSE)</f>
        <v>2.02198E-3</v>
      </c>
      <c r="K4" s="523">
        <f>VLOOKUP($C4,Data!$A$12:$AA$211,24,FALSE)</f>
        <v>5.0580629999999998E-3</v>
      </c>
      <c r="L4" s="515">
        <f>VLOOKUP($C4,Data!$A$12:$AA$211,25,FALSE)</f>
        <v>2.0614118690000001</v>
      </c>
      <c r="M4" s="65" t="str">
        <f>VLOOKUP($C4,Data!$A$12:$AA$211,13,FALSE)</f>
        <v>watts</v>
      </c>
      <c r="N4" s="68">
        <f>-VLOOKUP($C4,Data!$A$12:$FI$618,21,FALSE)</f>
        <v>1.61966E-3</v>
      </c>
      <c r="O4" s="361">
        <f>VLOOKUP($C4,Data!$A$12:$FI$211,18,FALSE)</f>
        <v>0</v>
      </c>
      <c r="P4" t="str">
        <f t="shared" ref="P4:P17" si="0">IF(MOD(ROUND((N4+360)/90,2),1)=0," ",IF(ISODD((N4+360)/90),"Lead", "Lag"))</f>
        <v xml:space="preserve"> </v>
      </c>
      <c r="Q4">
        <v>1</v>
      </c>
      <c r="R4" s="24">
        <f>IF((M4="watts"),K4*10000*COS(RADIANS(N4))/(40+6*(1-ABS(COS(RADIANS(N4))))),K4*10000*ABS(SIN(RADIANS(N4)))/(40+90*ABS(SIN(RADIANS(N4)))))</f>
        <v>1.2645157494189754</v>
      </c>
      <c r="S4" s="24"/>
    </row>
    <row r="5" spans="3:22" x14ac:dyDescent="0.2">
      <c r="C5" s="54">
        <v>52</v>
      </c>
      <c r="D5" s="516">
        <f>VLOOKUP($C5,Data!$A$12:$AA$211,19,FALSE)</f>
        <v>229.9968054</v>
      </c>
      <c r="E5" s="517">
        <f>VLOOKUP($C5,Data!$A$12:$AA$211,20,FALSE)</f>
        <v>0.49999961199999998</v>
      </c>
      <c r="F5" s="516">
        <f>-VLOOKUP($C5,Data!$A$12:$FI$618,21,FALSE)</f>
        <v>59.99920049</v>
      </c>
      <c r="G5" s="647" t="str">
        <f>ROUND(IF(M5="watts",COS(RADIANS(N5)),COS(RADIANS(N5-90))),Q5)&amp;" "&amp;P5</f>
        <v>0.5 Lag</v>
      </c>
      <c r="H5" s="837" t="s">
        <v>92</v>
      </c>
      <c r="I5" s="516">
        <f>ABS(VLOOKUP($C5,Data!$A$12:$AA$211,26,FALSE))</f>
        <v>99993.685740000001</v>
      </c>
      <c r="J5" s="523">
        <f>VLOOKUP($C5,Data!$A$12:$AA$211,23,FALSE)</f>
        <v>-6.3142600000000004E-3</v>
      </c>
      <c r="K5" s="523">
        <f>VLOOKUP($C5,Data!$A$12:$AA$211,24,FALSE)</f>
        <v>8.8893749999999997E-3</v>
      </c>
      <c r="L5" s="521">
        <f>VLOOKUP($C5,Data!$A$12:$AA$211,25,FALSE)</f>
        <v>2.0405737130000001</v>
      </c>
      <c r="M5" s="65" t="str">
        <f>VLOOKUP($C5,Data!$A$12:$AA$211,13,FALSE)</f>
        <v>watts</v>
      </c>
      <c r="N5" s="68">
        <f>-VLOOKUP($C5,Data!$A$12:$FI$618,21,FALSE)</f>
        <v>59.99920049</v>
      </c>
      <c r="O5" s="361">
        <f>VLOOKUP($C5,Data!$A$12:$FI$211,18,FALSE)</f>
        <v>0</v>
      </c>
      <c r="P5" t="str">
        <f t="shared" si="0"/>
        <v>Lag</v>
      </c>
      <c r="Q5">
        <v>1</v>
      </c>
      <c r="R5" s="24">
        <f t="shared" ref="R5:R17" si="1">IF((M5="watts"),K5*10000*COS(RADIANS(N5))/(40+6*(1-ABS(COS(RADIANS(N5))))),K5*10000*ABS(SIN(RADIANS(N5)))/(40+90*ABS(SIN(RADIANS(N5)))))</f>
        <v>1.0336749811411032</v>
      </c>
      <c r="S5" s="24"/>
    </row>
    <row r="6" spans="3:22" x14ac:dyDescent="0.2">
      <c r="C6" s="54">
        <v>54</v>
      </c>
      <c r="D6" s="516">
        <f>VLOOKUP($C6,Data!$A$12:$AA$211,19,FALSE)</f>
        <v>229.9967623</v>
      </c>
      <c r="E6" s="517">
        <f>VLOOKUP($C6,Data!$A$12:$AA$211,20,FALSE)</f>
        <v>0.49999369100000002</v>
      </c>
      <c r="F6" s="516">
        <f>-VLOOKUP($C6,Data!$A$12:$FI$618,21,FALSE)</f>
        <v>-36.89657236</v>
      </c>
      <c r="G6" s="647" t="str">
        <f>ROUND(IF(M6="watts",COS(RADIANS(N6)),COS(RADIANS(N6-90))),Q6)&amp;" "&amp;P6</f>
        <v>0.8 Lead</v>
      </c>
      <c r="H6" s="837" t="s">
        <v>92</v>
      </c>
      <c r="I6" s="516">
        <f>ABS(VLOOKUP($C6,Data!$A$12:$AA$211,26,FALSE))</f>
        <v>100005.18060000001</v>
      </c>
      <c r="J6" s="523">
        <f>VLOOKUP($C6,Data!$A$12:$AA$211,23,FALSE)</f>
        <v>5.1805790000000003E-3</v>
      </c>
      <c r="K6" s="523">
        <f>VLOOKUP($C6,Data!$A$12:$AA$211,24,FALSE)</f>
        <v>5.7978960000000003E-3</v>
      </c>
      <c r="L6" s="521">
        <f>VLOOKUP($C6,Data!$A$12:$AA$211,25,FALSE)</f>
        <v>2.0487617820000001</v>
      </c>
      <c r="M6" s="65" t="str">
        <f>VLOOKUP($C6,Data!$A$12:$AA$211,13,FALSE)</f>
        <v>watts</v>
      </c>
      <c r="N6" s="68">
        <f>-VLOOKUP($C6,Data!$A$12:$FI$618,21,FALSE)</f>
        <v>-36.89657236</v>
      </c>
      <c r="O6" s="361">
        <f>VLOOKUP($C6,Data!$A$12:$FI$211,18,FALSE)</f>
        <v>0</v>
      </c>
      <c r="P6" t="str">
        <f t="shared" si="0"/>
        <v>Lead</v>
      </c>
      <c r="Q6">
        <v>1</v>
      </c>
      <c r="R6" s="24">
        <f t="shared" si="1"/>
        <v>1.1253660336058011</v>
      </c>
      <c r="S6" s="24"/>
    </row>
    <row r="7" spans="3:22" x14ac:dyDescent="0.2">
      <c r="C7" s="54">
        <v>59</v>
      </c>
      <c r="D7" s="516">
        <f>VLOOKUP($C7,Data!$A$12:$AA$211,19,FALSE)</f>
        <v>229.99685030000001</v>
      </c>
      <c r="E7" s="519">
        <f>VLOOKUP($C7,Data!$A$12:$AA$211,20,FALSE)</f>
        <v>1.000022781</v>
      </c>
      <c r="F7" s="516">
        <f>-VLOOKUP($C7,Data!$A$12:$FI$618,21,FALSE)</f>
        <v>1.2966259999999999E-3</v>
      </c>
      <c r="G7" s="647" t="str">
        <f t="shared" ref="G7:G17" si="2">ROUND(IF(M7="watts",COS(RADIANS(N7)),COS(RADIANS(N7-90))),Q7)&amp;" "&amp;P7</f>
        <v xml:space="preserve">1  </v>
      </c>
      <c r="H7" s="837" t="s">
        <v>92</v>
      </c>
      <c r="I7" s="516">
        <f>ABS(VLOOKUP($C7,Data!$A$12:$AA$211,26,FALSE))</f>
        <v>100002.5232</v>
      </c>
      <c r="J7" s="523">
        <f>VLOOKUP($C7,Data!$A$12:$AA$211,23,FALSE)</f>
        <v>2.5232409999999999E-3</v>
      </c>
      <c r="K7" s="523">
        <f>VLOOKUP($C7,Data!$A$12:$AA$211,24,FALSE)</f>
        <v>4.7127660000000002E-3</v>
      </c>
      <c r="L7" s="521">
        <f>VLOOKUP($C7,Data!$A$12:$AA$211,25,FALSE)</f>
        <v>2.0833758410000001</v>
      </c>
      <c r="M7" s="65" t="str">
        <f>VLOOKUP($C7,Data!$A$12:$AA$211,13,FALSE)</f>
        <v>watts</v>
      </c>
      <c r="N7" s="68">
        <f>-VLOOKUP($C7,Data!$A$12:$FI$618,21,FALSE)</f>
        <v>1.2966259999999999E-3</v>
      </c>
      <c r="O7" s="361">
        <f>VLOOKUP($C7,Data!$A$12:$FI$211,18,FALSE)</f>
        <v>0</v>
      </c>
      <c r="P7" t="str">
        <f t="shared" si="0"/>
        <v xml:space="preserve"> </v>
      </c>
      <c r="Q7">
        <v>1</v>
      </c>
      <c r="R7" s="24">
        <f t="shared" si="1"/>
        <v>1.1781914996530489</v>
      </c>
      <c r="S7" s="24"/>
    </row>
    <row r="8" spans="3:22" x14ac:dyDescent="0.2">
      <c r="C8" s="54">
        <v>60</v>
      </c>
      <c r="D8" s="516">
        <f>VLOOKUP($C8,Data!$A$12:$AA$211,19,FALSE)</f>
        <v>229.9968949</v>
      </c>
      <c r="E8" s="519">
        <f>VLOOKUP($C8,Data!$A$12:$AA$211,20,FALSE)</f>
        <v>0.99998790999999998</v>
      </c>
      <c r="F8" s="516">
        <f>-VLOOKUP($C8,Data!$A$12:$FI$618,21,FALSE)</f>
        <v>59.998517149999998</v>
      </c>
      <c r="G8" s="647" t="str">
        <f t="shared" si="2"/>
        <v>0.5 Lag</v>
      </c>
      <c r="H8" s="837" t="s">
        <v>92</v>
      </c>
      <c r="I8" s="516">
        <f>ABS(VLOOKUP($C8,Data!$A$12:$AA$211,26,FALSE))</f>
        <v>99994.269750000007</v>
      </c>
      <c r="J8" s="523">
        <f>VLOOKUP($C8,Data!$A$12:$AA$211,23,FALSE)</f>
        <v>-5.7302489999999998E-3</v>
      </c>
      <c r="K8" s="523">
        <f>VLOOKUP($C8,Data!$A$12:$AA$211,24,FALSE)</f>
        <v>8.6366789999999995E-3</v>
      </c>
      <c r="L8" s="521">
        <f>VLOOKUP($C8,Data!$A$12:$AA$211,25,FALSE)</f>
        <v>2.0474173379999998</v>
      </c>
      <c r="M8" s="65" t="str">
        <f>VLOOKUP($C8,Data!$A$12:$AA$211,13,FALSE)</f>
        <v>watts</v>
      </c>
      <c r="N8" s="68">
        <f>-VLOOKUP($C8,Data!$A$12:$FI$618,21,FALSE)</f>
        <v>59.998517149999998</v>
      </c>
      <c r="O8" s="361">
        <f>VLOOKUP($C8,Data!$A$12:$FI$211,18,FALSE)</f>
        <v>0</v>
      </c>
      <c r="P8" t="str">
        <f t="shared" si="0"/>
        <v>Lag</v>
      </c>
      <c r="Q8">
        <v>1</v>
      </c>
      <c r="R8" s="24">
        <f t="shared" si="1"/>
        <v>1.0043131582872993</v>
      </c>
      <c r="S8" s="24"/>
      <c r="T8" s="17"/>
    </row>
    <row r="9" spans="3:22" x14ac:dyDescent="0.2">
      <c r="C9" s="54">
        <v>64</v>
      </c>
      <c r="D9" s="516">
        <f>VLOOKUP($C9,Data!$A$12:$AA$211,19,FALSE)</f>
        <v>229.9968858</v>
      </c>
      <c r="E9" s="519">
        <f>VLOOKUP($C9,Data!$A$12:$AA$211,20,FALSE)</f>
        <v>0.99998839299999998</v>
      </c>
      <c r="F9" s="516">
        <f>-VLOOKUP($C9,Data!$A$12:$FI$618,21,FALSE)</f>
        <v>-36.897151899999997</v>
      </c>
      <c r="G9" s="647" t="str">
        <f t="shared" si="2"/>
        <v>0.8 Lead</v>
      </c>
      <c r="H9" s="837" t="s">
        <v>92</v>
      </c>
      <c r="I9" s="516">
        <f>ABS(VLOOKUP($C9,Data!$A$12:$AA$211,26,FALSE))</f>
        <v>100006.2852</v>
      </c>
      <c r="J9" s="523">
        <f>VLOOKUP($C9,Data!$A$12:$AA$211,23,FALSE)</f>
        <v>6.2851749999999996E-3</v>
      </c>
      <c r="K9" s="523">
        <f>VLOOKUP($C9,Data!$A$12:$AA$211,24,FALSE)</f>
        <v>5.70252E-3</v>
      </c>
      <c r="L9" s="521">
        <f>VLOOKUP($C9,Data!$A$12:$AA$211,25,FALSE)</f>
        <v>2.0544265500000001</v>
      </c>
      <c r="M9" s="65" t="str">
        <f>VLOOKUP($C9,Data!$A$12:$AA$211,13,FALSE)</f>
        <v>watts</v>
      </c>
      <c r="N9" s="68">
        <f>-VLOOKUP($C9,Data!$A$12:$FI$618,21,FALSE)</f>
        <v>-36.897151899999997</v>
      </c>
      <c r="O9" s="361">
        <f>VLOOKUP($C9,Data!$A$12:$FI$211,18,FALSE)</f>
        <v>0</v>
      </c>
      <c r="P9" t="str">
        <f t="shared" si="0"/>
        <v>Lead</v>
      </c>
      <c r="Q9">
        <v>1</v>
      </c>
      <c r="R9" s="24">
        <f t="shared" si="1"/>
        <v>1.1068442599937851</v>
      </c>
      <c r="S9" s="24"/>
      <c r="T9" s="17"/>
      <c r="V9" s="258"/>
    </row>
    <row r="10" spans="3:22" x14ac:dyDescent="0.2">
      <c r="C10" s="54">
        <v>13</v>
      </c>
      <c r="D10" s="516">
        <f>VLOOKUP($C10,Data!$A$12:$AA$211,19,FALSE)</f>
        <v>229.99676489999999</v>
      </c>
      <c r="E10" s="519">
        <f>VLOOKUP($C10,Data!$A$12:$AA$211,20,FALSE)</f>
        <v>2.0000888720000001</v>
      </c>
      <c r="F10" s="516">
        <f>-VLOOKUP($C10,Data!$A$12:$FI$618,21,FALSE)</f>
        <v>2.5417059999999999E-3</v>
      </c>
      <c r="G10" s="647" t="str">
        <f t="shared" si="2"/>
        <v xml:space="preserve">1  </v>
      </c>
      <c r="H10" s="837" t="s">
        <v>92</v>
      </c>
      <c r="I10" s="516">
        <f>ABS(VLOOKUP($C10,Data!$A$12:$AA$211,26,FALSE))</f>
        <v>100003.2208</v>
      </c>
      <c r="J10" s="523">
        <f>VLOOKUP($C10,Data!$A$12:$AA$211,23,FALSE)</f>
        <v>3.2208100000000002E-3</v>
      </c>
      <c r="K10" s="523">
        <f>VLOOKUP($C10,Data!$A$12:$AA$211,24,FALSE)</f>
        <v>4.7754579999999998E-3</v>
      </c>
      <c r="L10" s="521">
        <f>VLOOKUP($C10,Data!$A$12:$AA$211,25,FALSE)</f>
        <v>2.0755541289999999</v>
      </c>
      <c r="M10" s="65" t="str">
        <f>VLOOKUP($C10,Data!$A$12:$AA$211,13,FALSE)</f>
        <v>watts</v>
      </c>
      <c r="N10" s="68">
        <f>-VLOOKUP($C10,Data!$A$12:$FI$618,21,FALSE)</f>
        <v>2.5417059999999999E-3</v>
      </c>
      <c r="O10" s="361">
        <f>VLOOKUP($C10,Data!$A$12:$FI$211,18,FALSE)</f>
        <v>0</v>
      </c>
      <c r="P10" t="str">
        <f t="shared" si="0"/>
        <v xml:space="preserve"> </v>
      </c>
      <c r="Q10">
        <v>1</v>
      </c>
      <c r="R10" s="24">
        <f t="shared" si="1"/>
        <v>1.1938644986490845</v>
      </c>
      <c r="S10" s="24"/>
    </row>
    <row r="11" spans="3:22" x14ac:dyDescent="0.2">
      <c r="C11" s="54">
        <v>17</v>
      </c>
      <c r="D11" s="516">
        <f>VLOOKUP($C11,Data!$A$12:$AA$211,19,FALSE)</f>
        <v>229.99669249999999</v>
      </c>
      <c r="E11" s="519">
        <f>VLOOKUP($C11,Data!$A$12:$AA$211,20,FALSE)</f>
        <v>2.000032757</v>
      </c>
      <c r="F11" s="516">
        <f>-VLOOKUP($C11,Data!$A$12:$FI$618,21,FALSE)</f>
        <v>60.000384949999997</v>
      </c>
      <c r="G11" s="647" t="str">
        <f t="shared" si="2"/>
        <v>0.5 Lag</v>
      </c>
      <c r="H11" s="837" t="s">
        <v>92</v>
      </c>
      <c r="I11" s="516">
        <f>ABS(VLOOKUP($C11,Data!$A$12:$AA$211,26,FALSE))</f>
        <v>99996.722339999993</v>
      </c>
      <c r="J11" s="523">
        <f>VLOOKUP($C11,Data!$A$12:$AA$211,23,FALSE)</f>
        <v>-3.2776609999999999E-3</v>
      </c>
      <c r="K11" s="523">
        <f>VLOOKUP($C11,Data!$A$12:$AA$211,24,FALSE)</f>
        <v>8.6925449999999994E-3</v>
      </c>
      <c r="L11" s="521">
        <f>VLOOKUP($C11,Data!$A$12:$AA$211,25,FALSE)</f>
        <v>2.0446643689999999</v>
      </c>
      <c r="M11" s="65" t="str">
        <f>VLOOKUP($C11,Data!$A$12:$AA$211,13,FALSE)</f>
        <v>watts</v>
      </c>
      <c r="N11" s="68">
        <f>-VLOOKUP($C11,Data!$A$12:$FI$618,21,FALSE)</f>
        <v>60.000384949999997</v>
      </c>
      <c r="O11" s="361">
        <f>VLOOKUP($C11,Data!$A$12:$FI$211,18,FALSE)</f>
        <v>0</v>
      </c>
      <c r="P11" t="str">
        <f t="shared" si="0"/>
        <v>Lag</v>
      </c>
      <c r="Q11">
        <v>1</v>
      </c>
      <c r="R11" s="24">
        <f t="shared" si="1"/>
        <v>1.0107484636134834</v>
      </c>
      <c r="S11" s="24"/>
    </row>
    <row r="12" spans="3:22" x14ac:dyDescent="0.2">
      <c r="C12" s="54">
        <v>19</v>
      </c>
      <c r="D12" s="516">
        <f>VLOOKUP($C12,Data!$A$12:$AA$211,19,FALSE)</f>
        <v>229.99662739999999</v>
      </c>
      <c r="E12" s="519">
        <f>VLOOKUP($C12,Data!$A$12:$AA$211,20,FALSE)</f>
        <v>2.0000401779999999</v>
      </c>
      <c r="F12" s="516">
        <f>-VLOOKUP($C12,Data!$A$12:$FI$618,21,FALSE)</f>
        <v>-36.866424090000002</v>
      </c>
      <c r="G12" s="647" t="str">
        <f t="shared" si="2"/>
        <v>0.8 Lead</v>
      </c>
      <c r="H12" s="837" t="s">
        <v>92</v>
      </c>
      <c r="I12" s="516">
        <f>ABS(VLOOKUP($C12,Data!$A$12:$AA$211,26,FALSE))</f>
        <v>100003.6358</v>
      </c>
      <c r="J12" s="523">
        <f>VLOOKUP($C12,Data!$A$12:$AA$211,23,FALSE)</f>
        <v>3.6357630000000002E-3</v>
      </c>
      <c r="K12" s="523">
        <f>VLOOKUP($C12,Data!$A$12:$AA$211,24,FALSE)</f>
        <v>5.7158799999999996E-3</v>
      </c>
      <c r="L12" s="521">
        <f>VLOOKUP($C12,Data!$A$12:$AA$211,25,FALSE)</f>
        <v>2.0531123299999998</v>
      </c>
      <c r="M12" s="65" t="str">
        <f>VLOOKUP($C12,Data!$A$12:$AA$211,13,FALSE)</f>
        <v>watts</v>
      </c>
      <c r="N12" s="68">
        <f>-VLOOKUP($C12,Data!$A$12:$FI$618,21,FALSE)</f>
        <v>-36.866424090000002</v>
      </c>
      <c r="O12" s="361">
        <f>VLOOKUP($C12,Data!$A$12:$FI$211,18,FALSE)</f>
        <v>0</v>
      </c>
      <c r="P12" t="str">
        <f t="shared" si="0"/>
        <v>Lead</v>
      </c>
      <c r="Q12">
        <v>1</v>
      </c>
      <c r="R12" s="24">
        <f t="shared" si="1"/>
        <v>1.1099359538961227</v>
      </c>
      <c r="S12" s="24"/>
    </row>
    <row r="13" spans="3:22" x14ac:dyDescent="0.2">
      <c r="C13" s="54">
        <v>22</v>
      </c>
      <c r="D13" s="516">
        <f>VLOOKUP($C13,Data!$A$12:$AA$211,19,FALSE)</f>
        <v>229.99674909999999</v>
      </c>
      <c r="E13" s="519">
        <f>VLOOKUP($C13,Data!$A$12:$AA$211,20,FALSE)</f>
        <v>5.0002081399999998</v>
      </c>
      <c r="F13" s="516">
        <f>-VLOOKUP($C13,Data!$A$12:$FI$618,21,FALSE)</f>
        <v>1.2440489999999999E-3</v>
      </c>
      <c r="G13" s="647" t="str">
        <f t="shared" si="2"/>
        <v xml:space="preserve">1  </v>
      </c>
      <c r="H13" s="837" t="s">
        <v>92</v>
      </c>
      <c r="I13" s="516">
        <f>ABS(VLOOKUP($C13,Data!$A$12:$AA$211,26,FALSE))</f>
        <v>100002.9853</v>
      </c>
      <c r="J13" s="523">
        <f>VLOOKUP($C13,Data!$A$12:$AA$211,23,FALSE)</f>
        <v>2.9853179999999998E-3</v>
      </c>
      <c r="K13" s="523">
        <f>VLOOKUP($C13,Data!$A$12:$AA$211,24,FALSE)</f>
        <v>4.7236609999999997E-3</v>
      </c>
      <c r="L13" s="521">
        <f>VLOOKUP($C13,Data!$A$12:$AA$211,25,FALSE)</f>
        <v>2.0819292140000001</v>
      </c>
      <c r="M13" s="65" t="str">
        <f>VLOOKUP($C13,Data!$A$12:$AA$211,13,FALSE)</f>
        <v>watts</v>
      </c>
      <c r="N13" s="68">
        <f>-VLOOKUP($C13,Data!$A$12:$FI$618,21,FALSE)</f>
        <v>1.2440489999999999E-3</v>
      </c>
      <c r="O13" s="361">
        <f>VLOOKUP($C13,Data!$A$12:$FI$211,18,FALSE)</f>
        <v>0</v>
      </c>
      <c r="P13" t="str">
        <f t="shared" si="0"/>
        <v xml:space="preserve"> </v>
      </c>
      <c r="Q13">
        <v>1</v>
      </c>
      <c r="R13" s="24">
        <f t="shared" si="1"/>
        <v>1.1809152496798776</v>
      </c>
      <c r="S13" s="21"/>
    </row>
    <row r="14" spans="3:22" x14ac:dyDescent="0.2">
      <c r="C14" s="54">
        <v>25</v>
      </c>
      <c r="D14" s="516">
        <f>VLOOKUP($C14,Data!$A$12:$AA$211,19,FALSE)</f>
        <v>229.996814</v>
      </c>
      <c r="E14" s="519">
        <f>VLOOKUP($C14,Data!$A$12:$AA$211,20,FALSE)</f>
        <v>5.0000599320000001</v>
      </c>
      <c r="F14" s="516">
        <f>-VLOOKUP($C14,Data!$A$12:$FI$618,21,FALSE)</f>
        <v>59.998766209999999</v>
      </c>
      <c r="G14" s="647" t="str">
        <f t="shared" si="2"/>
        <v>0.5 Lag</v>
      </c>
      <c r="H14" s="837" t="s">
        <v>92</v>
      </c>
      <c r="I14" s="516">
        <f>ABS(VLOOKUP($C14,Data!$A$12:$AA$211,26,FALSE))</f>
        <v>99995.794370000003</v>
      </c>
      <c r="J14" s="523">
        <f>VLOOKUP($C14,Data!$A$12:$AA$211,23,FALSE)</f>
        <v>-4.2056300000000001E-3</v>
      </c>
      <c r="K14" s="523">
        <f>VLOOKUP($C14,Data!$A$12:$AA$211,24,FALSE)</f>
        <v>8.6097610000000005E-3</v>
      </c>
      <c r="L14" s="521">
        <f>VLOOKUP($C14,Data!$A$12:$AA$211,25,FALSE)</f>
        <v>2.0483293300000001</v>
      </c>
      <c r="M14" s="65" t="str">
        <f>VLOOKUP($C14,Data!$A$12:$AA$211,13,FALSE)</f>
        <v>watts</v>
      </c>
      <c r="N14" s="68">
        <f>-VLOOKUP($C14,Data!$A$12:$FI$618,21,FALSE)</f>
        <v>59.998766209999999</v>
      </c>
      <c r="O14" s="361">
        <f>VLOOKUP($C14,Data!$A$12:$FI$211,18,FALSE)</f>
        <v>0</v>
      </c>
      <c r="P14" t="str">
        <f t="shared" si="0"/>
        <v>Lag</v>
      </c>
      <c r="Q14">
        <v>1</v>
      </c>
      <c r="R14" s="24">
        <f t="shared" si="1"/>
        <v>1.001174944748588</v>
      </c>
      <c r="S14" s="21"/>
    </row>
    <row r="15" spans="3:22" x14ac:dyDescent="0.2">
      <c r="C15" s="54">
        <v>29</v>
      </c>
      <c r="D15" s="516">
        <f>VLOOKUP($C15,Data!$A$12:$AA$211,19,FALSE)</f>
        <v>229.9967235</v>
      </c>
      <c r="E15" s="519">
        <f>VLOOKUP($C15,Data!$A$12:$AA$211,20,FALSE)</f>
        <v>5.0000426530000004</v>
      </c>
      <c r="F15" s="516">
        <f>-VLOOKUP($C15,Data!$A$12:$FI$618,21,FALSE)</f>
        <v>-36.867290259999997</v>
      </c>
      <c r="G15" s="647" t="str">
        <f t="shared" si="2"/>
        <v>0.8 Lead</v>
      </c>
      <c r="H15" s="837" t="s">
        <v>92</v>
      </c>
      <c r="I15" s="516">
        <f>ABS(VLOOKUP($C15,Data!$A$12:$AA$211,26,FALSE))</f>
        <v>100006.4108</v>
      </c>
      <c r="J15" s="523">
        <f>VLOOKUP($C15,Data!$A$12:$AA$211,23,FALSE)</f>
        <v>6.410832E-3</v>
      </c>
      <c r="K15" s="523">
        <f>VLOOKUP($C15,Data!$A$12:$AA$211,24,FALSE)</f>
        <v>5.6157129999999996E-3</v>
      </c>
      <c r="L15" s="521">
        <f>VLOOKUP($C15,Data!$A$12:$AA$211,25,FALSE)</f>
        <v>2.060746548</v>
      </c>
      <c r="M15" s="65" t="str">
        <f>VLOOKUP($C15,Data!$A$12:$AA$211,13,FALSE)</f>
        <v>watts</v>
      </c>
      <c r="N15" s="68">
        <f>-VLOOKUP($C15,Data!$A$12:$FI$618,21,FALSE)</f>
        <v>-36.867290259999997</v>
      </c>
      <c r="O15" s="361">
        <f>VLOOKUP($C15,Data!$A$12:$FI$211,18,FALSE)</f>
        <v>0</v>
      </c>
      <c r="P15" t="str">
        <f t="shared" si="0"/>
        <v>Lead</v>
      </c>
      <c r="Q15">
        <v>1</v>
      </c>
      <c r="R15" s="24">
        <f t="shared" si="1"/>
        <v>1.0904712606272398</v>
      </c>
      <c r="S15" s="21"/>
    </row>
    <row r="16" spans="3:22" x14ac:dyDescent="0.2">
      <c r="C16" s="54">
        <v>85</v>
      </c>
      <c r="D16" s="516">
        <f>VLOOKUP($C16,Data!$A$12:$AA$211,19,FALSE)</f>
        <v>229.9966483</v>
      </c>
      <c r="E16" s="519">
        <f>VLOOKUP($C16,Data!$A$12:$AA$211,20,FALSE)</f>
        <v>6.0002852960000004</v>
      </c>
      <c r="F16" s="516">
        <f>-VLOOKUP($C16,Data!$A$12:$FI$618,21,FALSE)</f>
        <v>2.0048760000000001E-3</v>
      </c>
      <c r="G16" s="647" t="str">
        <f t="shared" si="2"/>
        <v xml:space="preserve">1  </v>
      </c>
      <c r="H16" s="837" t="s">
        <v>92</v>
      </c>
      <c r="I16" s="516">
        <f>ABS(VLOOKUP($C16,Data!$A$12:$AA$211,26,FALSE))</f>
        <v>100002.8067</v>
      </c>
      <c r="J16" s="523">
        <f>VLOOKUP($C16,Data!$A$12:$AA$211,23,FALSE)</f>
        <v>2.8067019999999999E-3</v>
      </c>
      <c r="K16" s="523">
        <f>VLOOKUP($C16,Data!$A$12:$AA$211,24,FALSE)</f>
        <v>4.7268850000000001E-3</v>
      </c>
      <c r="L16" s="521">
        <f>VLOOKUP($C16,Data!$A$12:$AA$211,25,FALSE)</f>
        <v>2.0815167240000001</v>
      </c>
      <c r="M16" s="65" t="str">
        <f>VLOOKUP($C16,Data!$A$12:$AA$211,13,FALSE)</f>
        <v>watts</v>
      </c>
      <c r="N16" s="68">
        <f>-VLOOKUP($C16,Data!$A$12:$FI$618,21,FALSE)</f>
        <v>2.0048760000000001E-3</v>
      </c>
      <c r="O16" s="361">
        <f>VLOOKUP($C16,Data!$A$12:$FI$211,18,FALSE)</f>
        <v>0</v>
      </c>
      <c r="P16" t="str">
        <f t="shared" si="0"/>
        <v xml:space="preserve"> </v>
      </c>
      <c r="Q16">
        <v>1</v>
      </c>
      <c r="R16" s="24">
        <f t="shared" si="1"/>
        <v>1.1817212491680205</v>
      </c>
      <c r="S16" s="24"/>
    </row>
    <row r="17" spans="3:20" x14ac:dyDescent="0.2">
      <c r="C17" s="54">
        <v>88</v>
      </c>
      <c r="D17" s="516">
        <f>VLOOKUP($C17,Data!$A$12:$AA$211,19,FALSE)</f>
        <v>229.99678560000001</v>
      </c>
      <c r="E17" s="519">
        <f>VLOOKUP($C17,Data!$A$12:$AA$211,20,FALSE)</f>
        <v>6.0001974479999998</v>
      </c>
      <c r="F17" s="516">
        <f>-VLOOKUP($C17,Data!$A$12:$FI$618,21,FALSE)</f>
        <v>59.999798679999998</v>
      </c>
      <c r="G17" s="647" t="str">
        <f t="shared" si="2"/>
        <v>0.5 Lag</v>
      </c>
      <c r="H17" s="837" t="s">
        <v>92</v>
      </c>
      <c r="I17" s="516">
        <f>ABS(VLOOKUP($C17,Data!$A$12:$AA$211,26,FALSE))</f>
        <v>99998.393939999994</v>
      </c>
      <c r="J17" s="523">
        <f>VLOOKUP($C17,Data!$A$12:$AA$211,23,FALSE)</f>
        <v>-1.6060619999999999E-3</v>
      </c>
      <c r="K17" s="523">
        <f>VLOOKUP($C17,Data!$A$12:$AA$211,24,FALSE)</f>
        <v>8.6500670000000009E-3</v>
      </c>
      <c r="L17" s="521">
        <f>VLOOKUP($C17,Data!$A$12:$AA$211,25,FALSE)</f>
        <v>2.0465566430000002</v>
      </c>
      <c r="M17" s="65" t="str">
        <f>VLOOKUP($C17,Data!$A$12:$AA$211,13,FALSE)</f>
        <v>watts</v>
      </c>
      <c r="N17" s="68">
        <f>-VLOOKUP($C17,Data!$A$12:$FI$618,21,FALSE)</f>
        <v>59.999798679999998</v>
      </c>
      <c r="O17" s="361">
        <f>VLOOKUP($C17,Data!$A$12:$FI$211,18,FALSE)</f>
        <v>0</v>
      </c>
      <c r="P17" t="str">
        <f t="shared" si="0"/>
        <v>Lag</v>
      </c>
      <c r="Q17">
        <v>1</v>
      </c>
      <c r="R17" s="24">
        <f t="shared" si="1"/>
        <v>1.0058282925838897</v>
      </c>
      <c r="S17" s="24"/>
    </row>
    <row r="18" spans="3:20" x14ac:dyDescent="0.2">
      <c r="C18" s="54">
        <v>91</v>
      </c>
      <c r="D18" s="516">
        <f>VLOOKUP($C18,Data!$A$12:$AA$211,19,FALSE)</f>
        <v>229.9966197</v>
      </c>
      <c r="E18" s="519">
        <f>VLOOKUP($C18,Data!$A$12:$AA$211,20,FALSE)</f>
        <v>6.0000353430000004</v>
      </c>
      <c r="F18" s="516">
        <f>-VLOOKUP($C18,Data!$A$12:$FI$618,21,FALSE)</f>
        <v>-36.866855360000002</v>
      </c>
      <c r="G18" s="647" t="str">
        <f t="shared" ref="G18:G27" si="3">ROUND(IF(M18="watts",COS(RADIANS(N18)),COS(RADIANS(N18-90))),Q18)&amp;" "&amp;P18</f>
        <v>0.8 Lead</v>
      </c>
      <c r="H18" s="837" t="s">
        <v>92</v>
      </c>
      <c r="I18" s="516">
        <f>ABS(VLOOKUP($C18,Data!$A$12:$AA$211,26,FALSE))</f>
        <v>100008.0184</v>
      </c>
      <c r="J18" s="523">
        <f>VLOOKUP($C18,Data!$A$12:$AA$211,23,FALSE)</f>
        <v>8.018397E-3</v>
      </c>
      <c r="K18" s="523">
        <f>VLOOKUP($C18,Data!$A$12:$AA$211,24,FALSE)</f>
        <v>5.7070480000000002E-3</v>
      </c>
      <c r="L18" s="521">
        <f>VLOOKUP($C18,Data!$A$12:$AA$211,25,FALSE)</f>
        <v>2.0537386789999998</v>
      </c>
      <c r="M18" s="65" t="str">
        <f>VLOOKUP($C18,Data!$A$12:$AA$211,13,FALSE)</f>
        <v>watts</v>
      </c>
      <c r="N18" s="68">
        <f>-VLOOKUP($C18,Data!$A$12:$FI$618,21,FALSE)</f>
        <v>-36.866855360000002</v>
      </c>
      <c r="O18" s="361">
        <f>VLOOKUP($C18,Data!$A$12:$FI$211,18,FALSE)</f>
        <v>0</v>
      </c>
      <c r="P18" t="str">
        <f>IF(MOD(ROUND((N18+360)/90,2),1)=0," ",IF(ISODD((N18+360)/90),"Lead", "Lag"))</f>
        <v>Lead</v>
      </c>
      <c r="Q18">
        <v>1</v>
      </c>
      <c r="R18" s="24">
        <f>IF((M18="watts"),K18*10000*COS(RADIANS(N18))/(40+6*(1-ABS(COS(RADIANS(N18))))),K18*10000*ABS(SIN(RADIANS(N18)))/(40+90*ABS(SIN(RADIANS(N18)))))</f>
        <v>1.1082139310607257</v>
      </c>
      <c r="S18" s="24"/>
    </row>
    <row r="19" spans="3:20" x14ac:dyDescent="0.2">
      <c r="C19" s="54">
        <v>94</v>
      </c>
      <c r="D19" s="516">
        <f>VLOOKUP($C19,Data!$A$12:$AA$211,19,FALSE)</f>
        <v>229.99687710000001</v>
      </c>
      <c r="E19" s="519">
        <f>VLOOKUP($C19,Data!$A$12:$AA$211,20,FALSE)</f>
        <v>10.000385769999999</v>
      </c>
      <c r="F19" s="516">
        <f>-VLOOKUP($C19,Data!$A$12:$FI$618,21,FALSE)</f>
        <v>9.5926500000000005E-4</v>
      </c>
      <c r="G19" s="647" t="str">
        <f t="shared" si="3"/>
        <v xml:space="preserve">1  </v>
      </c>
      <c r="H19" s="837" t="s">
        <v>92</v>
      </c>
      <c r="I19" s="516">
        <f>ABS(VLOOKUP($C19,Data!$A$12:$AA$211,26,FALSE))</f>
        <v>100001.6436</v>
      </c>
      <c r="J19" s="523">
        <f>VLOOKUP($C19,Data!$A$12:$AA$211,23,FALSE)</f>
        <v>1.643601E-3</v>
      </c>
      <c r="K19" s="523">
        <f>VLOOKUP($C19,Data!$A$12:$AA$211,24,FALSE)</f>
        <v>4.7109789999999997E-3</v>
      </c>
      <c r="L19" s="521">
        <f>VLOOKUP($C19,Data!$A$12:$AA$211,25,FALSE)</f>
        <v>2.0836004039999998</v>
      </c>
      <c r="M19" s="65" t="str">
        <f>VLOOKUP($C19,Data!$A$12:$AA$211,13,FALSE)</f>
        <v>watts</v>
      </c>
      <c r="N19" s="68">
        <f>-VLOOKUP($C19,Data!$A$12:$FI$618,21,FALSE)</f>
        <v>9.5926500000000005E-4</v>
      </c>
      <c r="O19" s="361">
        <f>VLOOKUP($C19,Data!$A$12:$FI$211,18,FALSE)</f>
        <v>0</v>
      </c>
      <c r="P19" t="str">
        <f>IF(MOD(ROUND((N19+360)/90,2),1)=0," ",IF(ISODD((N19+360)/90),"Lead", "Lag"))</f>
        <v xml:space="preserve"> </v>
      </c>
      <c r="Q19">
        <v>1</v>
      </c>
      <c r="R19" s="24">
        <f>IF((M19="watts"),K19*10000*COS(RADIANS(N19))/(40+6*(1-ABS(COS(RADIANS(N19))))),K19*10000*ABS(SIN(RADIANS(N19)))/(40+90*ABS(SIN(RADIANS(N19)))))</f>
        <v>1.1777447498101759</v>
      </c>
      <c r="S19" s="24"/>
    </row>
    <row r="20" spans="3:20" x14ac:dyDescent="0.2">
      <c r="C20" s="54">
        <v>98</v>
      </c>
      <c r="D20" s="516">
        <f>VLOOKUP($C20,Data!$A$12:$AA$211,19,FALSE)</f>
        <v>229.99693769999999</v>
      </c>
      <c r="E20" s="519">
        <f>VLOOKUP($C20,Data!$A$12:$AA$211,20,FALSE)</f>
        <v>10.000093010000001</v>
      </c>
      <c r="F20" s="516">
        <f>-VLOOKUP($C20,Data!$A$12:$FI$618,21,FALSE)</f>
        <v>59.998738529999997</v>
      </c>
      <c r="G20" s="647" t="str">
        <f t="shared" si="3"/>
        <v>0.5 Lag</v>
      </c>
      <c r="H20" s="837" t="s">
        <v>92</v>
      </c>
      <c r="I20" s="516">
        <f>ABS(VLOOKUP($C20,Data!$A$12:$AA$211,26,FALSE))</f>
        <v>99993.650649999996</v>
      </c>
      <c r="J20" s="523">
        <f>VLOOKUP($C20,Data!$A$12:$AA$211,23,FALSE)</f>
        <v>-6.3493489999999998E-3</v>
      </c>
      <c r="K20" s="523">
        <f>VLOOKUP($C20,Data!$A$12:$AA$211,24,FALSE)</f>
        <v>8.5107380000000003E-3</v>
      </c>
      <c r="L20" s="521">
        <f>VLOOKUP($C20,Data!$A$12:$AA$211,25,FALSE)</f>
        <v>2.052492923</v>
      </c>
      <c r="M20" s="65" t="str">
        <f>VLOOKUP($C20,Data!$A$12:$AA$211,13,FALSE)</f>
        <v>watts</v>
      </c>
      <c r="N20" s="68">
        <f>-VLOOKUP($C20,Data!$A$12:$FI$618,21,FALSE)</f>
        <v>59.998738529999997</v>
      </c>
      <c r="O20" s="361">
        <f>VLOOKUP($C20,Data!$A$12:$FI$211,18,FALSE)</f>
        <v>0</v>
      </c>
      <c r="P20" t="str">
        <f t="shared" ref="P20:P27" si="4">IF(MOD(ROUND((N20+360)/90,2),1)=0," ",IF(ISODD((N20+360)/90),"Lead", "Lag"))</f>
        <v>Lag</v>
      </c>
      <c r="Q20">
        <v>1</v>
      </c>
      <c r="R20" s="24">
        <f t="shared" ref="R20:R27" si="5">IF((M20="watts"),K20*10000*COS(RADIANS(N20))/(40+6*(1-ABS(COS(RADIANS(N20))))),K20*10000*ABS(SIN(RADIANS(N20)))/(40+90*ABS(SIN(RADIANS(N20)))))</f>
        <v>0.98966106885621052</v>
      </c>
      <c r="S20" s="24"/>
    </row>
    <row r="21" spans="3:20" x14ac:dyDescent="0.2">
      <c r="C21" s="54">
        <v>99</v>
      </c>
      <c r="D21" s="516">
        <f>VLOOKUP($C21,Data!$A$12:$AA$211,19,FALSE)</f>
        <v>229.99682530000001</v>
      </c>
      <c r="E21" s="519">
        <f>VLOOKUP($C21,Data!$A$12:$AA$211,20,FALSE)</f>
        <v>10.00008601</v>
      </c>
      <c r="F21" s="516">
        <f>-VLOOKUP($C21,Data!$A$12:$FI$618,21,FALSE)</f>
        <v>-36.867775600000002</v>
      </c>
      <c r="G21" s="647" t="str">
        <f t="shared" si="3"/>
        <v>0.8 Lead</v>
      </c>
      <c r="H21" s="837" t="s">
        <v>92</v>
      </c>
      <c r="I21" s="516">
        <f>ABS(VLOOKUP($C21,Data!$A$12:$AA$211,26,FALSE))</f>
        <v>100005.50569999999</v>
      </c>
      <c r="J21" s="523">
        <f>VLOOKUP($C21,Data!$A$12:$AA$211,23,FALSE)</f>
        <v>5.5057459999999997E-3</v>
      </c>
      <c r="K21" s="523">
        <f>VLOOKUP($C21,Data!$A$12:$AA$211,24,FALSE)</f>
        <v>5.6643739999999998E-3</v>
      </c>
      <c r="L21" s="521">
        <f>VLOOKUP($C21,Data!$A$12:$AA$211,25,FALSE)</f>
        <v>2.056884154</v>
      </c>
      <c r="M21" s="65" t="str">
        <f>VLOOKUP($C21,Data!$A$12:$AA$211,13,FALSE)</f>
        <v>watts</v>
      </c>
      <c r="N21" s="68">
        <f>-VLOOKUP($C21,Data!$A$12:$FI$618,21,FALSE)</f>
        <v>-36.867775600000002</v>
      </c>
      <c r="O21" s="361">
        <f>VLOOKUP($C21,Data!$A$12:$FI$211,18,FALSE)</f>
        <v>0</v>
      </c>
      <c r="P21" t="str">
        <f t="shared" si="4"/>
        <v>Lead</v>
      </c>
      <c r="Q21">
        <v>1</v>
      </c>
      <c r="R21" s="24">
        <f t="shared" si="5"/>
        <v>1.0999125572037973</v>
      </c>
      <c r="S21" s="24"/>
    </row>
    <row r="22" spans="3:20" x14ac:dyDescent="0.2">
      <c r="C22" s="54">
        <v>115</v>
      </c>
      <c r="D22" s="516">
        <f>VLOOKUP($C22,Data!$A$12:$AA$211,19,FALSE)</f>
        <v>229.99670929999999</v>
      </c>
      <c r="E22" s="519">
        <f>VLOOKUP($C22,Data!$A$12:$AA$211,20,FALSE)</f>
        <v>50.000778320000002</v>
      </c>
      <c r="F22" s="516">
        <f>-VLOOKUP($C22,Data!$A$12:$FI$618,21,FALSE)</f>
        <v>7.5479699999999998E-4</v>
      </c>
      <c r="G22" s="647" t="str">
        <f t="shared" si="3"/>
        <v xml:space="preserve">1  </v>
      </c>
      <c r="H22" s="837" t="s">
        <v>92</v>
      </c>
      <c r="I22" s="516">
        <f>ABS(VLOOKUP($C22,Data!$A$12:$AA$211,26,FALSE))</f>
        <v>100003.92879999999</v>
      </c>
      <c r="J22" s="523">
        <f>VLOOKUP($C22,Data!$A$12:$AA$211,23,FALSE)</f>
        <v>3.9287849999999997E-3</v>
      </c>
      <c r="K22" s="523">
        <f>VLOOKUP($C22,Data!$A$12:$AA$211,24,FALSE)</f>
        <v>4.7629769999999998E-3</v>
      </c>
      <c r="L22" s="521">
        <f>VLOOKUP($C22,Data!$A$12:$AA$211,25,FALSE)</f>
        <v>2.0770576049999998</v>
      </c>
      <c r="M22" s="65" t="str">
        <f>VLOOKUP($C22,Data!$A$12:$AA$211,13,FALSE)</f>
        <v>watts</v>
      </c>
      <c r="N22" s="68">
        <f>-VLOOKUP($C22,Data!$A$12:$FI$618,21,FALSE)</f>
        <v>7.5479699999999998E-4</v>
      </c>
      <c r="O22" s="361">
        <f>VLOOKUP($C22,Data!$A$12:$FI$211,18,FALSE)</f>
        <v>0</v>
      </c>
      <c r="P22" t="str">
        <f t="shared" si="4"/>
        <v xml:space="preserve"> </v>
      </c>
      <c r="Q22">
        <v>1</v>
      </c>
      <c r="R22" s="24">
        <f t="shared" si="5"/>
        <v>1.1907442498811767</v>
      </c>
      <c r="S22" s="24"/>
    </row>
    <row r="23" spans="3:20" x14ac:dyDescent="0.2">
      <c r="C23" s="54">
        <v>118</v>
      </c>
      <c r="D23" s="516">
        <f>VLOOKUP($C23,Data!$A$12:$AA$211,19,FALSE)</f>
        <v>229.996769</v>
      </c>
      <c r="E23" s="519">
        <f>VLOOKUP($C23,Data!$A$12:$AA$211,20,FALSE)</f>
        <v>49.999209139999998</v>
      </c>
      <c r="F23" s="516">
        <f>-VLOOKUP($C23,Data!$A$12:$FI$618,21,FALSE)</f>
        <v>59.99813091</v>
      </c>
      <c r="G23" s="647" t="str">
        <f t="shared" si="3"/>
        <v>0.5 Lag</v>
      </c>
      <c r="H23" s="837" t="s">
        <v>92</v>
      </c>
      <c r="I23" s="516">
        <f>ABS(VLOOKUP($C23,Data!$A$12:$AA$211,26,FALSE))</f>
        <v>99997.875589999996</v>
      </c>
      <c r="J23" s="523">
        <f>VLOOKUP($C23,Data!$A$12:$AA$211,23,FALSE)</f>
        <v>-2.1244100000000002E-3</v>
      </c>
      <c r="K23" s="523">
        <f>VLOOKUP($C23,Data!$A$12:$AA$211,24,FALSE)</f>
        <v>8.6206219999999997E-3</v>
      </c>
      <c r="L23" s="521">
        <f>VLOOKUP($C23,Data!$A$12:$AA$211,25,FALSE)</f>
        <v>2.0475489410000001</v>
      </c>
      <c r="M23" s="65" t="str">
        <f>VLOOKUP($C23,Data!$A$12:$AA$211,13,FALSE)</f>
        <v>watts</v>
      </c>
      <c r="N23" s="68">
        <f>-VLOOKUP($C23,Data!$A$12:$FI$618,21,FALSE)</f>
        <v>59.99813091</v>
      </c>
      <c r="O23" s="361">
        <f>VLOOKUP($C23,Data!$A$12:$FI$211,18,FALSE)</f>
        <v>0</v>
      </c>
      <c r="P23" t="str">
        <f t="shared" si="4"/>
        <v>Lag</v>
      </c>
      <c r="Q23">
        <v>1</v>
      </c>
      <c r="R23" s="24">
        <f t="shared" si="5"/>
        <v>1.0024584961962772</v>
      </c>
      <c r="S23" s="24"/>
    </row>
    <row r="24" spans="3:20" x14ac:dyDescent="0.2">
      <c r="C24" s="54">
        <v>121</v>
      </c>
      <c r="D24" s="516">
        <f>VLOOKUP($C24,Data!$A$12:$AA$211,19,FALSE)</f>
        <v>229.99689079999999</v>
      </c>
      <c r="E24" s="519">
        <f>VLOOKUP($C24,Data!$A$12:$AA$211,20,FALSE)</f>
        <v>49.999291270000001</v>
      </c>
      <c r="F24" s="516">
        <f>-VLOOKUP($C24,Data!$A$12:$FI$618,21,FALSE)</f>
        <v>-36.898460309999997</v>
      </c>
      <c r="G24" s="647" t="str">
        <f t="shared" si="3"/>
        <v>0.8 Lead</v>
      </c>
      <c r="H24" s="837" t="s">
        <v>92</v>
      </c>
      <c r="I24" s="516">
        <f>ABS(VLOOKUP($C24,Data!$A$12:$AA$211,26,FALSE))</f>
        <v>100006.9411</v>
      </c>
      <c r="J24" s="523">
        <f>VLOOKUP($C24,Data!$A$12:$AA$211,23,FALSE)</f>
        <v>6.9410540000000003E-3</v>
      </c>
      <c r="K24" s="523">
        <f>VLOOKUP($C24,Data!$A$12:$AA$211,24,FALSE)</f>
        <v>5.7865440000000002E-3</v>
      </c>
      <c r="L24" s="521">
        <f>VLOOKUP($C24,Data!$A$12:$AA$211,25,FALSE)</f>
        <v>2.049253024</v>
      </c>
      <c r="M24" s="65" t="str">
        <f>VLOOKUP($C24,Data!$A$12:$AA$211,13,FALSE)</f>
        <v>watts</v>
      </c>
      <c r="N24" s="68">
        <f>-VLOOKUP($C24,Data!$A$12:$FI$618,21,FALSE)</f>
        <v>-36.898460309999997</v>
      </c>
      <c r="O24" s="361">
        <f>VLOOKUP($C24,Data!$A$12:$FI$211,18,FALSE)</f>
        <v>0</v>
      </c>
      <c r="P24" t="str">
        <f t="shared" si="4"/>
        <v>Lead</v>
      </c>
      <c r="Q24">
        <v>1</v>
      </c>
      <c r="R24" s="24">
        <f t="shared" si="5"/>
        <v>1.1231316011622758</v>
      </c>
      <c r="S24" s="24"/>
    </row>
    <row r="25" spans="3:20" x14ac:dyDescent="0.2">
      <c r="C25" s="54">
        <v>123</v>
      </c>
      <c r="D25" s="516">
        <f>VLOOKUP($C25,Data!$A$12:$AA$211,19,FALSE)</f>
        <v>229.99645290000001</v>
      </c>
      <c r="E25" s="519">
        <f>VLOOKUP($C25,Data!$A$12:$AA$211,20,FALSE)</f>
        <v>100.00166419999999</v>
      </c>
      <c r="F25" s="516">
        <f>-VLOOKUP($C25,Data!$A$12:$FI$618,21,FALSE)</f>
        <v>4.3659599999999998E-4</v>
      </c>
      <c r="G25" s="647" t="str">
        <f t="shared" si="3"/>
        <v xml:space="preserve">1  </v>
      </c>
      <c r="H25" s="837" t="s">
        <v>1139</v>
      </c>
      <c r="I25" s="516">
        <f>ABS(VLOOKUP($C25,Data!$A$12:$AA$211,26,FALSE))</f>
        <v>100005.0558</v>
      </c>
      <c r="J25" s="523">
        <f>VLOOKUP($C25,Data!$A$12:$AA$211,23,FALSE)</f>
        <v>5.0557700000000002E-3</v>
      </c>
      <c r="K25" s="523">
        <f>VLOOKUP($C25,Data!$A$12:$AA$211,24,FALSE)</f>
        <v>4.7357789999999999E-3</v>
      </c>
      <c r="L25" s="521">
        <f>VLOOKUP($C25,Data!$A$12:$AA$211,25,FALSE)</f>
        <v>2.0804510829999998</v>
      </c>
      <c r="M25" s="65" t="str">
        <f>VLOOKUP($C25,Data!$A$12:$AA$211,13,FALSE)</f>
        <v>watts</v>
      </c>
      <c r="N25" s="68">
        <f>-VLOOKUP($C25,Data!$A$12:$FI$618,21,FALSE)</f>
        <v>4.3659599999999998E-4</v>
      </c>
      <c r="O25" s="361">
        <f>VLOOKUP($C25,Data!$A$12:$FI$211,18,FALSE)</f>
        <v>0</v>
      </c>
      <c r="P25" t="str">
        <f t="shared" si="4"/>
        <v xml:space="preserve"> </v>
      </c>
      <c r="Q25">
        <v>1</v>
      </c>
      <c r="R25" s="24">
        <f t="shared" si="5"/>
        <v>1.1839447499604712</v>
      </c>
      <c r="S25" s="24"/>
    </row>
    <row r="26" spans="3:20" x14ac:dyDescent="0.2">
      <c r="C26" s="54">
        <v>124</v>
      </c>
      <c r="D26" s="516">
        <f>VLOOKUP($C26,Data!$A$12:$AA$211,19,FALSE)</f>
        <v>229.99659700000001</v>
      </c>
      <c r="E26" s="519">
        <f>VLOOKUP($C26,Data!$A$12:$AA$211,20,FALSE)</f>
        <v>99.997794339999999</v>
      </c>
      <c r="F26" s="516">
        <f>-VLOOKUP($C26,Data!$A$12:$FI$618,21,FALSE)</f>
        <v>59.997784719999999</v>
      </c>
      <c r="G26" s="647" t="str">
        <f t="shared" si="3"/>
        <v>0.5 Lag</v>
      </c>
      <c r="H26" s="837" t="s">
        <v>1139</v>
      </c>
      <c r="I26" s="516">
        <f>ABS(VLOOKUP($C26,Data!$A$12:$AA$211,26,FALSE))</f>
        <v>99998.252630000003</v>
      </c>
      <c r="J26" s="523">
        <f>VLOOKUP($C26,Data!$A$12:$AA$211,23,FALSE)</f>
        <v>-1.7473650000000001E-3</v>
      </c>
      <c r="K26" s="523">
        <f>VLOOKUP($C26,Data!$A$12:$AA$211,24,FALSE)</f>
        <v>8.6924169999999992E-3</v>
      </c>
      <c r="L26" s="521">
        <f>VLOOKUP($C26,Data!$A$12:$AA$211,25,FALSE)</f>
        <v>2.0458098790000001</v>
      </c>
      <c r="M26" s="65" t="str">
        <f>VLOOKUP($C26,Data!$A$12:$AA$211,13,FALSE)</f>
        <v>watts</v>
      </c>
      <c r="N26" s="68">
        <f>-VLOOKUP($C26,Data!$A$12:$FI$618,21,FALSE)</f>
        <v>59.997784719999999</v>
      </c>
      <c r="O26" s="361">
        <f>VLOOKUP($C26,Data!$A$12:$FI$211,18,FALSE)</f>
        <v>0</v>
      </c>
      <c r="P26" t="str">
        <f t="shared" si="4"/>
        <v>Lag</v>
      </c>
      <c r="Q26">
        <v>1</v>
      </c>
      <c r="R26" s="24">
        <f t="shared" si="5"/>
        <v>1.0108185722460068</v>
      </c>
      <c r="S26" s="24"/>
    </row>
    <row r="27" spans="3:20" x14ac:dyDescent="0.2">
      <c r="C27" s="54">
        <v>125</v>
      </c>
      <c r="D27" s="516">
        <f>VLOOKUP($C27,Data!$A$12:$AA$211,19,FALSE)</f>
        <v>229.99661269999999</v>
      </c>
      <c r="E27" s="519">
        <f>VLOOKUP($C27,Data!$A$12:$AA$211,20,FALSE)</f>
        <v>99.998468320000001</v>
      </c>
      <c r="F27" s="516">
        <f>-VLOOKUP($C27,Data!$A$12:$FI$618,21,FALSE)</f>
        <v>-36.897880530000002</v>
      </c>
      <c r="G27" s="647" t="str">
        <f t="shared" si="3"/>
        <v>0.8 Lead</v>
      </c>
      <c r="H27" s="837" t="s">
        <v>1139</v>
      </c>
      <c r="I27" s="516">
        <f>ABS(VLOOKUP($C27,Data!$A$12:$AA$211,26,FALSE))</f>
        <v>100007.4543</v>
      </c>
      <c r="J27" s="523">
        <f>VLOOKUP($C27,Data!$A$12:$AA$211,23,FALSE)</f>
        <v>7.454301E-3</v>
      </c>
      <c r="K27" s="523">
        <f>VLOOKUP($C27,Data!$A$12:$AA$211,24,FALSE)</f>
        <v>5.6325569999999998E-3</v>
      </c>
      <c r="L27" s="521">
        <f>VLOOKUP($C27,Data!$A$12:$AA$211,25,FALSE)</f>
        <v>2.059346245</v>
      </c>
      <c r="M27" s="65" t="str">
        <f>VLOOKUP($C27,Data!$A$12:$AA$211,13,FALSE)</f>
        <v>watts</v>
      </c>
      <c r="N27" s="68">
        <f>-VLOOKUP($C27,Data!$A$12:$FI$618,21,FALSE)</f>
        <v>-36.897880530000002</v>
      </c>
      <c r="O27" s="361">
        <f>VLOOKUP($C27,Data!$A$12:$FI$211,18,FALSE)</f>
        <v>0</v>
      </c>
      <c r="P27" t="str">
        <f t="shared" si="4"/>
        <v>Lead</v>
      </c>
      <c r="Q27">
        <v>1</v>
      </c>
      <c r="R27" s="24">
        <f t="shared" si="5"/>
        <v>1.0932529709055459</v>
      </c>
      <c r="S27" s="24"/>
    </row>
    <row r="28" spans="3:20" x14ac:dyDescent="0.2">
      <c r="C28" s="54"/>
      <c r="D28" s="524"/>
      <c r="E28" s="525"/>
      <c r="F28" s="526"/>
      <c r="G28" s="526"/>
      <c r="H28" s="525"/>
      <c r="I28" s="839"/>
      <c r="J28" s="527"/>
      <c r="K28" s="527"/>
      <c r="L28" s="528"/>
      <c r="M28" s="65"/>
      <c r="N28" s="68"/>
      <c r="O28" s="361"/>
      <c r="R28" s="24"/>
      <c r="S28" s="24"/>
    </row>
    <row r="29" spans="3:20" x14ac:dyDescent="0.2">
      <c r="C29" s="54"/>
      <c r="M29" s="65"/>
      <c r="N29" s="68"/>
      <c r="O29" s="361"/>
      <c r="R29" s="24"/>
      <c r="S29" s="24"/>
    </row>
    <row r="30" spans="3:20" x14ac:dyDescent="0.2">
      <c r="C30" s="54"/>
      <c r="D30" s="517"/>
      <c r="E30" s="517"/>
      <c r="F30" s="517"/>
      <c r="G30" s="519"/>
      <c r="H30" s="519"/>
      <c r="I30" s="522"/>
      <c r="J30" s="517"/>
      <c r="K30" s="529"/>
      <c r="L30" s="530"/>
      <c r="M30" s="65"/>
      <c r="N30" s="68"/>
      <c r="O30" s="361"/>
      <c r="R30" s="24"/>
      <c r="S30" s="24"/>
    </row>
    <row r="31" spans="3:20" x14ac:dyDescent="0.2">
      <c r="C31" s="20"/>
      <c r="D31" s="531" t="s">
        <v>209</v>
      </c>
      <c r="E31" s="532" t="s">
        <v>575</v>
      </c>
      <c r="F31" s="532"/>
      <c r="G31" s="517"/>
      <c r="H31" s="517"/>
      <c r="I31" s="522"/>
      <c r="J31" s="517"/>
      <c r="K31" s="529"/>
      <c r="L31" s="530"/>
      <c r="M31" s="65"/>
      <c r="N31" s="68"/>
      <c r="O31" s="361"/>
      <c r="P31" t="str">
        <f>IF(ABS(N31)&lt;0.5," ",IF(SIGN(N31)=1,"Lead","Lag"))</f>
        <v xml:space="preserve"> </v>
      </c>
      <c r="R31" s="24"/>
      <c r="S31" s="24"/>
    </row>
    <row r="32" spans="3:20" x14ac:dyDescent="0.2">
      <c r="C32" s="20"/>
      <c r="D32" s="517"/>
      <c r="E32" s="517"/>
      <c r="F32" s="517"/>
      <c r="G32" s="517"/>
      <c r="H32" s="517"/>
      <c r="I32" s="522"/>
      <c r="J32" s="517"/>
      <c r="K32" s="529"/>
      <c r="L32" s="530"/>
      <c r="M32" s="65"/>
      <c r="N32" s="68"/>
      <c r="O32" s="361"/>
      <c r="P32" t="str">
        <f>IF(ABS(N32)&lt;0.5," ",IF(SIGN(N32)=1,"Lead","Lag"))</f>
        <v xml:space="preserve"> </v>
      </c>
      <c r="R32" s="24"/>
      <c r="S32" s="24"/>
      <c r="T32" s="17"/>
    </row>
    <row r="33" spans="3:20" ht="56.25" customHeight="1" x14ac:dyDescent="0.2">
      <c r="C33" s="54"/>
      <c r="D33" s="507" t="s">
        <v>748</v>
      </c>
      <c r="E33" s="507" t="s">
        <v>749</v>
      </c>
      <c r="F33" s="507" t="s">
        <v>19</v>
      </c>
      <c r="G33" s="602" t="str">
        <f>IF(M34="watts","Power Factor", "Reactive Power Factor")</f>
        <v>Reactive Power Factor</v>
      </c>
      <c r="H33" s="838" t="s">
        <v>66</v>
      </c>
      <c r="I33" s="602" t="str">
        <f>IF(M34="watts","Measured 
Impulses
(Imp/(W.h))", "Measured Impulses (Imp/(var.h))")</f>
        <v>Measured Impulses (Imp/(var.h))</v>
      </c>
      <c r="J33" s="508" t="s">
        <v>750</v>
      </c>
      <c r="K33" s="507" t="s">
        <v>576</v>
      </c>
      <c r="L33" s="507" t="s">
        <v>751</v>
      </c>
      <c r="M33" s="65"/>
      <c r="N33" s="603" t="s">
        <v>984</v>
      </c>
      <c r="O33" s="99" t="s">
        <v>577</v>
      </c>
      <c r="P33" s="23"/>
      <c r="Q33" s="19" t="s">
        <v>578</v>
      </c>
      <c r="R33" s="24"/>
      <c r="S33" s="24"/>
      <c r="T33" s="17"/>
    </row>
    <row r="34" spans="3:20" x14ac:dyDescent="0.2">
      <c r="C34" s="54">
        <v>76</v>
      </c>
      <c r="D34" s="510">
        <f>VLOOKUP($C34,Data!$A$12:$AA$211,19,FALSE)</f>
        <v>229.9968355</v>
      </c>
      <c r="E34" s="513">
        <f>VLOOKUP($C34,Data!$A$12:$AA$211,20,FALSE)</f>
        <v>0.99996155600000003</v>
      </c>
      <c r="F34" s="510">
        <f>-VLOOKUP($C34,Data!$A$12:$FI$618,21,FALSE)</f>
        <v>90.000033909999999</v>
      </c>
      <c r="G34" s="647" t="str">
        <f t="shared" ref="G34:G45" si="6">ROUND(IF(M34="watts",COS(RADIANS(N34)),COS(RADIANS(N34-90))),Q34)&amp;" "&amp;P34</f>
        <v xml:space="preserve">1  </v>
      </c>
      <c r="H34" s="837" t="s">
        <v>92</v>
      </c>
      <c r="I34" s="510">
        <f>ABS(VLOOKUP($C34,Data!$A$12:$AA$211,26,FALSE))</f>
        <v>100002.46709999999</v>
      </c>
      <c r="J34" s="533">
        <f>VLOOKUP($C34,Data!$A$12:$AA$211,23,FALSE)</f>
        <v>2.4670740000000001E-3</v>
      </c>
      <c r="K34" s="533">
        <f>VLOOKUP($C34,Data!$A$12:$AA$211,24,FALSE)</f>
        <v>1.3794666000000001E-2</v>
      </c>
      <c r="L34" s="515">
        <f>VLOOKUP($C34,Data!$A$12:$AA$211,25,FALSE)</f>
        <v>2.0830283930000002</v>
      </c>
      <c r="M34" s="65" t="str">
        <f>VLOOKUP($C34,Data!$A$12:$AA$211,13,FALSE)</f>
        <v>vars</v>
      </c>
      <c r="N34" s="68">
        <f>-VLOOKUP($C34,Data!$A$12:$FI$618,21,FALSE)</f>
        <v>90.000033909999999</v>
      </c>
      <c r="O34" s="361">
        <f>VLOOKUP($C34,Data!$A$12:$FI$211,18,FALSE)</f>
        <v>0</v>
      </c>
      <c r="P34" t="str">
        <f t="shared" ref="P34:P45" si="7">IF(MOD(ROUND((N34+360)/90,2),1)=0," ",IF(ISODD((N34+360)/90),"Lead", "Lag"))</f>
        <v xml:space="preserve"> </v>
      </c>
      <c r="Q34">
        <v>1</v>
      </c>
      <c r="R34" s="24">
        <f t="shared" ref="R34:R45" si="8">IF((M34="watts"),K34*10000*COS(RADIANS(N34))/(40+6*(1-ABS(COS(RADIANS(N34))))),K34*10000*ABS(SIN(RADIANS(N34)))/(40+90*ABS(SIN(RADIANS(N34)))))</f>
        <v>1.0611281538460968</v>
      </c>
      <c r="S34" s="24"/>
      <c r="T34" s="17"/>
    </row>
    <row r="35" spans="3:20" x14ac:dyDescent="0.2">
      <c r="C35" s="54">
        <v>79</v>
      </c>
      <c r="D35" s="516">
        <f>VLOOKUP($C35,Data!$A$12:$AA$211,19,FALSE)</f>
        <v>229.99681169999999</v>
      </c>
      <c r="E35" s="519">
        <f>VLOOKUP($C35,Data!$A$12:$AA$211,20,FALSE)</f>
        <v>1.00002693</v>
      </c>
      <c r="F35" s="516">
        <f>-VLOOKUP($C35,Data!$A$12:$FI$618,21,FALSE)</f>
        <v>30.000441859999999</v>
      </c>
      <c r="G35" s="647" t="str">
        <f t="shared" si="6"/>
        <v>0.5 Lag</v>
      </c>
      <c r="H35" s="837" t="s">
        <v>92</v>
      </c>
      <c r="I35" s="516">
        <f>ABS(VLOOKUP($C35,Data!$A$12:$AA$211,26,FALSE))</f>
        <v>100000.5493</v>
      </c>
      <c r="J35" s="523">
        <f>VLOOKUP($C35,Data!$A$12:$AA$211,23,FALSE)</f>
        <v>5.4934700000000005E-4</v>
      </c>
      <c r="K35" s="523">
        <f>VLOOKUP($C35,Data!$A$12:$AA$211,24,FALSE)</f>
        <v>1.4776321E-2</v>
      </c>
      <c r="L35" s="521">
        <f>VLOOKUP($C35,Data!$A$12:$AA$211,25,FALSE)</f>
        <v>2.0849319400000002</v>
      </c>
      <c r="M35" s="65" t="str">
        <f>VLOOKUP($C35,Data!$A$12:$AA$211,13,FALSE)</f>
        <v>vars</v>
      </c>
      <c r="N35" s="68">
        <f>-VLOOKUP($C35,Data!$A$12:$FI$618,21,FALSE)</f>
        <v>30.000441859999999</v>
      </c>
      <c r="O35" s="361">
        <f>VLOOKUP($C35,Data!$A$12:$FI$211,18,FALSE)</f>
        <v>0</v>
      </c>
      <c r="P35" t="str">
        <f t="shared" si="7"/>
        <v>Lag</v>
      </c>
      <c r="Q35">
        <v>1</v>
      </c>
      <c r="R35" s="24">
        <f t="shared" si="8"/>
        <v>0.8692008165186601</v>
      </c>
      <c r="S35" s="24"/>
      <c r="T35" s="17"/>
    </row>
    <row r="36" spans="3:20" x14ac:dyDescent="0.2">
      <c r="C36" s="54">
        <v>83</v>
      </c>
      <c r="D36" s="516">
        <f>VLOOKUP($C36,Data!$A$12:$AA$211,19,FALSE)</f>
        <v>229.99665379999999</v>
      </c>
      <c r="E36" s="519">
        <f>VLOOKUP($C36,Data!$A$12:$AA$211,20,FALSE)</f>
        <v>0.99996392899999997</v>
      </c>
      <c r="F36" s="516">
        <f>-VLOOKUP($C36,Data!$A$12:$FI$618,21,FALSE)</f>
        <v>126.87250229999999</v>
      </c>
      <c r="G36" s="647" t="str">
        <f t="shared" si="6"/>
        <v>0.8 Lead</v>
      </c>
      <c r="H36" s="837" t="s">
        <v>92</v>
      </c>
      <c r="I36" s="516">
        <f>ABS(VLOOKUP($C36,Data!$A$12:$AA$211,26,FALSE))</f>
        <v>100000.3486</v>
      </c>
      <c r="J36" s="523">
        <f>VLOOKUP($C36,Data!$A$12:$AA$211,23,FALSE)</f>
        <v>3.4863599999999999E-4</v>
      </c>
      <c r="K36" s="523">
        <f>VLOOKUP($C36,Data!$A$12:$AA$211,24,FALSE)</f>
        <v>1.4006206E-2</v>
      </c>
      <c r="L36" s="521">
        <f>VLOOKUP($C36,Data!$A$12:$AA$211,25,FALSE)</f>
        <v>2.0832318010000002</v>
      </c>
      <c r="M36" s="65" t="str">
        <f>VLOOKUP($C36,Data!$A$12:$AA$211,13,FALSE)</f>
        <v>vars</v>
      </c>
      <c r="N36" s="68">
        <f>-VLOOKUP($C36,Data!$A$12:$FI$618,21,FALSE)</f>
        <v>126.87250229999999</v>
      </c>
      <c r="O36" s="361">
        <f>VLOOKUP($C36,Data!$A$12:$FI$211,18,FALSE)</f>
        <v>0</v>
      </c>
      <c r="P36" t="str">
        <f t="shared" si="7"/>
        <v>Lead</v>
      </c>
      <c r="Q36">
        <v>1</v>
      </c>
      <c r="R36" s="24">
        <f t="shared" si="8"/>
        <v>1.0004311029505857</v>
      </c>
      <c r="S36" s="24"/>
      <c r="T36" s="17"/>
    </row>
    <row r="37" spans="3:20" x14ac:dyDescent="0.2">
      <c r="C37" s="54">
        <v>32</v>
      </c>
      <c r="D37" s="516">
        <f>VLOOKUP($C37,Data!$A$12:$AA$211,19,FALSE)</f>
        <v>229.9968513</v>
      </c>
      <c r="E37" s="519">
        <f>VLOOKUP($C37,Data!$A$12:$AA$211,20,FALSE)</f>
        <v>1.9999256400000001</v>
      </c>
      <c r="F37" s="516">
        <f>-VLOOKUP($C37,Data!$A$12:$FI$618,21,FALSE)</f>
        <v>89.999784899999995</v>
      </c>
      <c r="G37" s="647" t="str">
        <f t="shared" si="6"/>
        <v xml:space="preserve">1  </v>
      </c>
      <c r="H37" s="837" t="s">
        <v>92</v>
      </c>
      <c r="I37" s="516">
        <f>ABS(VLOOKUP($C37,Data!$A$12:$AA$211,26,FALSE))</f>
        <v>100001.43180000001</v>
      </c>
      <c r="J37" s="523">
        <f>VLOOKUP($C37,Data!$A$12:$AA$211,23,FALSE)</f>
        <v>1.431816E-3</v>
      </c>
      <c r="K37" s="523">
        <f>VLOOKUP($C37,Data!$A$12:$AA$211,24,FALSE)</f>
        <v>1.3810889999999999E-2</v>
      </c>
      <c r="L37" s="521">
        <f>VLOOKUP($C37,Data!$A$12:$AA$211,25,FALSE)</f>
        <v>2.08192734</v>
      </c>
      <c r="M37" s="65" t="str">
        <f>VLOOKUP($C37,Data!$A$12:$AA$211,13,FALSE)</f>
        <v>vars</v>
      </c>
      <c r="N37" s="68">
        <f>-VLOOKUP($C37,Data!$A$12:$FI$618,21,FALSE)</f>
        <v>89.999784899999995</v>
      </c>
      <c r="O37" s="361">
        <f>VLOOKUP($C37,Data!$A$12:$FI$211,18,FALSE)</f>
        <v>0</v>
      </c>
      <c r="P37" t="str">
        <f t="shared" si="7"/>
        <v xml:space="preserve"> </v>
      </c>
      <c r="Q37">
        <v>1</v>
      </c>
      <c r="R37" s="24">
        <f t="shared" si="8"/>
        <v>1.0623761538438503</v>
      </c>
      <c r="S37" s="24"/>
      <c r="T37" s="17"/>
    </row>
    <row r="38" spans="3:20" x14ac:dyDescent="0.2">
      <c r="C38" s="54">
        <v>35</v>
      </c>
      <c r="D38" s="516">
        <f>VLOOKUP($C38,Data!$A$12:$AA$211,19,FALSE)</f>
        <v>229.9968403</v>
      </c>
      <c r="E38" s="519">
        <f>VLOOKUP($C38,Data!$A$12:$AA$211,20,FALSE)</f>
        <v>2.0000824719999999</v>
      </c>
      <c r="F38" s="516">
        <f>-VLOOKUP($C38,Data!$A$12:$FI$618,21,FALSE)</f>
        <v>30.000009590000001</v>
      </c>
      <c r="G38" s="647" t="str">
        <f t="shared" si="6"/>
        <v>0.5 Lag</v>
      </c>
      <c r="H38" s="837" t="s">
        <v>92</v>
      </c>
      <c r="I38" s="516">
        <f>ABS(VLOOKUP($C38,Data!$A$12:$AA$211,26,FALSE))</f>
        <v>99997.271670000002</v>
      </c>
      <c r="J38" s="523">
        <f>VLOOKUP($C38,Data!$A$12:$AA$211,23,FALSE)</f>
        <v>-2.7283310000000001E-3</v>
      </c>
      <c r="K38" s="523">
        <f>VLOOKUP($C38,Data!$A$12:$AA$211,24,FALSE)</f>
        <v>1.4871847000000001E-2</v>
      </c>
      <c r="L38" s="521">
        <f>VLOOKUP($C38,Data!$A$12:$AA$211,25,FALSE)</f>
        <v>2.0806743569999999</v>
      </c>
      <c r="M38" s="65" t="str">
        <f>VLOOKUP($C38,Data!$A$12:$AA$211,13,FALSE)</f>
        <v>vars</v>
      </c>
      <c r="N38" s="68">
        <f>-VLOOKUP($C38,Data!$A$12:$FI$618,21,FALSE)</f>
        <v>30.000009590000001</v>
      </c>
      <c r="O38" s="361">
        <f>VLOOKUP($C38,Data!$A$12:$FI$211,18,FALSE)</f>
        <v>0</v>
      </c>
      <c r="P38" t="str">
        <f t="shared" si="7"/>
        <v>Lag</v>
      </c>
      <c r="Q38">
        <v>1</v>
      </c>
      <c r="R38" s="24">
        <f t="shared" si="8"/>
        <v>0.87481464875933101</v>
      </c>
      <c r="S38" s="24"/>
      <c r="T38" s="17"/>
    </row>
    <row r="39" spans="3:20" x14ac:dyDescent="0.2">
      <c r="C39" s="54">
        <v>42</v>
      </c>
      <c r="D39" s="516">
        <f>VLOOKUP($C39,Data!$A$12:$AA$211,19,FALSE)</f>
        <v>229.99693540000001</v>
      </c>
      <c r="E39" s="519">
        <f>VLOOKUP($C39,Data!$A$12:$AA$211,20,FALSE)</f>
        <v>1.999954064</v>
      </c>
      <c r="F39" s="516">
        <f>-VLOOKUP($C39,Data!$A$12:$FI$618,21,FALSE)</f>
        <v>126.87327449999999</v>
      </c>
      <c r="G39" s="647" t="str">
        <f t="shared" si="6"/>
        <v>0.8 Lead</v>
      </c>
      <c r="H39" s="837" t="s">
        <v>92</v>
      </c>
      <c r="I39" s="516">
        <f>ABS(VLOOKUP($C39,Data!$A$12:$AA$211,26,FALSE))</f>
        <v>99998.561350000004</v>
      </c>
      <c r="J39" s="523">
        <f>VLOOKUP($C39,Data!$A$12:$AA$211,23,FALSE)</f>
        <v>-1.4386500000000001E-3</v>
      </c>
      <c r="K39" s="523">
        <f>VLOOKUP($C39,Data!$A$12:$AA$211,24,FALSE)</f>
        <v>1.404744E-2</v>
      </c>
      <c r="L39" s="521">
        <f>VLOOKUP($C39,Data!$A$12:$AA$211,25,FALSE)</f>
        <v>2.0810244029999998</v>
      </c>
      <c r="M39" s="65" t="str">
        <f>VLOOKUP($C39,Data!$A$12:$AA$211,13,FALSE)</f>
        <v>vars</v>
      </c>
      <c r="N39" s="68">
        <f>-VLOOKUP($C39,Data!$A$12:$FI$618,21,FALSE)</f>
        <v>126.87327449999999</v>
      </c>
      <c r="O39" s="361">
        <f>VLOOKUP($C39,Data!$A$12:$FI$211,18,FALSE)</f>
        <v>0</v>
      </c>
      <c r="P39" t="str">
        <f t="shared" si="7"/>
        <v>Lead</v>
      </c>
      <c r="Q39">
        <v>1</v>
      </c>
      <c r="R39" s="24">
        <f t="shared" si="8"/>
        <v>1.0033727301052122</v>
      </c>
      <c r="S39" s="24"/>
      <c r="T39" s="17"/>
    </row>
    <row r="40" spans="3:20" x14ac:dyDescent="0.2">
      <c r="C40" s="54">
        <v>38</v>
      </c>
      <c r="D40" s="516">
        <f>VLOOKUP($C40,Data!$A$12:$AA$211,19,FALSE)</f>
        <v>229.99688259999999</v>
      </c>
      <c r="E40" s="519">
        <f>VLOOKUP($C40,Data!$A$12:$AA$211,20,FALSE)</f>
        <v>4.9998779860000004</v>
      </c>
      <c r="F40" s="516">
        <f>-VLOOKUP($C40,Data!$A$12:$FI$618,21,FALSE)</f>
        <v>89.999791770000002</v>
      </c>
      <c r="G40" s="647" t="str">
        <f t="shared" si="6"/>
        <v xml:space="preserve">1  </v>
      </c>
      <c r="H40" s="837" t="s">
        <v>92</v>
      </c>
      <c r="I40" s="516">
        <f>ABS(VLOOKUP($C40,Data!$A$12:$AA$211,26,FALSE))</f>
        <v>100000.35219999999</v>
      </c>
      <c r="J40" s="523">
        <f>VLOOKUP($C40,Data!$A$12:$AA$211,23,FALSE)</f>
        <v>3.5218800000000002E-4</v>
      </c>
      <c r="K40" s="523">
        <f>VLOOKUP($C40,Data!$A$12:$AA$211,24,FALSE)</f>
        <v>1.3797393E-2</v>
      </c>
      <c r="L40" s="521">
        <f>VLOOKUP($C40,Data!$A$12:$AA$211,25,FALSE)</f>
        <v>2.0828801349999999</v>
      </c>
      <c r="M40" s="65" t="str">
        <f>VLOOKUP($C40,Data!$A$12:$AA$211,13,FALSE)</f>
        <v>vars</v>
      </c>
      <c r="N40" s="68">
        <f>-VLOOKUP($C40,Data!$A$12:$FI$618,21,FALSE)</f>
        <v>89.999791770000002</v>
      </c>
      <c r="O40" s="361">
        <f>VLOOKUP($C40,Data!$A$12:$FI$211,18,FALSE)</f>
        <v>0</v>
      </c>
      <c r="P40" t="str">
        <f t="shared" si="7"/>
        <v xml:space="preserve"> </v>
      </c>
      <c r="Q40">
        <v>1</v>
      </c>
      <c r="R40" s="24">
        <f t="shared" si="8"/>
        <v>1.0613379230747662</v>
      </c>
      <c r="S40" s="24"/>
      <c r="T40" s="17"/>
    </row>
    <row r="41" spans="3:20" x14ac:dyDescent="0.2">
      <c r="C41" s="54">
        <v>40</v>
      </c>
      <c r="D41" s="516">
        <f>VLOOKUP($C41,Data!$A$12:$AA$211,19,FALSE)</f>
        <v>229.99675089999999</v>
      </c>
      <c r="E41" s="519">
        <f>VLOOKUP($C41,Data!$A$12:$AA$211,20,FALSE)</f>
        <v>5.0002160900000003</v>
      </c>
      <c r="F41" s="516">
        <f>-VLOOKUP($C41,Data!$A$12:$FI$618,21,FALSE)</f>
        <v>29.99987089</v>
      </c>
      <c r="G41" s="647" t="str">
        <f t="shared" si="6"/>
        <v>0.5 Lag</v>
      </c>
      <c r="H41" s="837" t="s">
        <v>92</v>
      </c>
      <c r="I41" s="516">
        <f>ABS(VLOOKUP($C41,Data!$A$12:$AA$211,26,FALSE))</f>
        <v>99999.358940000006</v>
      </c>
      <c r="J41" s="523">
        <f>VLOOKUP($C41,Data!$A$12:$AA$211,23,FALSE)</f>
        <v>-6.4105800000000001E-4</v>
      </c>
      <c r="K41" s="523">
        <f>VLOOKUP($C41,Data!$A$12:$AA$211,24,FALSE)</f>
        <v>1.4757961E-2</v>
      </c>
      <c r="L41" s="521">
        <f>VLOOKUP($C41,Data!$A$12:$AA$211,25,FALSE)</f>
        <v>2.0857663959999999</v>
      </c>
      <c r="M41" s="65" t="str">
        <f>VLOOKUP($C41,Data!$A$12:$AA$211,13,FALSE)</f>
        <v>vars</v>
      </c>
      <c r="N41" s="68">
        <f>-VLOOKUP($C41,Data!$A$12:$FI$618,21,FALSE)</f>
        <v>29.99987089</v>
      </c>
      <c r="O41" s="361">
        <f>VLOOKUP($C41,Data!$A$12:$FI$211,18,FALSE)</f>
        <v>0</v>
      </c>
      <c r="P41" t="str">
        <f t="shared" si="7"/>
        <v>Lag</v>
      </c>
      <c r="Q41">
        <v>1</v>
      </c>
      <c r="R41" s="24">
        <f t="shared" si="8"/>
        <v>0.86811375846674832</v>
      </c>
      <c r="S41" s="21"/>
      <c r="T41" s="17"/>
    </row>
    <row r="42" spans="3:20" x14ac:dyDescent="0.2">
      <c r="C42" s="54">
        <v>46</v>
      </c>
      <c r="D42" s="516">
        <f>VLOOKUP($C42,Data!$A$12:$AA$211,19,FALSE)</f>
        <v>229.99661169999999</v>
      </c>
      <c r="E42" s="519">
        <f>VLOOKUP($C42,Data!$A$12:$AA$211,20,FALSE)</f>
        <v>4.9999010229999996</v>
      </c>
      <c r="F42" s="516">
        <f>-VLOOKUP($C42,Data!$A$12:$FI$618,21,FALSE)</f>
        <v>126.87238360000001</v>
      </c>
      <c r="G42" s="647" t="str">
        <f t="shared" si="6"/>
        <v>0.8 Lead</v>
      </c>
      <c r="H42" s="837" t="s">
        <v>92</v>
      </c>
      <c r="I42" s="516">
        <f>ABS(VLOOKUP($C42,Data!$A$12:$AA$211,26,FALSE))</f>
        <v>99999.796679999999</v>
      </c>
      <c r="J42" s="523">
        <f>VLOOKUP($C42,Data!$A$12:$AA$211,23,FALSE)</f>
        <v>-2.0332E-4</v>
      </c>
      <c r="K42" s="523">
        <f>VLOOKUP($C42,Data!$A$12:$AA$211,24,FALSE)</f>
        <v>1.4003425E-2</v>
      </c>
      <c r="L42" s="521">
        <f>VLOOKUP($C42,Data!$A$12:$AA$211,25,FALSE)</f>
        <v>2.0833533229999999</v>
      </c>
      <c r="M42" s="65" t="str">
        <f>VLOOKUP($C42,Data!$A$12:$AA$211,13,FALSE)</f>
        <v>vars</v>
      </c>
      <c r="N42" s="68">
        <f>-VLOOKUP($C42,Data!$A$12:$FI$618,21,FALSE)</f>
        <v>126.87238360000001</v>
      </c>
      <c r="O42" s="361">
        <f>VLOOKUP($C42,Data!$A$12:$FI$211,18,FALSE)</f>
        <v>0</v>
      </c>
      <c r="P42" t="str">
        <f t="shared" si="7"/>
        <v>Lead</v>
      </c>
      <c r="Q42">
        <v>1</v>
      </c>
      <c r="R42" s="24">
        <f t="shared" si="8"/>
        <v>1.0002330176260057</v>
      </c>
      <c r="S42" s="21"/>
      <c r="T42" s="17"/>
    </row>
    <row r="43" spans="3:20" x14ac:dyDescent="0.2">
      <c r="C43" s="54">
        <v>103</v>
      </c>
      <c r="D43" s="516">
        <f>VLOOKUP($C43,Data!$A$12:$AA$211,19,FALSE)</f>
        <v>229.99676009999999</v>
      </c>
      <c r="E43" s="519">
        <f>VLOOKUP($C43,Data!$A$12:$AA$211,20,FALSE)</f>
        <v>5.9998917250000003</v>
      </c>
      <c r="F43" s="516">
        <f>-VLOOKUP($C43,Data!$A$12:$FI$618,21,FALSE)</f>
        <v>90.000350530000006</v>
      </c>
      <c r="G43" s="647" t="str">
        <f t="shared" si="6"/>
        <v xml:space="preserve">1  </v>
      </c>
      <c r="H43" s="837" t="s">
        <v>92</v>
      </c>
      <c r="I43" s="516">
        <f>ABS(VLOOKUP($C43,Data!$A$12:$AA$211,26,FALSE))</f>
        <v>100002.1203</v>
      </c>
      <c r="J43" s="523">
        <f>VLOOKUP($C43,Data!$A$12:$AA$211,23,FALSE)</f>
        <v>2.1203229999999999E-3</v>
      </c>
      <c r="K43" s="523">
        <f>VLOOKUP($C43,Data!$A$12:$AA$211,24,FALSE)</f>
        <v>1.379912E-2</v>
      </c>
      <c r="L43" s="521">
        <f>VLOOKUP($C43,Data!$A$12:$AA$211,25,FALSE)</f>
        <v>2.0824967380000001</v>
      </c>
      <c r="M43" s="65" t="str">
        <f>VLOOKUP($C43,Data!$A$12:$AA$211,13,FALSE)</f>
        <v>vars</v>
      </c>
      <c r="N43" s="68">
        <f>-VLOOKUP($C43,Data!$A$12:$FI$618,21,FALSE)</f>
        <v>90.000350530000006</v>
      </c>
      <c r="O43" s="361">
        <f>VLOOKUP($C43,Data!$A$12:$FI$211,18,FALSE)</f>
        <v>0</v>
      </c>
      <c r="P43" t="str">
        <f t="shared" si="7"/>
        <v xml:space="preserve"> </v>
      </c>
      <c r="Q43">
        <v>1</v>
      </c>
      <c r="R43" s="24">
        <f t="shared" si="8"/>
        <v>1.061470769224657</v>
      </c>
      <c r="S43" s="21"/>
      <c r="T43" s="17"/>
    </row>
    <row r="44" spans="3:20" x14ac:dyDescent="0.2">
      <c r="C44" s="54">
        <v>105</v>
      </c>
      <c r="D44" s="516">
        <f>VLOOKUP($C44,Data!$A$12:$AA$211,19,FALSE)</f>
        <v>229.99681649999999</v>
      </c>
      <c r="E44" s="519">
        <f>VLOOKUP($C44,Data!$A$12:$AA$211,20,FALSE)</f>
        <v>6.0002580730000004</v>
      </c>
      <c r="F44" s="516">
        <f>-VLOOKUP($C44,Data!$A$12:$FI$618,21,FALSE)</f>
        <v>30.000239220000001</v>
      </c>
      <c r="G44" s="647" t="str">
        <f t="shared" si="6"/>
        <v>0.5 Lag</v>
      </c>
      <c r="H44" s="837" t="s">
        <v>92</v>
      </c>
      <c r="I44" s="516">
        <f>ABS(VLOOKUP($C44,Data!$A$12:$AA$211,26,FALSE))</f>
        <v>100000.22779999999</v>
      </c>
      <c r="J44" s="523">
        <f>VLOOKUP($C44,Data!$A$12:$AA$211,23,FALSE)</f>
        <v>2.27772E-4</v>
      </c>
      <c r="K44" s="523">
        <f>VLOOKUP($C44,Data!$A$12:$AA$211,24,FALSE)</f>
        <v>1.4767852999999999E-2</v>
      </c>
      <c r="L44" s="521">
        <f>VLOOKUP($C44,Data!$A$12:$AA$211,25,FALSE)</f>
        <v>2.0854082479999998</v>
      </c>
      <c r="M44" s="65" t="str">
        <f>VLOOKUP($C44,Data!$A$12:$AA$211,13,FALSE)</f>
        <v>vars</v>
      </c>
      <c r="N44" s="68">
        <f>-VLOOKUP($C44,Data!$A$12:$FI$618,21,FALSE)</f>
        <v>30.000239220000001</v>
      </c>
      <c r="O44" s="361">
        <f>VLOOKUP($C44,Data!$A$12:$FI$211,18,FALSE)</f>
        <v>0</v>
      </c>
      <c r="P44" t="str">
        <f t="shared" si="7"/>
        <v>Lag</v>
      </c>
      <c r="Q44">
        <v>1</v>
      </c>
      <c r="R44" s="24">
        <f t="shared" si="8"/>
        <v>0.8687001915552931</v>
      </c>
      <c r="S44" s="23"/>
    </row>
    <row r="45" spans="3:20" x14ac:dyDescent="0.2">
      <c r="C45" s="54">
        <v>110</v>
      </c>
      <c r="D45" s="516">
        <f>VLOOKUP($C45,Data!$A$12:$AA$211,19,FALSE)</f>
        <v>229.99694690000001</v>
      </c>
      <c r="E45" s="519">
        <f>VLOOKUP($C45,Data!$A$12:$AA$211,20,FALSE)</f>
        <v>5.9998884930000003</v>
      </c>
      <c r="F45" s="516">
        <f>-VLOOKUP($C45,Data!$A$12:$FI$618,21,FALSE)</f>
        <v>126.87270839999999</v>
      </c>
      <c r="G45" s="647" t="str">
        <f t="shared" si="6"/>
        <v>0.8 Lead</v>
      </c>
      <c r="H45" s="837" t="s">
        <v>92</v>
      </c>
      <c r="I45" s="516">
        <f>ABS(VLOOKUP($C45,Data!$A$12:$AA$211,26,FALSE))</f>
        <v>100000.59540000001</v>
      </c>
      <c r="J45" s="523">
        <f>VLOOKUP($C45,Data!$A$12:$AA$211,23,FALSE)</f>
        <v>5.9537499999999998E-4</v>
      </c>
      <c r="K45" s="523">
        <f>VLOOKUP($C45,Data!$A$12:$AA$211,24,FALSE)</f>
        <v>1.4016858E-2</v>
      </c>
      <c r="L45" s="521">
        <f>VLOOKUP($C45,Data!$A$12:$AA$211,25,FALSE)</f>
        <v>2.0829074420000002</v>
      </c>
      <c r="M45" s="65" t="str">
        <f>VLOOKUP($C45,Data!$A$12:$AA$211,13,FALSE)</f>
        <v>vars</v>
      </c>
      <c r="N45" s="68">
        <f>-VLOOKUP($C45,Data!$A$12:$FI$618,21,FALSE)</f>
        <v>126.87270839999999</v>
      </c>
      <c r="O45" s="361">
        <f>VLOOKUP($C45,Data!$A$12:$FI$211,18,FALSE)</f>
        <v>0</v>
      </c>
      <c r="P45" t="str">
        <f t="shared" si="7"/>
        <v>Lead</v>
      </c>
      <c r="Q45">
        <v>1</v>
      </c>
      <c r="R45" s="24">
        <f t="shared" si="8"/>
        <v>1.0011909860479995</v>
      </c>
      <c r="S45" s="23"/>
    </row>
    <row r="46" spans="3:20" x14ac:dyDescent="0.2">
      <c r="C46" s="54"/>
      <c r="D46" s="524"/>
      <c r="E46" s="525"/>
      <c r="F46" s="526"/>
      <c r="G46" s="526"/>
      <c r="H46" s="525"/>
      <c r="I46" s="839"/>
      <c r="J46" s="527"/>
      <c r="K46" s="527"/>
      <c r="L46" s="528"/>
      <c r="M46" s="65"/>
      <c r="N46" s="68"/>
      <c r="O46" s="361"/>
      <c r="R46" s="24"/>
      <c r="S46" s="24"/>
    </row>
    <row r="47" spans="3:20" x14ac:dyDescent="0.2">
      <c r="R47" s="24"/>
      <c r="S47" s="24"/>
    </row>
    <row r="48" spans="3:20" x14ac:dyDescent="0.2">
      <c r="R48" s="24"/>
      <c r="S48" s="24"/>
    </row>
    <row r="49" spans="18:19" x14ac:dyDescent="0.2">
      <c r="R49" s="24"/>
      <c r="S49" s="24"/>
    </row>
    <row r="50" spans="18:19" x14ac:dyDescent="0.2">
      <c r="R50" s="10"/>
      <c r="S50" s="10"/>
    </row>
    <row r="51" spans="18:19" x14ac:dyDescent="0.2">
      <c r="R51" s="10"/>
      <c r="S51" s="10"/>
    </row>
    <row r="52" spans="18:19" x14ac:dyDescent="0.2">
      <c r="R52" s="10"/>
      <c r="S52" s="10"/>
    </row>
    <row r="53" spans="18:19" x14ac:dyDescent="0.2">
      <c r="R53" s="10"/>
      <c r="S53" s="10"/>
    </row>
    <row r="54" spans="18:19" x14ac:dyDescent="0.2">
      <c r="R54" s="10"/>
      <c r="S54" s="10"/>
    </row>
    <row r="55" spans="18:19" x14ac:dyDescent="0.2">
      <c r="R55" s="10"/>
      <c r="S55" s="10"/>
    </row>
    <row r="56" spans="18:19" x14ac:dyDescent="0.2">
      <c r="R56" s="10"/>
      <c r="S56" s="10"/>
    </row>
    <row r="57" spans="18:19" x14ac:dyDescent="0.2">
      <c r="R57" s="10"/>
      <c r="S57" s="10"/>
    </row>
    <row r="58" spans="18:19" x14ac:dyDescent="0.2">
      <c r="R58" s="10"/>
      <c r="S58" s="10"/>
    </row>
    <row r="59" spans="18:19" x14ac:dyDescent="0.2">
      <c r="R59" s="10"/>
      <c r="S59" s="10"/>
    </row>
    <row r="60" spans="18:19" x14ac:dyDescent="0.2">
      <c r="R60" s="10"/>
      <c r="S60" s="10"/>
    </row>
    <row r="61" spans="18:19" x14ac:dyDescent="0.2">
      <c r="R61" s="10"/>
      <c r="S61" s="10"/>
    </row>
    <row r="62" spans="18:19" x14ac:dyDescent="0.2">
      <c r="R62" s="10"/>
      <c r="S62" s="10"/>
    </row>
    <row r="63" spans="18:19" x14ac:dyDescent="0.2">
      <c r="R63" s="10"/>
      <c r="S63" s="10"/>
    </row>
    <row r="64" spans="18:19" x14ac:dyDescent="0.2">
      <c r="R64" s="10"/>
      <c r="S64" s="10"/>
    </row>
    <row r="65" spans="18:19" x14ac:dyDescent="0.2">
      <c r="R65" s="10"/>
      <c r="S65" s="10"/>
    </row>
    <row r="66" spans="18:19" x14ac:dyDescent="0.2">
      <c r="R66" s="10"/>
      <c r="S66" s="10"/>
    </row>
    <row r="67" spans="18:19" x14ac:dyDescent="0.2">
      <c r="R67" s="10"/>
      <c r="S67" s="10"/>
    </row>
    <row r="68" spans="18:19" x14ac:dyDescent="0.2">
      <c r="R68" s="10"/>
      <c r="S68" s="10"/>
    </row>
    <row r="69" spans="18:19" x14ac:dyDescent="0.2">
      <c r="R69" s="10"/>
      <c r="S69" s="10"/>
    </row>
  </sheetData>
  <customSheetViews>
    <customSheetView guid="{1F7EA7B0-7CBB-4C85-991C-384D0AE2B3A5}" showRuler="0" topLeftCell="D1">
      <selection activeCell="L3" sqref="L3"/>
      <pageMargins left="0.75" right="0.75" top="1" bottom="1" header="0.5" footer="0.5"/>
      <pageSetup paperSize="121" orientation="portrait" r:id="rId1"/>
      <headerFooter alignWithMargins="0"/>
    </customSheetView>
  </customSheetViews>
  <phoneticPr fontId="13" type="noConversion"/>
  <pageMargins left="0.75" right="0.75" top="1" bottom="1" header="0.5" footer="0.5"/>
  <pageSetup paperSize="121" orientation="portrait" r:id="rId2"/>
  <headerFooter alignWithMargins="0"/>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X107"/>
  <sheetViews>
    <sheetView zoomScale="75" workbookViewId="0">
      <selection activeCell="F51" sqref="F51:F62"/>
    </sheetView>
  </sheetViews>
  <sheetFormatPr defaultRowHeight="12.75" x14ac:dyDescent="0.2"/>
  <cols>
    <col min="1" max="3" width="9.140625" style="6"/>
    <col min="4" max="4" width="11.5703125" style="6" customWidth="1"/>
    <col min="5" max="6" width="10" style="6" customWidth="1"/>
    <col min="7" max="7" width="13.28515625" style="6" customWidth="1"/>
    <col min="8" max="8" width="9.140625" style="6"/>
    <col min="9" max="9" width="11.5703125" style="6" customWidth="1"/>
    <col min="10" max="11" width="9.140625" style="6"/>
    <col min="12" max="12" width="12.5703125" style="6" customWidth="1"/>
    <col min="13" max="13" width="11.85546875" style="6" customWidth="1"/>
    <col min="14" max="20" width="9.140625" style="6"/>
    <col min="21" max="21" width="11.5703125" style="6" customWidth="1"/>
    <col min="22" max="22" width="10" style="6" customWidth="1"/>
    <col min="23" max="23" width="13.28515625" style="6" customWidth="1"/>
    <col min="24" max="24" width="9.140625" style="6"/>
    <col min="25" max="25" width="11.5703125" style="6" customWidth="1"/>
    <col min="26" max="28" width="9.140625" style="6"/>
    <col min="29" max="29" width="11.42578125" style="6" customWidth="1"/>
    <col min="30" max="33" width="9.140625" style="6"/>
    <col min="34" max="34" width="10.140625" style="6" customWidth="1"/>
    <col min="35" max="35" width="9.140625" style="6"/>
    <col min="36" max="36" width="11.28515625" style="6" customWidth="1"/>
    <col min="37" max="37" width="9.140625" style="6"/>
    <col min="38" max="38" width="10.85546875" style="6" customWidth="1"/>
    <col min="39" max="41" width="9.140625" style="6"/>
    <col min="42" max="42" width="11.42578125" style="6" customWidth="1"/>
    <col min="43" max="46" width="9.140625" style="6"/>
    <col min="47" max="47" width="10.140625" style="6" customWidth="1"/>
    <col min="48" max="48" width="9.140625" style="6"/>
    <col min="49" max="49" width="11.28515625" style="6" customWidth="1"/>
    <col min="50" max="50" width="9.140625" style="6"/>
    <col min="51" max="51" width="10.85546875" style="6" customWidth="1"/>
    <col min="52" max="54" width="9.140625" style="6"/>
    <col min="55" max="62" width="12.42578125" style="6" customWidth="1"/>
    <col min="63" max="81" width="9.140625" style="6"/>
    <col min="82" max="82" width="14.140625" style="6" customWidth="1"/>
    <col min="83" max="91" width="9.140625" style="6"/>
    <col min="92" max="92" width="12" style="6" customWidth="1"/>
    <col min="93" max="93" width="11.28515625" style="6" customWidth="1"/>
    <col min="94" max="97" width="9.140625" style="6"/>
    <col min="98" max="98" width="14.85546875" style="6" customWidth="1"/>
    <col min="99" max="99" width="12.85546875" style="6" customWidth="1"/>
    <col min="100" max="105" width="9.140625" style="6"/>
    <col min="106" max="106" width="12.140625" style="6" customWidth="1"/>
    <col min="107" max="113" width="9.140625" style="6"/>
    <col min="114" max="114" width="12.5703125" style="6" customWidth="1"/>
    <col min="115" max="115" width="9.140625" style="6"/>
    <col min="116" max="116" width="10.5703125" style="6" customWidth="1"/>
    <col min="117" max="16384" width="9.140625" style="6"/>
  </cols>
  <sheetData>
    <row r="1" spans="2:128" x14ac:dyDescent="0.2">
      <c r="B1" s="732" t="s">
        <v>148</v>
      </c>
      <c r="C1" s="733" t="s">
        <v>575</v>
      </c>
      <c r="D1" s="734"/>
      <c r="E1" s="734"/>
      <c r="F1" s="734"/>
      <c r="G1" s="735"/>
      <c r="H1" s="734"/>
      <c r="I1" s="736"/>
      <c r="J1" s="737"/>
      <c r="K1" s="737"/>
      <c r="S1" s="732" t="s">
        <v>148</v>
      </c>
      <c r="T1" s="733" t="s">
        <v>575</v>
      </c>
      <c r="U1" s="734"/>
      <c r="V1" s="734"/>
      <c r="W1" s="735"/>
      <c r="X1" s="734"/>
      <c r="Y1" s="736"/>
      <c r="Z1" s="737"/>
    </row>
    <row r="2" spans="2:128" x14ac:dyDescent="0.2">
      <c r="B2" s="734"/>
      <c r="C2" s="734"/>
      <c r="D2" s="734"/>
      <c r="E2" s="734"/>
      <c r="F2" s="734"/>
      <c r="G2" s="735"/>
      <c r="H2" s="734"/>
      <c r="I2" s="736"/>
      <c r="J2" s="737"/>
      <c r="K2" s="737"/>
      <c r="S2" s="734" t="s">
        <v>129</v>
      </c>
      <c r="T2" s="738">
        <v>2013</v>
      </c>
      <c r="U2" s="734"/>
      <c r="V2" s="734"/>
      <c r="W2" s="735"/>
      <c r="X2" s="734"/>
      <c r="Y2" s="736"/>
      <c r="Z2" s="737"/>
      <c r="AF2" s="6" t="s">
        <v>56</v>
      </c>
      <c r="AG2" s="6">
        <v>2011</v>
      </c>
      <c r="AS2" s="6" t="s">
        <v>57</v>
      </c>
      <c r="AT2" s="6">
        <v>2009</v>
      </c>
      <c r="BB2" s="6" t="s">
        <v>58</v>
      </c>
      <c r="BC2" s="6">
        <v>2007</v>
      </c>
      <c r="BY2" s="733"/>
      <c r="BZ2" s="734" t="s">
        <v>59</v>
      </c>
      <c r="CA2" s="738">
        <v>2005</v>
      </c>
      <c r="CB2" s="734"/>
      <c r="CC2" s="734"/>
      <c r="CD2" s="735"/>
      <c r="CE2" s="734"/>
      <c r="CF2" s="736"/>
      <c r="CG2" s="737"/>
      <c r="CH2" s="734"/>
      <c r="CI2" s="738"/>
      <c r="CJ2" s="734"/>
      <c r="CN2" s="733" t="s">
        <v>60</v>
      </c>
      <c r="CO2" s="733" t="s">
        <v>61</v>
      </c>
      <c r="CP2" s="733" t="s">
        <v>62</v>
      </c>
      <c r="CQ2" s="433" t="s">
        <v>63</v>
      </c>
      <c r="CR2" s="6">
        <v>2003</v>
      </c>
      <c r="DF2" s="6" t="s">
        <v>64</v>
      </c>
      <c r="DG2" s="6">
        <v>2001</v>
      </c>
    </row>
    <row r="3" spans="2:128" ht="66" customHeight="1" x14ac:dyDescent="0.2">
      <c r="B3" s="739" t="s">
        <v>748</v>
      </c>
      <c r="C3" s="739" t="s">
        <v>749</v>
      </c>
      <c r="D3" s="602" t="str">
        <f>'TABLE RM11'!F3</f>
        <v>Phase
Difference
φ
(°)</v>
      </c>
      <c r="E3" s="602" t="str">
        <f>'TABLE RM11'!G3</f>
        <v>Power Factor</v>
      </c>
      <c r="F3" s="602" t="s">
        <v>66</v>
      </c>
      <c r="G3" s="602" t="str">
        <f>'TABLE RM11'!I3</f>
        <v>Measured 
Impulses
(Imp/(W.h))</v>
      </c>
      <c r="H3" s="740" t="s">
        <v>750</v>
      </c>
      <c r="I3" s="739" t="s">
        <v>576</v>
      </c>
      <c r="J3" s="741" t="s">
        <v>751</v>
      </c>
      <c r="K3" s="582"/>
      <c r="L3" s="99" t="s">
        <v>69</v>
      </c>
      <c r="M3" s="742" t="s">
        <v>53</v>
      </c>
      <c r="N3" s="742" t="s">
        <v>52</v>
      </c>
      <c r="Q3" s="6" t="s">
        <v>68</v>
      </c>
      <c r="R3" s="6" t="s">
        <v>70</v>
      </c>
      <c r="S3" s="739" t="s">
        <v>748</v>
      </c>
      <c r="T3" s="739" t="s">
        <v>749</v>
      </c>
      <c r="U3" s="602" t="s">
        <v>114</v>
      </c>
      <c r="V3" s="602" t="s">
        <v>66</v>
      </c>
      <c r="W3" s="602" t="s">
        <v>128</v>
      </c>
      <c r="X3" s="740" t="s">
        <v>750</v>
      </c>
      <c r="Y3" s="739" t="s">
        <v>576</v>
      </c>
      <c r="Z3" s="741" t="s">
        <v>751</v>
      </c>
      <c r="AB3" s="742" t="s">
        <v>52</v>
      </c>
      <c r="AC3" s="99" t="s">
        <v>69</v>
      </c>
      <c r="AD3" s="6" t="s">
        <v>68</v>
      </c>
      <c r="AE3" s="6" t="s">
        <v>70</v>
      </c>
      <c r="AF3" s="739" t="s">
        <v>748</v>
      </c>
      <c r="AG3" s="739" t="s">
        <v>749</v>
      </c>
      <c r="AH3" s="739" t="s">
        <v>65</v>
      </c>
      <c r="AI3" s="739" t="s">
        <v>66</v>
      </c>
      <c r="AJ3" s="602" t="s">
        <v>67</v>
      </c>
      <c r="AK3" s="739" t="s">
        <v>750</v>
      </c>
      <c r="AL3" s="739" t="s">
        <v>576</v>
      </c>
      <c r="AM3" s="739" t="s">
        <v>751</v>
      </c>
      <c r="AO3" s="742" t="s">
        <v>68</v>
      </c>
      <c r="AP3" s="99" t="s">
        <v>69</v>
      </c>
      <c r="AQ3" s="6" t="s">
        <v>70</v>
      </c>
      <c r="AS3" s="739" t="s">
        <v>71</v>
      </c>
      <c r="AT3" s="739" t="s">
        <v>72</v>
      </c>
      <c r="AU3" s="739" t="s">
        <v>65</v>
      </c>
      <c r="AV3" s="739" t="s">
        <v>66</v>
      </c>
      <c r="AW3" s="602" t="s">
        <v>67</v>
      </c>
      <c r="AX3" s="740" t="s">
        <v>73</v>
      </c>
      <c r="AY3" s="739" t="s">
        <v>576</v>
      </c>
      <c r="AZ3" s="741" t="s">
        <v>74</v>
      </c>
      <c r="BB3" s="743" t="s">
        <v>71</v>
      </c>
      <c r="BC3" s="743" t="s">
        <v>72</v>
      </c>
      <c r="BD3" s="743" t="s">
        <v>65</v>
      </c>
      <c r="BE3" s="743" t="s">
        <v>67</v>
      </c>
      <c r="BF3" s="743" t="s">
        <v>73</v>
      </c>
      <c r="BG3" s="743" t="s">
        <v>576</v>
      </c>
      <c r="BH3" s="743" t="s">
        <v>74</v>
      </c>
      <c r="BO3" s="744" t="s">
        <v>75</v>
      </c>
      <c r="BV3" s="745" t="s">
        <v>76</v>
      </c>
      <c r="BW3" s="745" t="s">
        <v>77</v>
      </c>
      <c r="BY3" s="54"/>
      <c r="BZ3" s="746" t="s">
        <v>78</v>
      </c>
      <c r="CA3" s="747" t="s">
        <v>72</v>
      </c>
      <c r="CB3" s="746" t="s">
        <v>65</v>
      </c>
      <c r="CC3" s="746" t="s">
        <v>79</v>
      </c>
      <c r="CD3" s="748" t="s">
        <v>67</v>
      </c>
      <c r="CE3" s="749" t="s">
        <v>73</v>
      </c>
      <c r="CF3" s="750" t="s">
        <v>576</v>
      </c>
      <c r="CG3" s="751" t="s">
        <v>74</v>
      </c>
      <c r="CH3" s="734"/>
      <c r="CI3" s="752" t="s">
        <v>80</v>
      </c>
      <c r="CJ3" s="99" t="s">
        <v>577</v>
      </c>
      <c r="CK3" s="753"/>
      <c r="CL3" s="754" t="s">
        <v>578</v>
      </c>
      <c r="CM3" s="754"/>
      <c r="CP3" s="733" t="s">
        <v>81</v>
      </c>
      <c r="CQ3" s="755" t="s">
        <v>82</v>
      </c>
      <c r="CR3" s="749" t="s">
        <v>83</v>
      </c>
      <c r="CS3" s="756" t="s">
        <v>84</v>
      </c>
      <c r="CT3" s="756" t="s">
        <v>85</v>
      </c>
      <c r="CU3" s="757" t="s">
        <v>278</v>
      </c>
      <c r="CV3" s="749" t="s">
        <v>86</v>
      </c>
      <c r="CW3" s="758" t="s">
        <v>280</v>
      </c>
      <c r="CX3" s="751" t="s">
        <v>281</v>
      </c>
      <c r="CY3" s="734"/>
      <c r="DB3" s="99" t="s">
        <v>87</v>
      </c>
      <c r="DC3" s="754" t="s">
        <v>88</v>
      </c>
      <c r="DD3" s="754" t="s">
        <v>77</v>
      </c>
      <c r="DF3" s="759" t="s">
        <v>82</v>
      </c>
      <c r="DG3" s="760" t="s">
        <v>83</v>
      </c>
      <c r="DH3" s="749" t="s">
        <v>89</v>
      </c>
      <c r="DI3" s="761" t="s">
        <v>90</v>
      </c>
      <c r="DJ3" s="757" t="s">
        <v>278</v>
      </c>
      <c r="DK3" s="760" t="s">
        <v>86</v>
      </c>
      <c r="DL3" s="758" t="s">
        <v>280</v>
      </c>
      <c r="DM3" s="761" t="s">
        <v>281</v>
      </c>
      <c r="DO3" s="727" t="s">
        <v>136</v>
      </c>
      <c r="DP3" s="727"/>
      <c r="DQ3" s="6">
        <v>2015</v>
      </c>
      <c r="DR3" s="6">
        <v>2013</v>
      </c>
      <c r="DS3" s="6">
        <v>2011</v>
      </c>
      <c r="DT3" s="6">
        <v>2009</v>
      </c>
      <c r="DU3" s="6">
        <v>2007</v>
      </c>
      <c r="DV3" s="6">
        <v>2005</v>
      </c>
      <c r="DW3" s="6">
        <v>2003</v>
      </c>
      <c r="DX3" s="6">
        <v>2001</v>
      </c>
    </row>
    <row r="4" spans="2:128" x14ac:dyDescent="0.2">
      <c r="B4" s="762">
        <f>'TABLE RM11'!D4</f>
        <v>229.9964397</v>
      </c>
      <c r="C4" s="763">
        <f>'TABLE RM11'!E4</f>
        <v>0.500016142</v>
      </c>
      <c r="D4" s="762">
        <f>'TABLE RM11'!F4</f>
        <v>1.61966E-3</v>
      </c>
      <c r="E4" s="762" t="str">
        <f>'TABLE RM11'!G4</f>
        <v xml:space="preserve">1  </v>
      </c>
      <c r="F4" s="762" t="str">
        <f>'TABLE RM11'!H4</f>
        <v>A</v>
      </c>
      <c r="G4" s="762">
        <f>'TABLE RM11'!I4</f>
        <v>100002.022</v>
      </c>
      <c r="H4" s="764">
        <f>'TABLE RM11'!J4</f>
        <v>2.02198E-3</v>
      </c>
      <c r="I4" s="765">
        <f>'TABLE RM11'!K4</f>
        <v>5.0580629999999998E-3</v>
      </c>
      <c r="J4" s="766">
        <f>'TABLE RM11'!L4</f>
        <v>2.0614118690000001</v>
      </c>
      <c r="K4" s="767"/>
      <c r="L4" s="438">
        <f t="shared" ref="L4:L21" si="0">I4/Y4</f>
        <v>0.97900014709981109</v>
      </c>
      <c r="M4" s="438">
        <f t="shared" ref="M4:M21" si="1">(H4-X4)/I4</f>
        <v>0.69990172127156192</v>
      </c>
      <c r="N4" s="438"/>
      <c r="Q4" s="438">
        <f t="shared" ref="Q4:Q15" si="2">(H4-AK4)/I4</f>
        <v>0.39975381880375949</v>
      </c>
      <c r="R4" s="438">
        <f t="shared" ref="R4:R15" si="3">(H4-AS4)/I4</f>
        <v>0.39975381880375949</v>
      </c>
      <c r="S4" s="762">
        <v>229.91565900000001</v>
      </c>
      <c r="T4" s="762">
        <v>0.50016504399999995</v>
      </c>
      <c r="U4" s="762" t="s">
        <v>91</v>
      </c>
      <c r="V4" s="762" t="s">
        <v>92</v>
      </c>
      <c r="W4" s="762">
        <v>99998.481830000004</v>
      </c>
      <c r="X4" s="764">
        <v>-1.518167E-3</v>
      </c>
      <c r="Y4" s="768">
        <v>5.1665599999999997E-3</v>
      </c>
      <c r="Z4" s="766">
        <v>2.0893483669999999</v>
      </c>
      <c r="AB4" s="438"/>
      <c r="AC4" s="438"/>
      <c r="AD4" s="438"/>
      <c r="AE4" s="438"/>
      <c r="AF4" s="762"/>
      <c r="AG4" s="767"/>
      <c r="AH4" s="763"/>
      <c r="AI4" s="763"/>
      <c r="AJ4" s="763"/>
      <c r="AK4" s="765"/>
      <c r="AL4" s="765"/>
      <c r="AM4" s="763"/>
      <c r="AO4" s="438"/>
      <c r="AP4" s="438"/>
      <c r="AQ4" s="438"/>
      <c r="AS4" s="762"/>
      <c r="AT4" s="767"/>
      <c r="AU4" s="763"/>
      <c r="AV4" s="763"/>
      <c r="AW4" s="769"/>
      <c r="AX4" s="765"/>
      <c r="AY4" s="765"/>
      <c r="AZ4" s="770"/>
      <c r="BB4" s="771"/>
      <c r="BC4" s="771"/>
      <c r="BD4" s="771"/>
      <c r="BE4" s="771"/>
      <c r="BF4" s="772"/>
      <c r="BG4" s="772"/>
      <c r="BH4" s="773"/>
      <c r="BO4" s="433"/>
      <c r="BP4" s="567"/>
      <c r="BQ4" s="567"/>
      <c r="BR4" s="774"/>
      <c r="BS4" s="774"/>
      <c r="BT4" s="567"/>
      <c r="BU4" s="567"/>
      <c r="BV4" s="567"/>
      <c r="BW4" s="775"/>
      <c r="BY4" s="54"/>
      <c r="BZ4" s="776"/>
      <c r="CA4" s="738"/>
      <c r="CB4" s="777"/>
      <c r="CC4" s="777"/>
      <c r="CD4" s="736"/>
      <c r="CE4" s="778"/>
      <c r="CF4" s="778"/>
      <c r="CG4" s="779"/>
      <c r="CH4" s="734"/>
      <c r="CI4" s="738"/>
      <c r="CJ4" s="780"/>
      <c r="CN4" s="567"/>
      <c r="CO4" s="438"/>
      <c r="CP4" s="438"/>
      <c r="CQ4" s="781"/>
      <c r="CR4" s="776"/>
      <c r="CS4" s="734"/>
      <c r="CT4" s="777"/>
      <c r="CU4" s="736"/>
      <c r="CV4" s="778"/>
      <c r="CW4" s="778"/>
      <c r="CX4" s="779"/>
      <c r="CY4" s="734"/>
      <c r="DC4" s="567"/>
      <c r="DD4" s="438"/>
      <c r="DF4" s="781"/>
      <c r="DG4" s="735"/>
      <c r="DH4" s="735"/>
      <c r="DI4" s="738"/>
      <c r="DJ4" s="736"/>
      <c r="DK4" s="737"/>
      <c r="DL4" s="737"/>
      <c r="DM4" s="779"/>
      <c r="DO4" s="782"/>
      <c r="DP4" s="438"/>
      <c r="DQ4" s="438"/>
      <c r="DR4" s="438"/>
      <c r="DS4" s="567"/>
      <c r="DT4" s="567"/>
      <c r="DU4" s="567"/>
      <c r="DV4" s="778"/>
      <c r="DW4" s="778"/>
      <c r="DX4" s="778"/>
    </row>
    <row r="5" spans="2:128" x14ac:dyDescent="0.2">
      <c r="B5" s="762">
        <f>'TABLE RM11'!D5</f>
        <v>229.9968054</v>
      </c>
      <c r="C5" s="763">
        <f>'TABLE RM11'!E5</f>
        <v>0.49999961199999998</v>
      </c>
      <c r="D5" s="762">
        <f>'TABLE RM11'!F5</f>
        <v>59.99920049</v>
      </c>
      <c r="E5" s="762" t="str">
        <f>'TABLE RM11'!G5</f>
        <v>0.5 Lag</v>
      </c>
      <c r="F5" s="762" t="str">
        <f>'TABLE RM11'!H5</f>
        <v>A</v>
      </c>
      <c r="G5" s="762">
        <f>'TABLE RM11'!I5</f>
        <v>99993.685740000001</v>
      </c>
      <c r="H5" s="765">
        <f>'TABLE RM11'!J5</f>
        <v>-6.3142600000000004E-3</v>
      </c>
      <c r="I5" s="765">
        <f>'TABLE RM11'!K5</f>
        <v>8.8893749999999997E-3</v>
      </c>
      <c r="J5" s="770">
        <f>'TABLE RM11'!L5</f>
        <v>2.0405737130000001</v>
      </c>
      <c r="K5" s="767"/>
      <c r="L5" s="438">
        <f t="shared" si="0"/>
        <v>0.9870497518044905</v>
      </c>
      <c r="M5" s="438">
        <f t="shared" si="1"/>
        <v>0.36855459467060392</v>
      </c>
      <c r="N5" s="438"/>
      <c r="Q5" s="438">
        <f t="shared" si="2"/>
        <v>-0.7103154046263096</v>
      </c>
      <c r="R5" s="438">
        <f t="shared" si="3"/>
        <v>-0.7103154046263096</v>
      </c>
      <c r="S5" s="762">
        <v>229.9111767</v>
      </c>
      <c r="T5" s="762">
        <v>0.50016888199999998</v>
      </c>
      <c r="U5" s="762" t="s">
        <v>96</v>
      </c>
      <c r="V5" s="762" t="s">
        <v>92</v>
      </c>
      <c r="W5" s="762">
        <v>99990.409520000001</v>
      </c>
      <c r="X5" s="765">
        <v>-9.5904800000000002E-3</v>
      </c>
      <c r="Y5" s="768">
        <v>9.0060049999999992E-3</v>
      </c>
      <c r="Z5" s="770">
        <v>2.0755878189999999</v>
      </c>
      <c r="AB5" s="438"/>
      <c r="AC5" s="438"/>
      <c r="AD5" s="438"/>
      <c r="AE5" s="438"/>
      <c r="AF5" s="762"/>
      <c r="AG5" s="767"/>
      <c r="AH5" s="763"/>
      <c r="AI5" s="763"/>
      <c r="AJ5" s="763"/>
      <c r="AK5" s="765"/>
      <c r="AL5" s="765"/>
      <c r="AM5" s="763"/>
      <c r="AO5" s="438"/>
      <c r="AP5" s="438"/>
      <c r="AQ5" s="438"/>
      <c r="AS5" s="762"/>
      <c r="AT5" s="767"/>
      <c r="AU5" s="763"/>
      <c r="AV5" s="763"/>
      <c r="AW5" s="769"/>
      <c r="AX5" s="765"/>
      <c r="AY5" s="765"/>
      <c r="AZ5" s="770"/>
      <c r="BB5" s="771"/>
      <c r="BC5" s="771"/>
      <c r="BD5" s="771"/>
      <c r="BE5" s="771"/>
      <c r="BF5" s="772"/>
      <c r="BG5" s="772"/>
      <c r="BH5" s="773"/>
      <c r="BO5" s="433"/>
      <c r="BP5" s="567"/>
      <c r="BQ5" s="567"/>
      <c r="BR5" s="774"/>
      <c r="BS5" s="774"/>
      <c r="BT5" s="567"/>
      <c r="BU5" s="567"/>
      <c r="BV5" s="567"/>
      <c r="BW5" s="775"/>
      <c r="BY5" s="54"/>
      <c r="BZ5" s="776"/>
      <c r="CA5" s="738"/>
      <c r="CB5" s="777"/>
      <c r="CC5" s="777"/>
      <c r="CD5" s="736"/>
      <c r="CE5" s="778"/>
      <c r="CF5" s="778"/>
      <c r="CG5" s="779"/>
      <c r="CH5" s="734"/>
      <c r="CI5" s="738"/>
      <c r="CJ5" s="780"/>
      <c r="CN5" s="567"/>
      <c r="CO5" s="438"/>
      <c r="CP5" s="438"/>
      <c r="CQ5" s="781"/>
      <c r="CR5" s="776"/>
      <c r="CS5" s="734"/>
      <c r="CT5" s="777"/>
      <c r="CU5" s="736"/>
      <c r="CV5" s="778"/>
      <c r="CW5" s="778"/>
      <c r="CX5" s="779"/>
      <c r="CY5" s="734"/>
      <c r="DC5" s="567"/>
      <c r="DD5" s="438"/>
      <c r="DF5" s="781"/>
      <c r="DG5" s="735"/>
      <c r="DH5" s="735"/>
      <c r="DI5" s="738"/>
      <c r="DJ5" s="736"/>
      <c r="DK5" s="737"/>
      <c r="DL5" s="737"/>
      <c r="DM5" s="779"/>
      <c r="DO5" s="782"/>
      <c r="DP5" s="438"/>
      <c r="DQ5" s="438"/>
      <c r="DR5" s="438"/>
      <c r="DS5" s="567"/>
      <c r="DT5" s="567"/>
      <c r="DU5" s="567"/>
      <c r="DV5" s="778"/>
      <c r="DW5" s="778"/>
      <c r="DX5" s="778"/>
    </row>
    <row r="6" spans="2:128" x14ac:dyDescent="0.2">
      <c r="B6" s="762">
        <f>'TABLE RM11'!D6</f>
        <v>229.9967623</v>
      </c>
      <c r="C6" s="763">
        <f>'TABLE RM11'!E6</f>
        <v>0.49999369100000002</v>
      </c>
      <c r="D6" s="762">
        <f>'TABLE RM11'!F6</f>
        <v>-36.89657236</v>
      </c>
      <c r="E6" s="762" t="str">
        <f>'TABLE RM11'!G6</f>
        <v>0.8 Lead</v>
      </c>
      <c r="F6" s="762" t="str">
        <f>'TABLE RM11'!H6</f>
        <v>A</v>
      </c>
      <c r="G6" s="762">
        <f>'TABLE RM11'!I6</f>
        <v>100005.18060000001</v>
      </c>
      <c r="H6" s="765">
        <f>'TABLE RM11'!J6</f>
        <v>5.1805790000000003E-3</v>
      </c>
      <c r="I6" s="765">
        <f>'TABLE RM11'!K6</f>
        <v>5.7978960000000003E-3</v>
      </c>
      <c r="J6" s="770">
        <f>'TABLE RM11'!L6</f>
        <v>2.0487617820000001</v>
      </c>
      <c r="K6" s="767"/>
      <c r="L6" s="438">
        <f t="shared" si="0"/>
        <v>0.95519702898411052</v>
      </c>
      <c r="M6" s="438">
        <f t="shared" si="1"/>
        <v>0.53297679020113509</v>
      </c>
      <c r="N6" s="438"/>
      <c r="Q6" s="438">
        <f t="shared" si="2"/>
        <v>0.8935274106330986</v>
      </c>
      <c r="R6" s="438">
        <f t="shared" si="3"/>
        <v>0.8935274106330986</v>
      </c>
      <c r="S6" s="762">
        <v>229.90522250000001</v>
      </c>
      <c r="T6" s="762">
        <v>0.50016071299999998</v>
      </c>
      <c r="U6" s="762" t="s">
        <v>98</v>
      </c>
      <c r="V6" s="762" t="s">
        <v>92</v>
      </c>
      <c r="W6" s="762">
        <v>100002.0904</v>
      </c>
      <c r="X6" s="765">
        <v>2.0904349999999999E-3</v>
      </c>
      <c r="Y6" s="768">
        <v>6.0698430000000001E-3</v>
      </c>
      <c r="Z6" s="770">
        <v>2.060789991</v>
      </c>
      <c r="AB6" s="438"/>
      <c r="AC6" s="438"/>
      <c r="AD6" s="438"/>
      <c r="AE6" s="438"/>
      <c r="AF6" s="762"/>
      <c r="AG6" s="767"/>
      <c r="AH6" s="763"/>
      <c r="AI6" s="763"/>
      <c r="AJ6" s="763"/>
      <c r="AK6" s="765"/>
      <c r="AL6" s="765"/>
      <c r="AM6" s="763"/>
      <c r="AO6" s="438"/>
      <c r="AP6" s="438"/>
      <c r="AQ6" s="438"/>
      <c r="AS6" s="762"/>
      <c r="AT6" s="767"/>
      <c r="AU6" s="763"/>
      <c r="AV6" s="763"/>
      <c r="AW6" s="769"/>
      <c r="AX6" s="765"/>
      <c r="AY6" s="765"/>
      <c r="AZ6" s="770"/>
      <c r="BB6" s="771"/>
      <c r="BC6" s="771"/>
      <c r="BD6" s="771"/>
      <c r="BE6" s="771"/>
      <c r="BF6" s="772"/>
      <c r="BG6" s="772"/>
      <c r="BH6" s="773"/>
      <c r="BO6" s="433"/>
      <c r="BP6" s="567"/>
      <c r="BQ6" s="567"/>
      <c r="BR6" s="774"/>
      <c r="BS6" s="774"/>
      <c r="BT6" s="567"/>
      <c r="BU6" s="567"/>
      <c r="BV6" s="567"/>
      <c r="BW6" s="775"/>
      <c r="BY6" s="54"/>
      <c r="BZ6" s="776"/>
      <c r="CA6" s="738"/>
      <c r="CB6" s="777"/>
      <c r="CC6" s="777"/>
      <c r="CD6" s="736"/>
      <c r="CE6" s="778"/>
      <c r="CF6" s="778"/>
      <c r="CG6" s="779"/>
      <c r="CH6" s="734"/>
      <c r="CI6" s="738"/>
      <c r="CJ6" s="780"/>
      <c r="CN6" s="567"/>
      <c r="CO6" s="438"/>
      <c r="CP6" s="438"/>
      <c r="CQ6" s="781"/>
      <c r="CR6" s="776"/>
      <c r="CS6" s="734"/>
      <c r="CT6" s="777"/>
      <c r="CU6" s="736"/>
      <c r="CV6" s="778"/>
      <c r="CW6" s="778"/>
      <c r="CX6" s="779"/>
      <c r="CY6" s="734"/>
      <c r="DC6" s="567"/>
      <c r="DD6" s="438"/>
      <c r="DF6" s="781"/>
      <c r="DG6" s="735"/>
      <c r="DH6" s="735"/>
      <c r="DI6" s="738"/>
      <c r="DJ6" s="736"/>
      <c r="DK6" s="737"/>
      <c r="DL6" s="737"/>
      <c r="DM6" s="779"/>
      <c r="DO6" s="782"/>
      <c r="DP6" s="438"/>
      <c r="DQ6" s="438"/>
      <c r="DR6" s="438"/>
      <c r="DS6" s="567"/>
      <c r="DT6" s="567"/>
      <c r="DU6" s="567"/>
      <c r="DV6" s="778"/>
      <c r="DW6" s="778"/>
      <c r="DX6" s="778"/>
    </row>
    <row r="7" spans="2:128" x14ac:dyDescent="0.2">
      <c r="B7" s="762">
        <f>'TABLE RM11'!D7</f>
        <v>229.99685030000001</v>
      </c>
      <c r="C7" s="762">
        <f>'TABLE RM11'!E7</f>
        <v>1.000022781</v>
      </c>
      <c r="D7" s="762">
        <f>'TABLE RM11'!F7</f>
        <v>1.2966259999999999E-3</v>
      </c>
      <c r="E7" s="762" t="str">
        <f>'TABLE RM11'!G7</f>
        <v xml:space="preserve">1  </v>
      </c>
      <c r="F7" s="762" t="str">
        <f>'TABLE RM11'!H7</f>
        <v>A</v>
      </c>
      <c r="G7" s="762">
        <f>'TABLE RM11'!I7</f>
        <v>100002.5232</v>
      </c>
      <c r="H7" s="765">
        <f>'TABLE RM11'!J7</f>
        <v>2.5232409999999999E-3</v>
      </c>
      <c r="I7" s="765">
        <f>'TABLE RM11'!K7</f>
        <v>4.7127660000000002E-3</v>
      </c>
      <c r="J7" s="770">
        <f>'TABLE RM11'!L7</f>
        <v>2.0833758410000001</v>
      </c>
      <c r="K7" s="767"/>
      <c r="L7" s="438">
        <f t="shared" si="0"/>
        <v>0.91724137394126648</v>
      </c>
      <c r="M7" s="438">
        <f t="shared" si="1"/>
        <v>0.72091824631225054</v>
      </c>
      <c r="N7" s="438">
        <f t="shared" ref="N7:N30" si="4">(H7-AK7)/I7</f>
        <v>0.73019007043795414</v>
      </c>
      <c r="Q7" s="438">
        <f t="shared" si="2"/>
        <v>0.73019007043795414</v>
      </c>
      <c r="R7" s="438">
        <f t="shared" si="3"/>
        <v>-48813.454653656736</v>
      </c>
      <c r="S7" s="762">
        <v>229.90654280000001</v>
      </c>
      <c r="T7" s="762">
        <v>0.999675545</v>
      </c>
      <c r="U7" s="762" t="s">
        <v>91</v>
      </c>
      <c r="V7" s="762" t="s">
        <v>92</v>
      </c>
      <c r="W7" s="762">
        <v>99999.125719999996</v>
      </c>
      <c r="X7" s="765">
        <v>-8.7427800000000003E-4</v>
      </c>
      <c r="Y7" s="768">
        <v>5.1379779999999996E-3</v>
      </c>
      <c r="Z7" s="770">
        <v>2.0931320489999998</v>
      </c>
      <c r="AB7" s="438">
        <f>(X7-AK7)/Y7</f>
        <v>8.5045007000021985E-3</v>
      </c>
      <c r="AC7" s="438">
        <f>Y7/AL7</f>
        <v>0.96155976540063037</v>
      </c>
      <c r="AD7" s="438">
        <f>(X7-AX7)/Y7</f>
        <v>0.22485900004049159</v>
      </c>
      <c r="AE7" s="438">
        <f>(X7-BF7)/Y7</f>
        <v>7.1888007305597634E-2</v>
      </c>
      <c r="AF7" s="762">
        <v>229.99410443456765</v>
      </c>
      <c r="AG7" s="767">
        <v>0.99975966494265278</v>
      </c>
      <c r="AH7" s="763" t="s">
        <v>91</v>
      </c>
      <c r="AI7" s="763" t="s">
        <v>92</v>
      </c>
      <c r="AJ7" s="763">
        <v>99999.082026062504</v>
      </c>
      <c r="AK7" s="765">
        <v>-9.1797393749759593E-4</v>
      </c>
      <c r="AL7" s="765">
        <v>5.3433787320118159E-3</v>
      </c>
      <c r="AM7" s="763">
        <v>2.0721597360120487</v>
      </c>
      <c r="AO7" s="438">
        <f t="shared" ref="AO7:AO30" si="5">(AK7-AX7)/AL7</f>
        <v>0.20803778162921183</v>
      </c>
      <c r="AP7" s="438">
        <f t="shared" ref="AP7:AP30" si="6">AL7/AY7</f>
        <v>0.92681880278555162</v>
      </c>
      <c r="AQ7" s="438">
        <f t="shared" ref="AQ7:AQ30" si="7">(AK7-BF7)/AL7</f>
        <v>6.0947029741945651E-2</v>
      </c>
      <c r="AS7" s="762">
        <v>230.04891267529524</v>
      </c>
      <c r="AT7" s="767">
        <v>0.99982578027155977</v>
      </c>
      <c r="AU7" s="763" t="s">
        <v>91</v>
      </c>
      <c r="AV7" s="763" t="s">
        <v>92</v>
      </c>
      <c r="AW7" s="769">
        <v>99997.970401404687</v>
      </c>
      <c r="AX7" s="765">
        <v>-2.0295985953100448E-3</v>
      </c>
      <c r="AY7" s="765">
        <v>5.7652895214817656E-3</v>
      </c>
      <c r="AZ7" s="770">
        <v>2.0612330773003458</v>
      </c>
      <c r="BB7" s="771">
        <v>230.00623060000001</v>
      </c>
      <c r="BC7" s="771">
        <v>0.99983338799999999</v>
      </c>
      <c r="BD7" s="771" t="s">
        <v>91</v>
      </c>
      <c r="BE7" s="771">
        <v>99998.756359999999</v>
      </c>
      <c r="BF7" s="772">
        <v>-1.2436369999999999E-3</v>
      </c>
      <c r="BG7" s="772">
        <v>4.7437970000000001E-3</v>
      </c>
      <c r="BH7" s="773">
        <v>2.083448674</v>
      </c>
      <c r="BO7" s="433"/>
      <c r="BP7" s="567">
        <v>-60</v>
      </c>
      <c r="BQ7" s="567"/>
      <c r="BR7" s="774">
        <v>0</v>
      </c>
      <c r="BS7" s="774"/>
      <c r="BT7" s="567">
        <v>36.9</v>
      </c>
      <c r="BU7" s="567"/>
      <c r="BV7" s="567">
        <v>-2.4358530947491655E-4</v>
      </c>
      <c r="BW7" s="775">
        <v>-5.13481730931818E-2</v>
      </c>
      <c r="BY7" s="54">
        <v>12</v>
      </c>
      <c r="BZ7" s="776">
        <v>109.99662158900942</v>
      </c>
      <c r="CA7" s="738">
        <v>0.99993523433314313</v>
      </c>
      <c r="CB7" s="777" t="s">
        <v>91</v>
      </c>
      <c r="CC7" s="777" t="s">
        <v>92</v>
      </c>
      <c r="CD7" s="736">
        <v>100002.17991177666</v>
      </c>
      <c r="CE7" s="778">
        <v>2.1799117766674314E-3</v>
      </c>
      <c r="CF7" s="778">
        <v>8.2084105493601678E-3</v>
      </c>
      <c r="CG7" s="779">
        <v>2.1330174423775383</v>
      </c>
      <c r="CH7" s="734" t="s">
        <v>535</v>
      </c>
      <c r="CI7" s="738">
        <v>8.8459782906479253E-2</v>
      </c>
      <c r="CJ7" s="780" t="s">
        <v>93</v>
      </c>
      <c r="CK7" s="6" t="s">
        <v>94</v>
      </c>
      <c r="CL7" s="6">
        <v>1</v>
      </c>
      <c r="CN7" s="567">
        <v>-3.9315728140466672E-3</v>
      </c>
      <c r="CO7" s="438">
        <v>-0.4789688320783525</v>
      </c>
      <c r="CP7" s="438">
        <v>0.88793404448368263</v>
      </c>
      <c r="CQ7" s="781">
        <v>110.01273439615954</v>
      </c>
      <c r="CR7" s="776">
        <v>0.99983869729551988</v>
      </c>
      <c r="CS7" s="734" t="s">
        <v>95</v>
      </c>
      <c r="CT7" s="777" t="s">
        <v>92</v>
      </c>
      <c r="CU7" s="736">
        <v>100006.11148459071</v>
      </c>
      <c r="CV7" s="778">
        <v>6.1114845907140987E-3</v>
      </c>
      <c r="CW7" s="778">
        <v>9.2443921937166041E-3</v>
      </c>
      <c r="CX7" s="779">
        <v>2.1832889146989616</v>
      </c>
      <c r="CY7" s="734" t="s">
        <v>535</v>
      </c>
      <c r="DB7" s="6">
        <v>-4.0000000000000001E-3</v>
      </c>
      <c r="DC7" s="567">
        <v>6.1799117766674315E-3</v>
      </c>
      <c r="DD7" s="438">
        <v>0.75287557067295396</v>
      </c>
      <c r="DF7" s="781">
        <v>110</v>
      </c>
      <c r="DG7" s="735">
        <v>1</v>
      </c>
      <c r="DH7" s="735" t="s">
        <v>95</v>
      </c>
      <c r="DI7" s="738" t="s">
        <v>92</v>
      </c>
      <c r="DJ7" s="736">
        <v>99995.884633258305</v>
      </c>
      <c r="DK7" s="737">
        <v>-4.1153667416947426E-3</v>
      </c>
      <c r="DL7" s="737">
        <v>8.6227790207654108E-3</v>
      </c>
      <c r="DM7" s="779">
        <v>2.5863541026409722</v>
      </c>
      <c r="DO7" s="782">
        <f t="shared" ref="DO7:DP30" si="8">AG7</f>
        <v>0.99975966494265278</v>
      </c>
      <c r="DP7" s="438" t="str">
        <f t="shared" si="8"/>
        <v xml:space="preserve">1  </v>
      </c>
      <c r="DQ7" s="567">
        <f>H7</f>
        <v>2.5232409999999999E-3</v>
      </c>
      <c r="DR7" s="567">
        <f>X7</f>
        <v>-8.7427800000000003E-4</v>
      </c>
      <c r="DS7" s="567">
        <f t="shared" ref="DS7:DS30" si="9">AK7</f>
        <v>-9.1797393749759593E-4</v>
      </c>
      <c r="DT7" s="567">
        <f t="shared" ref="DT7:DT30" si="10">AX7</f>
        <v>-2.0295985953100448E-3</v>
      </c>
      <c r="DU7" s="567">
        <f t="shared" ref="DU7:DU30" si="11">BF7</f>
        <v>-1.2436369999999999E-3</v>
      </c>
      <c r="DV7" s="778">
        <f>CE13</f>
        <v>-1.0000516905250834E-3</v>
      </c>
      <c r="DW7" s="778">
        <f>CV13</f>
        <v>2.7778549404029037E-3</v>
      </c>
      <c r="DX7" s="778">
        <f>DK13</f>
        <v>-6.5820411832683019E-3</v>
      </c>
    </row>
    <row r="8" spans="2:128" x14ac:dyDescent="0.2">
      <c r="B8" s="762">
        <f>'TABLE RM11'!D8</f>
        <v>229.9968949</v>
      </c>
      <c r="C8" s="762">
        <f>'TABLE RM11'!E8</f>
        <v>0.99998790999999998</v>
      </c>
      <c r="D8" s="762">
        <f>'TABLE RM11'!F8</f>
        <v>59.998517149999998</v>
      </c>
      <c r="E8" s="762" t="str">
        <f>'TABLE RM11'!G8</f>
        <v>0.5 Lag</v>
      </c>
      <c r="F8" s="762" t="str">
        <f>'TABLE RM11'!H8</f>
        <v>A</v>
      </c>
      <c r="G8" s="762">
        <f>'TABLE RM11'!I8</f>
        <v>99994.269750000007</v>
      </c>
      <c r="H8" s="765">
        <f>'TABLE RM11'!J8</f>
        <v>-5.7302489999999998E-3</v>
      </c>
      <c r="I8" s="765">
        <f>'TABLE RM11'!K8</f>
        <v>8.6366789999999995E-3</v>
      </c>
      <c r="J8" s="770">
        <f>'TABLE RM11'!L8</f>
        <v>2.0474173379999998</v>
      </c>
      <c r="K8" s="767"/>
      <c r="L8" s="438">
        <f t="shared" si="0"/>
        <v>0.96734666447884599</v>
      </c>
      <c r="M8" s="438">
        <f t="shared" si="1"/>
        <v>0.18912940957977017</v>
      </c>
      <c r="N8" s="438">
        <f t="shared" si="4"/>
        <v>-0.31562096378397547</v>
      </c>
      <c r="Q8" s="438">
        <f t="shared" si="2"/>
        <v>-0.31562096378397547</v>
      </c>
      <c r="R8" s="438">
        <f t="shared" si="3"/>
        <v>-26636.503148245109</v>
      </c>
      <c r="S8" s="762">
        <v>229.90529810000001</v>
      </c>
      <c r="T8" s="762">
        <v>0.99967470400000003</v>
      </c>
      <c r="U8" s="762" t="s">
        <v>96</v>
      </c>
      <c r="V8" s="762" t="s">
        <v>92</v>
      </c>
      <c r="W8" s="762">
        <v>99992.636299999998</v>
      </c>
      <c r="X8" s="765">
        <v>-7.3636989999999996E-3</v>
      </c>
      <c r="Y8" s="768">
        <v>8.9282149999999998E-3</v>
      </c>
      <c r="Z8" s="770">
        <v>2.0801901009999999</v>
      </c>
      <c r="AB8" s="438">
        <f>(X8-AK8)/Y8</f>
        <v>-0.48826859006787149</v>
      </c>
      <c r="AC8" s="438">
        <f>Y8/AL8</f>
        <v>0.95751156392236503</v>
      </c>
      <c r="AD8" s="438">
        <f>(X8-AX8)/Y8</f>
        <v>-0.5195486760143545</v>
      </c>
      <c r="AE8" s="438">
        <f>(X8-BF8)/Y8</f>
        <v>-0.15201347637797699</v>
      </c>
      <c r="AF8" s="762">
        <v>229.98488673155407</v>
      </c>
      <c r="AG8" s="767">
        <v>0.99973304985175382</v>
      </c>
      <c r="AH8" s="763" t="s">
        <v>96</v>
      </c>
      <c r="AI8" s="763" t="s">
        <v>92</v>
      </c>
      <c r="AJ8" s="763">
        <v>99996.995667949872</v>
      </c>
      <c r="AK8" s="765">
        <v>-3.0043320501271786E-3</v>
      </c>
      <c r="AL8" s="765">
        <v>9.3243939148121863E-3</v>
      </c>
      <c r="AM8" s="763">
        <v>2.0611705398709135</v>
      </c>
      <c r="AO8" s="438">
        <f t="shared" si="5"/>
        <v>-2.9951044014242909E-2</v>
      </c>
      <c r="AP8" s="438">
        <f t="shared" si="6"/>
        <v>1.0031163827491139</v>
      </c>
      <c r="AQ8" s="438">
        <f t="shared" si="7"/>
        <v>0.32196815978610349</v>
      </c>
      <c r="AS8" s="762">
        <v>230.04519712488241</v>
      </c>
      <c r="AT8" s="767">
        <v>0.9998317586390234</v>
      </c>
      <c r="AU8" s="763" t="s">
        <v>96</v>
      </c>
      <c r="AV8" s="763" t="s">
        <v>92</v>
      </c>
      <c r="AW8" s="769">
        <v>99997.27494328242</v>
      </c>
      <c r="AX8" s="765">
        <v>-2.7250567175785001E-3</v>
      </c>
      <c r="AY8" s="765">
        <v>9.2954258101717001E-3</v>
      </c>
      <c r="AZ8" s="770">
        <v>2.0588126837119005</v>
      </c>
      <c r="BB8" s="771">
        <v>230.0170742</v>
      </c>
      <c r="BC8" s="771">
        <v>0.999769519</v>
      </c>
      <c r="BD8" s="771" t="s">
        <v>96</v>
      </c>
      <c r="BE8" s="771">
        <v>99993.99351</v>
      </c>
      <c r="BF8" s="772">
        <v>-6.0064899999999997E-3</v>
      </c>
      <c r="BG8" s="772">
        <v>7.7704999999999996E-3</v>
      </c>
      <c r="BH8" s="773">
        <v>2.0860342049999998</v>
      </c>
      <c r="BO8" s="433">
        <v>1</v>
      </c>
      <c r="BP8" s="567">
        <f>H8</f>
        <v>-5.7302489999999998E-3</v>
      </c>
      <c r="BQ8" s="567">
        <f>I8</f>
        <v>8.6366789999999995E-3</v>
      </c>
      <c r="BR8" s="567">
        <f>H7</f>
        <v>2.5232409999999999E-3</v>
      </c>
      <c r="BS8" s="567">
        <f>I7</f>
        <v>4.7127660000000002E-3</v>
      </c>
      <c r="BT8" s="567">
        <f>H9</f>
        <v>6.2851749999999996E-3</v>
      </c>
      <c r="BU8" s="567">
        <f>I9</f>
        <v>5.70252E-3</v>
      </c>
      <c r="BV8" s="567">
        <v>-1.0821117323766248E-3</v>
      </c>
      <c r="BW8" s="775">
        <v>-0.13925895790188852</v>
      </c>
      <c r="BY8" s="54">
        <v>13</v>
      </c>
      <c r="BZ8" s="776">
        <v>109.99569924326791</v>
      </c>
      <c r="CA8" s="738">
        <v>1.0000107188149503</v>
      </c>
      <c r="CB8" s="777" t="s">
        <v>96</v>
      </c>
      <c r="CC8" s="777" t="s">
        <v>92</v>
      </c>
      <c r="CD8" s="736">
        <v>99990.461214545707</v>
      </c>
      <c r="CE8" s="778">
        <v>-9.5387854542883233E-3</v>
      </c>
      <c r="CF8" s="778">
        <v>9.9353692860636202E-3</v>
      </c>
      <c r="CG8" s="779">
        <v>2.0687440687201439</v>
      </c>
      <c r="CH8" s="734" t="s">
        <v>535</v>
      </c>
      <c r="CI8" s="738">
        <v>-59.911457074575637</v>
      </c>
      <c r="CJ8" s="780">
        <v>0</v>
      </c>
      <c r="CK8" s="6" t="s">
        <v>97</v>
      </c>
      <c r="CL8" s="6">
        <v>1</v>
      </c>
      <c r="CN8" s="567">
        <v>-1.4539035466785741E-2</v>
      </c>
      <c r="CO8" s="438">
        <v>-1.463361355594472</v>
      </c>
      <c r="CP8" s="438">
        <v>0.92206210117156895</v>
      </c>
      <c r="CQ8" s="781">
        <v>110.01284593915678</v>
      </c>
      <c r="CR8" s="776">
        <v>0.99979571029391268</v>
      </c>
      <c r="CS8" s="734" t="s">
        <v>560</v>
      </c>
      <c r="CT8" s="777" t="s">
        <v>92</v>
      </c>
      <c r="CU8" s="736">
        <v>100005.0002500125</v>
      </c>
      <c r="CV8" s="778">
        <v>5.0002500124974175E-3</v>
      </c>
      <c r="CW8" s="778">
        <v>1.0775162837123198E-2</v>
      </c>
      <c r="CX8" s="779">
        <v>2.0861715151841036</v>
      </c>
      <c r="CY8" s="734" t="s">
        <v>535</v>
      </c>
      <c r="DB8" s="6">
        <v>-1.4999999999999999E-2</v>
      </c>
      <c r="DC8" s="567">
        <v>5.4612145457116762E-3</v>
      </c>
      <c r="DD8" s="438">
        <v>0.54967403711627938</v>
      </c>
      <c r="DF8" s="781">
        <v>110</v>
      </c>
      <c r="DG8" s="735">
        <v>1</v>
      </c>
      <c r="DH8" s="735" t="s">
        <v>560</v>
      </c>
      <c r="DI8" s="738" t="s">
        <v>92</v>
      </c>
      <c r="DJ8" s="736">
        <v>99984.805105865627</v>
      </c>
      <c r="DK8" s="737">
        <v>-1.519489413437259E-2</v>
      </c>
      <c r="DL8" s="737">
        <v>1.173898522945164E-2</v>
      </c>
      <c r="DM8" s="779">
        <v>2.1412798500304207</v>
      </c>
      <c r="DO8" s="782">
        <f t="shared" si="8"/>
        <v>0.99973304985175382</v>
      </c>
      <c r="DP8" s="438" t="str">
        <f t="shared" si="8"/>
        <v>0.5 Lag</v>
      </c>
      <c r="DQ8" s="567">
        <f t="shared" ref="DQ8:DQ15" si="12">H8</f>
        <v>-5.7302489999999998E-3</v>
      </c>
      <c r="DR8" s="567">
        <f t="shared" ref="DR8:DR15" si="13">X8</f>
        <v>-7.3636989999999996E-3</v>
      </c>
      <c r="DS8" s="567">
        <f t="shared" si="9"/>
        <v>-3.0043320501271786E-3</v>
      </c>
      <c r="DT8" s="567">
        <f t="shared" si="10"/>
        <v>-2.7250567175785001E-3</v>
      </c>
      <c r="DU8" s="567">
        <f t="shared" si="11"/>
        <v>-6.0064899999999997E-3</v>
      </c>
      <c r="DV8" s="778">
        <f>CE14</f>
        <v>-4.9243782676233749E-3</v>
      </c>
      <c r="DW8" s="778">
        <f>CV14</f>
        <v>7.2227438648405952E-3</v>
      </c>
      <c r="DX8" s="778">
        <f>DK14</f>
        <v>-1.6500689600856277E-2</v>
      </c>
    </row>
    <row r="9" spans="2:128" x14ac:dyDescent="0.2">
      <c r="B9" s="762">
        <f>'TABLE RM11'!D9</f>
        <v>229.9968858</v>
      </c>
      <c r="C9" s="762">
        <f>'TABLE RM11'!E9</f>
        <v>0.99998839299999998</v>
      </c>
      <c r="D9" s="762">
        <f>'TABLE RM11'!F9</f>
        <v>-36.897151899999997</v>
      </c>
      <c r="E9" s="762" t="str">
        <f>'TABLE RM11'!G9</f>
        <v>0.8 Lead</v>
      </c>
      <c r="F9" s="762" t="str">
        <f>'TABLE RM11'!H9</f>
        <v>A</v>
      </c>
      <c r="G9" s="762">
        <f>'TABLE RM11'!I9</f>
        <v>100006.2852</v>
      </c>
      <c r="H9" s="765">
        <f>'TABLE RM11'!J9</f>
        <v>6.2851749999999996E-3</v>
      </c>
      <c r="I9" s="765">
        <f>'TABLE RM11'!K9</f>
        <v>5.70252E-3</v>
      </c>
      <c r="J9" s="770">
        <f>'TABLE RM11'!L9</f>
        <v>2.0544265500000001</v>
      </c>
      <c r="K9" s="767"/>
      <c r="L9" s="438">
        <f t="shared" si="0"/>
        <v>0.94996908134272262</v>
      </c>
      <c r="M9" s="438">
        <f t="shared" si="1"/>
        <v>0.39621956608657222</v>
      </c>
      <c r="N9" s="438">
        <f t="shared" si="4"/>
        <v>1.1514464124980162</v>
      </c>
      <c r="Q9" s="438">
        <f t="shared" si="2"/>
        <v>1.1514464124980162</v>
      </c>
      <c r="R9" s="438">
        <f t="shared" si="3"/>
        <v>-40339.978041715447</v>
      </c>
      <c r="S9" s="762">
        <v>229.90517180000001</v>
      </c>
      <c r="T9" s="762">
        <v>0.99966219300000003</v>
      </c>
      <c r="U9" s="762" t="s">
        <v>98</v>
      </c>
      <c r="V9" s="762" t="s">
        <v>92</v>
      </c>
      <c r="W9" s="762">
        <v>100004.0257</v>
      </c>
      <c r="X9" s="765">
        <v>4.025725E-3</v>
      </c>
      <c r="Y9" s="768">
        <v>6.0028479999999999E-3</v>
      </c>
      <c r="Z9" s="770">
        <v>2.0664324490000001</v>
      </c>
      <c r="AB9" s="438">
        <f>(X9-AK9)/Y9</f>
        <v>0.71744215349084095</v>
      </c>
      <c r="AC9" s="438">
        <f>Y9/AL9</f>
        <v>0.96304406021405375</v>
      </c>
      <c r="AD9" s="438">
        <f>(X9-AX9)/Y9</f>
        <v>1.0543838589927532</v>
      </c>
      <c r="AE9" s="438">
        <f>(X9-BF9)/Y9</f>
        <v>1.1867067098817095</v>
      </c>
      <c r="AF9" s="762">
        <v>229.98468822070194</v>
      </c>
      <c r="AG9" s="767">
        <v>0.99975345000096694</v>
      </c>
      <c r="AH9" s="763" t="s">
        <v>98</v>
      </c>
      <c r="AI9" s="763" t="s">
        <v>92</v>
      </c>
      <c r="AJ9" s="763">
        <v>99999.719028803796</v>
      </c>
      <c r="AK9" s="765">
        <v>-2.8097119619818756E-4</v>
      </c>
      <c r="AL9" s="765">
        <v>6.2332018315608114E-3</v>
      </c>
      <c r="AM9" s="763">
        <v>2.0519760841193326</v>
      </c>
      <c r="AO9" s="438">
        <f t="shared" si="5"/>
        <v>0.32448970812200956</v>
      </c>
      <c r="AP9" s="438">
        <f t="shared" si="6"/>
        <v>0.95439656425836761</v>
      </c>
      <c r="AQ9" s="438">
        <f t="shared" si="7"/>
        <v>0.45192244370120876</v>
      </c>
      <c r="AS9" s="762">
        <v>230.04581675744316</v>
      </c>
      <c r="AT9" s="767">
        <v>0.99987461741828132</v>
      </c>
      <c r="AU9" s="763" t="s">
        <v>98</v>
      </c>
      <c r="AV9" s="763" t="s">
        <v>92</v>
      </c>
      <c r="AW9" s="769">
        <v>99997.696418960812</v>
      </c>
      <c r="AX9" s="765">
        <v>-2.3035810391869305E-3</v>
      </c>
      <c r="AY9" s="765">
        <v>6.5310396799305769E-3</v>
      </c>
      <c r="AZ9" s="770">
        <v>2.0417992894821473</v>
      </c>
      <c r="BB9" s="771">
        <v>230.01853439999999</v>
      </c>
      <c r="BC9" s="771">
        <v>0.99984183500000001</v>
      </c>
      <c r="BD9" s="771" t="s">
        <v>98</v>
      </c>
      <c r="BE9" s="771">
        <v>99996.902109999995</v>
      </c>
      <c r="BF9" s="772">
        <v>-3.0978949999999998E-3</v>
      </c>
      <c r="BG9" s="772">
        <v>5.3080169999999999E-3</v>
      </c>
      <c r="BH9" s="773">
        <v>2.0483237390000002</v>
      </c>
      <c r="BO9" s="433">
        <v>5</v>
      </c>
      <c r="BP9" s="567">
        <f>H14</f>
        <v>-4.2056300000000001E-3</v>
      </c>
      <c r="BQ9" s="567">
        <f>I14</f>
        <v>8.6097610000000005E-3</v>
      </c>
      <c r="BR9" s="774">
        <f>H13</f>
        <v>2.9853179999999998E-3</v>
      </c>
      <c r="BS9" s="774">
        <f>I13</f>
        <v>4.7236609999999997E-3</v>
      </c>
      <c r="BT9" s="567">
        <f>H15</f>
        <v>6.410832E-3</v>
      </c>
      <c r="BU9" s="567">
        <f>I15</f>
        <v>5.6157129999999996E-3</v>
      </c>
      <c r="BV9" s="567">
        <v>1.6555691288815573E-3</v>
      </c>
      <c r="BW9" s="775">
        <v>0.31189974125583192</v>
      </c>
      <c r="BY9" s="54">
        <v>14</v>
      </c>
      <c r="BZ9" s="776">
        <v>109.99539837318567</v>
      </c>
      <c r="CA9" s="738">
        <v>0.99993359966705209</v>
      </c>
      <c r="CB9" s="777" t="s">
        <v>98</v>
      </c>
      <c r="CC9" s="777" t="s">
        <v>92</v>
      </c>
      <c r="CD9" s="736">
        <v>100004.94130136873</v>
      </c>
      <c r="CE9" s="778">
        <v>4.9413013687216178E-3</v>
      </c>
      <c r="CF9" s="778">
        <v>8.4708499449979036E-3</v>
      </c>
      <c r="CG9" s="779">
        <v>2.1065939254392472</v>
      </c>
      <c r="CH9" s="734" t="s">
        <v>535</v>
      </c>
      <c r="CI9" s="738">
        <v>36.991113709406918</v>
      </c>
      <c r="CJ9" s="780">
        <v>0</v>
      </c>
      <c r="CK9" s="6" t="s">
        <v>99</v>
      </c>
      <c r="CL9" s="6">
        <v>1</v>
      </c>
      <c r="CN9" s="567">
        <v>-3.9483777138603886E-3</v>
      </c>
      <c r="CO9" s="438">
        <v>-0.46611352337694678</v>
      </c>
      <c r="CP9" s="438">
        <v>0.89324755726235805</v>
      </c>
      <c r="CQ9" s="781">
        <v>110.01301476458794</v>
      </c>
      <c r="CR9" s="776">
        <v>0.99983718133329891</v>
      </c>
      <c r="CS9" s="734" t="s">
        <v>100</v>
      </c>
      <c r="CT9" s="777" t="s">
        <v>92</v>
      </c>
      <c r="CU9" s="736">
        <v>100008.88967908258</v>
      </c>
      <c r="CV9" s="778">
        <v>8.8896790825820065E-3</v>
      </c>
      <c r="CW9" s="778">
        <v>9.483205272857979E-3</v>
      </c>
      <c r="CX9" s="779">
        <v>2.1482158762237242</v>
      </c>
      <c r="CY9" s="734" t="s">
        <v>535</v>
      </c>
      <c r="DB9" s="6">
        <v>2E-3</v>
      </c>
      <c r="DC9" s="567">
        <v>2.9413013687216178E-3</v>
      </c>
      <c r="DD9" s="438">
        <v>0.34722623914008499</v>
      </c>
      <c r="DF9" s="781">
        <v>110</v>
      </c>
      <c r="DG9" s="735">
        <v>1</v>
      </c>
      <c r="DH9" s="735" t="s">
        <v>100</v>
      </c>
      <c r="DI9" s="738" t="s">
        <v>92</v>
      </c>
      <c r="DJ9" s="736">
        <v>100002.34805846584</v>
      </c>
      <c r="DK9" s="737">
        <v>2.3480584658391308E-3</v>
      </c>
      <c r="DL9" s="737">
        <v>8.5927227534386922E-3</v>
      </c>
      <c r="DM9" s="779">
        <v>2.425913694350716</v>
      </c>
      <c r="DO9" s="782">
        <f t="shared" si="8"/>
        <v>0.99975345000096694</v>
      </c>
      <c r="DP9" s="438" t="str">
        <f t="shared" si="8"/>
        <v>0.8 Lead</v>
      </c>
      <c r="DQ9" s="567">
        <f t="shared" si="12"/>
        <v>6.2851749999999996E-3</v>
      </c>
      <c r="DR9" s="567">
        <f t="shared" si="13"/>
        <v>4.025725E-3</v>
      </c>
      <c r="DS9" s="567">
        <f t="shared" si="9"/>
        <v>-2.8097119619818756E-4</v>
      </c>
      <c r="DT9" s="567">
        <f t="shared" si="10"/>
        <v>-2.3035810391869305E-3</v>
      </c>
      <c r="DU9" s="567">
        <f t="shared" si="11"/>
        <v>-3.0978949999999998E-3</v>
      </c>
      <c r="DV9" s="778">
        <f>CE15</f>
        <v>-4.7534641288815571E-3</v>
      </c>
      <c r="DW9" s="778">
        <f>CV15</f>
        <v>1.4551915228366852E-14</v>
      </c>
      <c r="DX9" s="778">
        <f>DK15</f>
        <v>-3.8653578065277541E-3</v>
      </c>
    </row>
    <row r="10" spans="2:128" x14ac:dyDescent="0.2">
      <c r="B10" s="762">
        <f>'TABLE RM11'!D10</f>
        <v>229.99676489999999</v>
      </c>
      <c r="C10" s="762">
        <f>'TABLE RM11'!E10</f>
        <v>2.0000888720000001</v>
      </c>
      <c r="D10" s="762">
        <f>'TABLE RM11'!F10</f>
        <v>2.5417059999999999E-3</v>
      </c>
      <c r="E10" s="762" t="str">
        <f>'TABLE RM11'!G10</f>
        <v xml:space="preserve">1  </v>
      </c>
      <c r="F10" s="762" t="str">
        <f>'TABLE RM11'!H10</f>
        <v>A</v>
      </c>
      <c r="G10" s="762">
        <f>'TABLE RM11'!I10</f>
        <v>100003.2208</v>
      </c>
      <c r="H10" s="765">
        <f>'TABLE RM11'!J10</f>
        <v>3.2208100000000002E-3</v>
      </c>
      <c r="I10" s="765">
        <f>'TABLE RM11'!K10</f>
        <v>4.7754579999999998E-3</v>
      </c>
      <c r="J10" s="770">
        <f>'TABLE RM11'!L10</f>
        <v>2.0755541289999999</v>
      </c>
      <c r="K10" s="767"/>
      <c r="L10" s="438">
        <f t="shared" si="0"/>
        <v>0.91983558961970224</v>
      </c>
      <c r="M10" s="438">
        <f t="shared" si="1"/>
        <v>1.1563234353647338</v>
      </c>
      <c r="N10" s="438"/>
      <c r="Q10" s="438">
        <f t="shared" si="2"/>
        <v>0.67445049249726419</v>
      </c>
      <c r="R10" s="438">
        <f t="shared" si="3"/>
        <v>0.67445049249726419</v>
      </c>
      <c r="S10" s="762">
        <v>229.9198979</v>
      </c>
      <c r="T10" s="762">
        <v>2.0013340679999998</v>
      </c>
      <c r="U10" s="762" t="s">
        <v>91</v>
      </c>
      <c r="V10" s="762" t="s">
        <v>92</v>
      </c>
      <c r="W10" s="762">
        <v>99997.698839999997</v>
      </c>
      <c r="X10" s="765">
        <v>-2.3011640000000001E-3</v>
      </c>
      <c r="Y10" s="765">
        <v>5.1916430000000001E-3</v>
      </c>
      <c r="Z10" s="770">
        <v>2.086307857</v>
      </c>
      <c r="AB10" s="438"/>
      <c r="AC10" s="438"/>
      <c r="AD10" s="438"/>
      <c r="AE10" s="438"/>
      <c r="AF10" s="762"/>
      <c r="AG10" s="767"/>
      <c r="AH10" s="763"/>
      <c r="AI10" s="763"/>
      <c r="AJ10" s="763"/>
      <c r="AK10" s="765"/>
      <c r="AL10" s="765"/>
      <c r="AM10" s="763"/>
      <c r="AO10" s="438"/>
      <c r="AP10" s="438"/>
      <c r="AQ10" s="438"/>
      <c r="AS10" s="762"/>
      <c r="AT10" s="767"/>
      <c r="AU10" s="763"/>
      <c r="AV10" s="763"/>
      <c r="AW10" s="769"/>
      <c r="AX10" s="765"/>
      <c r="AY10" s="765"/>
      <c r="AZ10" s="770"/>
      <c r="BB10" s="771"/>
      <c r="BC10" s="771"/>
      <c r="BD10" s="771"/>
      <c r="BE10" s="771"/>
      <c r="BF10" s="772"/>
      <c r="BG10" s="772"/>
      <c r="BH10" s="773"/>
      <c r="BO10" s="783">
        <v>50</v>
      </c>
      <c r="BP10" s="567">
        <f>H26</f>
        <v>-2.1244100000000002E-3</v>
      </c>
      <c r="BQ10" s="567">
        <f>I26</f>
        <v>8.6206219999999997E-3</v>
      </c>
      <c r="BR10" s="567">
        <f>H25</f>
        <v>3.9287849999999997E-3</v>
      </c>
      <c r="BS10" s="567">
        <f>I25</f>
        <v>4.7629769999999998E-3</v>
      </c>
      <c r="BT10" s="567">
        <f>H27</f>
        <v>6.9410540000000003E-3</v>
      </c>
      <c r="BU10" s="567">
        <f>I27</f>
        <v>5.7865440000000002E-3</v>
      </c>
      <c r="BV10" s="567"/>
      <c r="BW10" s="775"/>
      <c r="BY10" s="54"/>
      <c r="BZ10" s="776"/>
      <c r="CA10" s="738"/>
      <c r="CB10" s="777"/>
      <c r="CC10" s="777"/>
      <c r="CD10" s="736"/>
      <c r="CE10" s="778"/>
      <c r="CF10" s="778"/>
      <c r="CG10" s="779"/>
      <c r="CH10" s="734"/>
      <c r="CI10" s="738"/>
      <c r="CJ10" s="780"/>
      <c r="CN10" s="567"/>
      <c r="CO10" s="438"/>
      <c r="CP10" s="438"/>
      <c r="CQ10" s="781"/>
      <c r="CR10" s="776"/>
      <c r="CS10" s="734"/>
      <c r="CT10" s="777"/>
      <c r="CU10" s="736"/>
      <c r="CV10" s="778"/>
      <c r="CW10" s="778"/>
      <c r="CX10" s="779"/>
      <c r="CY10" s="734"/>
      <c r="DC10" s="567"/>
      <c r="DD10" s="438"/>
      <c r="DF10" s="781"/>
      <c r="DG10" s="735"/>
      <c r="DH10" s="735"/>
      <c r="DI10" s="738"/>
      <c r="DJ10" s="736"/>
      <c r="DK10" s="737"/>
      <c r="DL10" s="737"/>
      <c r="DM10" s="779"/>
      <c r="DO10" s="782">
        <f t="shared" ref="DO10:DP12" si="14">AG10</f>
        <v>0</v>
      </c>
      <c r="DP10" s="438">
        <f t="shared" si="14"/>
        <v>0</v>
      </c>
      <c r="DQ10" s="567">
        <f t="shared" si="12"/>
        <v>3.2208100000000002E-3</v>
      </c>
      <c r="DR10" s="567">
        <f t="shared" si="13"/>
        <v>-2.3011640000000001E-3</v>
      </c>
      <c r="DS10" s="567"/>
      <c r="DT10" s="567"/>
      <c r="DU10" s="567"/>
      <c r="DV10" s="778"/>
      <c r="DW10" s="778"/>
      <c r="DX10" s="778"/>
    </row>
    <row r="11" spans="2:128" x14ac:dyDescent="0.2">
      <c r="B11" s="762">
        <f>'TABLE RM11'!D11</f>
        <v>229.99669249999999</v>
      </c>
      <c r="C11" s="762">
        <f>'TABLE RM11'!E11</f>
        <v>2.000032757</v>
      </c>
      <c r="D11" s="762">
        <f>'TABLE RM11'!F11</f>
        <v>60.000384949999997</v>
      </c>
      <c r="E11" s="762" t="str">
        <f>'TABLE RM11'!G11</f>
        <v>0.5 Lag</v>
      </c>
      <c r="F11" s="762" t="str">
        <f>'TABLE RM11'!H11</f>
        <v>A</v>
      </c>
      <c r="G11" s="762">
        <f>'TABLE RM11'!I11</f>
        <v>99996.722339999993</v>
      </c>
      <c r="H11" s="765">
        <f>'TABLE RM11'!J11</f>
        <v>-3.2776609999999999E-3</v>
      </c>
      <c r="I11" s="765">
        <f>'TABLE RM11'!K11</f>
        <v>8.6925449999999994E-3</v>
      </c>
      <c r="J11" s="770">
        <f>'TABLE RM11'!L11</f>
        <v>2.0446643689999999</v>
      </c>
      <c r="K11" s="767"/>
      <c r="L11" s="438">
        <f t="shared" si="0"/>
        <v>0.95973081967046581</v>
      </c>
      <c r="M11" s="438">
        <f t="shared" si="1"/>
        <v>0.61952937833511368</v>
      </c>
      <c r="N11" s="438"/>
      <c r="Q11" s="438">
        <f t="shared" si="2"/>
        <v>-0.37706575001912557</v>
      </c>
      <c r="R11" s="438">
        <f t="shared" si="3"/>
        <v>-0.37706575001912557</v>
      </c>
      <c r="S11" s="762">
        <v>229.91100710000001</v>
      </c>
      <c r="T11" s="762">
        <v>2.0013413299999998</v>
      </c>
      <c r="U11" s="762" t="s">
        <v>96</v>
      </c>
      <c r="V11" s="762" t="s">
        <v>92</v>
      </c>
      <c r="W11" s="762">
        <v>99991.337050000002</v>
      </c>
      <c r="X11" s="765">
        <v>-8.6629480000000002E-3</v>
      </c>
      <c r="Y11" s="765">
        <v>9.0572740000000006E-3</v>
      </c>
      <c r="Z11" s="770">
        <v>2.0746025659999998</v>
      </c>
      <c r="AB11" s="438"/>
      <c r="AC11" s="438"/>
      <c r="AD11" s="438"/>
      <c r="AE11" s="438"/>
      <c r="AF11" s="762"/>
      <c r="AG11" s="767"/>
      <c r="AH11" s="763"/>
      <c r="AI11" s="763"/>
      <c r="AJ11" s="763"/>
      <c r="AK11" s="765"/>
      <c r="AL11" s="765"/>
      <c r="AM11" s="763"/>
      <c r="AO11" s="438"/>
      <c r="AP11" s="438"/>
      <c r="AQ11" s="438"/>
      <c r="AS11" s="762"/>
      <c r="AT11" s="767"/>
      <c r="AU11" s="763"/>
      <c r="AV11" s="763"/>
      <c r="AW11" s="769"/>
      <c r="AX11" s="765"/>
      <c r="AY11" s="765"/>
      <c r="AZ11" s="770"/>
      <c r="BB11" s="771"/>
      <c r="BC11" s="771"/>
      <c r="BD11" s="771"/>
      <c r="BE11" s="771"/>
      <c r="BF11" s="772"/>
      <c r="BG11" s="772"/>
      <c r="BH11" s="773"/>
      <c r="BO11" s="783">
        <v>100</v>
      </c>
      <c r="BP11" s="567">
        <f>H29</f>
        <v>-1.7473650000000001E-3</v>
      </c>
      <c r="BQ11" s="567">
        <f>I29</f>
        <v>8.6924169999999992E-3</v>
      </c>
      <c r="BR11" s="567">
        <f>H28</f>
        <v>5.0557700000000002E-3</v>
      </c>
      <c r="BS11" s="567">
        <f>I28</f>
        <v>4.7357789999999999E-3</v>
      </c>
      <c r="BT11" s="567">
        <f>H30</f>
        <v>7.454301E-3</v>
      </c>
      <c r="BU11" s="567">
        <f>I30</f>
        <v>5.6325569999999998E-3</v>
      </c>
      <c r="BV11" s="567"/>
      <c r="BW11" s="775"/>
      <c r="BY11" s="54"/>
      <c r="BZ11" s="776"/>
      <c r="CA11" s="738"/>
      <c r="CB11" s="777"/>
      <c r="CC11" s="777"/>
      <c r="CD11" s="736"/>
      <c r="CE11" s="778"/>
      <c r="CF11" s="778"/>
      <c r="CG11" s="779"/>
      <c r="CH11" s="734"/>
      <c r="CI11" s="738"/>
      <c r="CJ11" s="780"/>
      <c r="CN11" s="567"/>
      <c r="CO11" s="438"/>
      <c r="CP11" s="438"/>
      <c r="CQ11" s="781"/>
      <c r="CR11" s="776"/>
      <c r="CS11" s="734"/>
      <c r="CT11" s="777"/>
      <c r="CU11" s="736"/>
      <c r="CV11" s="778"/>
      <c r="CW11" s="778"/>
      <c r="CX11" s="779"/>
      <c r="CY11" s="734"/>
      <c r="DC11" s="567"/>
      <c r="DD11" s="438"/>
      <c r="DF11" s="781"/>
      <c r="DG11" s="735"/>
      <c r="DH11" s="735"/>
      <c r="DI11" s="738"/>
      <c r="DJ11" s="736"/>
      <c r="DK11" s="737"/>
      <c r="DL11" s="737"/>
      <c r="DM11" s="779"/>
      <c r="DO11" s="782">
        <f t="shared" si="14"/>
        <v>0</v>
      </c>
      <c r="DP11" s="438">
        <f t="shared" si="14"/>
        <v>0</v>
      </c>
      <c r="DQ11" s="567">
        <f t="shared" si="12"/>
        <v>-3.2776609999999999E-3</v>
      </c>
      <c r="DR11" s="567">
        <f t="shared" si="13"/>
        <v>-8.6629480000000002E-3</v>
      </c>
      <c r="DS11" s="567"/>
      <c r="DT11" s="567"/>
      <c r="DU11" s="567"/>
      <c r="DV11" s="778"/>
      <c r="DW11" s="778"/>
      <c r="DX11" s="778"/>
    </row>
    <row r="12" spans="2:128" x14ac:dyDescent="0.2">
      <c r="B12" s="762">
        <f>'TABLE RM11'!D12</f>
        <v>229.99662739999999</v>
      </c>
      <c r="C12" s="762">
        <f>'TABLE RM11'!E12</f>
        <v>2.0000401779999999</v>
      </c>
      <c r="D12" s="762">
        <f>'TABLE RM11'!F12</f>
        <v>-36.866424090000002</v>
      </c>
      <c r="E12" s="762" t="str">
        <f>'TABLE RM11'!G12</f>
        <v>0.8 Lead</v>
      </c>
      <c r="F12" s="762" t="str">
        <f>'TABLE RM11'!H12</f>
        <v>A</v>
      </c>
      <c r="G12" s="762">
        <f>'TABLE RM11'!I12</f>
        <v>100003.6358</v>
      </c>
      <c r="H12" s="765">
        <f>'TABLE RM11'!J12</f>
        <v>3.6357630000000002E-3</v>
      </c>
      <c r="I12" s="765">
        <f>'TABLE RM11'!K12</f>
        <v>5.7158799999999996E-3</v>
      </c>
      <c r="J12" s="770">
        <f>'TABLE RM11'!L12</f>
        <v>2.0531123299999998</v>
      </c>
      <c r="K12" s="767"/>
      <c r="L12" s="438">
        <f t="shared" si="0"/>
        <v>0.94300709101446811</v>
      </c>
      <c r="M12" s="438">
        <f t="shared" si="1"/>
        <v>0.73843695109064578</v>
      </c>
      <c r="N12" s="438"/>
      <c r="Q12" s="438">
        <f t="shared" si="2"/>
        <v>0.63608105838471074</v>
      </c>
      <c r="R12" s="438">
        <f t="shared" si="3"/>
        <v>0.63608105838471074</v>
      </c>
      <c r="S12" s="762">
        <v>229.9078141</v>
      </c>
      <c r="T12" s="762">
        <v>2.0013707420000002</v>
      </c>
      <c r="U12" s="762" t="s">
        <v>98</v>
      </c>
      <c r="V12" s="762" t="s">
        <v>92</v>
      </c>
      <c r="W12" s="762">
        <v>99999.414950000006</v>
      </c>
      <c r="X12" s="765">
        <v>-5.85054E-4</v>
      </c>
      <c r="Y12" s="765">
        <v>6.0613330000000003E-3</v>
      </c>
      <c r="Z12" s="770">
        <v>2.061382466</v>
      </c>
      <c r="AB12" s="438"/>
      <c r="AC12" s="438"/>
      <c r="AD12" s="438"/>
      <c r="AE12" s="438"/>
      <c r="AF12" s="762"/>
      <c r="AG12" s="767"/>
      <c r="AH12" s="763"/>
      <c r="AI12" s="763"/>
      <c r="AJ12" s="763"/>
      <c r="AK12" s="765"/>
      <c r="AL12" s="765"/>
      <c r="AM12" s="763"/>
      <c r="AO12" s="438"/>
      <c r="AP12" s="438"/>
      <c r="AQ12" s="438"/>
      <c r="AS12" s="762"/>
      <c r="AT12" s="767"/>
      <c r="AU12" s="763"/>
      <c r="AV12" s="763"/>
      <c r="AW12" s="769"/>
      <c r="AX12" s="765"/>
      <c r="AY12" s="765"/>
      <c r="AZ12" s="770"/>
      <c r="BB12" s="771"/>
      <c r="BC12" s="771"/>
      <c r="BD12" s="771"/>
      <c r="BE12" s="771"/>
      <c r="BF12" s="772"/>
      <c r="BG12" s="772"/>
      <c r="BH12" s="773"/>
      <c r="BO12" s="433"/>
      <c r="BP12" s="567"/>
      <c r="BQ12" s="567"/>
      <c r="BR12" s="774"/>
      <c r="BS12" s="774"/>
      <c r="BT12" s="567"/>
      <c r="BU12" s="567"/>
      <c r="BV12" s="567"/>
      <c r="BW12" s="775"/>
      <c r="BY12" s="54"/>
      <c r="BZ12" s="776"/>
      <c r="CA12" s="738"/>
      <c r="CB12" s="777"/>
      <c r="CC12" s="777"/>
      <c r="CD12" s="736"/>
      <c r="CE12" s="778"/>
      <c r="CF12" s="778"/>
      <c r="CG12" s="779"/>
      <c r="CH12" s="734"/>
      <c r="CI12" s="738"/>
      <c r="CJ12" s="780"/>
      <c r="CN12" s="567"/>
      <c r="CO12" s="438"/>
      <c r="CP12" s="438"/>
      <c r="CQ12" s="781"/>
      <c r="CR12" s="776"/>
      <c r="CS12" s="734"/>
      <c r="CT12" s="777"/>
      <c r="CU12" s="736"/>
      <c r="CV12" s="778"/>
      <c r="CW12" s="778"/>
      <c r="CX12" s="779"/>
      <c r="CY12" s="734"/>
      <c r="DC12" s="567"/>
      <c r="DD12" s="438"/>
      <c r="DF12" s="781"/>
      <c r="DG12" s="735"/>
      <c r="DH12" s="735"/>
      <c r="DI12" s="738"/>
      <c r="DJ12" s="736"/>
      <c r="DK12" s="737"/>
      <c r="DL12" s="737"/>
      <c r="DM12" s="779"/>
      <c r="DO12" s="782">
        <f t="shared" si="14"/>
        <v>0</v>
      </c>
      <c r="DP12" s="438">
        <f t="shared" si="14"/>
        <v>0</v>
      </c>
      <c r="DQ12" s="567">
        <f>H12</f>
        <v>3.6357630000000002E-3</v>
      </c>
      <c r="DR12" s="567">
        <f>X12</f>
        <v>-5.85054E-4</v>
      </c>
      <c r="DV12" s="778"/>
      <c r="DW12" s="778"/>
      <c r="DX12" s="778"/>
    </row>
    <row r="13" spans="2:128" x14ac:dyDescent="0.2">
      <c r="B13" s="762">
        <f>'TABLE RM11'!D13</f>
        <v>229.99674909999999</v>
      </c>
      <c r="C13" s="762">
        <f>'TABLE RM11'!E13</f>
        <v>5.0002081399999998</v>
      </c>
      <c r="D13" s="762">
        <f>'TABLE RM11'!F13</f>
        <v>1.2440489999999999E-3</v>
      </c>
      <c r="E13" s="762" t="str">
        <f>'TABLE RM11'!G13</f>
        <v xml:space="preserve">1  </v>
      </c>
      <c r="F13" s="762" t="str">
        <f>'TABLE RM11'!H13</f>
        <v>A</v>
      </c>
      <c r="G13" s="762">
        <f>'TABLE RM11'!I13</f>
        <v>100002.9853</v>
      </c>
      <c r="H13" s="765">
        <f>'TABLE RM11'!J13</f>
        <v>2.9853179999999998E-3</v>
      </c>
      <c r="I13" s="765">
        <f>'TABLE RM11'!K13</f>
        <v>4.7236609999999997E-3</v>
      </c>
      <c r="J13" s="770">
        <f>'TABLE RM11'!L13</f>
        <v>2.0819292140000001</v>
      </c>
      <c r="K13" s="767"/>
      <c r="L13" s="438">
        <f t="shared" si="0"/>
        <v>0.91986261049026308</v>
      </c>
      <c r="M13" s="438">
        <f t="shared" si="1"/>
        <v>0.89112449009359473</v>
      </c>
      <c r="N13" s="438">
        <f t="shared" si="4"/>
        <v>0.70558414505306555</v>
      </c>
      <c r="Q13" s="438">
        <f t="shared" si="2"/>
        <v>0.70558414505306555</v>
      </c>
      <c r="R13" s="438">
        <f t="shared" si="3"/>
        <v>-48700.729144195859</v>
      </c>
      <c r="S13" s="762">
        <v>229.90308769999999</v>
      </c>
      <c r="T13" s="762">
        <v>4.9997382190000002</v>
      </c>
      <c r="U13" s="762" t="s">
        <v>91</v>
      </c>
      <c r="V13" s="762" t="s">
        <v>92</v>
      </c>
      <c r="W13" s="762">
        <v>99998.775949999996</v>
      </c>
      <c r="X13" s="765">
        <v>-1.224052E-3</v>
      </c>
      <c r="Y13" s="765">
        <v>5.1351809999999999E-3</v>
      </c>
      <c r="Z13" s="770">
        <v>2.09349075</v>
      </c>
      <c r="AB13" s="438">
        <f>(X13-AK13)/Y13</f>
        <v>-0.17067162614024539</v>
      </c>
      <c r="AC13" s="438">
        <f>Y13/AL13</f>
        <v>1.0004365485342188</v>
      </c>
      <c r="AD13" s="438">
        <f>(X13-AX13)/Y13</f>
        <v>1.2075739573509372E-2</v>
      </c>
      <c r="AE13" s="438">
        <f>(X13-BF13)/Y13</f>
        <v>0.26111659939542542</v>
      </c>
      <c r="AF13" s="762">
        <v>229.98233328068255</v>
      </c>
      <c r="AG13" s="784">
        <v>5.0001246811086633</v>
      </c>
      <c r="AH13" s="763" t="s">
        <v>91</v>
      </c>
      <c r="AI13" s="763" t="s">
        <v>92</v>
      </c>
      <c r="AJ13" s="763">
        <v>99999.652377691789</v>
      </c>
      <c r="AK13" s="765">
        <v>-3.4762230820550855E-4</v>
      </c>
      <c r="AL13" s="765">
        <v>5.1329402224696476E-3</v>
      </c>
      <c r="AM13" s="763">
        <v>2.0938459219783625</v>
      </c>
      <c r="AO13" s="438">
        <f t="shared" si="5"/>
        <v>0.18282714380838946</v>
      </c>
      <c r="AP13" s="438">
        <f t="shared" si="6"/>
        <v>1.02556613001869</v>
      </c>
      <c r="AQ13" s="438">
        <f t="shared" si="7"/>
        <v>0.43197672205262139</v>
      </c>
      <c r="AS13" s="762">
        <v>230.04872024800133</v>
      </c>
      <c r="AT13" s="784">
        <v>5.0007327541261422</v>
      </c>
      <c r="AU13" s="763" t="s">
        <v>91</v>
      </c>
      <c r="AV13" s="763" t="s">
        <v>92</v>
      </c>
      <c r="AW13" s="769">
        <v>99998.713936891581</v>
      </c>
      <c r="AX13" s="768">
        <v>-1.2860631084188334E-3</v>
      </c>
      <c r="AY13" s="768">
        <v>5.0049821968829108E-3</v>
      </c>
      <c r="AZ13" s="770">
        <v>2.0791812972177453</v>
      </c>
      <c r="BB13" s="771">
        <v>230.01990000000001</v>
      </c>
      <c r="BC13" s="771">
        <v>5.0008729990000003</v>
      </c>
      <c r="BD13" s="771" t="s">
        <v>91</v>
      </c>
      <c r="BE13" s="771">
        <v>99997.435070000007</v>
      </c>
      <c r="BF13" s="772">
        <v>-2.5649330000000001E-3</v>
      </c>
      <c r="BG13" s="772">
        <v>3.6531430000000002E-3</v>
      </c>
      <c r="BH13" s="773">
        <v>2.0723587129999999</v>
      </c>
      <c r="BO13" s="433"/>
      <c r="BP13" s="567"/>
      <c r="BQ13" s="567"/>
      <c r="BR13" s="567"/>
      <c r="BS13" s="567"/>
      <c r="BT13" s="567"/>
      <c r="BU13" s="567"/>
      <c r="BV13" s="567">
        <v>-8.7169970310447577E-4</v>
      </c>
      <c r="BW13" s="775">
        <v>-0.23861636489578308</v>
      </c>
      <c r="BY13" s="54">
        <v>15</v>
      </c>
      <c r="BZ13" s="776">
        <v>240.02032017627727</v>
      </c>
      <c r="CA13" s="738">
        <v>0.99991607172625019</v>
      </c>
      <c r="CB13" s="777" t="s">
        <v>91</v>
      </c>
      <c r="CC13" s="777" t="s">
        <v>92</v>
      </c>
      <c r="CD13" s="736">
        <v>99998.999948309473</v>
      </c>
      <c r="CE13" s="778">
        <v>-1.0000516905250834E-3</v>
      </c>
      <c r="CF13" s="778">
        <v>8.1706714510100028E-3</v>
      </c>
      <c r="CG13" s="779">
        <v>2.137834795615515</v>
      </c>
      <c r="CH13" s="734" t="s">
        <v>535</v>
      </c>
      <c r="CI13" s="738">
        <v>8.4480261996585593E-2</v>
      </c>
      <c r="CJ13" s="780">
        <v>0</v>
      </c>
      <c r="CK13" s="6" t="s">
        <v>94</v>
      </c>
      <c r="CL13" s="6">
        <v>1</v>
      </c>
      <c r="CN13" s="567">
        <v>-3.7779066309279871E-3</v>
      </c>
      <c r="CO13" s="438">
        <v>-0.46237407214078935</v>
      </c>
      <c r="CP13" s="438">
        <v>0.90134991664335973</v>
      </c>
      <c r="CQ13" s="781">
        <v>240.05551013655514</v>
      </c>
      <c r="CR13" s="776">
        <v>0.99988591316432307</v>
      </c>
      <c r="CS13" s="734" t="s">
        <v>95</v>
      </c>
      <c r="CT13" s="777" t="s">
        <v>92</v>
      </c>
      <c r="CU13" s="736">
        <v>100002.7778549404</v>
      </c>
      <c r="CV13" s="778">
        <v>2.7778549404029037E-3</v>
      </c>
      <c r="CW13" s="778">
        <v>9.0649272831107627E-3</v>
      </c>
      <c r="CX13" s="779">
        <v>2.214367022115002</v>
      </c>
      <c r="CY13" s="734" t="s">
        <v>535</v>
      </c>
      <c r="DB13" s="6">
        <v>-7.0000000000000001E-3</v>
      </c>
      <c r="DC13" s="567">
        <v>5.9999483094749168E-3</v>
      </c>
      <c r="DD13" s="438">
        <v>0.73432744731563571</v>
      </c>
      <c r="DF13" s="781">
        <v>240</v>
      </c>
      <c r="DG13" s="735">
        <v>1</v>
      </c>
      <c r="DH13" s="735" t="s">
        <v>95</v>
      </c>
      <c r="DI13" s="738" t="s">
        <v>92</v>
      </c>
      <c r="DJ13" s="736">
        <v>99993.417958816732</v>
      </c>
      <c r="DK13" s="737">
        <v>-6.5820411832683019E-3</v>
      </c>
      <c r="DL13" s="737">
        <v>8.6182821413085687E-3</v>
      </c>
      <c r="DM13" s="779">
        <v>2.5878392481532786</v>
      </c>
      <c r="DO13" s="782">
        <f t="shared" si="8"/>
        <v>5.0001246811086633</v>
      </c>
      <c r="DP13" s="438" t="str">
        <f t="shared" si="8"/>
        <v xml:space="preserve">1  </v>
      </c>
      <c r="DQ13" s="567">
        <f t="shared" si="12"/>
        <v>2.9853179999999998E-3</v>
      </c>
      <c r="DR13" s="567">
        <f t="shared" si="13"/>
        <v>-1.224052E-3</v>
      </c>
      <c r="DS13" s="567">
        <f t="shared" si="9"/>
        <v>-3.4762230820550855E-4</v>
      </c>
      <c r="DT13" s="567">
        <f t="shared" si="10"/>
        <v>-1.2860631084188334E-3</v>
      </c>
      <c r="DU13" s="567">
        <f t="shared" si="11"/>
        <v>-2.5649330000000001E-3</v>
      </c>
      <c r="DV13" s="778">
        <f>CE25</f>
        <v>-1.6932332968955244E-3</v>
      </c>
      <c r="DW13" s="778">
        <f>CV25</f>
        <v>2.7778549404029037E-3</v>
      </c>
      <c r="DX13" s="778">
        <f>DK25</f>
        <v>-3.4126552005327541E-3</v>
      </c>
    </row>
    <row r="14" spans="2:128" x14ac:dyDescent="0.2">
      <c r="B14" s="762">
        <f>'TABLE RM11'!D14</f>
        <v>229.996814</v>
      </c>
      <c r="C14" s="762">
        <f>'TABLE RM11'!E14</f>
        <v>5.0000599320000001</v>
      </c>
      <c r="D14" s="762">
        <f>'TABLE RM11'!F14</f>
        <v>59.998766209999999</v>
      </c>
      <c r="E14" s="762" t="str">
        <f>'TABLE RM11'!G14</f>
        <v>0.5 Lag</v>
      </c>
      <c r="F14" s="762" t="str">
        <f>'TABLE RM11'!H14</f>
        <v>A</v>
      </c>
      <c r="G14" s="762">
        <f>'TABLE RM11'!I14</f>
        <v>99995.794370000003</v>
      </c>
      <c r="H14" s="765">
        <f>'TABLE RM11'!J14</f>
        <v>-4.2056300000000001E-3</v>
      </c>
      <c r="I14" s="765">
        <f>'TABLE RM11'!K14</f>
        <v>8.6097610000000005E-3</v>
      </c>
      <c r="J14" s="770">
        <f>'TABLE RM11'!L14</f>
        <v>2.0483293300000001</v>
      </c>
      <c r="K14" s="767"/>
      <c r="L14" s="438">
        <f t="shared" si="0"/>
        <v>0.96142340620663502</v>
      </c>
      <c r="M14" s="438">
        <f t="shared" si="1"/>
        <v>0.35828009627677232</v>
      </c>
      <c r="N14" s="438">
        <f t="shared" si="4"/>
        <v>-0.25502871725116799</v>
      </c>
      <c r="Q14" s="438">
        <f t="shared" si="2"/>
        <v>-0.25502871725116799</v>
      </c>
      <c r="R14" s="438">
        <f t="shared" si="3"/>
        <v>-26719.968254369513</v>
      </c>
      <c r="S14" s="762">
        <v>229.90272809999999</v>
      </c>
      <c r="T14" s="762">
        <v>4.9997704719999998</v>
      </c>
      <c r="U14" s="762" t="s">
        <v>96</v>
      </c>
      <c r="V14" s="762" t="s">
        <v>92</v>
      </c>
      <c r="W14" s="762">
        <v>99992.709659999993</v>
      </c>
      <c r="X14" s="765">
        <v>-7.2903359999999997E-3</v>
      </c>
      <c r="Y14" s="765">
        <v>8.955223E-3</v>
      </c>
      <c r="Z14" s="770">
        <v>2.0795148910000001</v>
      </c>
      <c r="AB14" s="438">
        <f>(X14-AK14)/Y14</f>
        <v>-0.58964944855858226</v>
      </c>
      <c r="AC14" s="438">
        <f>Y14/AL14</f>
        <v>1.0032452397496898</v>
      </c>
      <c r="AD14" s="438">
        <f>(X14-AX14)/Y14</f>
        <v>-0.80497189254131685</v>
      </c>
      <c r="AE14" s="438">
        <f>(X14-BF14)/Y14</f>
        <v>-0.38234871426429018</v>
      </c>
      <c r="AF14" s="762">
        <v>229.9805195299927</v>
      </c>
      <c r="AG14" s="784">
        <v>5.0001312738270771</v>
      </c>
      <c r="AH14" s="763" t="s">
        <v>96</v>
      </c>
      <c r="AI14" s="763" t="s">
        <v>92</v>
      </c>
      <c r="AJ14" s="763">
        <v>99997.990106303667</v>
      </c>
      <c r="AK14" s="765">
        <v>-2.0098936963308667E-3</v>
      </c>
      <c r="AL14" s="765">
        <v>8.9262551619326228E-3</v>
      </c>
      <c r="AM14" s="763">
        <v>2.0807563295799407</v>
      </c>
      <c r="AO14" s="438">
        <f t="shared" si="5"/>
        <v>-0.21602121693694765</v>
      </c>
      <c r="AP14" s="438">
        <f t="shared" si="6"/>
        <v>1.0048812814091475</v>
      </c>
      <c r="AQ14" s="438">
        <f t="shared" si="7"/>
        <v>0.20797347487736381</v>
      </c>
      <c r="AS14" s="762">
        <v>230.04833496770871</v>
      </c>
      <c r="AT14" s="784">
        <v>5.0005981601888578</v>
      </c>
      <c r="AU14" s="763" t="s">
        <v>96</v>
      </c>
      <c r="AV14" s="763" t="s">
        <v>92</v>
      </c>
      <c r="AW14" s="769">
        <v>99999.918366806436</v>
      </c>
      <c r="AX14" s="765">
        <v>-8.1633193560470829E-5</v>
      </c>
      <c r="AY14" s="765">
        <v>8.8828952504870166E-3</v>
      </c>
      <c r="AZ14" s="770">
        <v>2.0777956687790211</v>
      </c>
      <c r="BB14" s="771">
        <v>230.02132549999999</v>
      </c>
      <c r="BC14" s="771">
        <v>5.0005870909999999</v>
      </c>
      <c r="BD14" s="771" t="s">
        <v>96</v>
      </c>
      <c r="BE14" s="771">
        <v>99996.133679999999</v>
      </c>
      <c r="BF14" s="772">
        <v>-3.8663180000000001E-3</v>
      </c>
      <c r="BG14" s="772">
        <v>7.2787520000000003E-3</v>
      </c>
      <c r="BH14" s="773">
        <v>2.1221372839999999</v>
      </c>
      <c r="BU14" s="567"/>
      <c r="BV14" s="567">
        <v>-1.3304548167493917E-3</v>
      </c>
      <c r="BW14" s="775">
        <v>-0.18278611728348371</v>
      </c>
      <c r="BY14" s="54">
        <v>16</v>
      </c>
      <c r="BZ14" s="776">
        <v>240.01989518214972</v>
      </c>
      <c r="CA14" s="738">
        <v>1.0000058808174479</v>
      </c>
      <c r="CB14" s="777" t="s">
        <v>96</v>
      </c>
      <c r="CC14" s="777" t="s">
        <v>92</v>
      </c>
      <c r="CD14" s="736">
        <v>99995.07562173238</v>
      </c>
      <c r="CE14" s="778">
        <v>-4.9243782676233749E-3</v>
      </c>
      <c r="CF14" s="778">
        <v>1.0015789498652896E-2</v>
      </c>
      <c r="CG14" s="779">
        <v>2.064764519894196</v>
      </c>
      <c r="CH14" s="734" t="s">
        <v>535</v>
      </c>
      <c r="CI14" s="738">
        <v>-59.91727521823443</v>
      </c>
      <c r="CJ14" s="780">
        <v>0</v>
      </c>
      <c r="CK14" s="6" t="s">
        <v>97</v>
      </c>
      <c r="CL14" s="6">
        <v>1</v>
      </c>
      <c r="CN14" s="567">
        <v>-1.214712213246397E-2</v>
      </c>
      <c r="CO14" s="438">
        <v>-1.2127972671647835</v>
      </c>
      <c r="CP14" s="438">
        <v>0.92503422698758686</v>
      </c>
      <c r="CQ14" s="781">
        <v>240.05356895789791</v>
      </c>
      <c r="CR14" s="776">
        <v>0.99981836517302369</v>
      </c>
      <c r="CS14" s="734" t="s">
        <v>560</v>
      </c>
      <c r="CT14" s="777" t="s">
        <v>92</v>
      </c>
      <c r="CU14" s="736">
        <v>100007.22274386484</v>
      </c>
      <c r="CV14" s="778">
        <v>7.2227438648405952E-3</v>
      </c>
      <c r="CW14" s="778">
        <v>1.082747989906248E-2</v>
      </c>
      <c r="CX14" s="779">
        <v>2.0859796294509119</v>
      </c>
      <c r="CY14" s="734" t="s">
        <v>535</v>
      </c>
      <c r="DB14" s="6">
        <v>-1.7000000000000001E-2</v>
      </c>
      <c r="DC14" s="567">
        <v>1.2075621732376626E-2</v>
      </c>
      <c r="DD14" s="438">
        <v>1.2056584989132184</v>
      </c>
      <c r="DF14" s="781">
        <v>240</v>
      </c>
      <c r="DG14" s="735">
        <v>1</v>
      </c>
      <c r="DH14" s="735" t="s">
        <v>560</v>
      </c>
      <c r="DI14" s="738" t="s">
        <v>92</v>
      </c>
      <c r="DJ14" s="736">
        <v>99983.499310399144</v>
      </c>
      <c r="DK14" s="737">
        <v>-1.6500689600856277E-2</v>
      </c>
      <c r="DL14" s="737">
        <v>9.6659172603894301E-3</v>
      </c>
      <c r="DM14" s="779">
        <v>2.1978087567098461</v>
      </c>
      <c r="DO14" s="782">
        <f t="shared" si="8"/>
        <v>5.0001312738270771</v>
      </c>
      <c r="DP14" s="438" t="str">
        <f t="shared" si="8"/>
        <v>0.5 Lag</v>
      </c>
      <c r="DQ14" s="567">
        <f t="shared" si="12"/>
        <v>-4.2056300000000001E-3</v>
      </c>
      <c r="DR14" s="567">
        <f t="shared" si="13"/>
        <v>-7.2903359999999997E-3</v>
      </c>
      <c r="DS14" s="567">
        <f t="shared" si="9"/>
        <v>-2.0098936963308667E-3</v>
      </c>
      <c r="DT14" s="567">
        <f t="shared" si="10"/>
        <v>-8.1633193560470829E-5</v>
      </c>
      <c r="DU14" s="567">
        <f t="shared" si="11"/>
        <v>-3.8663180000000001E-3</v>
      </c>
      <c r="DV14" s="778">
        <f>CE26</f>
        <v>-2.5358631832506084E-3</v>
      </c>
      <c r="DW14" s="778">
        <f>CV26</f>
        <v>4.4446419840824094E-3</v>
      </c>
      <c r="DX14" s="778">
        <f>DK26</f>
        <v>-1.1833530620919191E-2</v>
      </c>
    </row>
    <row r="15" spans="2:128" x14ac:dyDescent="0.2">
      <c r="B15" s="762">
        <f>'TABLE RM11'!D15</f>
        <v>229.9967235</v>
      </c>
      <c r="C15" s="762">
        <f>'TABLE RM11'!E15</f>
        <v>5.0000426530000004</v>
      </c>
      <c r="D15" s="762">
        <f>'TABLE RM11'!F15</f>
        <v>-36.867290259999997</v>
      </c>
      <c r="E15" s="762" t="str">
        <f>'TABLE RM11'!G15</f>
        <v>0.8 Lead</v>
      </c>
      <c r="F15" s="762" t="str">
        <f>'TABLE RM11'!H15</f>
        <v>A</v>
      </c>
      <c r="G15" s="762">
        <f>'TABLE RM11'!I15</f>
        <v>100006.4108</v>
      </c>
      <c r="H15" s="765">
        <f>'TABLE RM11'!J15</f>
        <v>6.410832E-3</v>
      </c>
      <c r="I15" s="765">
        <f>'TABLE RM11'!K15</f>
        <v>5.6157129999999996E-3</v>
      </c>
      <c r="J15" s="770">
        <f>'TABLE RM11'!L15</f>
        <v>2.060746548</v>
      </c>
      <c r="K15" s="767"/>
      <c r="L15" s="438">
        <f t="shared" si="0"/>
        <v>0.93645988400044211</v>
      </c>
      <c r="M15" s="438">
        <f t="shared" si="1"/>
        <v>0.82974361403440666</v>
      </c>
      <c r="N15" s="438">
        <f t="shared" si="4"/>
        <v>0.96058174184860656</v>
      </c>
      <c r="Q15" s="438">
        <f t="shared" si="2"/>
        <v>0.96058174184860656</v>
      </c>
      <c r="R15" s="438">
        <f t="shared" si="3"/>
        <v>-40963.492513568039</v>
      </c>
      <c r="S15" s="762">
        <v>229.90253290000001</v>
      </c>
      <c r="T15" s="762">
        <v>4.999719582</v>
      </c>
      <c r="U15" s="762" t="s">
        <v>98</v>
      </c>
      <c r="V15" s="762" t="s">
        <v>92</v>
      </c>
      <c r="W15" s="762">
        <v>100001.7512</v>
      </c>
      <c r="X15" s="765">
        <v>1.7512300000000001E-3</v>
      </c>
      <c r="Y15" s="765">
        <v>5.9967470000000002E-3</v>
      </c>
      <c r="Z15" s="770">
        <v>2.0667934149999998</v>
      </c>
      <c r="AB15" s="438">
        <f>(X15-AK15)/Y15</f>
        <v>0.12252465799572063</v>
      </c>
      <c r="AC15" s="438">
        <f>Y15/AL15</f>
        <v>0.99998749026708333</v>
      </c>
      <c r="AD15" s="438">
        <f>(X15-AX15)/Y15</f>
        <v>0.60932710633437426</v>
      </c>
      <c r="AE15" s="438">
        <f>(X15-BF15)/Y15</f>
        <v>0.57673752119274002</v>
      </c>
      <c r="AF15" s="762">
        <v>229.98195724268049</v>
      </c>
      <c r="AG15" s="784">
        <v>5.0001075724112933</v>
      </c>
      <c r="AH15" s="763" t="s">
        <v>98</v>
      </c>
      <c r="AI15" s="763" t="s">
        <v>92</v>
      </c>
      <c r="AJ15" s="763">
        <v>100001.01648062473</v>
      </c>
      <c r="AK15" s="765">
        <v>1.0164806247381364E-3</v>
      </c>
      <c r="AL15" s="765">
        <v>5.9968220186418023E-3</v>
      </c>
      <c r="AM15" s="763">
        <v>2.0664032500616369</v>
      </c>
      <c r="AO15" s="438">
        <f t="shared" si="5"/>
        <v>0.48679635857004167</v>
      </c>
      <c r="AP15" s="438">
        <f t="shared" si="6"/>
        <v>1.0198692502788329</v>
      </c>
      <c r="AQ15" s="438">
        <f t="shared" si="7"/>
        <v>0.45420718111541342</v>
      </c>
      <c r="AS15" s="762">
        <v>230.04562826584669</v>
      </c>
      <c r="AT15" s="784">
        <v>5.0007210787734238</v>
      </c>
      <c r="AU15" s="763" t="s">
        <v>98</v>
      </c>
      <c r="AV15" s="763" t="s">
        <v>92</v>
      </c>
      <c r="AW15" s="769">
        <v>99998.097249503073</v>
      </c>
      <c r="AX15" s="765">
        <v>-1.9027504969293396E-3</v>
      </c>
      <c r="AY15" s="765">
        <v>5.8799910057120231E-3</v>
      </c>
      <c r="AZ15" s="770">
        <v>2.0563098506377395</v>
      </c>
      <c r="BB15" s="771">
        <v>230.02149850000001</v>
      </c>
      <c r="BC15" s="771">
        <v>5.0007721979999999</v>
      </c>
      <c r="BD15" s="771" t="s">
        <v>98</v>
      </c>
      <c r="BE15" s="771">
        <v>99998.292679999999</v>
      </c>
      <c r="BF15" s="772">
        <v>-1.7073189999999999E-3</v>
      </c>
      <c r="BG15" s="772">
        <v>4.4262770000000002E-3</v>
      </c>
      <c r="BH15" s="773">
        <v>2.0421583079999999</v>
      </c>
      <c r="BU15" s="567"/>
      <c r="BV15" s="567">
        <v>-8.6212022846256339E-4</v>
      </c>
      <c r="BW15" s="775">
        <v>-0.194773221030352</v>
      </c>
      <c r="BY15" s="54">
        <v>17</v>
      </c>
      <c r="BZ15" s="776">
        <v>240.02005508328344</v>
      </c>
      <c r="CA15" s="738">
        <v>0.99997983657947864</v>
      </c>
      <c r="CB15" s="777" t="s">
        <v>98</v>
      </c>
      <c r="CC15" s="777" t="s">
        <v>92</v>
      </c>
      <c r="CD15" s="736">
        <v>99995.24653587112</v>
      </c>
      <c r="CE15" s="778">
        <v>-4.7534641288815571E-3</v>
      </c>
      <c r="CF15" s="778">
        <v>8.4890671803290064E-3</v>
      </c>
      <c r="CG15" s="779">
        <v>2.10459564074554</v>
      </c>
      <c r="CH15" s="734" t="s">
        <v>535</v>
      </c>
      <c r="CI15" s="738">
        <v>36.986548344618072</v>
      </c>
      <c r="CJ15" s="780">
        <v>0</v>
      </c>
      <c r="CK15" s="6" t="s">
        <v>99</v>
      </c>
      <c r="CL15" s="6">
        <v>1</v>
      </c>
      <c r="CN15" s="567">
        <v>-4.7534641288961088E-3</v>
      </c>
      <c r="CO15" s="438">
        <v>-0.55995129122206821</v>
      </c>
      <c r="CP15" s="438">
        <v>0.91265630001250198</v>
      </c>
      <c r="CQ15" s="781">
        <v>240.05404197941337</v>
      </c>
      <c r="CR15" s="776">
        <v>0.99991071838527712</v>
      </c>
      <c r="CS15" s="734" t="s">
        <v>100</v>
      </c>
      <c r="CT15" s="777" t="s">
        <v>92</v>
      </c>
      <c r="CU15" s="736">
        <v>100000</v>
      </c>
      <c r="CV15" s="778">
        <v>1.4551915228366852E-14</v>
      </c>
      <c r="CW15" s="778">
        <v>9.3014940895194825E-3</v>
      </c>
      <c r="CX15" s="779">
        <v>2.1698297271876652</v>
      </c>
      <c r="CY15" s="734" t="s">
        <v>535</v>
      </c>
      <c r="DB15" s="6">
        <v>-4.0000000000000001E-3</v>
      </c>
      <c r="DC15" s="567">
        <v>-7.5346412888155703E-4</v>
      </c>
      <c r="DD15" s="438">
        <v>-8.8756999193915609E-2</v>
      </c>
      <c r="DF15" s="781">
        <v>240</v>
      </c>
      <c r="DG15" s="735">
        <v>1</v>
      </c>
      <c r="DH15" s="735" t="s">
        <v>100</v>
      </c>
      <c r="DI15" s="738" t="s">
        <v>92</v>
      </c>
      <c r="DJ15" s="736">
        <v>99996.134642193472</v>
      </c>
      <c r="DK15" s="737">
        <v>-3.8653578065277541E-3</v>
      </c>
      <c r="DL15" s="737">
        <v>8.6095310338076131E-3</v>
      </c>
      <c r="DM15" s="779">
        <v>2.4323955113499554</v>
      </c>
      <c r="DO15" s="782">
        <f t="shared" si="8"/>
        <v>5.0001075724112933</v>
      </c>
      <c r="DP15" s="438" t="str">
        <f t="shared" si="8"/>
        <v>0.8 Lead</v>
      </c>
      <c r="DQ15" s="567">
        <f t="shared" si="12"/>
        <v>6.410832E-3</v>
      </c>
      <c r="DR15" s="567">
        <f t="shared" si="13"/>
        <v>1.7512300000000001E-3</v>
      </c>
      <c r="DS15" s="567">
        <f t="shared" si="9"/>
        <v>1.0164806247381364E-3</v>
      </c>
      <c r="DT15" s="567">
        <f t="shared" si="10"/>
        <v>-1.9027504969293396E-3</v>
      </c>
      <c r="DU15" s="567">
        <f t="shared" si="11"/>
        <v>-1.7073189999999999E-3</v>
      </c>
      <c r="DV15" s="778">
        <f>CE27</f>
        <v>-8.451987715374365E-4</v>
      </c>
      <c r="DW15" s="778">
        <f>CV27</f>
        <v>1.4551915228366852E-14</v>
      </c>
      <c r="DX15" s="778">
        <f>DK27</f>
        <v>-2.5601816752459853E-3</v>
      </c>
    </row>
    <row r="16" spans="2:128" x14ac:dyDescent="0.2">
      <c r="B16" s="762">
        <f>'TABLE RM11'!D16</f>
        <v>229.9966483</v>
      </c>
      <c r="C16" s="762">
        <f>'TABLE RM11'!E16</f>
        <v>6.0002852960000004</v>
      </c>
      <c r="D16" s="762">
        <f>'TABLE RM11'!F16</f>
        <v>2.0048760000000001E-3</v>
      </c>
      <c r="E16" s="762" t="str">
        <f>'TABLE RM11'!G16</f>
        <v xml:space="preserve">1  </v>
      </c>
      <c r="F16" s="762" t="str">
        <f>'TABLE RM11'!H16</f>
        <v>A</v>
      </c>
      <c r="G16" s="762">
        <f>'TABLE RM11'!I16</f>
        <v>100002.8067</v>
      </c>
      <c r="H16" s="765">
        <f>'TABLE RM11'!J16</f>
        <v>2.8067019999999999E-3</v>
      </c>
      <c r="I16" s="765">
        <f>'TABLE RM11'!K16</f>
        <v>4.7268850000000001E-3</v>
      </c>
      <c r="J16" s="770">
        <f>'TABLE RM11'!L16</f>
        <v>2.0815167240000001</v>
      </c>
      <c r="K16" s="767"/>
      <c r="L16" s="438">
        <f t="shared" si="0"/>
        <v>0.91497795540520843</v>
      </c>
      <c r="M16" s="438">
        <f t="shared" si="1"/>
        <v>0.90449016635691359</v>
      </c>
      <c r="N16" s="438"/>
      <c r="Q16" s="438">
        <f t="shared" ref="Q16:Q21" si="15">(H16-AK16)/I16</f>
        <v>0.59377412397382201</v>
      </c>
      <c r="R16" s="438">
        <f t="shared" ref="R16:R21" si="16">(H16-AS16)/I16</f>
        <v>0.59377412397382201</v>
      </c>
      <c r="S16" s="762">
        <v>229.92389510000001</v>
      </c>
      <c r="T16" s="762">
        <v>5.9981408380000003</v>
      </c>
      <c r="U16" s="762" t="s">
        <v>91</v>
      </c>
      <c r="V16" s="762" t="s">
        <v>92</v>
      </c>
      <c r="W16" s="762">
        <v>99998.531279999996</v>
      </c>
      <c r="X16" s="768">
        <v>-1.4687190000000001E-3</v>
      </c>
      <c r="Y16" s="768">
        <v>5.1661190000000003E-3</v>
      </c>
      <c r="Z16" s="770">
        <v>2.0892787199999998</v>
      </c>
      <c r="AB16" s="438"/>
      <c r="AC16" s="438"/>
      <c r="AD16" s="438"/>
      <c r="AE16" s="438"/>
      <c r="AF16" s="762"/>
      <c r="AG16" s="784"/>
      <c r="AH16" s="763"/>
      <c r="AI16" s="763"/>
      <c r="AJ16" s="763"/>
      <c r="AK16" s="765"/>
      <c r="AL16" s="765"/>
      <c r="AM16" s="763"/>
      <c r="AO16" s="438"/>
      <c r="AP16" s="438"/>
      <c r="AQ16" s="438"/>
      <c r="AS16" s="762"/>
      <c r="AT16" s="784"/>
      <c r="AU16" s="763"/>
      <c r="AV16" s="763"/>
      <c r="AW16" s="769"/>
      <c r="AX16" s="765"/>
      <c r="AY16" s="765"/>
      <c r="AZ16" s="770"/>
      <c r="BB16" s="771"/>
      <c r="BC16" s="771"/>
      <c r="BD16" s="771"/>
      <c r="BE16" s="771"/>
      <c r="BF16" s="772"/>
      <c r="BG16" s="772"/>
      <c r="BH16" s="773"/>
      <c r="BO16" s="783"/>
      <c r="BP16" s="567"/>
      <c r="BQ16" s="567"/>
      <c r="BR16" s="567"/>
      <c r="BS16" s="567"/>
      <c r="BT16" s="567"/>
      <c r="BU16" s="567"/>
      <c r="BV16" s="567"/>
      <c r="BW16" s="775"/>
      <c r="BY16" s="54"/>
      <c r="BZ16" s="776"/>
      <c r="CA16" s="738"/>
      <c r="CB16" s="777"/>
      <c r="CC16" s="777"/>
      <c r="CD16" s="736"/>
      <c r="CE16" s="778"/>
      <c r="CF16" s="778"/>
      <c r="CG16" s="779"/>
      <c r="CH16" s="734"/>
      <c r="CI16" s="738"/>
      <c r="CJ16" s="780"/>
      <c r="CN16" s="567"/>
      <c r="CO16" s="438"/>
      <c r="CP16" s="438"/>
      <c r="CQ16" s="781"/>
      <c r="CR16" s="776"/>
      <c r="CS16" s="734"/>
      <c r="CT16" s="777"/>
      <c r="CU16" s="736"/>
      <c r="CV16" s="778"/>
      <c r="CW16" s="778"/>
      <c r="CX16" s="779"/>
      <c r="CY16" s="734"/>
      <c r="DC16" s="567"/>
      <c r="DD16" s="438"/>
      <c r="DF16" s="781"/>
      <c r="DG16" s="735"/>
      <c r="DH16" s="735"/>
      <c r="DI16" s="738"/>
      <c r="DJ16" s="736"/>
      <c r="DK16" s="737"/>
      <c r="DL16" s="737"/>
      <c r="DM16" s="779"/>
      <c r="DO16" s="782"/>
      <c r="DP16" s="438"/>
      <c r="DQ16" s="438"/>
      <c r="DR16" s="438"/>
      <c r="DS16" s="567"/>
      <c r="DT16" s="567"/>
      <c r="DU16" s="567"/>
      <c r="DV16" s="778"/>
      <c r="DW16" s="778"/>
      <c r="DX16" s="778"/>
    </row>
    <row r="17" spans="2:128" x14ac:dyDescent="0.2">
      <c r="B17" s="762">
        <f>'TABLE RM11'!D17</f>
        <v>229.99678560000001</v>
      </c>
      <c r="C17" s="762">
        <f>'TABLE RM11'!E17</f>
        <v>6.0001974479999998</v>
      </c>
      <c r="D17" s="762">
        <f>'TABLE RM11'!F17</f>
        <v>59.999798679999998</v>
      </c>
      <c r="E17" s="762" t="str">
        <f>'TABLE RM11'!G17</f>
        <v>0.5 Lag</v>
      </c>
      <c r="F17" s="762" t="str">
        <f>'TABLE RM11'!H17</f>
        <v>A</v>
      </c>
      <c r="G17" s="762">
        <f>'TABLE RM11'!I17</f>
        <v>99998.393939999994</v>
      </c>
      <c r="H17" s="765">
        <f>'TABLE RM11'!J17</f>
        <v>-1.6060619999999999E-3</v>
      </c>
      <c r="I17" s="765">
        <f>'TABLE RM11'!K17</f>
        <v>8.6500670000000009E-3</v>
      </c>
      <c r="J17" s="770">
        <f>'TABLE RM11'!L17</f>
        <v>2.0465566430000002</v>
      </c>
      <c r="K17" s="767"/>
      <c r="L17" s="438">
        <f t="shared" si="0"/>
        <v>0.96394946091126066</v>
      </c>
      <c r="M17" s="438">
        <f t="shared" si="1"/>
        <v>0.57125372554917775</v>
      </c>
      <c r="N17" s="438"/>
      <c r="Q17" s="438">
        <f t="shared" si="15"/>
        <v>-0.18567046937324297</v>
      </c>
      <c r="R17" s="438">
        <f t="shared" si="16"/>
        <v>-0.18567046937324297</v>
      </c>
      <c r="S17" s="762">
        <v>229.91186020000001</v>
      </c>
      <c r="T17" s="762">
        <v>5.9980751330000004</v>
      </c>
      <c r="U17" s="762" t="s">
        <v>96</v>
      </c>
      <c r="V17" s="762" t="s">
        <v>92</v>
      </c>
      <c r="W17" s="762">
        <v>99993.452550000002</v>
      </c>
      <c r="X17" s="768">
        <v>-6.5474449999999998E-3</v>
      </c>
      <c r="Y17" s="768">
        <v>8.9735690000000007E-3</v>
      </c>
      <c r="Z17" s="770">
        <v>2.0774686249999998</v>
      </c>
      <c r="AB17" s="438"/>
      <c r="AC17" s="438"/>
      <c r="AD17" s="438"/>
      <c r="AE17" s="438"/>
      <c r="AF17" s="762"/>
      <c r="AG17" s="784"/>
      <c r="AH17" s="763"/>
      <c r="AI17" s="763"/>
      <c r="AJ17" s="763"/>
      <c r="AK17" s="765"/>
      <c r="AL17" s="765"/>
      <c r="AM17" s="763"/>
      <c r="AO17" s="438"/>
      <c r="AP17" s="438"/>
      <c r="AQ17" s="438"/>
      <c r="AS17" s="762"/>
      <c r="AT17" s="784"/>
      <c r="AU17" s="763"/>
      <c r="AV17" s="763"/>
      <c r="AW17" s="769"/>
      <c r="AX17" s="765"/>
      <c r="AY17" s="765"/>
      <c r="AZ17" s="770"/>
      <c r="BB17" s="771"/>
      <c r="BC17" s="771"/>
      <c r="BD17" s="771"/>
      <c r="BE17" s="771"/>
      <c r="BF17" s="772"/>
      <c r="BG17" s="772"/>
      <c r="BH17" s="773"/>
      <c r="BO17" s="783"/>
      <c r="BP17" s="567"/>
      <c r="BQ17" s="567"/>
      <c r="BR17" s="567"/>
      <c r="BS17" s="567"/>
      <c r="BT17" s="567"/>
      <c r="BU17" s="567"/>
      <c r="BV17" s="567"/>
      <c r="BW17" s="775"/>
      <c r="BY17" s="54"/>
      <c r="BZ17" s="776"/>
      <c r="CA17" s="738"/>
      <c r="CB17" s="777"/>
      <c r="CC17" s="777"/>
      <c r="CD17" s="736"/>
      <c r="CE17" s="778"/>
      <c r="CF17" s="778"/>
      <c r="CG17" s="779"/>
      <c r="CH17" s="734"/>
      <c r="CI17" s="738"/>
      <c r="CJ17" s="780"/>
      <c r="CN17" s="567"/>
      <c r="CO17" s="438"/>
      <c r="CP17" s="438"/>
      <c r="CQ17" s="781"/>
      <c r="CR17" s="776"/>
      <c r="CS17" s="734"/>
      <c r="CT17" s="777"/>
      <c r="CU17" s="736"/>
      <c r="CV17" s="778"/>
      <c r="CW17" s="778"/>
      <c r="CX17" s="779"/>
      <c r="CY17" s="734"/>
      <c r="DC17" s="567"/>
      <c r="DD17" s="438"/>
      <c r="DF17" s="781"/>
      <c r="DG17" s="735"/>
      <c r="DH17" s="735"/>
      <c r="DI17" s="738"/>
      <c r="DJ17" s="736"/>
      <c r="DK17" s="737"/>
      <c r="DL17" s="737"/>
      <c r="DM17" s="779"/>
      <c r="DO17" s="782"/>
      <c r="DP17" s="438"/>
      <c r="DQ17" s="438"/>
      <c r="DR17" s="438"/>
      <c r="DS17" s="567"/>
      <c r="DT17" s="567"/>
      <c r="DU17" s="567"/>
      <c r="DV17" s="778"/>
      <c r="DW17" s="778"/>
      <c r="DX17" s="778"/>
    </row>
    <row r="18" spans="2:128" x14ac:dyDescent="0.2">
      <c r="B18" s="762">
        <f>'TABLE RM11'!D18</f>
        <v>229.9966197</v>
      </c>
      <c r="C18" s="762">
        <f>'TABLE RM11'!E18</f>
        <v>6.0000353430000004</v>
      </c>
      <c r="D18" s="762">
        <f>'TABLE RM11'!F18</f>
        <v>-36.866855360000002</v>
      </c>
      <c r="E18" s="762" t="str">
        <f>'TABLE RM11'!G18</f>
        <v>0.8 Lead</v>
      </c>
      <c r="F18" s="762" t="str">
        <f>'TABLE RM11'!H18</f>
        <v>A</v>
      </c>
      <c r="G18" s="762">
        <f>'TABLE RM11'!I18</f>
        <v>100008.0184</v>
      </c>
      <c r="H18" s="765">
        <f>'TABLE RM11'!J18</f>
        <v>8.018397E-3</v>
      </c>
      <c r="I18" s="765">
        <f>'TABLE RM11'!K18</f>
        <v>5.7070480000000002E-3</v>
      </c>
      <c r="J18" s="770">
        <f>'TABLE RM11'!L18</f>
        <v>2.0537386789999998</v>
      </c>
      <c r="K18" s="767"/>
      <c r="L18" s="438">
        <f t="shared" si="0"/>
        <v>0.94511036600320708</v>
      </c>
      <c r="M18" s="438">
        <f t="shared" si="1"/>
        <v>0.90829006519657807</v>
      </c>
      <c r="N18" s="438"/>
      <c r="Q18" s="438">
        <f t="shared" si="15"/>
        <v>1.4049990467926676</v>
      </c>
      <c r="R18" s="438">
        <f t="shared" si="16"/>
        <v>1.4049990467926676</v>
      </c>
      <c r="S18" s="762">
        <v>229.9115606</v>
      </c>
      <c r="T18" s="762">
        <v>5.9980234189999999</v>
      </c>
      <c r="U18" s="762" t="s">
        <v>98</v>
      </c>
      <c r="V18" s="762" t="s">
        <v>92</v>
      </c>
      <c r="W18" s="762">
        <v>100002.83470000001</v>
      </c>
      <c r="X18" s="768">
        <v>2.8347419999999999E-3</v>
      </c>
      <c r="Y18" s="768">
        <v>6.0384990000000001E-3</v>
      </c>
      <c r="Z18" s="770">
        <v>2.063310065</v>
      </c>
      <c r="AB18" s="438"/>
      <c r="AC18" s="438"/>
      <c r="AD18" s="438"/>
      <c r="AE18" s="438"/>
      <c r="AF18" s="762"/>
      <c r="AG18" s="784"/>
      <c r="AH18" s="763"/>
      <c r="AI18" s="763"/>
      <c r="AJ18" s="763"/>
      <c r="AK18" s="765"/>
      <c r="AL18" s="765"/>
      <c r="AM18" s="763"/>
      <c r="AO18" s="438"/>
      <c r="AP18" s="438"/>
      <c r="AQ18" s="438"/>
      <c r="AS18" s="762"/>
      <c r="AT18" s="784"/>
      <c r="AU18" s="763"/>
      <c r="AV18" s="763"/>
      <c r="AW18" s="769"/>
      <c r="AX18" s="765"/>
      <c r="AY18" s="765"/>
      <c r="AZ18" s="770"/>
      <c r="BB18" s="771"/>
      <c r="BC18" s="771"/>
      <c r="BD18" s="771"/>
      <c r="BE18" s="771"/>
      <c r="BF18" s="772"/>
      <c r="BG18" s="772"/>
      <c r="BH18" s="773"/>
      <c r="BO18" s="783"/>
      <c r="BP18" s="567"/>
      <c r="BQ18" s="567"/>
      <c r="BR18" s="567"/>
      <c r="BS18" s="567"/>
      <c r="BT18" s="567"/>
      <c r="BU18" s="567"/>
      <c r="BV18" s="567"/>
      <c r="BW18" s="775"/>
      <c r="BY18" s="54"/>
      <c r="BZ18" s="776"/>
      <c r="CA18" s="738"/>
      <c r="CB18" s="777"/>
      <c r="CC18" s="777"/>
      <c r="CD18" s="736"/>
      <c r="CE18" s="778"/>
      <c r="CF18" s="778"/>
      <c r="CG18" s="779"/>
      <c r="CH18" s="734"/>
      <c r="CI18" s="738"/>
      <c r="CJ18" s="780"/>
      <c r="CN18" s="567"/>
      <c r="CO18" s="438"/>
      <c r="CP18" s="438"/>
      <c r="CQ18" s="781"/>
      <c r="CR18" s="776"/>
      <c r="CS18" s="734"/>
      <c r="CT18" s="777"/>
      <c r="CU18" s="736"/>
      <c r="CV18" s="778"/>
      <c r="CW18" s="778"/>
      <c r="CX18" s="779"/>
      <c r="CY18" s="734"/>
      <c r="DC18" s="567"/>
      <c r="DD18" s="438"/>
      <c r="DF18" s="781"/>
      <c r="DG18" s="735"/>
      <c r="DH18" s="735"/>
      <c r="DI18" s="738"/>
      <c r="DJ18" s="736"/>
      <c r="DK18" s="737"/>
      <c r="DL18" s="737"/>
      <c r="DM18" s="779"/>
      <c r="DO18" s="782"/>
      <c r="DP18" s="438"/>
      <c r="DQ18" s="438"/>
      <c r="DR18" s="438"/>
      <c r="DS18" s="567"/>
      <c r="DT18" s="567"/>
      <c r="DU18" s="567"/>
      <c r="DV18" s="778"/>
      <c r="DW18" s="778"/>
      <c r="DX18" s="778"/>
    </row>
    <row r="19" spans="2:128" x14ac:dyDescent="0.2">
      <c r="B19" s="762">
        <f>'TABLE RM11'!D19</f>
        <v>229.99687710000001</v>
      </c>
      <c r="C19" s="762">
        <f>'TABLE RM11'!E19</f>
        <v>10.000385769999999</v>
      </c>
      <c r="D19" s="762">
        <f>'TABLE RM11'!F19</f>
        <v>9.5926500000000005E-4</v>
      </c>
      <c r="E19" s="762" t="str">
        <f>'TABLE RM11'!G19</f>
        <v xml:space="preserve">1  </v>
      </c>
      <c r="F19" s="762" t="str">
        <f>'TABLE RM11'!H19</f>
        <v>A</v>
      </c>
      <c r="G19" s="762">
        <f>'TABLE RM11'!I19</f>
        <v>100001.6436</v>
      </c>
      <c r="H19" s="765">
        <f>'TABLE RM11'!J19</f>
        <v>1.643601E-3</v>
      </c>
      <c r="I19" s="765">
        <f>'TABLE RM11'!K19</f>
        <v>4.7109789999999997E-3</v>
      </c>
      <c r="J19" s="770">
        <f>'TABLE RM11'!L19</f>
        <v>2.0836004039999998</v>
      </c>
      <c r="K19" s="767"/>
      <c r="L19" s="438">
        <f t="shared" si="0"/>
        <v>0.91564199890340159</v>
      </c>
      <c r="M19" s="438">
        <f t="shared" si="1"/>
        <v>0.85765591398305963</v>
      </c>
      <c r="N19" s="438"/>
      <c r="Q19" s="438">
        <f t="shared" si="15"/>
        <v>0.34888735441189617</v>
      </c>
      <c r="R19" s="438">
        <f t="shared" si="16"/>
        <v>0.34888735441189617</v>
      </c>
      <c r="S19" s="762">
        <v>229.90458430000001</v>
      </c>
      <c r="T19" s="762">
        <v>9.992965302</v>
      </c>
      <c r="U19" s="762" t="s">
        <v>91</v>
      </c>
      <c r="V19" s="762" t="s">
        <v>92</v>
      </c>
      <c r="W19" s="762">
        <v>99997.603199999998</v>
      </c>
      <c r="X19" s="765">
        <v>-2.3967979999999999E-3</v>
      </c>
      <c r="Y19" s="765">
        <v>5.1450009999999997E-3</v>
      </c>
      <c r="Z19" s="770">
        <v>2.0920437870000002</v>
      </c>
      <c r="AB19" s="438"/>
      <c r="AC19" s="438"/>
      <c r="AD19" s="438"/>
      <c r="AE19" s="438"/>
      <c r="AF19" s="762"/>
      <c r="AG19" s="784"/>
      <c r="AH19" s="763"/>
      <c r="AI19" s="763"/>
      <c r="AJ19" s="763"/>
      <c r="AK19" s="765"/>
      <c r="AL19" s="765"/>
      <c r="AM19" s="763"/>
      <c r="AO19" s="438"/>
      <c r="AP19" s="438"/>
      <c r="AQ19" s="438"/>
      <c r="AS19" s="762"/>
      <c r="AT19" s="784"/>
      <c r="AU19" s="763"/>
      <c r="AV19" s="763"/>
      <c r="AW19" s="769"/>
      <c r="AX19" s="765"/>
      <c r="AY19" s="765"/>
      <c r="AZ19" s="770"/>
      <c r="BB19" s="771"/>
      <c r="BC19" s="771"/>
      <c r="BD19" s="771"/>
      <c r="BE19" s="771"/>
      <c r="BF19" s="772"/>
      <c r="BG19" s="772"/>
      <c r="BH19" s="773"/>
      <c r="BO19" s="783"/>
      <c r="BP19" s="567"/>
      <c r="BQ19" s="567"/>
      <c r="BR19" s="567"/>
      <c r="BS19" s="567"/>
      <c r="BT19" s="567"/>
      <c r="BU19" s="567"/>
      <c r="BV19" s="567"/>
      <c r="BW19" s="775"/>
      <c r="BY19" s="54"/>
      <c r="BZ19" s="776"/>
      <c r="CA19" s="738"/>
      <c r="CB19" s="777"/>
      <c r="CC19" s="777"/>
      <c r="CD19" s="736"/>
      <c r="CE19" s="778"/>
      <c r="CF19" s="778"/>
      <c r="CG19" s="779"/>
      <c r="CH19" s="734"/>
      <c r="CI19" s="738"/>
      <c r="CJ19" s="780"/>
      <c r="CN19" s="567"/>
      <c r="CO19" s="438"/>
      <c r="CP19" s="438"/>
      <c r="CQ19" s="781"/>
      <c r="CR19" s="776"/>
      <c r="CS19" s="734"/>
      <c r="CT19" s="777"/>
      <c r="CU19" s="736"/>
      <c r="CV19" s="778"/>
      <c r="CW19" s="778"/>
      <c r="CX19" s="779"/>
      <c r="CY19" s="734"/>
      <c r="DC19" s="567"/>
      <c r="DD19" s="438"/>
      <c r="DF19" s="781"/>
      <c r="DG19" s="735"/>
      <c r="DH19" s="735"/>
      <c r="DI19" s="738"/>
      <c r="DJ19" s="736"/>
      <c r="DK19" s="737"/>
      <c r="DL19" s="737"/>
      <c r="DM19" s="779"/>
      <c r="DO19" s="782"/>
      <c r="DP19" s="438"/>
      <c r="DQ19" s="438"/>
      <c r="DR19" s="438"/>
      <c r="DS19" s="567"/>
      <c r="DT19" s="567"/>
      <c r="DU19" s="567"/>
      <c r="DV19" s="778"/>
      <c r="DW19" s="778"/>
      <c r="DX19" s="778"/>
    </row>
    <row r="20" spans="2:128" x14ac:dyDescent="0.2">
      <c r="B20" s="762">
        <f>'TABLE RM11'!D20</f>
        <v>229.99693769999999</v>
      </c>
      <c r="C20" s="762">
        <f>'TABLE RM11'!E20</f>
        <v>10.000093010000001</v>
      </c>
      <c r="D20" s="762">
        <f>'TABLE RM11'!F20</f>
        <v>59.998738529999997</v>
      </c>
      <c r="E20" s="762" t="str">
        <f>'TABLE RM11'!G20</f>
        <v>0.5 Lag</v>
      </c>
      <c r="F20" s="762" t="str">
        <f>'TABLE RM11'!H20</f>
        <v>A</v>
      </c>
      <c r="G20" s="762">
        <f>'TABLE RM11'!I20</f>
        <v>99993.650649999996</v>
      </c>
      <c r="H20" s="765">
        <f>'TABLE RM11'!J20</f>
        <v>-6.3493489999999998E-3</v>
      </c>
      <c r="I20" s="765">
        <f>'TABLE RM11'!K20</f>
        <v>8.5107380000000003E-3</v>
      </c>
      <c r="J20" s="770">
        <f>'TABLE RM11'!L20</f>
        <v>2.052492923</v>
      </c>
      <c r="K20" s="767"/>
      <c r="L20" s="438">
        <f t="shared" si="0"/>
        <v>0.94694296904632869</v>
      </c>
      <c r="M20" s="438">
        <f t="shared" si="1"/>
        <v>0.41682953934194666</v>
      </c>
      <c r="N20" s="438"/>
      <c r="Q20" s="438">
        <f t="shared" si="15"/>
        <v>-0.74603976764412194</v>
      </c>
      <c r="R20" s="438">
        <f t="shared" si="16"/>
        <v>-0.74603976764412194</v>
      </c>
      <c r="S20" s="762">
        <v>229.9038329</v>
      </c>
      <c r="T20" s="762">
        <v>9.9929551350000008</v>
      </c>
      <c r="U20" s="762" t="s">
        <v>96</v>
      </c>
      <c r="V20" s="762" t="s">
        <v>92</v>
      </c>
      <c r="W20" s="762">
        <v>99990.10312</v>
      </c>
      <c r="X20" s="765">
        <v>-9.8968760000000006E-3</v>
      </c>
      <c r="Y20" s="765">
        <v>8.9875930000000003E-3</v>
      </c>
      <c r="Z20" s="770">
        <v>2.0762701059999999</v>
      </c>
      <c r="AB20" s="438"/>
      <c r="AC20" s="438"/>
      <c r="AD20" s="438"/>
      <c r="AE20" s="438"/>
      <c r="AF20" s="762"/>
      <c r="AG20" s="784"/>
      <c r="AH20" s="763"/>
      <c r="AI20" s="763"/>
      <c r="AJ20" s="763"/>
      <c r="AK20" s="765"/>
      <c r="AL20" s="765"/>
      <c r="AM20" s="763"/>
      <c r="AO20" s="438"/>
      <c r="AP20" s="438"/>
      <c r="AQ20" s="438"/>
      <c r="AS20" s="762"/>
      <c r="AT20" s="784"/>
      <c r="AU20" s="763"/>
      <c r="AV20" s="763"/>
      <c r="AW20" s="769"/>
      <c r="AX20" s="765"/>
      <c r="AY20" s="765"/>
      <c r="AZ20" s="770"/>
      <c r="BB20" s="771"/>
      <c r="BC20" s="771"/>
      <c r="BD20" s="771"/>
      <c r="BE20" s="771"/>
      <c r="BF20" s="772"/>
      <c r="BG20" s="772"/>
      <c r="BH20" s="773"/>
      <c r="BO20" s="783"/>
      <c r="BP20" s="567"/>
      <c r="BQ20" s="567"/>
      <c r="BR20" s="567"/>
      <c r="BS20" s="567"/>
      <c r="BT20" s="567"/>
      <c r="BU20" s="567"/>
      <c r="BV20" s="567"/>
      <c r="BW20" s="775"/>
      <c r="BY20" s="54"/>
      <c r="BZ20" s="776"/>
      <c r="CA20" s="738"/>
      <c r="CB20" s="777"/>
      <c r="CC20" s="777"/>
      <c r="CD20" s="736"/>
      <c r="CE20" s="778"/>
      <c r="CF20" s="778"/>
      <c r="CG20" s="779"/>
      <c r="CH20" s="734"/>
      <c r="CI20" s="738"/>
      <c r="CJ20" s="780"/>
      <c r="CN20" s="567"/>
      <c r="CO20" s="438"/>
      <c r="CP20" s="438"/>
      <c r="CQ20" s="781"/>
      <c r="CR20" s="776"/>
      <c r="CS20" s="734"/>
      <c r="CT20" s="777"/>
      <c r="CU20" s="736"/>
      <c r="CV20" s="778"/>
      <c r="CW20" s="778"/>
      <c r="CX20" s="779"/>
      <c r="CY20" s="734"/>
      <c r="DC20" s="567"/>
      <c r="DD20" s="438"/>
      <c r="DF20" s="781"/>
      <c r="DG20" s="735"/>
      <c r="DH20" s="735"/>
      <c r="DI20" s="738"/>
      <c r="DJ20" s="736"/>
      <c r="DK20" s="737"/>
      <c r="DL20" s="737"/>
      <c r="DM20" s="779"/>
      <c r="DO20" s="782"/>
      <c r="DP20" s="438"/>
      <c r="DQ20" s="438"/>
      <c r="DR20" s="438"/>
      <c r="DS20" s="567"/>
      <c r="DT20" s="567"/>
      <c r="DU20" s="567"/>
      <c r="DV20" s="778"/>
      <c r="DW20" s="778"/>
      <c r="DX20" s="778"/>
    </row>
    <row r="21" spans="2:128" x14ac:dyDescent="0.2">
      <c r="B21" s="762">
        <f>'TABLE RM11'!D21</f>
        <v>229.99682530000001</v>
      </c>
      <c r="C21" s="762">
        <f>'TABLE RM11'!E21</f>
        <v>10.00008601</v>
      </c>
      <c r="D21" s="762">
        <f>'TABLE RM11'!F21</f>
        <v>-36.867775600000002</v>
      </c>
      <c r="E21" s="762" t="str">
        <f>'TABLE RM11'!G21</f>
        <v>0.8 Lead</v>
      </c>
      <c r="F21" s="762" t="str">
        <f>'TABLE RM11'!H21</f>
        <v>A</v>
      </c>
      <c r="G21" s="762">
        <f>'TABLE RM11'!I21</f>
        <v>100005.50569999999</v>
      </c>
      <c r="H21" s="765">
        <f>'TABLE RM11'!J21</f>
        <v>5.5057459999999997E-3</v>
      </c>
      <c r="I21" s="765">
        <f>'TABLE RM11'!K21</f>
        <v>5.6643739999999998E-3</v>
      </c>
      <c r="J21" s="770">
        <f>'TABLE RM11'!L21</f>
        <v>2.056884154</v>
      </c>
      <c r="K21" s="767"/>
      <c r="L21" s="438">
        <f t="shared" si="0"/>
        <v>0.93393397502979758</v>
      </c>
      <c r="M21" s="438">
        <f t="shared" si="1"/>
        <v>0.73073511741985953</v>
      </c>
      <c r="N21" s="438"/>
      <c r="Q21" s="438">
        <f t="shared" si="15"/>
        <v>0.97199549323543954</v>
      </c>
      <c r="R21" s="438">
        <f t="shared" si="16"/>
        <v>0.97199549323543954</v>
      </c>
      <c r="S21" s="762">
        <v>229.89955689999999</v>
      </c>
      <c r="T21" s="762">
        <v>9.9927617770000001</v>
      </c>
      <c r="U21" s="762" t="s">
        <v>98</v>
      </c>
      <c r="V21" s="762" t="s">
        <v>92</v>
      </c>
      <c r="W21" s="762">
        <v>100001.36659999999</v>
      </c>
      <c r="X21" s="765">
        <v>1.3665890000000001E-3</v>
      </c>
      <c r="Y21" s="765">
        <v>6.0650690000000002E-3</v>
      </c>
      <c r="Z21" s="770">
        <v>2.0614362119999998</v>
      </c>
      <c r="AB21" s="438"/>
      <c r="AC21" s="438"/>
      <c r="AD21" s="438"/>
      <c r="AE21" s="438"/>
      <c r="AF21" s="762"/>
      <c r="AG21" s="784"/>
      <c r="AH21" s="763"/>
      <c r="AI21" s="763"/>
      <c r="AJ21" s="763"/>
      <c r="AK21" s="765"/>
      <c r="AL21" s="765"/>
      <c r="AM21" s="763"/>
      <c r="AO21" s="438"/>
      <c r="AP21" s="438"/>
      <c r="AQ21" s="438"/>
      <c r="AS21" s="762"/>
      <c r="AT21" s="784"/>
      <c r="AU21" s="763"/>
      <c r="AV21" s="763"/>
      <c r="AW21" s="769"/>
      <c r="AX21" s="765"/>
      <c r="AY21" s="765"/>
      <c r="AZ21" s="770"/>
      <c r="BB21" s="771"/>
      <c r="BC21" s="771"/>
      <c r="BD21" s="771"/>
      <c r="BE21" s="771"/>
      <c r="BF21" s="772"/>
      <c r="BG21" s="772"/>
      <c r="BH21" s="773"/>
      <c r="BO21" s="783"/>
      <c r="BP21" s="567"/>
      <c r="BQ21" s="567"/>
      <c r="BR21" s="567"/>
      <c r="BS21" s="567"/>
      <c r="BT21" s="567"/>
      <c r="BU21" s="567"/>
      <c r="BV21" s="567"/>
      <c r="BW21" s="775"/>
      <c r="BY21" s="54"/>
      <c r="BZ21" s="776"/>
      <c r="CA21" s="738"/>
      <c r="CB21" s="777"/>
      <c r="CC21" s="777"/>
      <c r="CD21" s="736"/>
      <c r="CE21" s="778"/>
      <c r="CF21" s="778"/>
      <c r="CG21" s="779"/>
      <c r="CH21" s="734"/>
      <c r="CI21" s="738"/>
      <c r="CJ21" s="780"/>
      <c r="CN21" s="567"/>
      <c r="CO21" s="438"/>
      <c r="CP21" s="438"/>
      <c r="CQ21" s="781"/>
      <c r="CR21" s="776"/>
      <c r="CS21" s="734"/>
      <c r="CT21" s="777"/>
      <c r="CU21" s="736"/>
      <c r="CV21" s="778"/>
      <c r="CW21" s="778"/>
      <c r="CX21" s="779"/>
      <c r="CY21" s="734"/>
      <c r="DC21" s="567"/>
      <c r="DD21" s="438"/>
      <c r="DF21" s="781"/>
      <c r="DG21" s="735"/>
      <c r="DH21" s="735"/>
      <c r="DI21" s="738"/>
      <c r="DJ21" s="736"/>
      <c r="DK21" s="737"/>
      <c r="DL21" s="737"/>
      <c r="DM21" s="779"/>
      <c r="DO21" s="782"/>
      <c r="DP21" s="438"/>
      <c r="DQ21" s="438"/>
      <c r="DR21" s="438"/>
      <c r="DS21" s="567"/>
      <c r="DT21" s="567"/>
      <c r="DU21" s="567"/>
      <c r="DV21" s="778"/>
      <c r="DW21" s="778"/>
      <c r="DX21" s="778"/>
    </row>
    <row r="22" spans="2:128" x14ac:dyDescent="0.2">
      <c r="H22" s="567"/>
      <c r="I22" s="567"/>
      <c r="L22" s="438"/>
      <c r="M22" s="438"/>
      <c r="N22" s="438"/>
      <c r="Q22" s="438"/>
      <c r="R22" s="438"/>
      <c r="AB22" s="438"/>
      <c r="AC22" s="438"/>
      <c r="AD22" s="438"/>
      <c r="AE22" s="438"/>
      <c r="AF22" s="762">
        <v>229.97752153874006</v>
      </c>
      <c r="AG22" s="767">
        <v>24.997729934163221</v>
      </c>
      <c r="AH22" s="763" t="s">
        <v>91</v>
      </c>
      <c r="AI22" s="763" t="s">
        <v>92</v>
      </c>
      <c r="AJ22" s="763">
        <v>100000.22076163278</v>
      </c>
      <c r="AK22" s="765">
        <v>2.2076163277429117E-4</v>
      </c>
      <c r="AL22" s="765">
        <v>5.4718588528173146E-3</v>
      </c>
      <c r="AM22" s="763">
        <v>2.0643432898553091</v>
      </c>
      <c r="AO22" s="438">
        <f t="shared" si="5"/>
        <v>0.239720573852404</v>
      </c>
      <c r="AP22" s="438">
        <f t="shared" si="6"/>
        <v>0.96084227337270434</v>
      </c>
      <c r="AQ22" s="438">
        <f t="shared" si="7"/>
        <v>0.25345073220597436</v>
      </c>
      <c r="AS22" s="762">
        <v>230.04380624025242</v>
      </c>
      <c r="AT22" s="767">
        <v>24.961607274118109</v>
      </c>
      <c r="AU22" s="763" t="s">
        <v>91</v>
      </c>
      <c r="AV22" s="763" t="s">
        <v>92</v>
      </c>
      <c r="AW22" s="769">
        <v>99998.909044488537</v>
      </c>
      <c r="AX22" s="765">
        <v>-1.0909555114624325E-3</v>
      </c>
      <c r="AY22" s="765">
        <v>5.6948564862891052E-3</v>
      </c>
      <c r="AZ22" s="770">
        <v>2.0654521409067335</v>
      </c>
      <c r="BB22" s="771">
        <v>230.01579520000001</v>
      </c>
      <c r="BC22" s="771">
        <v>24.992378680000002</v>
      </c>
      <c r="BD22" s="771" t="s">
        <v>91</v>
      </c>
      <c r="BE22" s="771">
        <v>99998.833920000005</v>
      </c>
      <c r="BF22" s="772">
        <v>-1.1660850000000001E-3</v>
      </c>
      <c r="BG22" s="772">
        <v>3.8349080000000002E-3</v>
      </c>
      <c r="BH22" s="773">
        <v>2.0547175270000002</v>
      </c>
      <c r="BV22" s="567">
        <v>1.8284098110260937E-3</v>
      </c>
      <c r="BW22" s="775">
        <v>0.47678061925503656</v>
      </c>
      <c r="BY22" s="54">
        <v>18</v>
      </c>
      <c r="BZ22" s="776">
        <v>109.99835501781077</v>
      </c>
      <c r="CA22" s="738">
        <v>5.0011421729167465</v>
      </c>
      <c r="CB22" s="777" t="s">
        <v>91</v>
      </c>
      <c r="CC22" s="777" t="s">
        <v>92</v>
      </c>
      <c r="CD22" s="736">
        <v>100000.14162303957</v>
      </c>
      <c r="CE22" s="778">
        <v>1.4162303956233302E-4</v>
      </c>
      <c r="CF22" s="778">
        <v>7.7770594443747933E-3</v>
      </c>
      <c r="CG22" s="779">
        <v>2.1874943829886622</v>
      </c>
      <c r="CH22" s="734" t="s">
        <v>535</v>
      </c>
      <c r="CI22" s="738">
        <v>3.8556664804720343E-2</v>
      </c>
      <c r="CJ22" s="780">
        <v>0</v>
      </c>
      <c r="CK22" s="6" t="s">
        <v>94</v>
      </c>
      <c r="CL22" s="6">
        <v>1</v>
      </c>
      <c r="CN22" s="567">
        <v>-2.6362319008405707E-3</v>
      </c>
      <c r="CO22" s="438">
        <v>-0.33897540833989348</v>
      </c>
      <c r="CP22" s="438">
        <v>0.85907784729153336</v>
      </c>
      <c r="CQ22" s="781">
        <v>110.02444032285969</v>
      </c>
      <c r="CR22" s="776">
        <v>5.0008869667237521</v>
      </c>
      <c r="CS22" s="734" t="s">
        <v>95</v>
      </c>
      <c r="CT22" s="777" t="s">
        <v>92</v>
      </c>
      <c r="CU22" s="736">
        <v>100002.7778549404</v>
      </c>
      <c r="CV22" s="778">
        <v>2.7778549404029037E-3</v>
      </c>
      <c r="CW22" s="778">
        <v>9.0527994277747915E-3</v>
      </c>
      <c r="CX22" s="779">
        <v>2.2186139987267741</v>
      </c>
      <c r="CY22" s="734" t="s">
        <v>535</v>
      </c>
      <c r="DB22" s="6">
        <v>-2E-3</v>
      </c>
      <c r="DC22" s="567">
        <v>2.1416230395623331E-3</v>
      </c>
      <c r="DD22" s="438">
        <v>0.27537696669033246</v>
      </c>
      <c r="DF22" s="781">
        <v>110</v>
      </c>
      <c r="DG22" s="734">
        <v>5</v>
      </c>
      <c r="DH22" s="735" t="s">
        <v>95</v>
      </c>
      <c r="DI22" s="738" t="s">
        <v>92</v>
      </c>
      <c r="DJ22" s="736">
        <v>99998.212744165619</v>
      </c>
      <c r="DK22" s="737">
        <v>-1.7872558343806303E-3</v>
      </c>
      <c r="DL22" s="737">
        <v>8.5986335616309879E-3</v>
      </c>
      <c r="DM22" s="779">
        <v>2.540168540721286</v>
      </c>
      <c r="DO22" s="782">
        <f t="shared" si="8"/>
        <v>24.997729934163221</v>
      </c>
      <c r="DP22" s="438" t="str">
        <f t="shared" si="8"/>
        <v xml:space="preserve">1  </v>
      </c>
      <c r="DQ22" s="438"/>
      <c r="DR22" s="438"/>
      <c r="DS22" s="567">
        <f t="shared" si="9"/>
        <v>2.2076163277429117E-4</v>
      </c>
      <c r="DT22" s="567">
        <f t="shared" si="10"/>
        <v>-1.0909555114624325E-3</v>
      </c>
      <c r="DU22" s="567">
        <f t="shared" si="11"/>
        <v>-1.1660850000000001E-3</v>
      </c>
      <c r="DV22" s="778">
        <f>CE31</f>
        <v>-2.9944948110260938E-3</v>
      </c>
      <c r="DW22" s="778">
        <f>CV31</f>
        <v>3.3334444481297396E-3</v>
      </c>
      <c r="DX22" s="778">
        <f>DK31</f>
        <v>-1.5440500476252056E-3</v>
      </c>
    </row>
    <row r="23" spans="2:128" x14ac:dyDescent="0.2">
      <c r="H23" s="567"/>
      <c r="I23" s="567"/>
      <c r="L23" s="438"/>
      <c r="M23" s="438"/>
      <c r="N23" s="438"/>
      <c r="Q23" s="438"/>
      <c r="R23" s="438"/>
      <c r="AB23" s="438"/>
      <c r="AC23" s="438"/>
      <c r="AD23" s="438"/>
      <c r="AE23" s="438"/>
      <c r="AF23" s="762">
        <v>229.99612301749076</v>
      </c>
      <c r="AG23" s="767">
        <v>24.996720984708027</v>
      </c>
      <c r="AH23" s="763" t="s">
        <v>96</v>
      </c>
      <c r="AI23" s="763" t="s">
        <v>92</v>
      </c>
      <c r="AJ23" s="763">
        <v>99998.936123480802</v>
      </c>
      <c r="AK23" s="765">
        <v>-1.063876519202811E-3</v>
      </c>
      <c r="AL23" s="765">
        <v>9.3827972980822412E-3</v>
      </c>
      <c r="AM23" s="763">
        <v>2.0586023844996593</v>
      </c>
      <c r="AO23" s="438">
        <f t="shared" si="5"/>
        <v>-0.22236732203290072</v>
      </c>
      <c r="AP23" s="438">
        <f t="shared" si="6"/>
        <v>1.0326715301889393</v>
      </c>
      <c r="AQ23" s="438">
        <f t="shared" si="7"/>
        <v>0.36801887231465186</v>
      </c>
      <c r="AS23" s="762">
        <v>230.04512365249306</v>
      </c>
      <c r="AT23" s="767">
        <v>24.960540373140535</v>
      </c>
      <c r="AU23" s="763" t="s">
        <v>96</v>
      </c>
      <c r="AV23" s="763" t="s">
        <v>92</v>
      </c>
      <c r="AW23" s="769">
        <v>100001.02255098915</v>
      </c>
      <c r="AX23" s="765">
        <v>1.0225509891492734E-3</v>
      </c>
      <c r="AY23" s="765">
        <v>9.0859455536317045E-3</v>
      </c>
      <c r="AZ23" s="770">
        <v>2.0657180416432768</v>
      </c>
      <c r="BB23" s="771">
        <v>230.01987030000001</v>
      </c>
      <c r="BC23" s="771">
        <v>24.97463909</v>
      </c>
      <c r="BD23" s="771" t="s">
        <v>96</v>
      </c>
      <c r="BE23" s="771">
        <v>99995.483080000005</v>
      </c>
      <c r="BF23" s="772">
        <v>-4.5169229999999999E-3</v>
      </c>
      <c r="BG23" s="772">
        <v>7.9533999999999994E-3</v>
      </c>
      <c r="BH23" s="773">
        <v>2.0916192439999999</v>
      </c>
      <c r="BV23" s="567">
        <v>5.8421890023225339E-4</v>
      </c>
      <c r="BW23" s="775">
        <v>7.345523929794219E-2</v>
      </c>
      <c r="BY23" s="54">
        <v>19</v>
      </c>
      <c r="BZ23" s="776">
        <v>109.99863255851309</v>
      </c>
      <c r="CA23" s="738">
        <v>5.0014594304041795</v>
      </c>
      <c r="CB23" s="777" t="s">
        <v>96</v>
      </c>
      <c r="CC23" s="777" t="s">
        <v>92</v>
      </c>
      <c r="CD23" s="736">
        <v>99996.4456053459</v>
      </c>
      <c r="CE23" s="778">
        <v>-3.5543946541038984E-3</v>
      </c>
      <c r="CF23" s="778">
        <v>9.545085965903824E-3</v>
      </c>
      <c r="CG23" s="779">
        <v>2.0886562409917016</v>
      </c>
      <c r="CH23" s="734" t="s">
        <v>535</v>
      </c>
      <c r="CI23" s="738">
        <v>-59.963180859404893</v>
      </c>
      <c r="CJ23" s="780">
        <v>0</v>
      </c>
      <c r="CK23" s="6" t="s">
        <v>97</v>
      </c>
      <c r="CL23" s="6">
        <v>1</v>
      </c>
      <c r="CN23" s="567">
        <v>-5.7766662601389639E-3</v>
      </c>
      <c r="CO23" s="438">
        <v>-0.60519792915159687</v>
      </c>
      <c r="CP23" s="438">
        <v>0.84925977988892876</v>
      </c>
      <c r="CQ23" s="781">
        <v>110.02212957844661</v>
      </c>
      <c r="CR23" s="776">
        <v>5.0005323256441088</v>
      </c>
      <c r="CS23" s="734" t="s">
        <v>560</v>
      </c>
      <c r="CT23" s="777" t="s">
        <v>92</v>
      </c>
      <c r="CU23" s="736">
        <v>100002.22227160604</v>
      </c>
      <c r="CV23" s="778">
        <v>2.2222716060350651E-3</v>
      </c>
      <c r="CW23" s="778">
        <v>1.1239300614415281E-2</v>
      </c>
      <c r="CX23" s="779">
        <v>2.0772143594140311</v>
      </c>
      <c r="CY23" s="734" t="s">
        <v>535</v>
      </c>
      <c r="DB23" s="6">
        <v>-8.9999999999999993E-3</v>
      </c>
      <c r="DC23" s="567">
        <v>5.4456053458961009E-3</v>
      </c>
      <c r="DD23" s="438">
        <v>0.57051401793011058</v>
      </c>
      <c r="DF23" s="781">
        <v>110</v>
      </c>
      <c r="DG23" s="734">
        <v>5</v>
      </c>
      <c r="DH23" s="735" t="s">
        <v>560</v>
      </c>
      <c r="DI23" s="738" t="s">
        <v>92</v>
      </c>
      <c r="DJ23" s="736">
        <v>99990.715630408566</v>
      </c>
      <c r="DK23" s="737">
        <v>-9.2843695914343691E-3</v>
      </c>
      <c r="DL23" s="737">
        <v>9.809274695407235E-3</v>
      </c>
      <c r="DM23" s="779">
        <v>2.1753275468564111</v>
      </c>
      <c r="DO23" s="782">
        <f t="shared" si="8"/>
        <v>24.996720984708027</v>
      </c>
      <c r="DP23" s="438" t="str">
        <f t="shared" si="8"/>
        <v>0.5 Lag</v>
      </c>
      <c r="DQ23" s="438"/>
      <c r="DR23" s="438"/>
      <c r="DS23" s="567">
        <f t="shared" si="9"/>
        <v>-1.063876519202811E-3</v>
      </c>
      <c r="DT23" s="567">
        <f t="shared" si="10"/>
        <v>1.0225509891492734E-3</v>
      </c>
      <c r="DU23" s="567">
        <f t="shared" si="11"/>
        <v>-4.5169229999999999E-3</v>
      </c>
      <c r="DV23" s="778">
        <f>CE32</f>
        <v>-5.1011419002322533E-3</v>
      </c>
      <c r="DW23" s="778">
        <f>CV32</f>
        <v>1.1111234569252701E-3</v>
      </c>
      <c r="DX23" s="778">
        <f>DK32</f>
        <v>-1.3653278958518058E-2</v>
      </c>
    </row>
    <row r="24" spans="2:128" x14ac:dyDescent="0.2">
      <c r="H24" s="567"/>
      <c r="I24" s="567"/>
      <c r="L24" s="438"/>
      <c r="M24" s="438"/>
      <c r="N24" s="438"/>
      <c r="Q24" s="438"/>
      <c r="R24" s="438"/>
      <c r="AB24" s="438"/>
      <c r="AC24" s="438"/>
      <c r="AD24" s="438"/>
      <c r="AE24" s="438"/>
      <c r="AF24" s="762">
        <v>229.97989832254092</v>
      </c>
      <c r="AG24" s="767">
        <v>24.997725995650391</v>
      </c>
      <c r="AH24" s="763" t="s">
        <v>98</v>
      </c>
      <c r="AI24" s="763" t="s">
        <v>92</v>
      </c>
      <c r="AJ24" s="763">
        <v>99998.441749284408</v>
      </c>
      <c r="AK24" s="765">
        <v>-1.5582507155942338E-3</v>
      </c>
      <c r="AL24" s="765">
        <v>6.988555933834786E-3</v>
      </c>
      <c r="AM24" s="763">
        <v>2.0488125158776977</v>
      </c>
      <c r="AO24" s="438">
        <f t="shared" si="5"/>
        <v>-3.7111785380352591E-2</v>
      </c>
      <c r="AP24" s="438">
        <f t="shared" si="6"/>
        <v>1.1374150966060643</v>
      </c>
      <c r="AQ24" s="438">
        <f t="shared" si="7"/>
        <v>-0.19685307359904672</v>
      </c>
      <c r="AS24" s="762">
        <v>230.04455493373621</v>
      </c>
      <c r="AT24" s="767">
        <v>24.961581583698425</v>
      </c>
      <c r="AU24" s="763" t="s">
        <v>98</v>
      </c>
      <c r="AV24" s="763" t="s">
        <v>92</v>
      </c>
      <c r="AW24" s="769">
        <v>99998.701107072338</v>
      </c>
      <c r="AX24" s="765">
        <v>-1.2988929276591676E-3</v>
      </c>
      <c r="AY24" s="765">
        <v>6.1442440448416374E-3</v>
      </c>
      <c r="AZ24" s="770">
        <v>2.0449738183914929</v>
      </c>
      <c r="BB24" s="771">
        <v>230.01928520000001</v>
      </c>
      <c r="BC24" s="771">
        <v>24.976320380000001</v>
      </c>
      <c r="BD24" s="771" t="s">
        <v>98</v>
      </c>
      <c r="BE24" s="771">
        <v>99999.817469999995</v>
      </c>
      <c r="BF24" s="772">
        <v>-1.8253200000000001E-4</v>
      </c>
      <c r="BG24" s="772">
        <v>4.5813410000000001E-3</v>
      </c>
      <c r="BH24" s="773">
        <v>2.033365071</v>
      </c>
      <c r="BV24" s="567">
        <v>-1.8202844856281411E-3</v>
      </c>
      <c r="BW24" s="775">
        <v>-0.3973256925490028</v>
      </c>
      <c r="BY24" s="54">
        <v>20</v>
      </c>
      <c r="BZ24" s="776">
        <v>109.99827884446083</v>
      </c>
      <c r="CA24" s="738">
        <v>5.0013336138695577</v>
      </c>
      <c r="CB24" s="777" t="s">
        <v>98</v>
      </c>
      <c r="CC24" s="777" t="s">
        <v>92</v>
      </c>
      <c r="CD24" s="736">
        <v>100003.53168933655</v>
      </c>
      <c r="CE24" s="778">
        <v>3.5316893365555657E-3</v>
      </c>
      <c r="CF24" s="778">
        <v>8.046430745859371E-3</v>
      </c>
      <c r="CG24" s="779">
        <v>2.1443079445319784</v>
      </c>
      <c r="CH24" s="734" t="s">
        <v>535</v>
      </c>
      <c r="CI24" s="738">
        <v>36.940960493564617</v>
      </c>
      <c r="CJ24" s="780">
        <v>0</v>
      </c>
      <c r="CK24" s="6" t="s">
        <v>99</v>
      </c>
      <c r="CL24" s="6">
        <v>1</v>
      </c>
      <c r="CN24" s="567">
        <v>1.9824488839672227E-4</v>
      </c>
      <c r="CO24" s="438">
        <v>2.4637618176076084E-2</v>
      </c>
      <c r="CP24" s="438">
        <v>0.84830116884741824</v>
      </c>
      <c r="CQ24" s="781">
        <v>110.01969070455922</v>
      </c>
      <c r="CR24" s="776">
        <v>5.0007669147811917</v>
      </c>
      <c r="CS24" s="734" t="s">
        <v>100</v>
      </c>
      <c r="CT24" s="777" t="s">
        <v>92</v>
      </c>
      <c r="CU24" s="736">
        <v>100003.33344444816</v>
      </c>
      <c r="CV24" s="778">
        <v>3.3334444481588434E-3</v>
      </c>
      <c r="CW24" s="778">
        <v>9.4853467628625444E-3</v>
      </c>
      <c r="CX24" s="779">
        <v>2.148436421074801</v>
      </c>
      <c r="CY24" s="734" t="s">
        <v>535</v>
      </c>
      <c r="DB24" s="6">
        <v>1E-3</v>
      </c>
      <c r="DC24" s="567">
        <v>2.5316893365555657E-3</v>
      </c>
      <c r="DD24" s="438">
        <v>0.31463507442207872</v>
      </c>
      <c r="DF24" s="781">
        <v>110</v>
      </c>
      <c r="DG24" s="734">
        <v>5</v>
      </c>
      <c r="DH24" s="735" t="s">
        <v>100</v>
      </c>
      <c r="DI24" s="738" t="s">
        <v>92</v>
      </c>
      <c r="DJ24" s="736">
        <v>100001.36010405413</v>
      </c>
      <c r="DK24" s="737">
        <v>1.3601040541252587E-3</v>
      </c>
      <c r="DL24" s="737">
        <v>8.5966060542330951E-3</v>
      </c>
      <c r="DM24" s="779">
        <v>2.4351064865911169</v>
      </c>
      <c r="DO24" s="782">
        <f t="shared" si="8"/>
        <v>24.997725995650391</v>
      </c>
      <c r="DP24" s="438" t="str">
        <f t="shared" si="8"/>
        <v>0.8 Lead</v>
      </c>
      <c r="DQ24" s="438"/>
      <c r="DR24" s="438"/>
      <c r="DS24" s="567">
        <f t="shared" si="9"/>
        <v>-1.5582507155942338E-3</v>
      </c>
      <c r="DT24" s="567">
        <f t="shared" si="10"/>
        <v>-1.2988929276591676E-3</v>
      </c>
      <c r="DU24" s="567">
        <f t="shared" si="11"/>
        <v>-1.8253200000000001E-4</v>
      </c>
      <c r="DV24" s="778">
        <f>CE33</f>
        <v>1.6377524856281411E-3</v>
      </c>
      <c r="DW24" s="778">
        <f>CV33</f>
        <v>5.5555864199413922E-4</v>
      </c>
      <c r="DX24" s="778">
        <f>DK33</f>
        <v>-1.3425815309165047E-4</v>
      </c>
    </row>
    <row r="25" spans="2:128" x14ac:dyDescent="0.2">
      <c r="B25" s="762">
        <f>'TABLE RM11'!D22</f>
        <v>229.99670929999999</v>
      </c>
      <c r="C25" s="762">
        <f>'TABLE RM11'!E22</f>
        <v>50.000778320000002</v>
      </c>
      <c r="D25" s="762">
        <f>'TABLE RM11'!F22</f>
        <v>7.5479699999999998E-4</v>
      </c>
      <c r="E25" s="762" t="str">
        <f>'TABLE RM11'!G22</f>
        <v xml:space="preserve">1  </v>
      </c>
      <c r="F25" s="762" t="str">
        <f>'TABLE RM11'!H22</f>
        <v>A</v>
      </c>
      <c r="G25" s="762">
        <f>'TABLE RM11'!I22</f>
        <v>100003.92879999999</v>
      </c>
      <c r="H25" s="765">
        <f>'TABLE RM11'!J22</f>
        <v>3.9287849999999997E-3</v>
      </c>
      <c r="I25" s="765">
        <f>'TABLE RM11'!K22</f>
        <v>4.7629769999999998E-3</v>
      </c>
      <c r="J25" s="770">
        <f>'TABLE RM11'!L22</f>
        <v>2.0770576049999998</v>
      </c>
      <c r="K25" s="767"/>
      <c r="L25" s="438">
        <f t="shared" ref="L25:L30" si="17">I25/Y25</f>
        <v>0.91637900217908019</v>
      </c>
      <c r="M25" s="438">
        <f t="shared" ref="M25:M30" si="18">(H25-X25)/I25</f>
        <v>1.6058385333374483</v>
      </c>
      <c r="N25" s="438">
        <f t="shared" si="4"/>
        <v>1.3709677261537592</v>
      </c>
      <c r="Q25" s="438">
        <f t="shared" ref="Q25:Q30" si="19">(H25-AK25)/I25</f>
        <v>1.3709677261537592</v>
      </c>
      <c r="R25" s="438">
        <f t="shared" ref="R25:R30" si="20">(H25-AS25)/I25</f>
        <v>-48296.256338993706</v>
      </c>
      <c r="S25" s="762">
        <v>229.90593530000001</v>
      </c>
      <c r="T25" s="762">
        <v>50.051120830000002</v>
      </c>
      <c r="U25" s="762" t="s">
        <v>91</v>
      </c>
      <c r="V25" s="762" t="s">
        <v>92</v>
      </c>
      <c r="W25" s="762">
        <v>99996.280209999997</v>
      </c>
      <c r="X25" s="765">
        <v>-3.719787E-3</v>
      </c>
      <c r="Y25" s="765">
        <v>5.1976059999999996E-3</v>
      </c>
      <c r="Z25" s="770">
        <v>2.0854906830000002</v>
      </c>
      <c r="AB25" s="438">
        <f t="shared" ref="AB25:AB30" si="21">(X25-AK25)/Y25</f>
        <v>-0.21523067592798426</v>
      </c>
      <c r="AC25" s="438">
        <f t="shared" ref="AC25:AC30" si="22">Y25/AL25</f>
        <v>0.62279122299482126</v>
      </c>
      <c r="AD25" s="438">
        <f t="shared" ref="AD25:AD30" si="23">(X25-AX25)/Y25</f>
        <v>-0.50672236199073928</v>
      </c>
      <c r="AE25" s="438">
        <f t="shared" ref="AE25:AE30" si="24">(X25-BF25)/Y25</f>
        <v>0.54258999239265171</v>
      </c>
      <c r="AF25" s="762">
        <v>229.98169345285541</v>
      </c>
      <c r="AG25" s="767">
        <v>50.000958855390536</v>
      </c>
      <c r="AH25" s="763" t="s">
        <v>91</v>
      </c>
      <c r="AI25" s="763" t="s">
        <v>92</v>
      </c>
      <c r="AJ25" s="763">
        <v>99997.398897252584</v>
      </c>
      <c r="AK25" s="765">
        <v>-2.6011027474126536E-3</v>
      </c>
      <c r="AL25" s="765">
        <v>8.3456635355364014E-3</v>
      </c>
      <c r="AM25" s="763">
        <v>2.2076965880245312</v>
      </c>
      <c r="AO25" s="438">
        <f t="shared" si="5"/>
        <v>-0.18153846365584569</v>
      </c>
      <c r="AP25" s="438">
        <f t="shared" si="6"/>
        <v>1.0115151204099893</v>
      </c>
      <c r="AQ25" s="438">
        <f t="shared" si="7"/>
        <v>0.47196406083416165</v>
      </c>
      <c r="AS25" s="762">
        <v>230.0378869137312</v>
      </c>
      <c r="AT25" s="767">
        <v>50.004228768295818</v>
      </c>
      <c r="AU25" s="763" t="s">
        <v>91</v>
      </c>
      <c r="AV25" s="763" t="s">
        <v>92</v>
      </c>
      <c r="AW25" s="769">
        <v>99998.913956189019</v>
      </c>
      <c r="AX25" s="765">
        <v>-1.0860438109827619E-3</v>
      </c>
      <c r="AY25" s="765">
        <v>8.2506562355229261E-3</v>
      </c>
      <c r="AZ25" s="770">
        <v>2.1275517658309333</v>
      </c>
      <c r="BB25" s="771">
        <v>230.02627709999999</v>
      </c>
      <c r="BC25" s="771">
        <v>50.048844459999998</v>
      </c>
      <c r="BD25" s="771" t="s">
        <v>91</v>
      </c>
      <c r="BE25" s="771">
        <v>99993.460040000005</v>
      </c>
      <c r="BF25" s="772">
        <v>-6.5399560000000004E-3</v>
      </c>
      <c r="BG25" s="772">
        <v>4.828812E-3</v>
      </c>
      <c r="BH25" s="773">
        <v>2.071433291</v>
      </c>
      <c r="BV25" s="567">
        <v>1.579547510126135E-2</v>
      </c>
      <c r="BW25" s="775">
        <v>3.2710892661096249</v>
      </c>
      <c r="BY25" s="54">
        <v>21</v>
      </c>
      <c r="BZ25" s="776">
        <v>240.02249989394676</v>
      </c>
      <c r="CA25" s="738">
        <v>5.00125419476782</v>
      </c>
      <c r="CB25" s="777" t="s">
        <v>91</v>
      </c>
      <c r="CC25" s="777" t="s">
        <v>92</v>
      </c>
      <c r="CD25" s="736">
        <v>99998.306766703099</v>
      </c>
      <c r="CE25" s="778">
        <v>-1.6932332968955244E-3</v>
      </c>
      <c r="CF25" s="778">
        <v>7.7665606200917527E-3</v>
      </c>
      <c r="CG25" s="779">
        <v>2.1898412515204968</v>
      </c>
      <c r="CH25" s="734" t="s">
        <v>535</v>
      </c>
      <c r="CI25" s="738">
        <v>3.3929937680308254E-2</v>
      </c>
      <c r="CJ25" s="780">
        <v>0</v>
      </c>
      <c r="CK25" s="6" t="s">
        <v>94</v>
      </c>
      <c r="CL25" s="6">
        <v>1</v>
      </c>
      <c r="CN25" s="567">
        <v>-4.4710882372984281E-3</v>
      </c>
      <c r="CO25" s="438">
        <v>-0.57568445751030617</v>
      </c>
      <c r="CP25" s="438">
        <v>0.85778849702046478</v>
      </c>
      <c r="CQ25" s="781">
        <v>240.06973343977847</v>
      </c>
      <c r="CR25" s="776">
        <v>5.0008157252430969</v>
      </c>
      <c r="CS25" s="734" t="s">
        <v>95</v>
      </c>
      <c r="CT25" s="777" t="s">
        <v>92</v>
      </c>
      <c r="CU25" s="736">
        <v>100002.7778549404</v>
      </c>
      <c r="CV25" s="778">
        <v>2.7778549404029037E-3</v>
      </c>
      <c r="CW25" s="778">
        <v>9.0541673700089975E-3</v>
      </c>
      <c r="CX25" s="779">
        <v>2.2181012477554813</v>
      </c>
      <c r="CY25" s="734" t="s">
        <v>535</v>
      </c>
      <c r="DB25" s="6">
        <v>-3.0000000000000001E-3</v>
      </c>
      <c r="DC25" s="567">
        <v>1.3067667031044757E-3</v>
      </c>
      <c r="DD25" s="438">
        <v>0.16825552094757715</v>
      </c>
      <c r="DF25" s="781">
        <v>240.1</v>
      </c>
      <c r="DG25" s="734">
        <v>5</v>
      </c>
      <c r="DH25" s="735" t="s">
        <v>95</v>
      </c>
      <c r="DI25" s="738" t="s">
        <v>92</v>
      </c>
      <c r="DJ25" s="736">
        <v>99996.587344799467</v>
      </c>
      <c r="DK25" s="737">
        <v>-3.4126552005327541E-3</v>
      </c>
      <c r="DL25" s="737">
        <v>8.6218567580006716E-3</v>
      </c>
      <c r="DM25" s="779">
        <v>2.5869750409168617</v>
      </c>
      <c r="DO25" s="782">
        <f t="shared" si="8"/>
        <v>50.000958855390536</v>
      </c>
      <c r="DP25" s="438" t="str">
        <f t="shared" si="8"/>
        <v xml:space="preserve">1  </v>
      </c>
      <c r="DQ25" s="567"/>
      <c r="DR25" s="567">
        <f>X25</f>
        <v>-3.719787E-3</v>
      </c>
      <c r="DS25" s="567">
        <f t="shared" si="9"/>
        <v>-2.6011027474126536E-3</v>
      </c>
      <c r="DT25" s="567">
        <f t="shared" si="10"/>
        <v>-1.0860438109827619E-3</v>
      </c>
      <c r="DU25" s="567">
        <f t="shared" si="11"/>
        <v>-6.5399560000000004E-3</v>
      </c>
      <c r="DV25" s="778">
        <f>CE37</f>
        <v>-2.2335431101261349E-2</v>
      </c>
      <c r="DW25" s="778">
        <f>CV37</f>
        <v>-1.2220728577609407E-2</v>
      </c>
      <c r="DX25" s="778">
        <f>DK37</f>
        <v>-1.108678180752031E-2</v>
      </c>
    </row>
    <row r="26" spans="2:128" x14ac:dyDescent="0.2">
      <c r="B26" s="762">
        <f>'TABLE RM11'!D23</f>
        <v>229.996769</v>
      </c>
      <c r="C26" s="762">
        <f>'TABLE RM11'!E23</f>
        <v>49.999209139999998</v>
      </c>
      <c r="D26" s="762">
        <f>'TABLE RM11'!F23</f>
        <v>59.99813091</v>
      </c>
      <c r="E26" s="762" t="str">
        <f>'TABLE RM11'!G23</f>
        <v>0.5 Lag</v>
      </c>
      <c r="F26" s="762" t="str">
        <f>'TABLE RM11'!H23</f>
        <v>A</v>
      </c>
      <c r="G26" s="762">
        <f>'TABLE RM11'!I23</f>
        <v>99997.875589999996</v>
      </c>
      <c r="H26" s="765">
        <f>'TABLE RM11'!J23</f>
        <v>-2.1244100000000002E-3</v>
      </c>
      <c r="I26" s="765">
        <f>'TABLE RM11'!K23</f>
        <v>8.6206219999999997E-3</v>
      </c>
      <c r="J26" s="770">
        <f>'TABLE RM11'!L23</f>
        <v>2.0475489410000001</v>
      </c>
      <c r="K26" s="767"/>
      <c r="L26" s="438">
        <f t="shared" si="17"/>
        <v>0.93790106793330019</v>
      </c>
      <c r="M26" s="438">
        <f t="shared" si="18"/>
        <v>0.56243308197482733</v>
      </c>
      <c r="N26" s="438">
        <f t="shared" si="4"/>
        <v>0.16252422959804927</v>
      </c>
      <c r="Q26" s="438">
        <f t="shared" si="19"/>
        <v>0.16252422959804927</v>
      </c>
      <c r="R26" s="438">
        <f t="shared" si="20"/>
        <v>-26684.805910433446</v>
      </c>
      <c r="S26" s="762">
        <v>229.89778089999999</v>
      </c>
      <c r="T26" s="762">
        <v>50.049235609999997</v>
      </c>
      <c r="U26" s="762" t="s">
        <v>96</v>
      </c>
      <c r="V26" s="762" t="s">
        <v>92</v>
      </c>
      <c r="W26" s="762">
        <v>99993.027069999996</v>
      </c>
      <c r="X26" s="765">
        <v>-6.9729329999999997E-3</v>
      </c>
      <c r="Y26" s="765">
        <v>9.1913979999999999E-3</v>
      </c>
      <c r="Z26" s="770">
        <v>2.066983268</v>
      </c>
      <c r="AB26" s="438">
        <f t="shared" si="21"/>
        <v>-0.37507493972016059</v>
      </c>
      <c r="AC26" s="438">
        <f t="shared" si="22"/>
        <v>0.67301455791278852</v>
      </c>
      <c r="AD26" s="438">
        <f t="shared" si="23"/>
        <v>-0.98559907036450078</v>
      </c>
      <c r="AE26" s="438">
        <f t="shared" si="24"/>
        <v>-0.54367224659404367</v>
      </c>
      <c r="AF26" s="762">
        <v>229.97950398379902</v>
      </c>
      <c r="AG26" s="767">
        <v>49.999882625117372</v>
      </c>
      <c r="AH26" s="763" t="s">
        <v>96</v>
      </c>
      <c r="AI26" s="763" t="s">
        <v>92</v>
      </c>
      <c r="AJ26" s="763">
        <v>99996.474530050793</v>
      </c>
      <c r="AK26" s="765">
        <v>-3.5254699492059949E-3</v>
      </c>
      <c r="AL26" s="765">
        <v>1.3657056733668831E-2</v>
      </c>
      <c r="AM26" s="763">
        <v>2.1667811943484199</v>
      </c>
      <c r="AO26" s="438">
        <f t="shared" si="5"/>
        <v>-0.41089162788069006</v>
      </c>
      <c r="AP26" s="438">
        <f t="shared" si="6"/>
        <v>1.013165645234972</v>
      </c>
      <c r="AQ26" s="438">
        <f t="shared" si="7"/>
        <v>-0.11346844195101313</v>
      </c>
      <c r="AS26" s="762">
        <v>230.03750048721258</v>
      </c>
      <c r="AT26" s="767">
        <v>50.003503193490261</v>
      </c>
      <c r="AU26" s="763" t="s">
        <v>96</v>
      </c>
      <c r="AV26" s="763" t="s">
        <v>92</v>
      </c>
      <c r="AW26" s="769">
        <v>100002.08610032414</v>
      </c>
      <c r="AX26" s="765">
        <v>2.0861003241501308E-3</v>
      </c>
      <c r="AY26" s="765">
        <v>1.3479589243772183E-2</v>
      </c>
      <c r="AZ26" s="770">
        <v>2.1426460725674983</v>
      </c>
      <c r="BB26" s="771">
        <v>230.02371669999999</v>
      </c>
      <c r="BC26" s="771">
        <v>50.039623769999999</v>
      </c>
      <c r="BD26" s="771" t="s">
        <v>96</v>
      </c>
      <c r="BE26" s="771">
        <v>99998.024170000004</v>
      </c>
      <c r="BF26" s="772">
        <v>-1.9758250000000001E-3</v>
      </c>
      <c r="BG26" s="772">
        <v>7.9124710000000008E-3</v>
      </c>
      <c r="BH26" s="773">
        <v>2.076866957</v>
      </c>
      <c r="BV26" s="567">
        <v>8.0785213637192682E-3</v>
      </c>
      <c r="BW26" s="775">
        <v>1.020985904873366</v>
      </c>
      <c r="BY26" s="54">
        <v>22</v>
      </c>
      <c r="BZ26" s="776">
        <v>240.02343192290442</v>
      </c>
      <c r="CA26" s="738">
        <v>5.0015145733015896</v>
      </c>
      <c r="CB26" s="777" t="s">
        <v>96</v>
      </c>
      <c r="CC26" s="777" t="s">
        <v>92</v>
      </c>
      <c r="CD26" s="736">
        <v>99997.46413681675</v>
      </c>
      <c r="CE26" s="778">
        <v>-2.5358631832506084E-3</v>
      </c>
      <c r="CF26" s="778">
        <v>9.5394373410744651E-3</v>
      </c>
      <c r="CG26" s="779">
        <v>2.089132834769091</v>
      </c>
      <c r="CH26" s="734" t="s">
        <v>535</v>
      </c>
      <c r="CI26" s="738">
        <v>-59.967369423688147</v>
      </c>
      <c r="CJ26" s="780">
        <v>0</v>
      </c>
      <c r="CK26" s="6" t="s">
        <v>97</v>
      </c>
      <c r="CL26" s="6">
        <v>1</v>
      </c>
      <c r="CN26" s="567">
        <v>-6.9805051673330178E-3</v>
      </c>
      <c r="CO26" s="438">
        <v>-0.73175229499927463</v>
      </c>
      <c r="CP26" s="438">
        <v>0.88256538501559489</v>
      </c>
      <c r="CQ26" s="781">
        <v>240.06657899615706</v>
      </c>
      <c r="CR26" s="776">
        <v>5.0004878903824919</v>
      </c>
      <c r="CS26" s="734" t="s">
        <v>560</v>
      </c>
      <c r="CT26" s="777" t="s">
        <v>92</v>
      </c>
      <c r="CU26" s="736">
        <v>100004.44464198408</v>
      </c>
      <c r="CV26" s="778">
        <v>4.4446419840824094E-3</v>
      </c>
      <c r="CW26" s="778">
        <v>1.0808759898175594E-2</v>
      </c>
      <c r="CX26" s="779">
        <v>2.0872744173383584</v>
      </c>
      <c r="CY26" s="734" t="s">
        <v>535</v>
      </c>
      <c r="DB26" s="6">
        <v>-1.2E-2</v>
      </c>
      <c r="DC26" s="567">
        <v>9.4641368167493918E-3</v>
      </c>
      <c r="DD26" s="438">
        <v>0.99210639772213316</v>
      </c>
      <c r="DF26" s="781">
        <v>240</v>
      </c>
      <c r="DG26" s="734">
        <v>5</v>
      </c>
      <c r="DH26" s="735" t="s">
        <v>560</v>
      </c>
      <c r="DI26" s="738" t="s">
        <v>92</v>
      </c>
      <c r="DJ26" s="736">
        <v>99988.166469379081</v>
      </c>
      <c r="DK26" s="737">
        <v>-1.1833530620919191E-2</v>
      </c>
      <c r="DL26" s="737">
        <v>9.6765338285309706E-3</v>
      </c>
      <c r="DM26" s="779">
        <v>2.1937533033766403</v>
      </c>
      <c r="DO26" s="782">
        <f t="shared" si="8"/>
        <v>49.999882625117372</v>
      </c>
      <c r="DP26" s="438" t="str">
        <f t="shared" si="8"/>
        <v>0.5 Lag</v>
      </c>
      <c r="DQ26" s="567"/>
      <c r="DR26" s="567">
        <f>X26</f>
        <v>-6.9729329999999997E-3</v>
      </c>
      <c r="DS26" s="567">
        <f t="shared" si="9"/>
        <v>-3.5254699492059949E-3</v>
      </c>
      <c r="DT26" s="567">
        <f t="shared" si="10"/>
        <v>2.0861003241501308E-3</v>
      </c>
      <c r="DU26" s="567">
        <f t="shared" si="11"/>
        <v>-1.9758250000000001E-3</v>
      </c>
      <c r="DV26" s="778">
        <f>CE38</f>
        <v>-1.0054346363719269E-2</v>
      </c>
      <c r="DW26" s="778">
        <f>CV38</f>
        <v>5.5558642146934286E-3</v>
      </c>
      <c r="DX26" s="778">
        <f>DK38</f>
        <v>-1.0134143998278887E-2</v>
      </c>
    </row>
    <row r="27" spans="2:128" x14ac:dyDescent="0.2">
      <c r="B27" s="762">
        <f>'TABLE RM11'!D24</f>
        <v>229.99689079999999</v>
      </c>
      <c r="C27" s="762">
        <f>'TABLE RM11'!E24</f>
        <v>49.999291270000001</v>
      </c>
      <c r="D27" s="762">
        <f>'TABLE RM11'!F24</f>
        <v>-36.898460309999997</v>
      </c>
      <c r="E27" s="762" t="str">
        <f>'TABLE RM11'!G24</f>
        <v>0.8 Lead</v>
      </c>
      <c r="F27" s="762" t="str">
        <f>'TABLE RM11'!H24</f>
        <v>A</v>
      </c>
      <c r="G27" s="762">
        <f>'TABLE RM11'!I24</f>
        <v>100006.9411</v>
      </c>
      <c r="H27" s="765">
        <f>'TABLE RM11'!J24</f>
        <v>6.9410540000000003E-3</v>
      </c>
      <c r="I27" s="765">
        <f>'TABLE RM11'!K24</f>
        <v>5.7865440000000002E-3</v>
      </c>
      <c r="J27" s="770">
        <f>'TABLE RM11'!L24</f>
        <v>2.049253024</v>
      </c>
      <c r="K27" s="767"/>
      <c r="L27" s="438">
        <f t="shared" si="17"/>
        <v>0.9361264574034559</v>
      </c>
      <c r="M27" s="438">
        <f t="shared" si="18"/>
        <v>0.50923072562828531</v>
      </c>
      <c r="N27" s="438">
        <f t="shared" si="4"/>
        <v>0.88074024919448746</v>
      </c>
      <c r="Q27" s="438">
        <f t="shared" si="19"/>
        <v>0.88074024919448746</v>
      </c>
      <c r="R27" s="438">
        <f t="shared" si="20"/>
        <v>-39752.801671667316</v>
      </c>
      <c r="S27" s="762">
        <v>229.89262429999999</v>
      </c>
      <c r="T27" s="762">
        <v>50.048156859999999</v>
      </c>
      <c r="U27" s="762" t="s">
        <v>98</v>
      </c>
      <c r="V27" s="762" t="s">
        <v>92</v>
      </c>
      <c r="W27" s="762">
        <v>100003.9944</v>
      </c>
      <c r="X27" s="765">
        <v>3.9943679999999999E-3</v>
      </c>
      <c r="Y27" s="765">
        <v>6.1813700000000003E-3</v>
      </c>
      <c r="Z27" s="770">
        <v>2.054135225</v>
      </c>
      <c r="AB27" s="438">
        <f t="shared" si="21"/>
        <v>0.34777989418767452</v>
      </c>
      <c r="AC27" s="438">
        <f t="shared" si="22"/>
        <v>0.63845698676890783</v>
      </c>
      <c r="AD27" s="438">
        <f t="shared" si="23"/>
        <v>1.3642362859027095</v>
      </c>
      <c r="AE27" s="438">
        <f t="shared" si="24"/>
        <v>1.0787416058252459</v>
      </c>
      <c r="AF27" s="762">
        <v>229.97137311510338</v>
      </c>
      <c r="AG27" s="767">
        <v>50.00008615530745</v>
      </c>
      <c r="AH27" s="763" t="s">
        <v>98</v>
      </c>
      <c r="AI27" s="763" t="s">
        <v>92</v>
      </c>
      <c r="AJ27" s="763">
        <v>100001.84461179546</v>
      </c>
      <c r="AK27" s="765">
        <v>1.8446117954651342E-3</v>
      </c>
      <c r="AL27" s="765">
        <v>9.6817328780166873E-3</v>
      </c>
      <c r="AM27" s="763">
        <v>2.1774555289970512</v>
      </c>
      <c r="AO27" s="438">
        <f t="shared" si="5"/>
        <v>0.64896368503637791</v>
      </c>
      <c r="AP27" s="438">
        <f t="shared" si="6"/>
        <v>1.0218989476529419</v>
      </c>
      <c r="AQ27" s="438">
        <f t="shared" si="7"/>
        <v>0.46668761185556712</v>
      </c>
      <c r="AS27" s="762">
        <v>230.03827705037648</v>
      </c>
      <c r="AT27" s="767">
        <v>50.008233198523861</v>
      </c>
      <c r="AU27" s="763" t="s">
        <v>98</v>
      </c>
      <c r="AV27" s="763" t="s">
        <v>92</v>
      </c>
      <c r="AW27" s="769">
        <v>99995.561518749411</v>
      </c>
      <c r="AX27" s="765">
        <v>-4.4384812505904314E-3</v>
      </c>
      <c r="AY27" s="765">
        <v>9.4742566280680875E-3</v>
      </c>
      <c r="AZ27" s="770">
        <v>2.1304152165622474</v>
      </c>
      <c r="BB27" s="771">
        <v>230.0216892</v>
      </c>
      <c r="BC27" s="771">
        <v>50.045821889999999</v>
      </c>
      <c r="BD27" s="771" t="s">
        <v>98</v>
      </c>
      <c r="BE27" s="771">
        <v>99997.326270000005</v>
      </c>
      <c r="BF27" s="772">
        <v>-2.6737330000000002E-3</v>
      </c>
      <c r="BG27" s="772">
        <v>5.6785719999999998E-3</v>
      </c>
      <c r="BH27" s="773">
        <v>2.0270555720000001</v>
      </c>
      <c r="BV27" s="567">
        <v>1.0370768405701235E-2</v>
      </c>
      <c r="BW27" s="775">
        <v>1.8262986549613593</v>
      </c>
      <c r="BY27" s="54">
        <v>23</v>
      </c>
      <c r="BZ27" s="776">
        <v>240.02222236886578</v>
      </c>
      <c r="CA27" s="738">
        <v>5.0013611235006667</v>
      </c>
      <c r="CB27" s="777" t="s">
        <v>98</v>
      </c>
      <c r="CC27" s="777" t="s">
        <v>92</v>
      </c>
      <c r="CD27" s="736">
        <v>99999.154801228462</v>
      </c>
      <c r="CE27" s="778">
        <v>-8.451987715374365E-4</v>
      </c>
      <c r="CF27" s="778">
        <v>8.047266939200437E-3</v>
      </c>
      <c r="CG27" s="779">
        <v>2.1441753220934312</v>
      </c>
      <c r="CH27" s="734" t="s">
        <v>535</v>
      </c>
      <c r="CI27" s="738">
        <v>36.936026829837928</v>
      </c>
      <c r="CJ27" s="780">
        <v>0</v>
      </c>
      <c r="CK27" s="6" t="s">
        <v>99</v>
      </c>
      <c r="CL27" s="6">
        <v>1</v>
      </c>
      <c r="CN27" s="567">
        <v>-8.4519877155198844E-4</v>
      </c>
      <c r="CO27" s="438">
        <v>-0.10502929478265399</v>
      </c>
      <c r="CP27" s="438">
        <v>0.86619153741263921</v>
      </c>
      <c r="CQ27" s="781">
        <v>240.06119152737054</v>
      </c>
      <c r="CR27" s="776">
        <v>5.0007205713975562</v>
      </c>
      <c r="CS27" s="734" t="s">
        <v>100</v>
      </c>
      <c r="CT27" s="777" t="s">
        <v>92</v>
      </c>
      <c r="CU27" s="736">
        <v>100000</v>
      </c>
      <c r="CV27" s="778">
        <v>1.4551915228366852E-14</v>
      </c>
      <c r="CW27" s="778">
        <v>9.290401246862855E-3</v>
      </c>
      <c r="CX27" s="779">
        <v>2.1731586459737704</v>
      </c>
      <c r="CY27" s="734" t="s">
        <v>535</v>
      </c>
      <c r="DB27" s="6">
        <v>-3.0000000000000001E-3</v>
      </c>
      <c r="DC27" s="567">
        <v>2.1548012284625636E-3</v>
      </c>
      <c r="DD27" s="438">
        <v>0.26776808135516639</v>
      </c>
      <c r="DF27" s="781">
        <v>240</v>
      </c>
      <c r="DG27" s="734">
        <v>5</v>
      </c>
      <c r="DH27" s="735" t="s">
        <v>100</v>
      </c>
      <c r="DI27" s="738" t="s">
        <v>92</v>
      </c>
      <c r="DJ27" s="736">
        <v>99997.439818324754</v>
      </c>
      <c r="DK27" s="737">
        <v>-2.5601816752459853E-3</v>
      </c>
      <c r="DL27" s="737">
        <v>8.6182758107150592E-3</v>
      </c>
      <c r="DM27" s="779">
        <v>2.3974449996407947</v>
      </c>
      <c r="DO27" s="782">
        <f t="shared" si="8"/>
        <v>50.00008615530745</v>
      </c>
      <c r="DP27" s="438" t="str">
        <f t="shared" si="8"/>
        <v>0.8 Lead</v>
      </c>
      <c r="DQ27" s="567"/>
      <c r="DR27" s="567">
        <f>X27</f>
        <v>3.9943679999999999E-3</v>
      </c>
      <c r="DS27" s="567">
        <f t="shared" si="9"/>
        <v>1.8446117954651342E-3</v>
      </c>
      <c r="DT27" s="567">
        <f t="shared" si="10"/>
        <v>-4.4384812505904314E-3</v>
      </c>
      <c r="DU27" s="567">
        <f t="shared" si="11"/>
        <v>-2.6737330000000002E-3</v>
      </c>
      <c r="DV27" s="778">
        <f>CE39</f>
        <v>-1.3044501405701237E-2</v>
      </c>
      <c r="DW27" s="778">
        <f>CV39</f>
        <v>-1.1109876680377056E-2</v>
      </c>
      <c r="DX27" s="778">
        <f>DK39</f>
        <v>-4.2116933727811558E-4</v>
      </c>
    </row>
    <row r="28" spans="2:128" x14ac:dyDescent="0.2">
      <c r="B28" s="762">
        <f>'TABLE RM11'!D25</f>
        <v>229.99645290000001</v>
      </c>
      <c r="C28" s="762">
        <f>'TABLE RM11'!E25</f>
        <v>100.00166419999999</v>
      </c>
      <c r="D28" s="762">
        <f>'TABLE RM11'!F25</f>
        <v>4.3659599999999998E-4</v>
      </c>
      <c r="E28" s="762" t="str">
        <f>'TABLE RM11'!G25</f>
        <v xml:space="preserve">1  </v>
      </c>
      <c r="F28" s="762" t="str">
        <f>'TABLE RM11'!H25</f>
        <v>ABC</v>
      </c>
      <c r="G28" s="762">
        <f>'TABLE RM11'!I25</f>
        <v>100005.0558</v>
      </c>
      <c r="H28" s="765">
        <f>'TABLE RM11'!J25</f>
        <v>5.0557700000000002E-3</v>
      </c>
      <c r="I28" s="765">
        <f>'TABLE RM11'!K25</f>
        <v>4.7357789999999999E-3</v>
      </c>
      <c r="J28" s="770">
        <f>'TABLE RM11'!L25</f>
        <v>2.0804510829999998</v>
      </c>
      <c r="K28" s="767"/>
      <c r="L28" s="438">
        <f t="shared" si="17"/>
        <v>0.91519004220583455</v>
      </c>
      <c r="M28" s="438">
        <f t="shared" si="18"/>
        <v>0.84594593624406877</v>
      </c>
      <c r="N28" s="438">
        <f t="shared" si="4"/>
        <v>0.4598697851437657</v>
      </c>
      <c r="Q28" s="438">
        <f t="shared" si="19"/>
        <v>0.4598697851437657</v>
      </c>
      <c r="R28" s="438">
        <f t="shared" si="20"/>
        <v>-48573.08733648101</v>
      </c>
      <c r="S28" s="762">
        <v>229.85731369999999</v>
      </c>
      <c r="T28" s="762">
        <v>100.0317218</v>
      </c>
      <c r="U28" s="762" t="s">
        <v>91</v>
      </c>
      <c r="V28" s="762" t="s">
        <v>101</v>
      </c>
      <c r="W28" s="762">
        <v>100001.0496</v>
      </c>
      <c r="X28" s="765">
        <v>1.049557E-3</v>
      </c>
      <c r="Y28" s="765">
        <v>5.1746400000000003E-3</v>
      </c>
      <c r="Z28" s="770">
        <v>2.0883239499999999</v>
      </c>
      <c r="AB28" s="438">
        <f t="shared" si="21"/>
        <v>-0.35333304902015261</v>
      </c>
      <c r="AC28" s="438">
        <f t="shared" si="22"/>
        <v>0.51439791866425633</v>
      </c>
      <c r="AD28" s="438">
        <f t="shared" si="23"/>
        <v>0.59773098072529274</v>
      </c>
      <c r="AE28" s="438">
        <f t="shared" si="24"/>
        <v>0.19495164881035201</v>
      </c>
      <c r="AF28" s="762">
        <v>230.08089033323162</v>
      </c>
      <c r="AG28" s="767">
        <v>99.892471873571523</v>
      </c>
      <c r="AH28" s="763" t="s">
        <v>91</v>
      </c>
      <c r="AI28" s="763" t="s">
        <v>101</v>
      </c>
      <c r="AJ28" s="763">
        <v>100002.87792832879</v>
      </c>
      <c r="AK28" s="765">
        <v>2.8779283287816426E-3</v>
      </c>
      <c r="AL28" s="765">
        <v>1.005960524381019E-2</v>
      </c>
      <c r="AM28" s="763">
        <v>2.1447453954356539</v>
      </c>
      <c r="AO28" s="438">
        <f t="shared" si="5"/>
        <v>0.4892253574174974</v>
      </c>
      <c r="AP28" s="438">
        <f t="shared" si="6"/>
        <v>1.2309015647316748</v>
      </c>
      <c r="AQ28" s="438">
        <f t="shared" si="7"/>
        <v>0.28203650739947228</v>
      </c>
      <c r="AS28" s="762">
        <v>230.03646274327269</v>
      </c>
      <c r="AT28" s="767">
        <v>99.976399928022076</v>
      </c>
      <c r="AU28" s="763" t="s">
        <v>91</v>
      </c>
      <c r="AV28" s="763" t="s">
        <v>101</v>
      </c>
      <c r="AW28" s="769">
        <v>99997.956514357895</v>
      </c>
      <c r="AX28" s="765">
        <v>-2.0434856421003289E-3</v>
      </c>
      <c r="AY28" s="765">
        <v>8.1725505369741654E-3</v>
      </c>
      <c r="AZ28" s="770">
        <v>2.137807548625192</v>
      </c>
      <c r="BB28" s="771">
        <v>230.0138244</v>
      </c>
      <c r="BC28" s="771">
        <v>100.0185044</v>
      </c>
      <c r="BD28" s="771" t="s">
        <v>91</v>
      </c>
      <c r="BE28" s="771">
        <v>100000.0408</v>
      </c>
      <c r="BF28" s="772">
        <v>4.07524E-5</v>
      </c>
      <c r="BG28" s="772">
        <v>4.7299550000000001E-3</v>
      </c>
      <c r="BH28" s="773">
        <v>2.0852194750000002</v>
      </c>
      <c r="BV28" s="567">
        <v>1.5991810334635599E-3</v>
      </c>
      <c r="BW28" s="775">
        <v>0.33809645830955259</v>
      </c>
      <c r="BY28" s="54">
        <v>38</v>
      </c>
      <c r="BZ28" s="776">
        <v>109.99867582748296</v>
      </c>
      <c r="CA28" s="738">
        <v>24.993258148490611</v>
      </c>
      <c r="CB28" s="777" t="s">
        <v>91</v>
      </c>
      <c r="CC28" s="777" t="s">
        <v>92</v>
      </c>
      <c r="CD28" s="736">
        <v>100001.14085916374</v>
      </c>
      <c r="CE28" s="778">
        <v>1.140859163739627E-3</v>
      </c>
      <c r="CF28" s="778">
        <v>8.8138232050268776E-3</v>
      </c>
      <c r="CG28" s="779">
        <v>2.1000598487649516</v>
      </c>
      <c r="CH28" s="734" t="s">
        <v>535</v>
      </c>
      <c r="CI28" s="738">
        <v>-8.9372431867999619E-2</v>
      </c>
      <c r="CJ28" s="780" t="s">
        <v>102</v>
      </c>
      <c r="CK28" s="6" t="s">
        <v>94</v>
      </c>
      <c r="CL28" s="6">
        <v>1</v>
      </c>
      <c r="CN28" s="567">
        <v>-1.6369957766632767E-3</v>
      </c>
      <c r="CO28" s="438">
        <v>-0.1857304983982016</v>
      </c>
      <c r="CP28" s="438">
        <v>0.92033241392187271</v>
      </c>
      <c r="CQ28" s="781">
        <v>110.01335033011051</v>
      </c>
      <c r="CR28" s="776">
        <v>24.96889516939121</v>
      </c>
      <c r="CS28" s="734" t="s">
        <v>95</v>
      </c>
      <c r="CT28" s="777" t="s">
        <v>92</v>
      </c>
      <c r="CU28" s="736">
        <v>100002.7778549404</v>
      </c>
      <c r="CV28" s="778">
        <v>2.7778549404029037E-3</v>
      </c>
      <c r="CW28" s="778">
        <v>9.5767823361430429E-3</v>
      </c>
      <c r="CX28" s="779">
        <v>2.1551430176600195</v>
      </c>
      <c r="CY28" s="734" t="s">
        <v>535</v>
      </c>
      <c r="DB28" s="6">
        <v>-2E-3</v>
      </c>
      <c r="DC28" s="567">
        <v>3.1408591637396271E-3</v>
      </c>
      <c r="DD28" s="438">
        <v>0.3563560433057324</v>
      </c>
      <c r="DF28" s="781">
        <v>110</v>
      </c>
      <c r="DG28" s="738">
        <v>24.97</v>
      </c>
      <c r="DH28" s="735" t="s">
        <v>95</v>
      </c>
      <c r="DI28" s="738" t="s">
        <v>92</v>
      </c>
      <c r="DJ28" s="736">
        <v>99997.667809392413</v>
      </c>
      <c r="DK28" s="737">
        <v>-2.3321906075871083E-3</v>
      </c>
      <c r="DL28" s="737">
        <v>8.5948340342626578E-3</v>
      </c>
      <c r="DM28" s="779">
        <v>2.4826592487744787</v>
      </c>
      <c r="DO28" s="782">
        <f t="shared" si="8"/>
        <v>99.892471873571523</v>
      </c>
      <c r="DP28" s="438" t="str">
        <f t="shared" si="8"/>
        <v xml:space="preserve">1  </v>
      </c>
      <c r="DQ28" s="438"/>
      <c r="DR28" s="438"/>
      <c r="DS28" s="567">
        <f t="shared" si="9"/>
        <v>2.8779283287816426E-3</v>
      </c>
      <c r="DT28" s="567">
        <f t="shared" si="10"/>
        <v>-2.0434856421003289E-3</v>
      </c>
      <c r="DU28" s="567">
        <f t="shared" si="11"/>
        <v>4.07524E-5</v>
      </c>
      <c r="DV28" s="778">
        <f>CE43</f>
        <v>-1.55842863346356E-3</v>
      </c>
      <c r="DW28" s="778">
        <f>CV43</f>
        <v>1.6666944449098082E-3</v>
      </c>
      <c r="DX28" s="778">
        <f>DK43</f>
        <v>-6.12702457269188E-3</v>
      </c>
    </row>
    <row r="29" spans="2:128" x14ac:dyDescent="0.2">
      <c r="B29" s="762">
        <f>'TABLE RM11'!D26</f>
        <v>229.99659700000001</v>
      </c>
      <c r="C29" s="762">
        <f>'TABLE RM11'!E26</f>
        <v>99.997794339999999</v>
      </c>
      <c r="D29" s="762">
        <f>'TABLE RM11'!F26</f>
        <v>59.997784719999999</v>
      </c>
      <c r="E29" s="762" t="str">
        <f>'TABLE RM11'!G26</f>
        <v>0.5 Lag</v>
      </c>
      <c r="F29" s="762" t="str">
        <f>'TABLE RM11'!H26</f>
        <v>ABC</v>
      </c>
      <c r="G29" s="762">
        <f>'TABLE RM11'!I26</f>
        <v>99998.252630000003</v>
      </c>
      <c r="H29" s="765">
        <f>'TABLE RM11'!J26</f>
        <v>-1.7473650000000001E-3</v>
      </c>
      <c r="I29" s="765">
        <f>'TABLE RM11'!K26</f>
        <v>8.6924169999999992E-3</v>
      </c>
      <c r="J29" s="770">
        <f>'TABLE RM11'!L26</f>
        <v>2.0458098790000001</v>
      </c>
      <c r="K29" s="767"/>
      <c r="L29" s="438">
        <f t="shared" si="17"/>
        <v>0.93978964079745508</v>
      </c>
      <c r="M29" s="438">
        <f t="shared" si="18"/>
        <v>0.99865330897033588</v>
      </c>
      <c r="N29" s="438">
        <f t="shared" si="4"/>
        <v>0.95777625228918428</v>
      </c>
      <c r="Q29" s="438">
        <f t="shared" si="19"/>
        <v>0.95777625228918428</v>
      </c>
      <c r="R29" s="438">
        <f t="shared" si="20"/>
        <v>-26464.269025258545</v>
      </c>
      <c r="S29" s="762">
        <v>229.8548404</v>
      </c>
      <c r="T29" s="762">
        <v>100.0330962</v>
      </c>
      <c r="U29" s="762" t="s">
        <v>96</v>
      </c>
      <c r="V29" s="762" t="s">
        <v>101</v>
      </c>
      <c r="W29" s="762">
        <v>99989.571920000002</v>
      </c>
      <c r="X29" s="765">
        <v>-1.0428076E-2</v>
      </c>
      <c r="Y29" s="765">
        <v>9.2493220000000008E-3</v>
      </c>
      <c r="Z29" s="770">
        <v>2.0663388089999999</v>
      </c>
      <c r="AB29" s="438">
        <f t="shared" si="21"/>
        <v>-3.8415834415236653E-2</v>
      </c>
      <c r="AC29" s="438">
        <f t="shared" si="22"/>
        <v>0.66635251335781664</v>
      </c>
      <c r="AD29" s="438">
        <f t="shared" si="23"/>
        <v>-0.35874223045070625</v>
      </c>
      <c r="AE29" s="438">
        <f t="shared" si="24"/>
        <v>-0.55682059722864008</v>
      </c>
      <c r="AF29" s="762">
        <v>229.99580163519423</v>
      </c>
      <c r="AG29" s="767">
        <v>100.10613246750646</v>
      </c>
      <c r="AH29" s="763" t="s">
        <v>96</v>
      </c>
      <c r="AI29" s="763" t="s">
        <v>101</v>
      </c>
      <c r="AJ29" s="763">
        <v>99989.927244422404</v>
      </c>
      <c r="AK29" s="765">
        <v>-1.0072755577594794E-2</v>
      </c>
      <c r="AL29" s="765">
        <v>1.3880523918776484E-2</v>
      </c>
      <c r="AM29" s="763">
        <v>2.1477750591974214</v>
      </c>
      <c r="AO29" s="438">
        <f t="shared" si="5"/>
        <v>-0.21345029909308652</v>
      </c>
      <c r="AP29" s="438">
        <f t="shared" si="6"/>
        <v>1.0312505316139422</v>
      </c>
      <c r="AQ29" s="438">
        <f t="shared" si="7"/>
        <v>-0.34544031663737418</v>
      </c>
      <c r="AS29" s="762">
        <v>230.0367146027308</v>
      </c>
      <c r="AT29" s="767">
        <v>99.968863828182663</v>
      </c>
      <c r="AU29" s="763" t="s">
        <v>96</v>
      </c>
      <c r="AV29" s="763" t="s">
        <v>101</v>
      </c>
      <c r="AW29" s="769">
        <v>99992.890046404442</v>
      </c>
      <c r="AX29" s="765">
        <v>-7.109953595563212E-3</v>
      </c>
      <c r="AY29" s="765">
        <v>1.3459895043208358E-2</v>
      </c>
      <c r="AZ29" s="770">
        <v>2.1443912155684153</v>
      </c>
      <c r="BB29" s="771">
        <v>230.02006119999999</v>
      </c>
      <c r="BC29" s="771">
        <v>100.0059859</v>
      </c>
      <c r="BD29" s="771" t="s">
        <v>96</v>
      </c>
      <c r="BE29" s="771">
        <v>99994.722139999998</v>
      </c>
      <c r="BF29" s="772">
        <v>-5.2778629999999998E-3</v>
      </c>
      <c r="BG29" s="772">
        <v>7.7718079999999998E-3</v>
      </c>
      <c r="BH29" s="773">
        <v>2.0862610259999999</v>
      </c>
      <c r="BV29" s="567">
        <v>7.4211135489415875E-3</v>
      </c>
      <c r="BW29" s="775">
        <v>0.95487607889201431</v>
      </c>
      <c r="BY29" s="54">
        <v>33</v>
      </c>
      <c r="BZ29" s="776">
        <v>109.99793895433913</v>
      </c>
      <c r="CA29" s="738">
        <v>24.991348467986224</v>
      </c>
      <c r="CB29" s="777" t="s">
        <v>96</v>
      </c>
      <c r="CC29" s="777" t="s">
        <v>92</v>
      </c>
      <c r="CD29" s="736">
        <v>99990.742390247673</v>
      </c>
      <c r="CE29" s="778">
        <v>-9.25760975232226E-3</v>
      </c>
      <c r="CF29" s="778">
        <v>1.0528624803313579E-2</v>
      </c>
      <c r="CG29" s="779">
        <v>2.0538980688737034</v>
      </c>
      <c r="CH29" s="734" t="s">
        <v>535</v>
      </c>
      <c r="CI29" s="738">
        <v>-60.106824810819454</v>
      </c>
      <c r="CJ29" s="780">
        <v>0</v>
      </c>
      <c r="CK29" s="6" t="s">
        <v>97</v>
      </c>
      <c r="CL29" s="6">
        <v>1</v>
      </c>
      <c r="CN29" s="567">
        <v>-1.2035464692725165E-2</v>
      </c>
      <c r="CO29" s="438">
        <v>-1.1431183955702697</v>
      </c>
      <c r="CP29" s="438">
        <v>1.0011525562512329</v>
      </c>
      <c r="CQ29" s="781">
        <v>110.01435824676578</v>
      </c>
      <c r="CR29" s="776">
        <v>24.966011273349508</v>
      </c>
      <c r="CS29" s="734" t="s">
        <v>560</v>
      </c>
      <c r="CT29" s="777" t="s">
        <v>92</v>
      </c>
      <c r="CU29" s="736">
        <v>100002.7778549404</v>
      </c>
      <c r="CV29" s="778">
        <v>2.7778549404029037E-3</v>
      </c>
      <c r="CW29" s="778">
        <v>1.0516503940955315E-2</v>
      </c>
      <c r="CX29" s="779">
        <v>2.1039390334657435</v>
      </c>
      <c r="CY29" s="734" t="s">
        <v>535</v>
      </c>
      <c r="DB29" s="6">
        <v>-8.9999999999999993E-3</v>
      </c>
      <c r="DC29" s="567">
        <v>-2.576097523222607E-4</v>
      </c>
      <c r="DD29" s="438">
        <v>-2.4467559356962317E-2</v>
      </c>
      <c r="DF29" s="781">
        <v>110</v>
      </c>
      <c r="DG29" s="738">
        <v>24.98</v>
      </c>
      <c r="DH29" s="735" t="s">
        <v>560</v>
      </c>
      <c r="DI29" s="738" t="s">
        <v>92</v>
      </c>
      <c r="DJ29" s="736">
        <v>99991.436696697754</v>
      </c>
      <c r="DK29" s="737">
        <v>-8.5633033022459136E-3</v>
      </c>
      <c r="DL29" s="737">
        <v>1.0569660814900897E-2</v>
      </c>
      <c r="DM29" s="779">
        <v>2.1347055352316939</v>
      </c>
      <c r="DO29" s="782">
        <f t="shared" si="8"/>
        <v>100.10613246750646</v>
      </c>
      <c r="DP29" s="438" t="str">
        <f t="shared" si="8"/>
        <v>0.5 Lag</v>
      </c>
      <c r="DQ29" s="438"/>
      <c r="DR29" s="438"/>
      <c r="DS29" s="567">
        <f t="shared" si="9"/>
        <v>-1.0072755577594794E-2</v>
      </c>
      <c r="DT29" s="567">
        <f t="shared" si="10"/>
        <v>-7.109953595563212E-3</v>
      </c>
      <c r="DU29" s="567">
        <f t="shared" si="11"/>
        <v>-5.2778629999999998E-3</v>
      </c>
      <c r="DV29" s="778">
        <f>CE44</f>
        <v>-1.2698976548941587E-2</v>
      </c>
      <c r="DW29" s="778">
        <f>CV44</f>
        <v>-2.2221728406002514E-3</v>
      </c>
      <c r="DX29" s="778">
        <f>DK44</f>
        <v>-1.9034234067381476E-2</v>
      </c>
    </row>
    <row r="30" spans="2:128" x14ac:dyDescent="0.2">
      <c r="B30" s="762">
        <f>'TABLE RM11'!D27</f>
        <v>229.99661269999999</v>
      </c>
      <c r="C30" s="762">
        <f>'TABLE RM11'!E27</f>
        <v>99.998468320000001</v>
      </c>
      <c r="D30" s="762">
        <f>'TABLE RM11'!F27</f>
        <v>-36.897880530000002</v>
      </c>
      <c r="E30" s="762" t="str">
        <f>'TABLE RM11'!G27</f>
        <v>0.8 Lead</v>
      </c>
      <c r="F30" s="762" t="str">
        <f>'TABLE RM11'!H27</f>
        <v>ABC</v>
      </c>
      <c r="G30" s="762">
        <f>'TABLE RM11'!I27</f>
        <v>100007.4543</v>
      </c>
      <c r="H30" s="765">
        <f>'TABLE RM11'!J27</f>
        <v>7.454301E-3</v>
      </c>
      <c r="I30" s="765">
        <f>'TABLE RM11'!K27</f>
        <v>5.6325569999999998E-3</v>
      </c>
      <c r="J30" s="770">
        <f>'TABLE RM11'!L27</f>
        <v>2.059346245</v>
      </c>
      <c r="K30" s="767"/>
      <c r="L30" s="438">
        <f t="shared" si="17"/>
        <v>0.92927914900174236</v>
      </c>
      <c r="M30" s="438">
        <f t="shared" si="18"/>
        <v>0.81674557399064052</v>
      </c>
      <c r="N30" s="438">
        <f t="shared" si="4"/>
        <v>0.96545047395305317</v>
      </c>
      <c r="Q30" s="438">
        <f t="shared" si="19"/>
        <v>0.96545047395305317</v>
      </c>
      <c r="R30" s="438">
        <f t="shared" si="20"/>
        <v>-40837.940240944066</v>
      </c>
      <c r="S30" s="762">
        <v>229.8525157</v>
      </c>
      <c r="T30" s="762">
        <v>100.0311841</v>
      </c>
      <c r="U30" s="762" t="s">
        <v>98</v>
      </c>
      <c r="V30" s="762" t="s">
        <v>101</v>
      </c>
      <c r="W30" s="762">
        <v>100002.8539</v>
      </c>
      <c r="X30" s="765">
        <v>2.8539350000000002E-3</v>
      </c>
      <c r="Y30" s="765">
        <v>6.0612110000000004E-3</v>
      </c>
      <c r="Z30" s="770">
        <v>2.0615610430000002</v>
      </c>
      <c r="AB30" s="438">
        <f t="shared" si="21"/>
        <v>0.13818836288946007</v>
      </c>
      <c r="AC30" s="438">
        <f t="shared" si="22"/>
        <v>0.52245768149069516</v>
      </c>
      <c r="AD30" s="438">
        <f t="shared" si="23"/>
        <v>0.76923777671284743</v>
      </c>
      <c r="AE30" s="438">
        <f t="shared" si="24"/>
        <v>0.94169580963276156</v>
      </c>
      <c r="AF30" s="762">
        <v>229.99777531294868</v>
      </c>
      <c r="AG30" s="767">
        <v>100.06916284907405</v>
      </c>
      <c r="AH30" s="763" t="s">
        <v>98</v>
      </c>
      <c r="AI30" s="763" t="s">
        <v>101</v>
      </c>
      <c r="AJ30" s="763">
        <v>100002.01634617479</v>
      </c>
      <c r="AK30" s="765">
        <v>2.016346174782413E-3</v>
      </c>
      <c r="AL30" s="765">
        <v>1.1601343447962971E-2</v>
      </c>
      <c r="AM30" s="763">
        <v>2.1372992058574978</v>
      </c>
      <c r="AO30" s="438">
        <f t="shared" si="5"/>
        <v>0.32969661365222919</v>
      </c>
      <c r="AP30" s="438">
        <f t="shared" si="6"/>
        <v>1.2290312017707794</v>
      </c>
      <c r="AQ30" s="438">
        <f t="shared" si="7"/>
        <v>0.41979863768601344</v>
      </c>
      <c r="AS30" s="762">
        <v>230.02948047071118</v>
      </c>
      <c r="AT30" s="767">
        <v>99.972105952310841</v>
      </c>
      <c r="AU30" s="763" t="s">
        <v>98</v>
      </c>
      <c r="AV30" s="763" t="s">
        <v>101</v>
      </c>
      <c r="AW30" s="769">
        <v>99998.191422526172</v>
      </c>
      <c r="AX30" s="765">
        <v>-1.8085774738274552E-3</v>
      </c>
      <c r="AY30" s="765">
        <v>9.4394214168426627E-3</v>
      </c>
      <c r="AZ30" s="770">
        <v>2.1373712402237612</v>
      </c>
      <c r="BB30" s="785">
        <v>230.01618120000001</v>
      </c>
      <c r="BC30" s="785">
        <v>100.013175</v>
      </c>
      <c r="BD30" s="785" t="s">
        <v>98</v>
      </c>
      <c r="BE30" s="785">
        <v>99997.146120000005</v>
      </c>
      <c r="BF30" s="786">
        <v>-2.8538819999999999E-3</v>
      </c>
      <c r="BG30" s="786">
        <v>5.3420150000000003E-3</v>
      </c>
      <c r="BH30" s="787">
        <v>2.045669137</v>
      </c>
      <c r="BV30" s="567">
        <v>1.1376770826722359E-3</v>
      </c>
      <c r="BW30" s="775">
        <v>0.21296778138440942</v>
      </c>
      <c r="BY30" s="54">
        <v>34</v>
      </c>
      <c r="BZ30" s="776">
        <v>109.9973723637025</v>
      </c>
      <c r="CA30" s="738">
        <v>24.989772314662314</v>
      </c>
      <c r="CB30" s="777" t="s">
        <v>98</v>
      </c>
      <c r="CC30" s="777" t="s">
        <v>92</v>
      </c>
      <c r="CD30" s="736">
        <v>100005.15868808076</v>
      </c>
      <c r="CE30" s="778">
        <v>5.1586880807530378E-3</v>
      </c>
      <c r="CF30" s="778">
        <v>8.8789309003913155E-3</v>
      </c>
      <c r="CG30" s="779">
        <v>2.0831842780826917</v>
      </c>
      <c r="CH30" s="734" t="s">
        <v>535</v>
      </c>
      <c r="CI30" s="738">
        <v>36.795412756258017</v>
      </c>
      <c r="CJ30" s="780">
        <v>0</v>
      </c>
      <c r="CK30" s="6" t="s">
        <v>99</v>
      </c>
      <c r="CL30" s="6">
        <v>1</v>
      </c>
      <c r="CN30" s="567">
        <v>7.140460966706284E-4</v>
      </c>
      <c r="CO30" s="438">
        <v>8.0420278598987482E-2</v>
      </c>
      <c r="CP30" s="438">
        <v>0.9255886745724905</v>
      </c>
      <c r="CQ30" s="781">
        <v>110.01285996162871</v>
      </c>
      <c r="CR30" s="776">
        <v>24.968136385699957</v>
      </c>
      <c r="CS30" s="734" t="s">
        <v>100</v>
      </c>
      <c r="CT30" s="777" t="s">
        <v>92</v>
      </c>
      <c r="CU30" s="736">
        <v>100004.44464198408</v>
      </c>
      <c r="CV30" s="778">
        <v>4.4446419840824094E-3</v>
      </c>
      <c r="CW30" s="778">
        <v>9.5927393498978393E-3</v>
      </c>
      <c r="CX30" s="779">
        <v>2.1401942495084647</v>
      </c>
      <c r="CY30" s="734" t="s">
        <v>535</v>
      </c>
      <c r="DB30" s="6">
        <v>0</v>
      </c>
      <c r="DC30" s="567">
        <v>5.1586880807530378E-3</v>
      </c>
      <c r="DD30" s="438">
        <v>0.5810032917956014</v>
      </c>
      <c r="DF30" s="781">
        <v>110</v>
      </c>
      <c r="DG30" s="738">
        <v>24.97</v>
      </c>
      <c r="DH30" s="735" t="s">
        <v>100</v>
      </c>
      <c r="DI30" s="738" t="s">
        <v>92</v>
      </c>
      <c r="DJ30" s="736">
        <v>99999.946017251365</v>
      </c>
      <c r="DK30" s="737">
        <v>-5.3982748635462486E-5</v>
      </c>
      <c r="DL30" s="737">
        <v>8.6059827118875939E-3</v>
      </c>
      <c r="DM30" s="779">
        <v>2.4147837138519468</v>
      </c>
      <c r="DO30" s="782">
        <f t="shared" si="8"/>
        <v>100.06916284907405</v>
      </c>
      <c r="DP30" s="438" t="str">
        <f t="shared" si="8"/>
        <v>0.8 Lead</v>
      </c>
      <c r="DQ30" s="438"/>
      <c r="DR30" s="438"/>
      <c r="DS30" s="567">
        <f t="shared" si="9"/>
        <v>2.016346174782413E-3</v>
      </c>
      <c r="DT30" s="567">
        <f t="shared" si="10"/>
        <v>-1.8085774738274552E-3</v>
      </c>
      <c r="DU30" s="567">
        <f t="shared" si="11"/>
        <v>-2.8538819999999999E-3</v>
      </c>
      <c r="DV30" s="778">
        <f>CE45</f>
        <v>-3.9915590826722358E-3</v>
      </c>
      <c r="DW30" s="778">
        <f>CV45</f>
        <v>6.6671111407340502E-3</v>
      </c>
      <c r="DX30" s="778">
        <f>DK45</f>
        <v>-4.7038198415102674E-3</v>
      </c>
    </row>
    <row r="31" spans="2:128" x14ac:dyDescent="0.2">
      <c r="B31" s="788"/>
      <c r="C31" s="789"/>
      <c r="D31" s="790"/>
      <c r="E31" s="790"/>
      <c r="F31" s="790"/>
      <c r="G31" s="791"/>
      <c r="H31" s="792"/>
      <c r="I31" s="792"/>
      <c r="J31" s="793"/>
      <c r="K31" s="767"/>
      <c r="M31" s="438"/>
      <c r="N31" s="438"/>
      <c r="S31" s="788"/>
      <c r="T31" s="789"/>
      <c r="U31" s="790"/>
      <c r="V31" s="790"/>
      <c r="W31" s="791"/>
      <c r="X31" s="792"/>
      <c r="Y31" s="792"/>
      <c r="Z31" s="793"/>
      <c r="AB31" s="438"/>
      <c r="AF31" s="788"/>
      <c r="AG31" s="789"/>
      <c r="AH31" s="790"/>
      <c r="AI31" s="790"/>
      <c r="AJ31" s="794"/>
      <c r="AK31" s="792"/>
      <c r="AL31" s="792"/>
      <c r="AM31" s="793"/>
      <c r="AO31" s="438"/>
      <c r="AS31" s="788"/>
      <c r="AT31" s="789"/>
      <c r="AU31" s="790"/>
      <c r="AV31" s="790"/>
      <c r="AW31" s="794"/>
      <c r="AX31" s="792"/>
      <c r="AY31" s="792"/>
      <c r="AZ31" s="793"/>
      <c r="BB31" s="782"/>
      <c r="BC31" s="782"/>
      <c r="BD31" s="782"/>
      <c r="BE31" s="782"/>
      <c r="BF31" s="782"/>
      <c r="BG31" s="782"/>
      <c r="BH31" s="782"/>
      <c r="BY31" s="54">
        <v>35</v>
      </c>
      <c r="BZ31" s="776">
        <v>240.02210991606808</v>
      </c>
      <c r="CA31" s="738">
        <v>24.989512338758722</v>
      </c>
      <c r="CB31" s="777" t="s">
        <v>91</v>
      </c>
      <c r="CC31" s="777" t="s">
        <v>92</v>
      </c>
      <c r="CD31" s="736">
        <v>99997.005505188979</v>
      </c>
      <c r="CE31" s="778">
        <v>-2.9944948110260938E-3</v>
      </c>
      <c r="CF31" s="778">
        <v>8.254069652485067E-3</v>
      </c>
      <c r="CG31" s="779">
        <v>2.127650432493887</v>
      </c>
      <c r="CH31" s="734" t="s">
        <v>535</v>
      </c>
      <c r="CI31" s="738">
        <v>-0.10988428481352126</v>
      </c>
      <c r="CJ31" s="780">
        <v>0</v>
      </c>
      <c r="CK31" s="6" t="s">
        <v>94</v>
      </c>
      <c r="CL31" s="6">
        <v>1</v>
      </c>
      <c r="CN31" s="567">
        <v>-6.3279392591558334E-3</v>
      </c>
      <c r="CO31" s="438">
        <v>-0.76664476138151683</v>
      </c>
      <c r="CP31" s="438">
        <v>0.8938229516829348</v>
      </c>
      <c r="CQ31" s="781">
        <v>240.07555020583982</v>
      </c>
      <c r="CR31" s="776">
        <v>24.975101424777385</v>
      </c>
      <c r="CS31" s="734" t="s">
        <v>95</v>
      </c>
      <c r="CT31" s="777" t="s">
        <v>92</v>
      </c>
      <c r="CU31" s="736">
        <v>100003.33344444813</v>
      </c>
      <c r="CV31" s="778">
        <v>3.3334444481297396E-3</v>
      </c>
      <c r="CW31" s="778">
        <v>9.2345689232346175E-3</v>
      </c>
      <c r="CX31" s="779">
        <v>2.1839550487367481</v>
      </c>
      <c r="CY31" s="734" t="s">
        <v>535</v>
      </c>
      <c r="DB31" s="6">
        <v>-2E-3</v>
      </c>
      <c r="DC31" s="567">
        <v>-9.9449481102609379E-4</v>
      </c>
      <c r="DD31" s="438">
        <v>-0.12048539119447332</v>
      </c>
      <c r="DF31" s="781">
        <v>240</v>
      </c>
      <c r="DG31" s="738">
        <v>24.97</v>
      </c>
      <c r="DH31" s="735" t="s">
        <v>95</v>
      </c>
      <c r="DI31" s="738" t="s">
        <v>92</v>
      </c>
      <c r="DJ31" s="736">
        <v>99998.455949952375</v>
      </c>
      <c r="DK31" s="737">
        <v>-1.5440500476252056E-3</v>
      </c>
      <c r="DL31" s="737">
        <v>8.6038115304525372E-3</v>
      </c>
      <c r="DM31" s="779">
        <v>2.5610361500884453</v>
      </c>
      <c r="DO31" s="782"/>
      <c r="DP31" s="438"/>
      <c r="DQ31" s="438"/>
      <c r="DR31" s="438"/>
      <c r="DS31" s="567"/>
      <c r="DT31" s="567"/>
      <c r="DU31" s="567"/>
    </row>
    <row r="32" spans="2:128" x14ac:dyDescent="0.2">
      <c r="M32" s="438"/>
      <c r="N32" s="438"/>
      <c r="AB32" s="438"/>
      <c r="AO32" s="438"/>
      <c r="BB32" s="782"/>
      <c r="BC32" s="782"/>
      <c r="BD32" s="782"/>
      <c r="BE32" s="782"/>
      <c r="BF32" s="782"/>
      <c r="BG32" s="782"/>
      <c r="BH32" s="782"/>
      <c r="BY32" s="54">
        <v>36</v>
      </c>
      <c r="BZ32" s="776">
        <v>240.02268146825085</v>
      </c>
      <c r="CA32" s="738">
        <v>24.989595647735776</v>
      </c>
      <c r="CB32" s="777" t="s">
        <v>96</v>
      </c>
      <c r="CC32" s="777" t="s">
        <v>92</v>
      </c>
      <c r="CD32" s="736">
        <v>99994.898858099768</v>
      </c>
      <c r="CE32" s="778">
        <v>-5.1011419002322533E-3</v>
      </c>
      <c r="CF32" s="778">
        <v>1.0270636385873588E-2</v>
      </c>
      <c r="CG32" s="779">
        <v>2.0578178591903207</v>
      </c>
      <c r="CH32" s="734" t="s">
        <v>535</v>
      </c>
      <c r="CI32" s="738">
        <v>-60.115249144146958</v>
      </c>
      <c r="CJ32" s="780">
        <v>0</v>
      </c>
      <c r="CK32" s="6" t="s">
        <v>97</v>
      </c>
      <c r="CL32" s="6">
        <v>1</v>
      </c>
      <c r="CN32" s="567">
        <v>-6.2122653571575238E-3</v>
      </c>
      <c r="CO32" s="438">
        <v>-0.60485690698796246</v>
      </c>
      <c r="CP32" s="438">
        <v>0.94932921435127882</v>
      </c>
      <c r="CQ32" s="781">
        <v>240.07503203628588</v>
      </c>
      <c r="CR32" s="776">
        <v>24.968497396517229</v>
      </c>
      <c r="CS32" s="734" t="s">
        <v>560</v>
      </c>
      <c r="CT32" s="777" t="s">
        <v>92</v>
      </c>
      <c r="CU32" s="736">
        <v>100001.11112345693</v>
      </c>
      <c r="CV32" s="778">
        <v>1.1111234569252701E-3</v>
      </c>
      <c r="CW32" s="778">
        <v>1.081883526874499E-2</v>
      </c>
      <c r="CX32" s="779">
        <v>2.0868723965230664</v>
      </c>
      <c r="CY32" s="734" t="s">
        <v>535</v>
      </c>
      <c r="DB32" s="6">
        <v>-1.4E-2</v>
      </c>
      <c r="DC32" s="567">
        <v>8.898858099767747E-3</v>
      </c>
      <c r="DD32" s="438">
        <v>0.86643687551896897</v>
      </c>
      <c r="DF32" s="781">
        <v>240</v>
      </c>
      <c r="DG32" s="738">
        <v>24.98</v>
      </c>
      <c r="DH32" s="735" t="s">
        <v>560</v>
      </c>
      <c r="DI32" s="738" t="s">
        <v>92</v>
      </c>
      <c r="DJ32" s="736">
        <v>99986.346721041482</v>
      </c>
      <c r="DK32" s="737">
        <v>-1.3653278958518058E-2</v>
      </c>
      <c r="DL32" s="737">
        <v>9.7078530137908892E-3</v>
      </c>
      <c r="DM32" s="779">
        <v>2.1869637303607603</v>
      </c>
      <c r="DO32" s="782"/>
      <c r="DP32" s="438"/>
      <c r="DQ32" s="438"/>
      <c r="DR32" s="438"/>
      <c r="DS32" s="567"/>
      <c r="DT32" s="567"/>
      <c r="DU32" s="567"/>
    </row>
    <row r="33" spans="2:125" x14ac:dyDescent="0.2">
      <c r="M33" s="438"/>
      <c r="N33" s="438"/>
      <c r="AB33" s="438"/>
      <c r="AO33" s="438"/>
      <c r="BB33" s="782"/>
      <c r="BC33" s="782"/>
      <c r="BD33" s="782"/>
      <c r="BE33" s="782"/>
      <c r="BF33" s="782"/>
      <c r="BG33" s="782"/>
      <c r="BH33" s="782"/>
      <c r="BY33" s="54">
        <v>37</v>
      </c>
      <c r="BZ33" s="776">
        <v>240.02187621122692</v>
      </c>
      <c r="CA33" s="738">
        <v>24.988953952317274</v>
      </c>
      <c r="CB33" s="777" t="s">
        <v>98</v>
      </c>
      <c r="CC33" s="777" t="s">
        <v>92</v>
      </c>
      <c r="CD33" s="736">
        <v>100001.63775248562</v>
      </c>
      <c r="CE33" s="778">
        <v>1.6377524856281411E-3</v>
      </c>
      <c r="CF33" s="778">
        <v>8.5113166188714867E-3</v>
      </c>
      <c r="CG33" s="779">
        <v>2.1025818123903193</v>
      </c>
      <c r="CH33" s="734" t="s">
        <v>535</v>
      </c>
      <c r="CI33" s="738">
        <v>36.785397191713372</v>
      </c>
      <c r="CJ33" s="780">
        <v>0</v>
      </c>
      <c r="CK33" s="6" t="s">
        <v>99</v>
      </c>
      <c r="CL33" s="6">
        <v>1</v>
      </c>
      <c r="CN33" s="567">
        <v>1.082193843634002E-3</v>
      </c>
      <c r="CO33" s="438">
        <v>0.1271476426143679</v>
      </c>
      <c r="CP33" s="438">
        <v>0.89749617780079627</v>
      </c>
      <c r="CQ33" s="781">
        <v>240.08562368116506</v>
      </c>
      <c r="CR33" s="776">
        <v>24.982347274265262</v>
      </c>
      <c r="CS33" s="734" t="s">
        <v>100</v>
      </c>
      <c r="CT33" s="777" t="s">
        <v>92</v>
      </c>
      <c r="CU33" s="736">
        <v>100000.55555864199</v>
      </c>
      <c r="CV33" s="778">
        <v>5.5555864199413922E-4</v>
      </c>
      <c r="CW33" s="778">
        <v>9.4834015223634917E-3</v>
      </c>
      <c r="CX33" s="779">
        <v>2.148097166404038</v>
      </c>
      <c r="CY33" s="734" t="s">
        <v>535</v>
      </c>
      <c r="DB33" s="6">
        <v>0</v>
      </c>
      <c r="DC33" s="567">
        <v>1.6377524856281411E-3</v>
      </c>
      <c r="DD33" s="438">
        <v>0.19242058061814768</v>
      </c>
      <c r="DF33" s="781">
        <v>240</v>
      </c>
      <c r="DG33" s="738">
        <v>24.97</v>
      </c>
      <c r="DH33" s="735" t="s">
        <v>100</v>
      </c>
      <c r="DI33" s="738" t="s">
        <v>92</v>
      </c>
      <c r="DJ33" s="736">
        <v>99999.865741846908</v>
      </c>
      <c r="DK33" s="737">
        <v>-1.3425815309165047E-4</v>
      </c>
      <c r="DL33" s="737">
        <v>8.7974771236527544E-3</v>
      </c>
      <c r="DM33" s="779">
        <v>2.3031407127113628</v>
      </c>
      <c r="DO33" s="782"/>
      <c r="DP33" s="438"/>
      <c r="DQ33" s="438"/>
      <c r="DR33" s="438"/>
      <c r="DS33" s="567"/>
      <c r="DT33" s="567"/>
      <c r="DU33" s="567"/>
    </row>
    <row r="34" spans="2:125" x14ac:dyDescent="0.2">
      <c r="M34" s="438"/>
      <c r="N34" s="438"/>
      <c r="AB34" s="438"/>
      <c r="AF34" s="6" t="s">
        <v>103</v>
      </c>
      <c r="AG34" s="6" t="s">
        <v>104</v>
      </c>
      <c r="AI34" s="6" t="s">
        <v>105</v>
      </c>
      <c r="AJ34" s="6" t="s">
        <v>106</v>
      </c>
      <c r="AK34" s="6" t="s">
        <v>126</v>
      </c>
      <c r="AL34" s="6" t="s">
        <v>127</v>
      </c>
      <c r="AO34" s="438"/>
      <c r="AT34" s="6" t="s">
        <v>103</v>
      </c>
      <c r="AU34" s="6" t="s">
        <v>104</v>
      </c>
      <c r="AV34" s="6" t="s">
        <v>105</v>
      </c>
      <c r="AW34" s="6" t="s">
        <v>106</v>
      </c>
      <c r="AX34" s="6" t="s">
        <v>107</v>
      </c>
      <c r="AY34" s="6" t="s">
        <v>108</v>
      </c>
      <c r="BB34" s="782"/>
      <c r="BC34" s="782"/>
      <c r="BD34" s="782"/>
      <c r="BE34" s="782"/>
      <c r="BF34" s="782"/>
      <c r="BG34" s="782"/>
      <c r="BH34" s="782"/>
      <c r="BY34" s="54">
        <v>43</v>
      </c>
      <c r="BZ34" s="776">
        <v>109.99843724240688</v>
      </c>
      <c r="CA34" s="738">
        <v>50.043765981666667</v>
      </c>
      <c r="CB34" s="777" t="s">
        <v>91</v>
      </c>
      <c r="CC34" s="777" t="s">
        <v>92</v>
      </c>
      <c r="CD34" s="736">
        <v>100001.38924764097</v>
      </c>
      <c r="CE34" s="778">
        <v>1.3892476409704813E-3</v>
      </c>
      <c r="CF34" s="778">
        <v>8.3333509710108791E-3</v>
      </c>
      <c r="CG34" s="779">
        <v>2.1199496136786005</v>
      </c>
      <c r="CH34" s="734" t="s">
        <v>535</v>
      </c>
      <c r="CI34" s="738">
        <v>2.3178600081760182E-3</v>
      </c>
      <c r="CJ34" s="780">
        <v>0</v>
      </c>
      <c r="CK34" s="6" t="s">
        <v>94</v>
      </c>
      <c r="CL34" s="6">
        <v>1</v>
      </c>
      <c r="CN34" s="567">
        <v>-1.9441968071592583E-3</v>
      </c>
      <c r="CO34" s="438">
        <v>-0.23330312306808038</v>
      </c>
      <c r="CP34" s="438">
        <v>0.79398892927974996</v>
      </c>
      <c r="CQ34" s="781">
        <v>110.01380710511361</v>
      </c>
      <c r="CR34" s="776">
        <v>50.009937729703481</v>
      </c>
      <c r="CS34" s="734" t="s">
        <v>95</v>
      </c>
      <c r="CT34" s="777" t="s">
        <v>92</v>
      </c>
      <c r="CU34" s="736">
        <v>100003.33344444813</v>
      </c>
      <c r="CV34" s="778">
        <v>3.3334444481297396E-3</v>
      </c>
      <c r="CW34" s="778">
        <v>1.0495550584779941E-2</v>
      </c>
      <c r="CX34" s="779">
        <v>2.1391647222101144</v>
      </c>
      <c r="CY34" s="734" t="s">
        <v>535</v>
      </c>
      <c r="DB34" s="6">
        <v>0</v>
      </c>
      <c r="DC34" s="567">
        <v>1.3892476409704813E-3</v>
      </c>
      <c r="DD34" s="438">
        <v>0.16670936407253686</v>
      </c>
      <c r="DF34" s="781">
        <v>110</v>
      </c>
      <c r="DG34" s="738">
        <v>50</v>
      </c>
      <c r="DH34" s="735" t="s">
        <v>95</v>
      </c>
      <c r="DI34" s="738" t="s">
        <v>92</v>
      </c>
      <c r="DJ34" s="736">
        <v>100000.48773904555</v>
      </c>
      <c r="DK34" s="737">
        <v>4.8773904555127955E-4</v>
      </c>
      <c r="DL34" s="737">
        <v>8.5867648270683376E-3</v>
      </c>
      <c r="DM34" s="779">
        <v>2.4831457055425519</v>
      </c>
      <c r="DO34" s="782"/>
      <c r="DP34" s="438"/>
      <c r="DQ34" s="438"/>
      <c r="DR34" s="438"/>
      <c r="DS34" s="567"/>
      <c r="DT34" s="567"/>
      <c r="DU34" s="567"/>
    </row>
    <row r="35" spans="2:125" x14ac:dyDescent="0.2">
      <c r="M35" s="438"/>
      <c r="N35" s="438"/>
      <c r="AB35" s="438"/>
      <c r="AE35" s="6">
        <v>2001</v>
      </c>
      <c r="AF35" s="567">
        <f>DK39</f>
        <v>-4.2116933727811558E-4</v>
      </c>
      <c r="AG35" s="567">
        <f>DK37</f>
        <v>-1.108678180752031E-2</v>
      </c>
      <c r="AH35" s="567">
        <f>DL37</f>
        <v>8.6019892983513428E-3</v>
      </c>
      <c r="AI35" s="567">
        <f>DK77</f>
        <v>-3.6200085237185702E-2</v>
      </c>
      <c r="AJ35" s="567">
        <f>DK78</f>
        <v>-4.0269081922189795E-2</v>
      </c>
      <c r="AK35" s="567">
        <f>DK14</f>
        <v>-1.6500689600856277E-2</v>
      </c>
      <c r="AL35" s="567">
        <f>DK66</f>
        <v>-1.2837366808555089E-2</v>
      </c>
      <c r="AO35" s="438"/>
      <c r="AS35" s="6">
        <v>2001</v>
      </c>
      <c r="AT35" s="567">
        <v>-4.2116933727811558E-4</v>
      </c>
      <c r="AU35" s="567">
        <v>-1.108678180752031E-2</v>
      </c>
      <c r="AV35" s="567">
        <v>-3.6200085237185702E-2</v>
      </c>
      <c r="AW35" s="567">
        <v>-4.0269081922189795E-2</v>
      </c>
      <c r="AX35" s="567">
        <v>-1.3653278958518058E-2</v>
      </c>
      <c r="AY35" s="567">
        <v>-2.6047781140980077E-2</v>
      </c>
      <c r="BB35" s="782"/>
      <c r="BC35" s="782"/>
      <c r="BD35" s="782"/>
      <c r="BE35" s="782"/>
      <c r="BF35" s="782"/>
      <c r="BG35" s="782"/>
      <c r="BH35" s="782"/>
      <c r="BY35" s="54">
        <v>44</v>
      </c>
      <c r="BZ35" s="776">
        <v>109.99671990104771</v>
      </c>
      <c r="CA35" s="738">
        <v>50.047321089354952</v>
      </c>
      <c r="CB35" s="777" t="s">
        <v>96</v>
      </c>
      <c r="CC35" s="777" t="s">
        <v>92</v>
      </c>
      <c r="CD35" s="736">
        <v>99992.642144021069</v>
      </c>
      <c r="CE35" s="778">
        <v>-7.3578559789289066E-3</v>
      </c>
      <c r="CF35" s="778">
        <v>1.0136072828556098E-2</v>
      </c>
      <c r="CG35" s="779">
        <v>2.0595227174494037</v>
      </c>
      <c r="CH35" s="734" t="s">
        <v>535</v>
      </c>
      <c r="CI35" s="738">
        <v>-59.99894828406623</v>
      </c>
      <c r="CJ35" s="780">
        <v>0</v>
      </c>
      <c r="CK35" s="6" t="s">
        <v>97</v>
      </c>
      <c r="CL35" s="6">
        <v>1</v>
      </c>
      <c r="CN35" s="567">
        <v>-1.1802497963011315E-2</v>
      </c>
      <c r="CO35" s="438">
        <v>-1.164405402628959</v>
      </c>
      <c r="CP35" s="438">
        <v>0.89189041926731383</v>
      </c>
      <c r="CQ35" s="781">
        <v>110.01454124701867</v>
      </c>
      <c r="CR35" s="776">
        <v>49.996671098789768</v>
      </c>
      <c r="CS35" s="734" t="s">
        <v>560</v>
      </c>
      <c r="CT35" s="777" t="s">
        <v>92</v>
      </c>
      <c r="CU35" s="736">
        <v>100004.44464198408</v>
      </c>
      <c r="CV35" s="778">
        <v>4.4446419840824094E-3</v>
      </c>
      <c r="CW35" s="778">
        <v>1.1364706481411541E-2</v>
      </c>
      <c r="CX35" s="779">
        <v>2.0755047654140282</v>
      </c>
      <c r="CY35" s="734" t="s">
        <v>535</v>
      </c>
      <c r="DB35" s="6">
        <v>-7.0000000000000001E-3</v>
      </c>
      <c r="DC35" s="567">
        <v>-3.5785597892890649E-4</v>
      </c>
      <c r="DD35" s="438">
        <v>-3.5305190183788734E-2</v>
      </c>
      <c r="DF35" s="781">
        <v>110</v>
      </c>
      <c r="DG35" s="738">
        <v>50.01</v>
      </c>
      <c r="DH35" s="735" t="s">
        <v>560</v>
      </c>
      <c r="DI35" s="738" t="s">
        <v>92</v>
      </c>
      <c r="DJ35" s="736">
        <v>99993.04675017712</v>
      </c>
      <c r="DK35" s="737">
        <v>-6.9532498228800253E-3</v>
      </c>
      <c r="DL35" s="737">
        <v>9.7746145674120436E-3</v>
      </c>
      <c r="DM35" s="779">
        <v>2.1773428675572819</v>
      </c>
      <c r="DO35" s="782"/>
      <c r="DP35" s="438"/>
      <c r="DQ35" s="438"/>
      <c r="DR35" s="438"/>
      <c r="DS35" s="567"/>
      <c r="DT35" s="567"/>
      <c r="DU35" s="567"/>
    </row>
    <row r="36" spans="2:125" x14ac:dyDescent="0.2">
      <c r="M36" s="438"/>
      <c r="N36" s="438"/>
      <c r="AB36" s="438">
        <v>-60</v>
      </c>
      <c r="AC36" s="6">
        <v>0</v>
      </c>
      <c r="AD36" s="6">
        <v>36.9</v>
      </c>
      <c r="AE36" s="6">
        <v>2003</v>
      </c>
      <c r="AF36" s="567">
        <f>CV39</f>
        <v>-1.1109876680377056E-2</v>
      </c>
      <c r="AG36" s="567">
        <f>CV37</f>
        <v>-1.2220728577609407E-2</v>
      </c>
      <c r="AH36" s="567">
        <f>CW37</f>
        <v>9.9577051145757298E-3</v>
      </c>
      <c r="AI36" s="567">
        <f>CV77</f>
        <v>2.1115568842302309E-2</v>
      </c>
      <c r="AJ36" s="567">
        <f>CV78</f>
        <v>1.1112345816203743E-2</v>
      </c>
      <c r="AK36" s="567">
        <f>CV14</f>
        <v>7.2227438648405952E-3</v>
      </c>
      <c r="AL36" s="567">
        <f>CV58</f>
        <v>1.1112345816203743E-2</v>
      </c>
      <c r="AO36" s="438">
        <v>-60</v>
      </c>
      <c r="AP36" s="6">
        <v>0</v>
      </c>
      <c r="AQ36" s="6">
        <v>36.9</v>
      </c>
      <c r="AS36" s="6">
        <v>2003</v>
      </c>
      <c r="AT36" s="567">
        <v>-1.1109876680377056E-2</v>
      </c>
      <c r="AU36" s="567">
        <v>-1.2220728577609407E-2</v>
      </c>
      <c r="AV36" s="567">
        <v>2.1115568842302309E-2</v>
      </c>
      <c r="AW36" s="567">
        <v>1.1112345816203743E-2</v>
      </c>
      <c r="AX36" s="567">
        <v>1.1111234569252701E-3</v>
      </c>
      <c r="AY36" s="567">
        <v>1.0001000100019156E-2</v>
      </c>
      <c r="BY36" s="54">
        <v>45</v>
      </c>
      <c r="BZ36" s="776">
        <v>109.99619491411185</v>
      </c>
      <c r="CA36" s="738">
        <v>50.049687770185855</v>
      </c>
      <c r="CB36" s="777" t="s">
        <v>98</v>
      </c>
      <c r="CC36" s="777" t="s">
        <v>92</v>
      </c>
      <c r="CD36" s="736">
        <v>100007.87263028539</v>
      </c>
      <c r="CE36" s="778">
        <v>7.8726302853882046E-3</v>
      </c>
      <c r="CF36" s="778">
        <v>8.5810700548288859E-3</v>
      </c>
      <c r="CG36" s="779">
        <v>2.0969859713907546</v>
      </c>
      <c r="CH36" s="734" t="s">
        <v>535</v>
      </c>
      <c r="CI36" s="738">
        <v>36.886249666517855</v>
      </c>
      <c r="CJ36" s="780">
        <v>0</v>
      </c>
      <c r="CK36" s="6" t="s">
        <v>99</v>
      </c>
      <c r="CL36" s="6">
        <v>1</v>
      </c>
      <c r="CN36" s="567">
        <v>2.316766070694776E-3</v>
      </c>
      <c r="CO36" s="438">
        <v>0.26998568429015984</v>
      </c>
      <c r="CP36" s="438">
        <v>0.92438110315524513</v>
      </c>
      <c r="CQ36" s="781">
        <v>110.01190056585773</v>
      </c>
      <c r="CR36" s="776">
        <v>50.000326488499127</v>
      </c>
      <c r="CS36" s="734" t="s">
        <v>100</v>
      </c>
      <c r="CT36" s="777" t="s">
        <v>92</v>
      </c>
      <c r="CU36" s="736">
        <v>100005.55586421469</v>
      </c>
      <c r="CV36" s="778">
        <v>5.5558642146934286E-3</v>
      </c>
      <c r="CW36" s="778">
        <v>9.2830435688685195E-3</v>
      </c>
      <c r="CX36" s="779">
        <v>2.1740917038519827</v>
      </c>
      <c r="CY36" s="734" t="s">
        <v>535</v>
      </c>
      <c r="DB36" s="6">
        <v>1E-3</v>
      </c>
      <c r="DC36" s="567">
        <v>6.8726302853882046E-3</v>
      </c>
      <c r="DD36" s="438">
        <v>0.80090597576705724</v>
      </c>
      <c r="DF36" s="781">
        <v>110</v>
      </c>
      <c r="DG36" s="738">
        <v>50.01</v>
      </c>
      <c r="DH36" s="735" t="s">
        <v>100</v>
      </c>
      <c r="DI36" s="738" t="s">
        <v>92</v>
      </c>
      <c r="DJ36" s="736">
        <v>100001.43035712559</v>
      </c>
      <c r="DK36" s="737">
        <v>1.4303571255877615E-3</v>
      </c>
      <c r="DL36" s="737">
        <v>8.6360462677090907E-3</v>
      </c>
      <c r="DM36" s="779">
        <v>2.3787525453580378</v>
      </c>
      <c r="DO36" s="782"/>
      <c r="DP36" s="438"/>
      <c r="DQ36" s="438"/>
      <c r="DR36" s="438"/>
      <c r="DS36" s="567"/>
      <c r="DT36" s="567"/>
      <c r="DU36" s="567"/>
    </row>
    <row r="37" spans="2:125" x14ac:dyDescent="0.2">
      <c r="L37" s="567"/>
      <c r="M37" s="567"/>
      <c r="N37" s="567"/>
      <c r="Q37" s="567"/>
      <c r="AA37" s="6">
        <v>1</v>
      </c>
      <c r="AB37" s="567">
        <f>X8</f>
        <v>-7.3636989999999996E-3</v>
      </c>
      <c r="AC37" s="567">
        <f>X7</f>
        <v>-8.7427800000000003E-4</v>
      </c>
      <c r="AD37" s="567">
        <f>X9</f>
        <v>4.025725E-3</v>
      </c>
      <c r="AE37" s="6">
        <v>2005</v>
      </c>
      <c r="AF37" s="567">
        <f>CE39</f>
        <v>-1.3044501405701237E-2</v>
      </c>
      <c r="AG37" s="567">
        <f>CE37</f>
        <v>-2.2335431101261349E-2</v>
      </c>
      <c r="AH37" s="567">
        <f>CF37</f>
        <v>8.2147755950366021E-3</v>
      </c>
      <c r="AI37" s="567">
        <f>CE77</f>
        <v>-2.170038542292918E-2</v>
      </c>
      <c r="AJ37" s="567">
        <f>CE78</f>
        <v>-2.8024636111034784E-2</v>
      </c>
      <c r="AK37" s="567">
        <f>CE14</f>
        <v>-4.9243782676233749E-3</v>
      </c>
      <c r="AL37" s="567">
        <f>CE58</f>
        <v>-1.1383138333864729E-2</v>
      </c>
      <c r="AN37" s="6">
        <v>1</v>
      </c>
      <c r="AO37" s="567">
        <f>X8</f>
        <v>-7.3636989999999996E-3</v>
      </c>
      <c r="AP37" s="567">
        <f>X7</f>
        <v>-8.7427800000000003E-4</v>
      </c>
      <c r="AQ37" s="567">
        <f>X9</f>
        <v>4.025725E-3</v>
      </c>
      <c r="AS37" s="6">
        <v>2005</v>
      </c>
      <c r="AT37" s="567">
        <v>-1.3044501405701237E-2</v>
      </c>
      <c r="AU37" s="567">
        <v>-2.2335431101261349E-2</v>
      </c>
      <c r="AV37" s="567">
        <v>-2.170038542292918E-2</v>
      </c>
      <c r="AW37" s="567">
        <v>-2.8024636111034784E-2</v>
      </c>
      <c r="AX37" s="567">
        <v>-5.1011419002322533E-3</v>
      </c>
      <c r="AY37" s="567">
        <v>-3.7983324917112427E-3</v>
      </c>
      <c r="BY37" s="54">
        <v>46</v>
      </c>
      <c r="BZ37" s="776">
        <v>240.01945940359604</v>
      </c>
      <c r="CA37" s="738">
        <v>50.051808786016331</v>
      </c>
      <c r="CB37" s="777" t="s">
        <v>91</v>
      </c>
      <c r="CC37" s="777" t="s">
        <v>92</v>
      </c>
      <c r="CD37" s="736">
        <v>99977.664568898734</v>
      </c>
      <c r="CE37" s="778">
        <v>-2.2335431101261349E-2</v>
      </c>
      <c r="CF37" s="778">
        <v>8.2147755950366021E-3</v>
      </c>
      <c r="CG37" s="779">
        <v>2.1323621514200246</v>
      </c>
      <c r="CH37" s="734" t="s">
        <v>535</v>
      </c>
      <c r="CI37" s="738">
        <v>-2.2937003018515451E-2</v>
      </c>
      <c r="CJ37" s="780">
        <v>0</v>
      </c>
      <c r="CK37" s="6" t="s">
        <v>94</v>
      </c>
      <c r="CL37" s="6">
        <v>1</v>
      </c>
      <c r="CN37" s="567">
        <v>-1.0114702523651943E-2</v>
      </c>
      <c r="CO37" s="438">
        <v>-1.2312816590830897</v>
      </c>
      <c r="CP37" s="438">
        <v>0.8249667469075892</v>
      </c>
      <c r="CQ37" s="781">
        <v>240.05132734526285</v>
      </c>
      <c r="CR37" s="776">
        <v>49.999607505572243</v>
      </c>
      <c r="CS37" s="734" t="s">
        <v>95</v>
      </c>
      <c r="CT37" s="777" t="s">
        <v>92</v>
      </c>
      <c r="CU37" s="736">
        <v>99987.779271422391</v>
      </c>
      <c r="CV37" s="778">
        <v>-1.2220728577609407E-2</v>
      </c>
      <c r="CW37" s="778">
        <v>9.9577051145757298E-3</v>
      </c>
      <c r="CX37" s="779">
        <v>2.1419454298541987</v>
      </c>
      <c r="CY37" s="734" t="s">
        <v>535</v>
      </c>
      <c r="DB37" s="6">
        <v>-1.0999999999999999E-2</v>
      </c>
      <c r="DC37" s="567">
        <v>-1.133543110126135E-2</v>
      </c>
      <c r="DD37" s="438">
        <v>-1.3798832323685457</v>
      </c>
      <c r="DF37" s="781">
        <v>240</v>
      </c>
      <c r="DG37" s="738">
        <v>50</v>
      </c>
      <c r="DH37" s="735" t="s">
        <v>95</v>
      </c>
      <c r="DI37" s="738" t="s">
        <v>92</v>
      </c>
      <c r="DJ37" s="736">
        <v>99988.91321819248</v>
      </c>
      <c r="DK37" s="737">
        <v>-1.108678180752031E-2</v>
      </c>
      <c r="DL37" s="737">
        <v>8.6019892983513428E-3</v>
      </c>
      <c r="DM37" s="779">
        <v>2.4861101886279058</v>
      </c>
      <c r="DO37" s="782"/>
      <c r="DP37" s="438"/>
      <c r="DQ37" s="438"/>
      <c r="DR37" s="438"/>
      <c r="DS37" s="567"/>
      <c r="DT37" s="567"/>
      <c r="DU37" s="567"/>
    </row>
    <row r="38" spans="2:125" x14ac:dyDescent="0.2">
      <c r="L38" s="567"/>
      <c r="M38" s="567"/>
      <c r="N38" s="567"/>
      <c r="Q38" s="567"/>
      <c r="AA38" s="6">
        <v>5</v>
      </c>
      <c r="AB38" s="567">
        <f>X14</f>
        <v>-7.2903359999999997E-3</v>
      </c>
      <c r="AC38" s="567">
        <f>X13</f>
        <v>-1.224052E-3</v>
      </c>
      <c r="AD38" s="567">
        <f>X15</f>
        <v>1.7512300000000001E-3</v>
      </c>
      <c r="AE38" s="6">
        <v>2007</v>
      </c>
      <c r="AF38" s="567">
        <f>BF27</f>
        <v>-2.6737330000000002E-3</v>
      </c>
      <c r="AG38" s="567">
        <f>BF25</f>
        <v>-6.5399560000000004E-3</v>
      </c>
      <c r="AH38" s="567">
        <f>BG25</f>
        <v>4.828812E-3</v>
      </c>
      <c r="AI38" s="567">
        <f>BF67</f>
        <v>2.3728000000000001E-4</v>
      </c>
      <c r="AJ38" s="567">
        <f>BF68</f>
        <v>-8.4892590000000007E-3</v>
      </c>
      <c r="AK38" s="567">
        <f>BF14</f>
        <v>-3.8663180000000001E-3</v>
      </c>
      <c r="AL38" s="567">
        <f>BF58</f>
        <v>-2.5863200000000001E-4</v>
      </c>
      <c r="AN38" s="6">
        <v>5</v>
      </c>
      <c r="AO38" s="567">
        <f>X14</f>
        <v>-7.2903359999999997E-3</v>
      </c>
      <c r="AP38" s="567">
        <f>X13</f>
        <v>-1.224052E-3</v>
      </c>
      <c r="AQ38" s="567">
        <f>X15</f>
        <v>1.7512300000000001E-3</v>
      </c>
      <c r="AS38" s="6">
        <v>2007</v>
      </c>
      <c r="AT38" s="567">
        <v>-2.6737330000000002E-3</v>
      </c>
      <c r="AU38" s="567">
        <v>-6.5399560000000004E-3</v>
      </c>
      <c r="AV38" s="567">
        <v>2.3728000000000001E-4</v>
      </c>
      <c r="AW38" s="567">
        <v>-8.4892590000000007E-3</v>
      </c>
      <c r="AX38" s="567">
        <v>-4.5169229999999999E-3</v>
      </c>
      <c r="AY38" s="567">
        <v>-3.3672490000000001E-3</v>
      </c>
      <c r="BY38" s="54">
        <v>47</v>
      </c>
      <c r="BZ38" s="776">
        <v>240.01967611044211</v>
      </c>
      <c r="CA38" s="738">
        <v>50.049939146616353</v>
      </c>
      <c r="CB38" s="777" t="s">
        <v>96</v>
      </c>
      <c r="CC38" s="777" t="s">
        <v>92</v>
      </c>
      <c r="CD38" s="736">
        <v>99989.945653636285</v>
      </c>
      <c r="CE38" s="778">
        <v>-1.0054346363719269E-2</v>
      </c>
      <c r="CF38" s="778">
        <v>9.959994670578811E-3</v>
      </c>
      <c r="CG38" s="779">
        <v>2.0678695353376675</v>
      </c>
      <c r="CH38" s="734" t="s">
        <v>535</v>
      </c>
      <c r="CI38" s="738">
        <v>-60.01450879441196</v>
      </c>
      <c r="CJ38" s="780">
        <v>0</v>
      </c>
      <c r="CK38" s="6" t="s">
        <v>97</v>
      </c>
      <c r="CL38" s="6">
        <v>1</v>
      </c>
      <c r="CN38" s="567">
        <v>-1.5610210578412697E-2</v>
      </c>
      <c r="CO38" s="438">
        <v>-1.567291057346071</v>
      </c>
      <c r="CP38" s="438">
        <v>0.94472264663651551</v>
      </c>
      <c r="CQ38" s="781">
        <v>240.05310146784737</v>
      </c>
      <c r="CR38" s="776">
        <v>49.995251374372828</v>
      </c>
      <c r="CS38" s="734" t="s">
        <v>560</v>
      </c>
      <c r="CT38" s="777" t="s">
        <v>92</v>
      </c>
      <c r="CU38" s="736">
        <v>100005.55586421469</v>
      </c>
      <c r="CV38" s="778">
        <v>5.5558642146934286E-3</v>
      </c>
      <c r="CW38" s="778">
        <v>1.0542771157269553E-2</v>
      </c>
      <c r="CX38" s="779">
        <v>2.1026179190204837</v>
      </c>
      <c r="CY38" s="734" t="s">
        <v>535</v>
      </c>
      <c r="DB38" s="6">
        <v>-0.01</v>
      </c>
      <c r="DC38" s="567">
        <v>-5.4346363719268501E-5</v>
      </c>
      <c r="DD38" s="438">
        <v>-5.4564651404688186E-3</v>
      </c>
      <c r="DF38" s="781">
        <v>240</v>
      </c>
      <c r="DG38" s="738">
        <v>50.01</v>
      </c>
      <c r="DH38" s="735" t="s">
        <v>560</v>
      </c>
      <c r="DI38" s="738" t="s">
        <v>92</v>
      </c>
      <c r="DJ38" s="736">
        <v>99989.865856001721</v>
      </c>
      <c r="DK38" s="737">
        <v>-1.0134143998278887E-2</v>
      </c>
      <c r="DL38" s="737">
        <v>1.0077160538845718E-2</v>
      </c>
      <c r="DM38" s="779">
        <v>2.1517632501142989</v>
      </c>
      <c r="DO38" s="782"/>
      <c r="DP38" s="438"/>
      <c r="DQ38" s="438"/>
      <c r="DR38" s="438"/>
      <c r="DS38" s="567"/>
      <c r="DT38" s="567"/>
      <c r="DU38" s="567"/>
    </row>
    <row r="39" spans="2:125" x14ac:dyDescent="0.2">
      <c r="L39" s="567"/>
      <c r="M39" s="567"/>
      <c r="N39" s="567"/>
      <c r="Q39" s="567"/>
      <c r="AA39" s="782">
        <v>25</v>
      </c>
      <c r="AB39" s="567">
        <f>X25</f>
        <v>-3.719787E-3</v>
      </c>
      <c r="AC39" s="567">
        <f>X25</f>
        <v>-3.719787E-3</v>
      </c>
      <c r="AD39" s="567">
        <f>X27</f>
        <v>3.9943679999999999E-3</v>
      </c>
      <c r="AE39" s="6">
        <v>2009</v>
      </c>
      <c r="AF39" s="567">
        <v>-4.4384812505904314E-3</v>
      </c>
      <c r="AG39" s="567">
        <f>AX25</f>
        <v>-1.0860438109827619E-3</v>
      </c>
      <c r="AH39" s="567">
        <f>AY25</f>
        <v>8.2506562355229261E-3</v>
      </c>
      <c r="AI39" s="567">
        <v>-1.0992457932490485E-2</v>
      </c>
      <c r="AJ39" s="567">
        <v>-1.9188784598811459E-2</v>
      </c>
      <c r="AK39" s="567">
        <f>AX14</f>
        <v>-8.1633193560470829E-5</v>
      </c>
      <c r="AL39" s="567">
        <f>AX58</f>
        <v>-4.4020366182340176E-3</v>
      </c>
      <c r="AN39" s="6">
        <v>50</v>
      </c>
      <c r="AO39" s="567">
        <f>X26</f>
        <v>-6.9729329999999997E-3</v>
      </c>
      <c r="AP39" s="567">
        <f>X25</f>
        <v>-3.719787E-3</v>
      </c>
      <c r="AQ39" s="567">
        <f>X27</f>
        <v>3.9943679999999999E-3</v>
      </c>
      <c r="AS39" s="6">
        <v>2009</v>
      </c>
      <c r="AT39" s="567">
        <v>-4.4384812505904314E-3</v>
      </c>
      <c r="AU39" s="567">
        <v>-1.0860438109827619E-3</v>
      </c>
      <c r="AV39" s="567">
        <v>-1.0992457932490485E-2</v>
      </c>
      <c r="AW39" s="567">
        <v>-1.9188784598811459E-2</v>
      </c>
      <c r="AX39" s="567">
        <v>1.0225509891492734E-3</v>
      </c>
      <c r="AY39" s="567">
        <v>-1.4508884806796463E-2</v>
      </c>
      <c r="BY39" s="54">
        <v>48</v>
      </c>
      <c r="BZ39" s="776">
        <v>240.01785199888505</v>
      </c>
      <c r="CA39" s="738">
        <v>50.049005740545425</v>
      </c>
      <c r="CB39" s="777" t="s">
        <v>98</v>
      </c>
      <c r="CC39" s="777" t="s">
        <v>92</v>
      </c>
      <c r="CD39" s="736">
        <v>99986.955498594296</v>
      </c>
      <c r="CE39" s="778">
        <v>-1.3044501405701237E-2</v>
      </c>
      <c r="CF39" s="778">
        <v>8.4989772003388371E-3</v>
      </c>
      <c r="CG39" s="779">
        <v>2.1033623045162573</v>
      </c>
      <c r="CH39" s="734" t="s">
        <v>535</v>
      </c>
      <c r="CI39" s="738">
        <v>36.884284756749459</v>
      </c>
      <c r="CJ39" s="780">
        <v>0</v>
      </c>
      <c r="CK39" s="6" t="s">
        <v>99</v>
      </c>
      <c r="CL39" s="6">
        <v>1</v>
      </c>
      <c r="CN39" s="567">
        <v>-1.9346247253241803E-3</v>
      </c>
      <c r="CO39" s="438">
        <v>-0.22763029947262955</v>
      </c>
      <c r="CP39" s="438">
        <v>0.91496531478887788</v>
      </c>
      <c r="CQ39" s="781">
        <v>240.04821591960558</v>
      </c>
      <c r="CR39" s="776">
        <v>49.999680881608988</v>
      </c>
      <c r="CS39" s="734" t="s">
        <v>100</v>
      </c>
      <c r="CT39" s="777" t="s">
        <v>92</v>
      </c>
      <c r="CU39" s="736">
        <v>99988.890123319623</v>
      </c>
      <c r="CV39" s="778">
        <v>-1.1109876680377056E-2</v>
      </c>
      <c r="CW39" s="778">
        <v>9.2888517881138683E-3</v>
      </c>
      <c r="CX39" s="779">
        <v>2.1742014090206325</v>
      </c>
      <c r="CY39" s="734" t="s">
        <v>535</v>
      </c>
      <c r="DB39" s="6">
        <v>0</v>
      </c>
      <c r="DC39" s="567">
        <v>-1.3044501405701237E-2</v>
      </c>
      <c r="DD39" s="438">
        <v>-1.5348319095597973</v>
      </c>
      <c r="DF39" s="781">
        <v>240</v>
      </c>
      <c r="DG39" s="738">
        <v>50.01</v>
      </c>
      <c r="DH39" s="735" t="s">
        <v>100</v>
      </c>
      <c r="DI39" s="738" t="s">
        <v>92</v>
      </c>
      <c r="DJ39" s="736">
        <v>99999.578830662722</v>
      </c>
      <c r="DK39" s="737">
        <v>-4.2116933727811558E-4</v>
      </c>
      <c r="DL39" s="737">
        <v>8.600504650416535E-3</v>
      </c>
      <c r="DM39" s="779">
        <v>2.4297202408062044</v>
      </c>
      <c r="DO39" s="782"/>
      <c r="DP39" s="438"/>
      <c r="DQ39" s="438"/>
      <c r="DR39" s="438"/>
      <c r="DS39" s="567"/>
      <c r="DT39" s="567"/>
      <c r="DU39" s="567"/>
    </row>
    <row r="40" spans="2:125" x14ac:dyDescent="0.2">
      <c r="L40" s="567"/>
      <c r="M40" s="567"/>
      <c r="N40" s="567"/>
      <c r="Q40" s="567"/>
      <c r="AA40" s="6">
        <v>50</v>
      </c>
      <c r="AB40" s="567">
        <f>X26</f>
        <v>-6.9729329999999997E-3</v>
      </c>
      <c r="AC40" s="567">
        <f>X25</f>
        <v>-3.719787E-3</v>
      </c>
      <c r="AD40" s="567">
        <f>X27</f>
        <v>3.9943679999999999E-3</v>
      </c>
      <c r="AE40" s="6">
        <v>2011</v>
      </c>
      <c r="AF40" s="567">
        <f>AK27</f>
        <v>1.8446117954651342E-3</v>
      </c>
      <c r="AG40" s="567">
        <f>AK25</f>
        <v>-2.6011027474126536E-3</v>
      </c>
      <c r="AH40" s="567">
        <f>AL25</f>
        <v>8.3456635355364014E-3</v>
      </c>
      <c r="AI40" s="567">
        <f>AK67</f>
        <v>-2.5764713895348734E-2</v>
      </c>
      <c r="AJ40" s="567">
        <f>AK68</f>
        <v>-3.0111799322185551E-2</v>
      </c>
      <c r="AK40" s="567">
        <f>AK14</f>
        <v>-2.0098936963308667E-3</v>
      </c>
      <c r="AL40" s="567">
        <f>AK58</f>
        <v>1.7275228297863876E-3</v>
      </c>
      <c r="AN40" s="6">
        <v>100</v>
      </c>
      <c r="AO40" s="567">
        <f>X29</f>
        <v>-1.0428076E-2</v>
      </c>
      <c r="AP40" s="567">
        <f>X28</f>
        <v>1.049557E-3</v>
      </c>
      <c r="AQ40" s="567">
        <f>X30</f>
        <v>2.8539350000000002E-3</v>
      </c>
      <c r="BY40" s="54">
        <v>57</v>
      </c>
      <c r="BZ40" s="776">
        <v>109.99707731854562</v>
      </c>
      <c r="CA40" s="738">
        <v>100.01891137627295</v>
      </c>
      <c r="CB40" s="777" t="s">
        <v>91</v>
      </c>
      <c r="CC40" s="777" t="s">
        <v>101</v>
      </c>
      <c r="CD40" s="736">
        <v>100000.25540055832</v>
      </c>
      <c r="CE40" s="778">
        <v>2.5540055832440345E-4</v>
      </c>
      <c r="CF40" s="778">
        <v>8.2007963236418943E-3</v>
      </c>
      <c r="CG40" s="779">
        <v>2.1339573862922268</v>
      </c>
      <c r="CH40" s="734" t="s">
        <v>535</v>
      </c>
      <c r="CI40" s="738">
        <v>7.8523727592229142E-2</v>
      </c>
      <c r="CJ40" s="780" t="s">
        <v>109</v>
      </c>
      <c r="CK40" s="6" t="s">
        <v>94</v>
      </c>
      <c r="CL40" s="6">
        <v>1</v>
      </c>
      <c r="CN40" s="567">
        <v>-2.5224543821076042E-3</v>
      </c>
      <c r="CO40" s="438">
        <v>-0.30758651752338689</v>
      </c>
      <c r="CP40" s="438">
        <v>0.90577276911066096</v>
      </c>
      <c r="CQ40" s="781">
        <v>110.00565785562031</v>
      </c>
      <c r="CR40" s="776">
        <v>99.976053265410627</v>
      </c>
      <c r="CS40" s="734" t="s">
        <v>95</v>
      </c>
      <c r="CT40" s="777" t="s">
        <v>101</v>
      </c>
      <c r="CU40" s="736">
        <v>100002.77785494043</v>
      </c>
      <c r="CV40" s="778">
        <v>2.7778549404320076E-3</v>
      </c>
      <c r="CW40" s="778">
        <v>9.0539223559280776E-3</v>
      </c>
      <c r="CX40" s="779">
        <v>2.2186003015869766</v>
      </c>
      <c r="CY40" s="734" t="s">
        <v>535</v>
      </c>
      <c r="DB40" s="6">
        <v>2E-3</v>
      </c>
      <c r="DC40" s="567">
        <v>-1.7445994416755966E-3</v>
      </c>
      <c r="DD40" s="438">
        <v>-0.21273537017937263</v>
      </c>
      <c r="DF40" s="781">
        <v>110</v>
      </c>
      <c r="DG40" s="738">
        <v>99.97</v>
      </c>
      <c r="DH40" s="735" t="s">
        <v>95</v>
      </c>
      <c r="DI40" s="738" t="s">
        <v>101</v>
      </c>
      <c r="DJ40" s="736">
        <v>100002.08302227782</v>
      </c>
      <c r="DK40" s="737">
        <v>2.0830222778167808E-3</v>
      </c>
      <c r="DL40" s="737">
        <v>8.6031704754218445E-3</v>
      </c>
      <c r="DM40" s="779">
        <v>2.4445166540478644</v>
      </c>
      <c r="DO40" s="782"/>
      <c r="DP40" s="438"/>
      <c r="DQ40" s="438"/>
      <c r="DR40" s="438"/>
      <c r="DS40" s="567"/>
      <c r="DT40" s="567"/>
      <c r="DU40" s="567"/>
    </row>
    <row r="41" spans="2:125" x14ac:dyDescent="0.2">
      <c r="L41" s="567"/>
      <c r="M41" s="567"/>
      <c r="N41" s="567"/>
      <c r="Q41" s="567"/>
      <c r="AA41" s="6">
        <v>100</v>
      </c>
      <c r="AB41" s="567">
        <f>X29</f>
        <v>-1.0428076E-2</v>
      </c>
      <c r="AC41" s="567">
        <f>X28</f>
        <v>1.049557E-3</v>
      </c>
      <c r="AD41" s="567">
        <f>X30</f>
        <v>2.8539350000000002E-3</v>
      </c>
      <c r="AE41" s="6">
        <v>2013</v>
      </c>
      <c r="AF41" s="567">
        <f>X27</f>
        <v>3.9943679999999999E-3</v>
      </c>
      <c r="AG41" s="567">
        <f>X25</f>
        <v>-3.719787E-3</v>
      </c>
      <c r="AH41" s="567">
        <f>Y25</f>
        <v>5.1976059999999996E-3</v>
      </c>
      <c r="AI41" s="567">
        <f>X67</f>
        <v>-6.1013580000000003E-3</v>
      </c>
      <c r="AJ41" s="567">
        <f>X68</f>
        <v>-1.6115303000000001E-2</v>
      </c>
      <c r="AK41" s="567">
        <f>X14</f>
        <v>-7.2903359999999997E-3</v>
      </c>
      <c r="AL41" s="567">
        <f>X58</f>
        <v>-5.2896310000000004E-3</v>
      </c>
      <c r="BY41" s="54">
        <v>58</v>
      </c>
      <c r="BZ41" s="776">
        <v>109.99734086663177</v>
      </c>
      <c r="CA41" s="738">
        <v>100.02727996271656</v>
      </c>
      <c r="CB41" s="777" t="s">
        <v>96</v>
      </c>
      <c r="CC41" s="777" t="s">
        <v>101</v>
      </c>
      <c r="CD41" s="736">
        <v>99988.545134494518</v>
      </c>
      <c r="CE41" s="778">
        <v>-1.1454865505478029E-2</v>
      </c>
      <c r="CF41" s="778">
        <v>9.9345093752605199E-3</v>
      </c>
      <c r="CG41" s="779">
        <v>2.0688725488247179</v>
      </c>
      <c r="CH41" s="734" t="s">
        <v>535</v>
      </c>
      <c r="CI41" s="738">
        <v>-59.923633692317232</v>
      </c>
      <c r="CJ41" s="780" t="s">
        <v>110</v>
      </c>
      <c r="CK41" s="6" t="s">
        <v>97</v>
      </c>
      <c r="CL41" s="6">
        <v>1</v>
      </c>
      <c r="CN41" s="567">
        <v>-1.3677137111513095E-2</v>
      </c>
      <c r="CO41" s="438">
        <v>-1.376730001943798</v>
      </c>
      <c r="CP41" s="438">
        <v>0.92473590243064752</v>
      </c>
      <c r="CQ41" s="781">
        <v>110.01027667184202</v>
      </c>
      <c r="CR41" s="776">
        <v>99.966037998614738</v>
      </c>
      <c r="CS41" s="734" t="s">
        <v>560</v>
      </c>
      <c r="CT41" s="777" t="s">
        <v>101</v>
      </c>
      <c r="CU41" s="736">
        <v>100002.22227160604</v>
      </c>
      <c r="CV41" s="778">
        <v>2.2222716060350651E-3</v>
      </c>
      <c r="CW41" s="778">
        <v>1.0743077400961599E-2</v>
      </c>
      <c r="CX41" s="779">
        <v>2.0905727808511445</v>
      </c>
      <c r="CY41" s="734" t="s">
        <v>535</v>
      </c>
      <c r="DB41" s="6">
        <v>-1.0999999999999999E-2</v>
      </c>
      <c r="DC41" s="567">
        <v>-4.548655054780297E-4</v>
      </c>
      <c r="DD41" s="438">
        <v>-4.5786408598170097E-2</v>
      </c>
      <c r="DF41" s="781">
        <v>110</v>
      </c>
      <c r="DG41" s="738">
        <v>99.98</v>
      </c>
      <c r="DH41" s="735" t="s">
        <v>560</v>
      </c>
      <c r="DI41" s="738" t="s">
        <v>101</v>
      </c>
      <c r="DJ41" s="736">
        <v>99988.691256799153</v>
      </c>
      <c r="DK41" s="737">
        <v>-1.1308743200846948E-2</v>
      </c>
      <c r="DL41" s="737">
        <v>1.0026960124324155E-2</v>
      </c>
      <c r="DM41" s="779">
        <v>2.1525752978027208</v>
      </c>
      <c r="DO41" s="782"/>
      <c r="DP41" s="438"/>
      <c r="DQ41" s="438"/>
      <c r="DR41" s="438"/>
      <c r="DS41" s="567"/>
      <c r="DT41" s="567"/>
      <c r="DU41" s="567"/>
    </row>
    <row r="42" spans="2:125" x14ac:dyDescent="0.2">
      <c r="M42" s="438"/>
      <c r="N42" s="438"/>
      <c r="AB42" s="438"/>
      <c r="AE42" s="6">
        <v>2015</v>
      </c>
      <c r="AF42" s="567">
        <f>H27</f>
        <v>6.9410540000000003E-3</v>
      </c>
      <c r="AG42" s="567">
        <f>H25</f>
        <v>3.9287849999999997E-3</v>
      </c>
      <c r="AH42" s="567">
        <f>I25</f>
        <v>4.7629769999999998E-3</v>
      </c>
      <c r="AI42" s="567"/>
      <c r="AJ42" s="567"/>
      <c r="AK42" s="567">
        <f>H14</f>
        <v>-4.2056300000000001E-3</v>
      </c>
      <c r="AL42" s="567">
        <f>H58</f>
        <v>-6.4105800000000001E-4</v>
      </c>
      <c r="AO42" s="438"/>
      <c r="BY42" s="54">
        <v>59</v>
      </c>
      <c r="BZ42" s="776">
        <v>109.99561314569868</v>
      </c>
      <c r="CA42" s="738">
        <v>100.02018553838748</v>
      </c>
      <c r="CB42" s="777" t="s">
        <v>98</v>
      </c>
      <c r="CC42" s="777" t="s">
        <v>101</v>
      </c>
      <c r="CD42" s="736">
        <v>100004.0538962443</v>
      </c>
      <c r="CE42" s="778">
        <v>4.0538962442937532E-3</v>
      </c>
      <c r="CF42" s="778">
        <v>8.5110386682332624E-3</v>
      </c>
      <c r="CG42" s="779">
        <v>2.1028223382261473</v>
      </c>
      <c r="CH42" s="734" t="s">
        <v>535</v>
      </c>
      <c r="CI42" s="738">
        <v>36.978050097155119</v>
      </c>
      <c r="CJ42" s="780" t="s">
        <v>111</v>
      </c>
      <c r="CK42" s="6" t="s">
        <v>99</v>
      </c>
      <c r="CL42" s="6">
        <v>1</v>
      </c>
      <c r="CN42" s="567">
        <v>-3.168847620546842E-3</v>
      </c>
      <c r="CO42" s="438">
        <v>-0.37232208007399847</v>
      </c>
      <c r="CP42" s="438">
        <v>0.88591074831600514</v>
      </c>
      <c r="CQ42" s="781">
        <v>110.00541214792014</v>
      </c>
      <c r="CR42" s="776">
        <v>99.974063533705575</v>
      </c>
      <c r="CS42" s="734" t="s">
        <v>100</v>
      </c>
      <c r="CT42" s="777" t="s">
        <v>101</v>
      </c>
      <c r="CU42" s="736">
        <v>100007.22274386484</v>
      </c>
      <c r="CV42" s="778">
        <v>7.2227438648405952E-3</v>
      </c>
      <c r="CW42" s="778">
        <v>9.6071062287161318E-3</v>
      </c>
      <c r="CX42" s="779">
        <v>2.1367861116171518</v>
      </c>
      <c r="CY42" s="734" t="s">
        <v>535</v>
      </c>
      <c r="DB42" s="6">
        <v>0</v>
      </c>
      <c r="DC42" s="567">
        <v>4.0538962442937532E-3</v>
      </c>
      <c r="DD42" s="438">
        <v>0.47631040138785652</v>
      </c>
      <c r="DF42" s="781">
        <v>110</v>
      </c>
      <c r="DG42" s="738">
        <v>99.98</v>
      </c>
      <c r="DH42" s="735" t="s">
        <v>100</v>
      </c>
      <c r="DI42" s="738" t="s">
        <v>101</v>
      </c>
      <c r="DJ42" s="736">
        <v>100000.24104835883</v>
      </c>
      <c r="DK42" s="737">
        <v>2.4104835883190389E-4</v>
      </c>
      <c r="DL42" s="737">
        <v>8.5946731000696528E-3</v>
      </c>
      <c r="DM42" s="779">
        <v>2.415082361652932</v>
      </c>
      <c r="DO42" s="782"/>
      <c r="DP42" s="438"/>
      <c r="DQ42" s="438"/>
      <c r="DR42" s="438"/>
      <c r="DS42" s="567"/>
      <c r="DT42" s="567"/>
      <c r="DU42" s="567"/>
    </row>
    <row r="43" spans="2:125" x14ac:dyDescent="0.2">
      <c r="M43" s="438"/>
      <c r="N43" s="438"/>
      <c r="AB43" s="438"/>
      <c r="AO43" s="438"/>
      <c r="BY43" s="54">
        <v>60</v>
      </c>
      <c r="BZ43" s="776">
        <v>240.0184315358336</v>
      </c>
      <c r="CA43" s="738">
        <v>100.01935923444138</v>
      </c>
      <c r="CB43" s="777" t="s">
        <v>91</v>
      </c>
      <c r="CC43" s="777" t="s">
        <v>101</v>
      </c>
      <c r="CD43" s="736">
        <v>99998.441571366537</v>
      </c>
      <c r="CE43" s="778">
        <v>-1.55842863346356E-3</v>
      </c>
      <c r="CF43" s="778">
        <v>8.1658527133014382E-3</v>
      </c>
      <c r="CG43" s="779">
        <v>2.1384860619105948</v>
      </c>
      <c r="CH43" s="734" t="s">
        <v>535</v>
      </c>
      <c r="CI43" s="738">
        <v>7.074925267856963E-2</v>
      </c>
      <c r="CJ43" s="780" t="s">
        <v>112</v>
      </c>
      <c r="CK43" s="6" t="s">
        <v>94</v>
      </c>
      <c r="CL43" s="6">
        <v>1</v>
      </c>
      <c r="CN43" s="567">
        <v>-3.2251230783733684E-3</v>
      </c>
      <c r="CO43" s="438">
        <v>-0.39495239402492938</v>
      </c>
      <c r="CP43" s="438">
        <v>0.87419686475503167</v>
      </c>
      <c r="CQ43" s="781">
        <v>240.07000587563027</v>
      </c>
      <c r="CR43" s="776">
        <v>99.984565686515325</v>
      </c>
      <c r="CS43" s="734" t="s">
        <v>95</v>
      </c>
      <c r="CT43" s="777" t="s">
        <v>101</v>
      </c>
      <c r="CU43" s="736">
        <v>100001.66669444491</v>
      </c>
      <c r="CV43" s="778">
        <v>1.6666944449098082E-3</v>
      </c>
      <c r="CW43" s="778">
        <v>9.340976892647266E-3</v>
      </c>
      <c r="CX43" s="779">
        <v>2.1720220586873755</v>
      </c>
      <c r="CY43" s="734" t="s">
        <v>535</v>
      </c>
      <c r="DB43" s="6">
        <v>-6.0000000000000001E-3</v>
      </c>
      <c r="DC43" s="567">
        <v>4.4415713665364401E-3</v>
      </c>
      <c r="DD43" s="438">
        <v>0.54392009291344678</v>
      </c>
      <c r="DF43" s="781">
        <v>240</v>
      </c>
      <c r="DG43" s="738">
        <v>99.97</v>
      </c>
      <c r="DH43" s="735" t="s">
        <v>95</v>
      </c>
      <c r="DI43" s="738" t="s">
        <v>101</v>
      </c>
      <c r="DJ43" s="736">
        <v>99993.872975427308</v>
      </c>
      <c r="DK43" s="737">
        <v>-6.12702457269188E-3</v>
      </c>
      <c r="DL43" s="737">
        <v>8.6044722022582381E-3</v>
      </c>
      <c r="DM43" s="779">
        <v>2.5537256147787049</v>
      </c>
      <c r="DO43" s="782"/>
      <c r="DP43" s="438"/>
      <c r="DQ43" s="438"/>
      <c r="DR43" s="438"/>
      <c r="DS43" s="567"/>
      <c r="DT43" s="567"/>
      <c r="DU43" s="567"/>
    </row>
    <row r="44" spans="2:125" x14ac:dyDescent="0.2">
      <c r="M44" s="438"/>
      <c r="N44" s="438"/>
      <c r="AB44" s="438"/>
      <c r="AO44" s="438"/>
      <c r="BY44" s="54">
        <v>61</v>
      </c>
      <c r="BZ44" s="776">
        <v>240.02192483213662</v>
      </c>
      <c r="CA44" s="738">
        <v>100.02682956366371</v>
      </c>
      <c r="CB44" s="777" t="s">
        <v>96</v>
      </c>
      <c r="CC44" s="777" t="s">
        <v>101</v>
      </c>
      <c r="CD44" s="736">
        <v>99987.301023451058</v>
      </c>
      <c r="CE44" s="778">
        <v>-1.2698976548941587E-2</v>
      </c>
      <c r="CF44" s="778">
        <v>9.9314371206926377E-3</v>
      </c>
      <c r="CG44" s="779">
        <v>2.0690843645819457</v>
      </c>
      <c r="CH44" s="734" t="s">
        <v>535</v>
      </c>
      <c r="CI44" s="738">
        <v>-59.929871507769974</v>
      </c>
      <c r="CJ44" s="780">
        <v>0</v>
      </c>
      <c r="CK44" s="6" t="s">
        <v>97</v>
      </c>
      <c r="CL44" s="6">
        <v>1</v>
      </c>
      <c r="CN44" s="567">
        <v>-1.0476803708341337E-2</v>
      </c>
      <c r="CO44" s="438">
        <v>-1.0549131591955005</v>
      </c>
      <c r="CP44" s="438">
        <v>0.92399479243305715</v>
      </c>
      <c r="CQ44" s="781">
        <v>240.0687319936745</v>
      </c>
      <c r="CR44" s="776">
        <v>99.97112248877913</v>
      </c>
      <c r="CS44" s="734" t="s">
        <v>560</v>
      </c>
      <c r="CT44" s="777" t="s">
        <v>101</v>
      </c>
      <c r="CU44" s="736">
        <v>99997.7778271594</v>
      </c>
      <c r="CV44" s="778">
        <v>-2.2221728406002514E-3</v>
      </c>
      <c r="CW44" s="778">
        <v>1.0748369148857691E-2</v>
      </c>
      <c r="CX44" s="779">
        <v>2.0899767524461064</v>
      </c>
      <c r="CY44" s="734" t="s">
        <v>535</v>
      </c>
      <c r="DB44" s="6">
        <v>-1.9E-2</v>
      </c>
      <c r="DC44" s="567">
        <v>6.3010234510584122E-3</v>
      </c>
      <c r="DD44" s="438">
        <v>0.63445233297907311</v>
      </c>
      <c r="DF44" s="781">
        <v>240</v>
      </c>
      <c r="DG44" s="738">
        <v>99.99</v>
      </c>
      <c r="DH44" s="735" t="s">
        <v>560</v>
      </c>
      <c r="DI44" s="738" t="s">
        <v>101</v>
      </c>
      <c r="DJ44" s="736">
        <v>99980.965765932619</v>
      </c>
      <c r="DK44" s="737">
        <v>-1.9034234067381476E-2</v>
      </c>
      <c r="DL44" s="737">
        <v>9.9103257860525609E-3</v>
      </c>
      <c r="DM44" s="779">
        <v>2.165159798352335</v>
      </c>
      <c r="DO44" s="782"/>
      <c r="DP44" s="438"/>
      <c r="DQ44" s="438"/>
      <c r="DR44" s="438"/>
      <c r="DS44" s="567"/>
      <c r="DT44" s="567"/>
      <c r="DU44" s="567"/>
    </row>
    <row r="45" spans="2:125" ht="13.5" thickBot="1" x14ac:dyDescent="0.25">
      <c r="M45" s="438"/>
      <c r="N45" s="438"/>
      <c r="AB45" s="438"/>
      <c r="AO45" s="438"/>
      <c r="BY45" s="54">
        <v>62</v>
      </c>
      <c r="BZ45" s="776">
        <v>240.01947135391342</v>
      </c>
      <c r="CA45" s="738">
        <v>100.02618713924306</v>
      </c>
      <c r="CB45" s="777" t="s">
        <v>98</v>
      </c>
      <c r="CC45" s="777" t="s">
        <v>101</v>
      </c>
      <c r="CD45" s="736">
        <v>99996.008440917329</v>
      </c>
      <c r="CE45" s="778">
        <v>-3.9915590826722358E-3</v>
      </c>
      <c r="CF45" s="778">
        <v>8.4961750635251278E-3</v>
      </c>
      <c r="CG45" s="779">
        <v>2.1038828967079048</v>
      </c>
      <c r="CH45" s="734" t="s">
        <v>535</v>
      </c>
      <c r="CI45" s="738">
        <v>36.973493596864571</v>
      </c>
      <c r="CJ45" s="780">
        <v>0</v>
      </c>
      <c r="CK45" s="6" t="s">
        <v>99</v>
      </c>
      <c r="CL45" s="6">
        <v>1</v>
      </c>
      <c r="CN45" s="567">
        <v>-1.0658670223406285E-2</v>
      </c>
      <c r="CO45" s="438">
        <v>-1.2545257299564072</v>
      </c>
      <c r="CP45" s="438">
        <v>0.8206818117760919</v>
      </c>
      <c r="CQ45" s="781">
        <v>240.06305589959598</v>
      </c>
      <c r="CR45" s="776">
        <v>99.987105066160126</v>
      </c>
      <c r="CS45" s="734" t="s">
        <v>100</v>
      </c>
      <c r="CT45" s="777" t="s">
        <v>101</v>
      </c>
      <c r="CU45" s="736">
        <v>100006.66711114073</v>
      </c>
      <c r="CV45" s="778">
        <v>6.6671111407340502E-3</v>
      </c>
      <c r="CW45" s="778">
        <v>1.0352581160703431E-2</v>
      </c>
      <c r="CX45" s="779">
        <v>2.0804522947866055</v>
      </c>
      <c r="CY45" s="734" t="s">
        <v>535</v>
      </c>
      <c r="DB45" s="6">
        <v>-5.0000000000000001E-3</v>
      </c>
      <c r="DC45" s="567">
        <v>1.0084409173277643E-3</v>
      </c>
      <c r="DD45" s="438">
        <v>0.11869351911745502</v>
      </c>
      <c r="DF45" s="795">
        <v>240</v>
      </c>
      <c r="DG45" s="796">
        <v>99.98</v>
      </c>
      <c r="DH45" s="797" t="s">
        <v>100</v>
      </c>
      <c r="DI45" s="796" t="s">
        <v>101</v>
      </c>
      <c r="DJ45" s="798">
        <v>99995.29618015849</v>
      </c>
      <c r="DK45" s="799">
        <v>-4.7038198415102674E-3</v>
      </c>
      <c r="DL45" s="799">
        <v>8.6194038157039066E-3</v>
      </c>
      <c r="DM45" s="800">
        <v>2.4038938059561721</v>
      </c>
      <c r="DO45" s="782"/>
      <c r="DP45" s="438"/>
      <c r="DQ45" s="438"/>
      <c r="DR45" s="438"/>
      <c r="DS45" s="567"/>
      <c r="DT45" s="567"/>
      <c r="DU45" s="567"/>
    </row>
    <row r="46" spans="2:125" x14ac:dyDescent="0.2">
      <c r="M46" s="438"/>
      <c r="N46" s="438"/>
      <c r="AB46" s="438"/>
      <c r="AO46" s="438"/>
      <c r="BY46" s="54"/>
      <c r="BZ46" s="801"/>
      <c r="CA46" s="802"/>
      <c r="CB46" s="803"/>
      <c r="CC46" s="803"/>
      <c r="CD46" s="804"/>
      <c r="CE46" s="805"/>
      <c r="CF46" s="805"/>
      <c r="CG46" s="806"/>
      <c r="CH46" s="734"/>
      <c r="CI46" s="738"/>
      <c r="CJ46" s="780"/>
      <c r="CQ46" s="433"/>
      <c r="DO46" s="782"/>
      <c r="DP46" s="438"/>
      <c r="DQ46" s="438"/>
      <c r="DR46" s="438"/>
      <c r="DS46" s="567"/>
      <c r="DT46" s="567"/>
      <c r="DU46" s="567"/>
    </row>
    <row r="47" spans="2:125" x14ac:dyDescent="0.2">
      <c r="B47" s="54"/>
      <c r="C47" s="54"/>
      <c r="D47" s="54"/>
      <c r="E47" s="54"/>
      <c r="F47" s="54"/>
      <c r="G47" s="54"/>
      <c r="H47" s="54"/>
      <c r="I47" s="54"/>
      <c r="J47" s="54"/>
      <c r="K47" s="54"/>
      <c r="M47" s="438"/>
      <c r="N47" s="438"/>
      <c r="S47" s="54"/>
      <c r="T47" s="54"/>
      <c r="U47" s="54"/>
      <c r="V47" s="54"/>
      <c r="W47" s="54"/>
      <c r="X47" s="54"/>
      <c r="Y47" s="54"/>
      <c r="Z47" s="54"/>
      <c r="AB47" s="438"/>
      <c r="AO47" s="438"/>
      <c r="BB47" s="782"/>
      <c r="BC47" s="782"/>
      <c r="BD47" s="782"/>
      <c r="BE47" s="782"/>
      <c r="BF47" s="782"/>
      <c r="BG47" s="782"/>
      <c r="BH47" s="782"/>
      <c r="BY47" s="54"/>
      <c r="BZ47" s="734"/>
      <c r="CA47" s="738"/>
      <c r="CB47" s="738"/>
      <c r="CC47" s="738"/>
      <c r="CD47" s="736"/>
      <c r="CE47" s="737"/>
      <c r="CF47" s="737"/>
      <c r="CG47" s="737"/>
      <c r="CH47" s="734"/>
      <c r="CI47" s="738"/>
      <c r="CJ47" s="780"/>
      <c r="CK47" s="6" t="s">
        <v>94</v>
      </c>
      <c r="CP47" s="433"/>
      <c r="DO47" s="782"/>
      <c r="DP47" s="438"/>
      <c r="DQ47" s="438"/>
      <c r="DR47" s="438"/>
      <c r="DS47" s="567"/>
      <c r="DT47" s="567"/>
      <c r="DU47" s="567"/>
    </row>
    <row r="48" spans="2:125" x14ac:dyDescent="0.2">
      <c r="B48" s="807" t="s">
        <v>209</v>
      </c>
      <c r="C48" s="808" t="s">
        <v>575</v>
      </c>
      <c r="D48" s="767"/>
      <c r="E48" s="767"/>
      <c r="F48" s="767"/>
      <c r="G48" s="784"/>
      <c r="H48" s="767"/>
      <c r="I48" s="809"/>
      <c r="J48" s="810"/>
      <c r="K48" s="810"/>
      <c r="M48" s="438"/>
      <c r="N48" s="438"/>
      <c r="S48" s="807" t="s">
        <v>209</v>
      </c>
      <c r="T48" s="808" t="s">
        <v>575</v>
      </c>
      <c r="U48" s="767"/>
      <c r="V48" s="767"/>
      <c r="W48" s="784"/>
      <c r="X48" s="767"/>
      <c r="Y48" s="809"/>
      <c r="Z48" s="810"/>
      <c r="AB48" s="438"/>
      <c r="AO48" s="438"/>
      <c r="BB48" s="782"/>
      <c r="BC48" s="782"/>
      <c r="BD48" s="782"/>
      <c r="BE48" s="782"/>
      <c r="BF48" s="782"/>
      <c r="BG48" s="782"/>
      <c r="BH48" s="782"/>
      <c r="BY48" s="733"/>
      <c r="BZ48" s="732" t="s">
        <v>209</v>
      </c>
      <c r="CA48" s="811" t="s">
        <v>575</v>
      </c>
      <c r="CB48" s="734"/>
      <c r="CC48" s="734"/>
      <c r="CD48" s="736"/>
      <c r="CE48" s="737"/>
      <c r="CF48" s="737"/>
      <c r="CG48" s="737"/>
      <c r="CH48" s="734"/>
      <c r="CI48" s="738"/>
      <c r="CJ48" s="780"/>
      <c r="CK48" s="6" t="s">
        <v>94</v>
      </c>
      <c r="CP48" s="433"/>
      <c r="DO48" s="782"/>
      <c r="DP48" s="438"/>
      <c r="DQ48" s="438"/>
      <c r="DR48" s="438"/>
      <c r="DS48" s="567"/>
      <c r="DT48" s="567"/>
      <c r="DU48" s="567"/>
    </row>
    <row r="49" spans="2:128" x14ac:dyDescent="0.2">
      <c r="B49" s="767"/>
      <c r="C49" s="767"/>
      <c r="D49" s="767"/>
      <c r="E49" s="767"/>
      <c r="F49" s="767"/>
      <c r="G49" s="784"/>
      <c r="H49" s="767"/>
      <c r="I49" s="809"/>
      <c r="J49" s="810"/>
      <c r="K49" s="810"/>
      <c r="M49" s="438"/>
      <c r="N49" s="438"/>
      <c r="S49" s="767"/>
      <c r="T49" s="767"/>
      <c r="U49" s="767"/>
      <c r="V49" s="767"/>
      <c r="W49" s="784"/>
      <c r="X49" s="767"/>
      <c r="Y49" s="809"/>
      <c r="Z49" s="810"/>
      <c r="AB49" s="438"/>
      <c r="AO49" s="438"/>
      <c r="BY49" s="733"/>
      <c r="BZ49" s="734"/>
      <c r="CA49" s="738"/>
      <c r="CB49" s="734"/>
      <c r="CC49" s="734"/>
      <c r="CD49" s="736"/>
      <c r="CE49" s="737"/>
      <c r="CF49" s="737"/>
      <c r="CG49" s="737"/>
      <c r="CH49" s="734"/>
      <c r="CI49" s="738"/>
      <c r="CJ49" s="780"/>
      <c r="CK49" s="6" t="s">
        <v>94</v>
      </c>
      <c r="CM49" s="567"/>
      <c r="CN49" s="733" t="s">
        <v>60</v>
      </c>
      <c r="CO49" s="733" t="s">
        <v>113</v>
      </c>
      <c r="CP49" s="733" t="s">
        <v>62</v>
      </c>
      <c r="CQ49" s="433" t="s">
        <v>63</v>
      </c>
      <c r="DO49" s="782"/>
      <c r="DP49" s="438"/>
      <c r="DQ49" s="438"/>
      <c r="DR49" s="438"/>
      <c r="DS49" s="567"/>
      <c r="DT49" s="567"/>
      <c r="DU49" s="567"/>
    </row>
    <row r="50" spans="2:128" ht="66" customHeight="1" x14ac:dyDescent="0.2">
      <c r="B50" s="739" t="s">
        <v>748</v>
      </c>
      <c r="C50" s="739" t="s">
        <v>749</v>
      </c>
      <c r="D50" s="602" t="str">
        <f>'TABLE RM11'!F33</f>
        <v>Phase
Difference
φ
(°)</v>
      </c>
      <c r="E50" s="602" t="str">
        <f>'TABLE RM11'!G33</f>
        <v>Reactive Power Factor</v>
      </c>
      <c r="F50" s="602" t="s">
        <v>66</v>
      </c>
      <c r="G50" s="602" t="str">
        <f>'TABLE RM11'!I33</f>
        <v>Measured Impulses (Imp/(var.h))</v>
      </c>
      <c r="H50" s="740" t="s">
        <v>750</v>
      </c>
      <c r="I50" s="739" t="s">
        <v>576</v>
      </c>
      <c r="J50" s="739" t="s">
        <v>751</v>
      </c>
      <c r="K50" s="582"/>
      <c r="L50" s="99" t="s">
        <v>69</v>
      </c>
      <c r="M50" s="742" t="s">
        <v>53</v>
      </c>
      <c r="N50" s="742" t="s">
        <v>52</v>
      </c>
      <c r="Q50" s="6" t="s">
        <v>68</v>
      </c>
      <c r="R50" s="6" t="s">
        <v>70</v>
      </c>
      <c r="S50" s="739" t="s">
        <v>748</v>
      </c>
      <c r="T50" s="739" t="s">
        <v>749</v>
      </c>
      <c r="U50" s="602" t="s">
        <v>114</v>
      </c>
      <c r="V50" s="602" t="s">
        <v>66</v>
      </c>
      <c r="W50" s="602" t="s">
        <v>128</v>
      </c>
      <c r="X50" s="740" t="s">
        <v>750</v>
      </c>
      <c r="Y50" s="739" t="s">
        <v>576</v>
      </c>
      <c r="Z50" s="739" t="s">
        <v>751</v>
      </c>
      <c r="AB50" s="742" t="s">
        <v>52</v>
      </c>
      <c r="AC50" s="99" t="s">
        <v>69</v>
      </c>
      <c r="AD50" s="6" t="s">
        <v>68</v>
      </c>
      <c r="AE50" s="6" t="s">
        <v>70</v>
      </c>
      <c r="AF50" s="739" t="s">
        <v>748</v>
      </c>
      <c r="AG50" s="739" t="s">
        <v>749</v>
      </c>
      <c r="AH50" s="739" t="s">
        <v>114</v>
      </c>
      <c r="AI50" s="739" t="s">
        <v>66</v>
      </c>
      <c r="AJ50" s="602" t="s">
        <v>115</v>
      </c>
      <c r="AK50" s="739" t="s">
        <v>750</v>
      </c>
      <c r="AL50" s="739" t="s">
        <v>576</v>
      </c>
      <c r="AM50" s="739" t="s">
        <v>751</v>
      </c>
      <c r="AO50" s="438" t="s">
        <v>116</v>
      </c>
      <c r="AP50" s="99" t="s">
        <v>69</v>
      </c>
      <c r="AQ50" s="6" t="s">
        <v>70</v>
      </c>
      <c r="AS50" s="739" t="s">
        <v>71</v>
      </c>
      <c r="AT50" s="739" t="s">
        <v>72</v>
      </c>
      <c r="AU50" s="739" t="s">
        <v>114</v>
      </c>
      <c r="AV50" s="739" t="s">
        <v>66</v>
      </c>
      <c r="AW50" s="602" t="s">
        <v>115</v>
      </c>
      <c r="AX50" s="740" t="s">
        <v>73</v>
      </c>
      <c r="AY50" s="739" t="s">
        <v>576</v>
      </c>
      <c r="AZ50" s="739" t="s">
        <v>74</v>
      </c>
      <c r="BB50" s="743" t="s">
        <v>71</v>
      </c>
      <c r="BC50" s="743" t="s">
        <v>72</v>
      </c>
      <c r="BD50" s="743" t="s">
        <v>114</v>
      </c>
      <c r="BE50" s="743" t="s">
        <v>115</v>
      </c>
      <c r="BF50" s="743" t="s">
        <v>73</v>
      </c>
      <c r="BG50" s="743" t="s">
        <v>576</v>
      </c>
      <c r="BH50" s="743" t="s">
        <v>74</v>
      </c>
      <c r="BO50" s="744" t="s">
        <v>117</v>
      </c>
      <c r="BP50" s="567"/>
      <c r="BQ50" s="567"/>
      <c r="BV50" s="745" t="s">
        <v>76</v>
      </c>
      <c r="BW50" s="745" t="s">
        <v>77</v>
      </c>
      <c r="BY50" s="54"/>
      <c r="BZ50" s="746" t="s">
        <v>78</v>
      </c>
      <c r="CA50" s="747" t="s">
        <v>72</v>
      </c>
      <c r="CB50" s="749" t="s">
        <v>118</v>
      </c>
      <c r="CC50" s="746" t="s">
        <v>79</v>
      </c>
      <c r="CD50" s="812" t="s">
        <v>115</v>
      </c>
      <c r="CE50" s="813" t="s">
        <v>73</v>
      </c>
      <c r="CF50" s="814" t="s">
        <v>576</v>
      </c>
      <c r="CG50" s="751" t="s">
        <v>74</v>
      </c>
      <c r="CH50" s="734"/>
      <c r="CI50" s="752" t="s">
        <v>80</v>
      </c>
      <c r="CJ50" s="99" t="s">
        <v>577</v>
      </c>
      <c r="CK50" s="753"/>
      <c r="CL50" s="754" t="s">
        <v>578</v>
      </c>
      <c r="CM50" s="567" t="s">
        <v>119</v>
      </c>
      <c r="CO50" s="733" t="s">
        <v>120</v>
      </c>
      <c r="CP50" s="733" t="s">
        <v>81</v>
      </c>
      <c r="CQ50" s="755" t="s">
        <v>82</v>
      </c>
      <c r="CR50" s="749" t="s">
        <v>83</v>
      </c>
      <c r="CS50" s="749" t="s">
        <v>121</v>
      </c>
      <c r="CT50" s="756" t="s">
        <v>85</v>
      </c>
      <c r="CU50" s="757" t="s">
        <v>122</v>
      </c>
      <c r="CV50" s="749" t="s">
        <v>86</v>
      </c>
      <c r="CW50" s="758" t="s">
        <v>280</v>
      </c>
      <c r="CX50" s="751" t="s">
        <v>281</v>
      </c>
      <c r="CY50" s="734"/>
      <c r="CZ50" s="734"/>
      <c r="DB50" s="99" t="s">
        <v>87</v>
      </c>
      <c r="DC50" s="754" t="s">
        <v>88</v>
      </c>
      <c r="DD50" s="754" t="s">
        <v>77</v>
      </c>
      <c r="DF50" s="755" t="s">
        <v>82</v>
      </c>
      <c r="DG50" s="746" t="s">
        <v>83</v>
      </c>
      <c r="DH50" s="756" t="s">
        <v>89</v>
      </c>
      <c r="DI50" s="743" t="s">
        <v>90</v>
      </c>
      <c r="DJ50" s="815" t="s">
        <v>122</v>
      </c>
      <c r="DK50" s="746" t="s">
        <v>86</v>
      </c>
      <c r="DL50" s="816" t="s">
        <v>280</v>
      </c>
      <c r="DM50" s="743" t="s">
        <v>281</v>
      </c>
      <c r="DO50" s="782"/>
      <c r="DP50" s="438"/>
      <c r="DQ50" s="438"/>
      <c r="DR50" s="438"/>
      <c r="DS50" s="567"/>
      <c r="DT50" s="567"/>
      <c r="DU50" s="567"/>
    </row>
    <row r="51" spans="2:128" x14ac:dyDescent="0.2">
      <c r="B51" s="762">
        <f>'TABLE RM11'!D34</f>
        <v>229.9968355</v>
      </c>
      <c r="C51" s="763">
        <f>'TABLE RM11'!E34</f>
        <v>0.99996155600000003</v>
      </c>
      <c r="D51" s="762">
        <f>'TABLE RM11'!F34</f>
        <v>90.000033909999999</v>
      </c>
      <c r="E51" s="762" t="str">
        <f>'TABLE RM11'!G34</f>
        <v xml:space="preserve">1  </v>
      </c>
      <c r="F51" s="762" t="str">
        <f>'TABLE RM11'!H34</f>
        <v>A</v>
      </c>
      <c r="G51" s="762">
        <f>'TABLE RM11'!I34</f>
        <v>100002.46709999999</v>
      </c>
      <c r="H51" s="764">
        <f>'TABLE RM11'!J34</f>
        <v>2.4670740000000001E-3</v>
      </c>
      <c r="I51" s="764">
        <f>'TABLE RM11'!K34</f>
        <v>1.3794666000000001E-2</v>
      </c>
      <c r="J51" s="766">
        <f>'TABLE RM11'!L34</f>
        <v>2.0830283930000002</v>
      </c>
      <c r="K51" s="767"/>
      <c r="L51" s="438">
        <f t="shared" ref="L51:L62" si="25">I51/Y51</f>
        <v>0.95411973562323926</v>
      </c>
      <c r="M51" s="438">
        <f t="shared" ref="M51:M62" si="26">(H51-X51)/I51</f>
        <v>0.60658583542363398</v>
      </c>
      <c r="N51" s="438">
        <f>(H51-W51)/I51</f>
        <v>-7248750.8543466004</v>
      </c>
      <c r="Q51" s="438">
        <f>(H51-AK51)/I51</f>
        <v>1.6524817085761444E-2</v>
      </c>
      <c r="R51" s="438">
        <f>(H51-AS51)/I51</f>
        <v>-16676.328880790341</v>
      </c>
      <c r="S51" s="762">
        <v>229.9184075</v>
      </c>
      <c r="T51" s="762">
        <v>0.99964508200000002</v>
      </c>
      <c r="U51" s="762" t="s">
        <v>91</v>
      </c>
      <c r="V51" s="762" t="s">
        <v>92</v>
      </c>
      <c r="W51" s="762">
        <v>99994.099419999999</v>
      </c>
      <c r="X51" s="764">
        <v>-5.9005749999999999E-3</v>
      </c>
      <c r="Y51" s="764">
        <v>1.4458003000000001E-2</v>
      </c>
      <c r="Z51" s="766">
        <v>2.1604015969999999</v>
      </c>
      <c r="AB51" s="438">
        <f>(X51-AK51)/Y51</f>
        <v>-0.56298886281811034</v>
      </c>
      <c r="AC51" s="438">
        <f>Y51/AL51</f>
        <v>0.99600886177391679</v>
      </c>
      <c r="AD51" s="438">
        <f>(X51-AX51)/Y51</f>
        <v>-0.57776462080061419</v>
      </c>
      <c r="AE51" s="438">
        <f>(X51-BF51)/Y51</f>
        <v>-0.71715111692811229</v>
      </c>
      <c r="AF51" s="817">
        <v>230.02549880992819</v>
      </c>
      <c r="AG51" s="818">
        <v>0.99973861912172235</v>
      </c>
      <c r="AH51" s="763" t="s">
        <v>91</v>
      </c>
      <c r="AI51" s="763" t="s">
        <v>92</v>
      </c>
      <c r="AJ51" s="763">
        <v>100002.23911966759</v>
      </c>
      <c r="AK51" s="765">
        <v>2.2391196675908276E-3</v>
      </c>
      <c r="AL51" s="765">
        <v>1.4515938115500232E-2</v>
      </c>
      <c r="AM51" s="763">
        <v>2.15422289409684</v>
      </c>
      <c r="AO51" s="438">
        <f t="shared" ref="AO51:AO68" si="27">(AK51-AX51)/AL51</f>
        <v>-1.4716785890000594E-2</v>
      </c>
      <c r="AP51" s="438">
        <f t="shared" ref="AP51:AP68" si="28">AL51/AY51</f>
        <v>1.1197076581960383</v>
      </c>
      <c r="AQ51" s="438">
        <f t="shared" ref="AQ51:AQ68" si="29">(AK51-BF51)/AL51</f>
        <v>-0.15354697124460448</v>
      </c>
      <c r="AS51" s="817">
        <v>230.04685409065661</v>
      </c>
      <c r="AT51" s="818">
        <v>0.9998122804761943</v>
      </c>
      <c r="AU51" s="819" t="s">
        <v>91</v>
      </c>
      <c r="AV51" s="763" t="s">
        <v>92</v>
      </c>
      <c r="AW51" s="820">
        <v>100002.45274762083</v>
      </c>
      <c r="AX51" s="764">
        <v>2.4527476208291432E-3</v>
      </c>
      <c r="AY51" s="764">
        <v>1.2964042899275038E-2</v>
      </c>
      <c r="AZ51" s="766">
        <v>2.2144498008715643</v>
      </c>
      <c r="BB51" s="771">
        <v>230.01961879999999</v>
      </c>
      <c r="BC51" s="771">
        <v>0.99973598900000005</v>
      </c>
      <c r="BD51" s="771" t="s">
        <v>91</v>
      </c>
      <c r="BE51" s="771">
        <v>100004.46799999999</v>
      </c>
      <c r="BF51" s="772">
        <v>4.4679979999999999E-3</v>
      </c>
      <c r="BG51" s="772">
        <v>7.808214E-3</v>
      </c>
      <c r="BH51" s="773">
        <v>2.1469207290000001</v>
      </c>
      <c r="BO51" s="753"/>
      <c r="BP51" s="782">
        <v>90</v>
      </c>
      <c r="BQ51" s="782"/>
      <c r="BR51" s="6">
        <v>30</v>
      </c>
      <c r="BT51" s="6">
        <v>127</v>
      </c>
      <c r="BV51" s="567">
        <v>1.2700330481261651E-2</v>
      </c>
      <c r="BW51" s="775">
        <v>1.6265346315126163</v>
      </c>
      <c r="BY51" s="54">
        <v>24</v>
      </c>
      <c r="BZ51" s="821">
        <v>109.9971840161996</v>
      </c>
      <c r="CA51" s="822">
        <v>0.99997916227902439</v>
      </c>
      <c r="CB51" s="823" t="s">
        <v>91</v>
      </c>
      <c r="CC51" s="777" t="s">
        <v>92</v>
      </c>
      <c r="CD51" s="824">
        <v>99995.476514641865</v>
      </c>
      <c r="CE51" s="825">
        <v>-4.5234853581321843E-3</v>
      </c>
      <c r="CF51" s="825">
        <v>1.5892390013927848E-2</v>
      </c>
      <c r="CG51" s="826">
        <v>2.137953272879352</v>
      </c>
      <c r="CH51" s="734" t="s">
        <v>49</v>
      </c>
      <c r="CI51" s="738">
        <v>-89.909567875047898</v>
      </c>
      <c r="CJ51" s="780">
        <v>0</v>
      </c>
      <c r="CK51" s="6" t="s">
        <v>94</v>
      </c>
      <c r="CL51" s="6">
        <v>1</v>
      </c>
      <c r="CM51" s="567">
        <v>-1</v>
      </c>
      <c r="CN51" s="567">
        <v>-2.3971711402086676E-2</v>
      </c>
      <c r="CO51" s="438">
        <v>-1.5083767376133002</v>
      </c>
      <c r="CP51" s="438">
        <v>1.1403942225883994</v>
      </c>
      <c r="CQ51" s="827">
        <v>110.01310356247674</v>
      </c>
      <c r="CR51" s="821">
        <v>0.99978399973536658</v>
      </c>
      <c r="CS51" s="828" t="s">
        <v>95</v>
      </c>
      <c r="CT51" s="823" t="s">
        <v>92</v>
      </c>
      <c r="CU51" s="829">
        <v>100019.44822604395</v>
      </c>
      <c r="CV51" s="825">
        <v>1.9448226043954492E-2</v>
      </c>
      <c r="CW51" s="825">
        <v>1.393587384006229E-2</v>
      </c>
      <c r="CX51" s="826">
        <v>2.1648408579507668</v>
      </c>
      <c r="CY51" s="734" t="s">
        <v>49</v>
      </c>
      <c r="CZ51" s="734"/>
      <c r="DB51" s="6">
        <v>-1.2E-2</v>
      </c>
      <c r="DC51" s="567">
        <v>7.4765146418678159E-3</v>
      </c>
      <c r="DD51" s="438">
        <v>0.47044620949495403</v>
      </c>
      <c r="DF51" s="827">
        <v>110</v>
      </c>
      <c r="DG51" s="828">
        <v>1</v>
      </c>
      <c r="DH51" s="830" t="s">
        <v>95</v>
      </c>
      <c r="DI51" s="822" t="s">
        <v>92</v>
      </c>
      <c r="DJ51" s="824">
        <v>99987.648291391073</v>
      </c>
      <c r="DK51" s="831">
        <v>-1.2351708608926856E-2</v>
      </c>
      <c r="DL51" s="831">
        <v>1.3375115494808347E-2</v>
      </c>
      <c r="DM51" s="826">
        <v>2.2429021120703858</v>
      </c>
      <c r="DO51" s="782">
        <f t="shared" ref="DO51:DP68" si="30">AG51</f>
        <v>0.99973861912172235</v>
      </c>
      <c r="DP51" s="438" t="str">
        <f t="shared" si="30"/>
        <v xml:space="preserve">1  </v>
      </c>
      <c r="DQ51" s="567"/>
      <c r="DR51" s="567">
        <f>X51</f>
        <v>-5.9005749999999999E-3</v>
      </c>
      <c r="DS51" s="567">
        <f t="shared" ref="DS51:DS68" si="31">AK51</f>
        <v>2.2391196675908276E-3</v>
      </c>
      <c r="DT51" s="567">
        <f t="shared" ref="DT51:DT68" si="32">AX51</f>
        <v>2.4527476208291432E-3</v>
      </c>
      <c r="DU51" s="567">
        <f t="shared" ref="DU51:DU68" si="33">BF51</f>
        <v>4.4679979999999999E-3</v>
      </c>
      <c r="DV51" s="778">
        <f>CE57</f>
        <v>-8.2323324812616505E-3</v>
      </c>
      <c r="DW51" s="778">
        <f>CV57</f>
        <v>1.6669444907485741E-2</v>
      </c>
      <c r="DX51" s="778">
        <f>DK57</f>
        <v>-1.6508734722330699E-2</v>
      </c>
    </row>
    <row r="52" spans="2:128" x14ac:dyDescent="0.2">
      <c r="B52" s="762">
        <f>'TABLE RM11'!D35</f>
        <v>229.99681169999999</v>
      </c>
      <c r="C52" s="763">
        <f>'TABLE RM11'!E35</f>
        <v>1.00002693</v>
      </c>
      <c r="D52" s="762">
        <f>'TABLE RM11'!F35</f>
        <v>30.000441859999999</v>
      </c>
      <c r="E52" s="762" t="str">
        <f>'TABLE RM11'!G35</f>
        <v>0.5 Lag</v>
      </c>
      <c r="F52" s="762" t="str">
        <f>'TABLE RM11'!H35</f>
        <v>A</v>
      </c>
      <c r="G52" s="762">
        <f>'TABLE RM11'!I35</f>
        <v>100000.5493</v>
      </c>
      <c r="H52" s="765">
        <f>'TABLE RM11'!J35</f>
        <v>5.4934700000000005E-4</v>
      </c>
      <c r="I52" s="765">
        <f>'TABLE RM11'!K35</f>
        <v>1.4776321E-2</v>
      </c>
      <c r="J52" s="770">
        <f>'TABLE RM11'!L35</f>
        <v>2.0849319400000002</v>
      </c>
      <c r="K52" s="767"/>
      <c r="L52" s="438">
        <f t="shared" si="25"/>
        <v>0.91949972237013455</v>
      </c>
      <c r="M52" s="438">
        <f t="shared" si="26"/>
        <v>0.33502615434518512</v>
      </c>
      <c r="N52" s="438">
        <f>(H52-W52)/I52</f>
        <v>-6767286.5485700397</v>
      </c>
      <c r="Q52" s="438">
        <f>(H52-AK52)/I52</f>
        <v>1.0841074648684938E-2</v>
      </c>
      <c r="R52" s="438">
        <f>(H52-AS52)/I52</f>
        <v>-15568.559890605371</v>
      </c>
      <c r="S52" s="762">
        <v>229.91331450000001</v>
      </c>
      <c r="T52" s="762">
        <v>0.99967467899999995</v>
      </c>
      <c r="U52" s="762" t="s">
        <v>96</v>
      </c>
      <c r="V52" s="762" t="s">
        <v>92</v>
      </c>
      <c r="W52" s="762">
        <v>99995.598889999994</v>
      </c>
      <c r="X52" s="768">
        <v>-4.4011069999999996E-3</v>
      </c>
      <c r="Y52" s="768">
        <v>1.6069956999999999E-2</v>
      </c>
      <c r="Z52" s="770">
        <v>2.1056216480000001</v>
      </c>
      <c r="AB52" s="438">
        <f>(X52-AK52)/Y52</f>
        <v>-0.29808809077747184</v>
      </c>
      <c r="AC52" s="438">
        <f>Y52/AL52</f>
        <v>0.98635071726774115</v>
      </c>
      <c r="AD52" s="438">
        <f>(X52-AX52)/Y52</f>
        <v>-8.6628938562123725E-2</v>
      </c>
      <c r="AE52" s="438">
        <f>(X52-BF52)/Y52</f>
        <v>-0.45357128211357378</v>
      </c>
      <c r="AF52" s="762">
        <v>230.00445993244702</v>
      </c>
      <c r="AG52" s="767">
        <v>0.99975629451422154</v>
      </c>
      <c r="AH52" s="763" t="s">
        <v>96</v>
      </c>
      <c r="AI52" s="763" t="s">
        <v>92</v>
      </c>
      <c r="AJ52" s="763">
        <v>100000.38915580101</v>
      </c>
      <c r="AK52" s="765">
        <v>3.8915580100606917E-4</v>
      </c>
      <c r="AL52" s="765">
        <v>1.6292335696287501E-2</v>
      </c>
      <c r="AM52" s="763">
        <v>2.0960809892096686</v>
      </c>
      <c r="AO52" s="438">
        <f t="shared" si="27"/>
        <v>0.20857288646043706</v>
      </c>
      <c r="AP52" s="438">
        <f t="shared" si="28"/>
        <v>1.1158101146202675</v>
      </c>
      <c r="AQ52" s="438">
        <f t="shared" si="29"/>
        <v>-0.15336095729744159</v>
      </c>
      <c r="AS52" s="762">
        <v>230.04658779830984</v>
      </c>
      <c r="AT52" s="767">
        <v>0.99985050273294362</v>
      </c>
      <c r="AU52" s="763" t="s">
        <v>96</v>
      </c>
      <c r="AV52" s="763" t="s">
        <v>92</v>
      </c>
      <c r="AW52" s="769">
        <v>99996.991016317654</v>
      </c>
      <c r="AX52" s="765">
        <v>-3.0089836823510296E-3</v>
      </c>
      <c r="AY52" s="765">
        <v>1.4601351504894817E-2</v>
      </c>
      <c r="AZ52" s="770">
        <v>2.1075174064932614</v>
      </c>
      <c r="BB52" s="771">
        <v>230.021514</v>
      </c>
      <c r="BC52" s="771">
        <v>0.99981553999999995</v>
      </c>
      <c r="BD52" s="771" t="s">
        <v>96</v>
      </c>
      <c r="BE52" s="771">
        <v>100002.8878</v>
      </c>
      <c r="BF52" s="772">
        <v>2.8877640000000001E-3</v>
      </c>
      <c r="BG52" s="772">
        <v>9.752485E-3</v>
      </c>
      <c r="BH52" s="773">
        <v>2.0693543970000001</v>
      </c>
      <c r="BK52" s="567"/>
      <c r="BM52" s="567"/>
      <c r="BN52" s="567"/>
      <c r="BO52" s="782">
        <f>C51</f>
        <v>0.99996155600000003</v>
      </c>
      <c r="BP52" s="567">
        <f>H51</f>
        <v>2.4670740000000001E-3</v>
      </c>
      <c r="BQ52" s="567">
        <f>I51</f>
        <v>1.3794666000000001E-2</v>
      </c>
      <c r="BR52" s="567">
        <f>H52</f>
        <v>5.4934700000000005E-4</v>
      </c>
      <c r="BS52" s="567">
        <f>I52</f>
        <v>1.4776321E-2</v>
      </c>
      <c r="BT52" s="567">
        <f>H53</f>
        <v>3.4863599999999999E-4</v>
      </c>
      <c r="BU52" s="567">
        <f>I53</f>
        <v>1.4006206E-2</v>
      </c>
      <c r="BV52" s="567">
        <v>1.427090233386473E-2</v>
      </c>
      <c r="BW52" s="775">
        <v>1.4633093343762877</v>
      </c>
      <c r="BY52" s="54">
        <v>25</v>
      </c>
      <c r="BZ52" s="776">
        <v>109.99816287155288</v>
      </c>
      <c r="CA52" s="738">
        <v>0.99996256327929411</v>
      </c>
      <c r="CB52" s="777" t="s">
        <v>96</v>
      </c>
      <c r="CC52" s="777" t="s">
        <v>92</v>
      </c>
      <c r="CD52" s="736">
        <v>99994.530022067906</v>
      </c>
      <c r="CE52" s="778">
        <v>-5.4699779320932507E-3</v>
      </c>
      <c r="CF52" s="778">
        <v>1.6757098163323325E-2</v>
      </c>
      <c r="CG52" s="779">
        <v>2.0980911004468452</v>
      </c>
      <c r="CH52" s="734" t="s">
        <v>49</v>
      </c>
      <c r="CI52" s="738">
        <v>-29.913306931861477</v>
      </c>
      <c r="CJ52" s="780">
        <v>0</v>
      </c>
      <c r="CK52" s="6" t="s">
        <v>97</v>
      </c>
      <c r="CL52" s="6">
        <v>1</v>
      </c>
      <c r="CM52" s="567">
        <v>-1</v>
      </c>
      <c r="CN52" s="567">
        <v>-2.4362435396279261E-2</v>
      </c>
      <c r="CO52" s="438">
        <v>-1.453857652370977</v>
      </c>
      <c r="CP52" s="438">
        <v>1.1148548622507011</v>
      </c>
      <c r="CQ52" s="781">
        <v>110.01372274192984</v>
      </c>
      <c r="CR52" s="776">
        <v>0.99985567908469397</v>
      </c>
      <c r="CS52" s="734" t="s">
        <v>560</v>
      </c>
      <c r="CT52" s="777" t="s">
        <v>92</v>
      </c>
      <c r="CU52" s="832">
        <v>100018.89245746419</v>
      </c>
      <c r="CV52" s="778">
        <v>1.889245746418601E-2</v>
      </c>
      <c r="CW52" s="778">
        <v>1.5030744118112033E-2</v>
      </c>
      <c r="CX52" s="779">
        <v>2.1019311485402095</v>
      </c>
      <c r="CY52" s="734" t="s">
        <v>49</v>
      </c>
      <c r="CZ52" s="734"/>
      <c r="DB52" s="6">
        <v>-8.0000000000000002E-3</v>
      </c>
      <c r="DC52" s="567">
        <v>2.5300220679067495E-3</v>
      </c>
      <c r="DD52" s="438">
        <v>0.15098211177423734</v>
      </c>
      <c r="DF52" s="781">
        <v>110</v>
      </c>
      <c r="DG52" s="734">
        <v>1</v>
      </c>
      <c r="DH52" s="735" t="s">
        <v>560</v>
      </c>
      <c r="DI52" s="738" t="s">
        <v>92</v>
      </c>
      <c r="DJ52" s="736">
        <v>99991.703408946894</v>
      </c>
      <c r="DK52" s="737">
        <v>-8.2965910531056578E-3</v>
      </c>
      <c r="DL52" s="737">
        <v>1.4725612014000371E-2</v>
      </c>
      <c r="DM52" s="779">
        <v>2.1224338437373267</v>
      </c>
      <c r="DO52" s="782">
        <f t="shared" si="30"/>
        <v>0.99975629451422154</v>
      </c>
      <c r="DP52" s="438" t="str">
        <f t="shared" si="30"/>
        <v>0.5 Lag</v>
      </c>
      <c r="DQ52" s="567"/>
      <c r="DR52" s="567">
        <f>X52</f>
        <v>-4.4011069999999996E-3</v>
      </c>
      <c r="DS52" s="567">
        <f t="shared" si="31"/>
        <v>3.8915580100606917E-4</v>
      </c>
      <c r="DT52" s="567">
        <f t="shared" si="32"/>
        <v>-3.0089836823510296E-3</v>
      </c>
      <c r="DU52" s="567">
        <f t="shared" si="33"/>
        <v>2.8877640000000001E-3</v>
      </c>
      <c r="DV52" s="778">
        <f>CE58</f>
        <v>-1.1383138333864729E-2</v>
      </c>
      <c r="DW52" s="778">
        <f>CV58</f>
        <v>1.1112345816203743E-2</v>
      </c>
      <c r="DX52" s="778">
        <f>DK58</f>
        <v>-1.21412401683192E-2</v>
      </c>
    </row>
    <row r="53" spans="2:128" x14ac:dyDescent="0.2">
      <c r="B53" s="762">
        <f>'TABLE RM11'!D36</f>
        <v>229.99665379999999</v>
      </c>
      <c r="C53" s="763">
        <f>'TABLE RM11'!E36</f>
        <v>0.99996392899999997</v>
      </c>
      <c r="D53" s="762">
        <f>'TABLE RM11'!F36</f>
        <v>126.87250229999999</v>
      </c>
      <c r="E53" s="762" t="str">
        <f>'TABLE RM11'!G36</f>
        <v>0.8 Lead</v>
      </c>
      <c r="F53" s="762" t="str">
        <f>'TABLE RM11'!H36</f>
        <v>A</v>
      </c>
      <c r="G53" s="762">
        <f>'TABLE RM11'!I36</f>
        <v>100000.3486</v>
      </c>
      <c r="H53" s="765">
        <f>'TABLE RM11'!J36</f>
        <v>3.4863599999999999E-4</v>
      </c>
      <c r="I53" s="765">
        <f>'TABLE RM11'!K36</f>
        <v>1.4006206E-2</v>
      </c>
      <c r="J53" s="770">
        <f>'TABLE RM11'!L36</f>
        <v>2.0832318010000002</v>
      </c>
      <c r="K53" s="767"/>
      <c r="L53" s="438">
        <f t="shared" si="25"/>
        <v>0.94847806925589384</v>
      </c>
      <c r="M53" s="438">
        <f t="shared" si="26"/>
        <v>0.55604972538601816</v>
      </c>
      <c r="N53" s="438"/>
      <c r="Q53" s="438"/>
      <c r="S53" s="762">
        <v>229.91109610000001</v>
      </c>
      <c r="T53" s="762">
        <v>0.99965142500000004</v>
      </c>
      <c r="U53" s="762" t="s">
        <v>98</v>
      </c>
      <c r="V53" s="762" t="s">
        <v>92</v>
      </c>
      <c r="W53" s="762">
        <v>99992.560490000003</v>
      </c>
      <c r="X53" s="765">
        <v>-7.4395110000000002E-3</v>
      </c>
      <c r="Y53" s="765">
        <v>1.4767031999999999E-2</v>
      </c>
      <c r="Z53" s="770">
        <v>2.1449761399999998</v>
      </c>
      <c r="AB53" s="438"/>
      <c r="AC53" s="438"/>
      <c r="AD53" s="438"/>
      <c r="AF53" s="762"/>
      <c r="AG53" s="767"/>
      <c r="AH53" s="763"/>
      <c r="AI53" s="763"/>
      <c r="AJ53" s="763"/>
      <c r="AK53" s="765"/>
      <c r="AL53" s="765"/>
      <c r="AM53" s="763"/>
      <c r="AO53" s="438"/>
      <c r="AP53" s="438"/>
      <c r="AQ53" s="438"/>
      <c r="AS53" s="762"/>
      <c r="AT53" s="767"/>
      <c r="AU53" s="763"/>
      <c r="AV53" s="763"/>
      <c r="AW53" s="769"/>
      <c r="AX53" s="765"/>
      <c r="AY53" s="765"/>
      <c r="AZ53" s="770"/>
      <c r="BB53" s="771"/>
      <c r="BC53" s="771"/>
      <c r="BD53" s="771"/>
      <c r="BE53" s="771"/>
      <c r="BF53" s="772"/>
      <c r="BG53" s="772"/>
      <c r="BH53" s="773"/>
      <c r="BO53" s="782">
        <f>C54</f>
        <v>1.9999256400000001</v>
      </c>
      <c r="BP53" s="567">
        <f>H54</f>
        <v>1.431816E-3</v>
      </c>
      <c r="BQ53" s="567">
        <f>I54</f>
        <v>1.3810889999999999E-2</v>
      </c>
      <c r="BR53" s="567">
        <f>H55</f>
        <v>-2.7283310000000001E-3</v>
      </c>
      <c r="BS53" s="567">
        <f>I55</f>
        <v>1.4871847000000001E-2</v>
      </c>
      <c r="BT53" s="567">
        <f>H56</f>
        <v>-1.4386500000000001E-3</v>
      </c>
      <c r="BU53" s="567">
        <f>I56</f>
        <v>1.404744E-2</v>
      </c>
      <c r="BV53" s="567"/>
      <c r="BW53" s="775"/>
      <c r="BY53" s="54"/>
      <c r="BZ53" s="776"/>
      <c r="CA53" s="738"/>
      <c r="CB53" s="777"/>
      <c r="CC53" s="777"/>
      <c r="CD53" s="736"/>
      <c r="CE53" s="778"/>
      <c r="CF53" s="778"/>
      <c r="CG53" s="779"/>
      <c r="CH53" s="734"/>
      <c r="CI53" s="738"/>
      <c r="CJ53" s="780"/>
      <c r="CM53" s="567"/>
      <c r="CN53" s="567"/>
      <c r="CO53" s="438"/>
      <c r="CP53" s="438"/>
      <c r="CQ53" s="781"/>
      <c r="CR53" s="776"/>
      <c r="CS53" s="734"/>
      <c r="CT53" s="777"/>
      <c r="CU53" s="832"/>
      <c r="CV53" s="778"/>
      <c r="CW53" s="778"/>
      <c r="CX53" s="779"/>
      <c r="CY53" s="734"/>
      <c r="CZ53" s="734"/>
      <c r="DC53" s="567"/>
      <c r="DD53" s="438"/>
      <c r="DF53" s="781"/>
      <c r="DG53" s="734"/>
      <c r="DH53" s="735"/>
      <c r="DI53" s="738"/>
      <c r="DJ53" s="736"/>
      <c r="DK53" s="737"/>
      <c r="DL53" s="737"/>
      <c r="DM53" s="779"/>
      <c r="DO53" s="782"/>
      <c r="DP53" s="438"/>
      <c r="DQ53" s="438"/>
      <c r="DR53" s="438"/>
      <c r="DS53" s="567"/>
      <c r="DT53" s="567"/>
      <c r="DU53" s="567"/>
      <c r="DV53" s="778"/>
      <c r="DW53" s="778"/>
      <c r="DX53" s="778"/>
    </row>
    <row r="54" spans="2:128" x14ac:dyDescent="0.2">
      <c r="B54" s="762">
        <f>'TABLE RM11'!D37</f>
        <v>229.9968513</v>
      </c>
      <c r="C54" s="762">
        <f>'TABLE RM11'!E37</f>
        <v>1.9999256400000001</v>
      </c>
      <c r="D54" s="762">
        <f>'TABLE RM11'!F37</f>
        <v>89.999784899999995</v>
      </c>
      <c r="E54" s="762" t="str">
        <f>'TABLE RM11'!G37</f>
        <v xml:space="preserve">1  </v>
      </c>
      <c r="F54" s="762" t="str">
        <f>'TABLE RM11'!H37</f>
        <v>A</v>
      </c>
      <c r="G54" s="762">
        <f>'TABLE RM11'!I37</f>
        <v>100001.43180000001</v>
      </c>
      <c r="H54" s="765">
        <f>'TABLE RM11'!J37</f>
        <v>1.431816E-3</v>
      </c>
      <c r="I54" s="765">
        <f>'TABLE RM11'!K37</f>
        <v>1.3810889999999999E-2</v>
      </c>
      <c r="J54" s="770">
        <f>'TABLE RM11'!L37</f>
        <v>2.08192734</v>
      </c>
      <c r="K54" s="767"/>
      <c r="L54" s="438">
        <f t="shared" si="25"/>
        <v>0.95401587515506936</v>
      </c>
      <c r="M54" s="438">
        <f t="shared" si="26"/>
        <v>0.59391704662045675</v>
      </c>
      <c r="N54" s="438"/>
      <c r="Q54" s="438"/>
      <c r="S54" s="762">
        <v>229.9143273</v>
      </c>
      <c r="T54" s="762">
        <v>2.001298974</v>
      </c>
      <c r="U54" s="762" t="s">
        <v>91</v>
      </c>
      <c r="V54" s="762" t="s">
        <v>92</v>
      </c>
      <c r="W54" s="762">
        <v>99993.229290000003</v>
      </c>
      <c r="X54" s="765">
        <v>-6.7707069999999999E-3</v>
      </c>
      <c r="Y54" s="765">
        <v>1.4476582999999999E-2</v>
      </c>
      <c r="Z54" s="770">
        <v>2.1588422459999999</v>
      </c>
      <c r="AB54" s="438"/>
      <c r="AC54" s="438"/>
      <c r="AD54" s="438"/>
      <c r="AF54" s="762"/>
      <c r="AG54" s="767"/>
      <c r="AH54" s="763"/>
      <c r="AI54" s="763"/>
      <c r="AJ54" s="763"/>
      <c r="AK54" s="765"/>
      <c r="AL54" s="765"/>
      <c r="AM54" s="763"/>
      <c r="AO54" s="438"/>
      <c r="AP54" s="438"/>
      <c r="AQ54" s="438"/>
      <c r="AS54" s="762"/>
      <c r="AT54" s="767"/>
      <c r="AU54" s="763"/>
      <c r="AV54" s="763"/>
      <c r="AW54" s="769"/>
      <c r="AX54" s="765"/>
      <c r="AY54" s="765"/>
      <c r="AZ54" s="770"/>
      <c r="BB54" s="771"/>
      <c r="BC54" s="771"/>
      <c r="BD54" s="771"/>
      <c r="BE54" s="771"/>
      <c r="BF54" s="772"/>
      <c r="BG54" s="772"/>
      <c r="BH54" s="773"/>
      <c r="BO54" s="782">
        <f>C57</f>
        <v>4.9998779860000004</v>
      </c>
      <c r="BP54" s="567">
        <f>H57</f>
        <v>3.5218800000000002E-4</v>
      </c>
      <c r="BQ54" s="567">
        <f>I57</f>
        <v>1.3797393E-2</v>
      </c>
      <c r="BR54" s="567">
        <f>H58</f>
        <v>-6.4105800000000001E-4</v>
      </c>
      <c r="BS54" s="567">
        <f>I58</f>
        <v>1.4757961E-2</v>
      </c>
      <c r="BT54" s="567">
        <f>H59</f>
        <v>-2.0332E-4</v>
      </c>
      <c r="BU54" s="567">
        <f>I59</f>
        <v>1.4003425E-2</v>
      </c>
      <c r="BV54" s="567"/>
      <c r="BW54" s="775"/>
      <c r="BY54" s="54"/>
      <c r="BZ54" s="776"/>
      <c r="CA54" s="738"/>
      <c r="CB54" s="777"/>
      <c r="CC54" s="777"/>
      <c r="CD54" s="736"/>
      <c r="CE54" s="778"/>
      <c r="CF54" s="778"/>
      <c r="CG54" s="779"/>
      <c r="CH54" s="734"/>
      <c r="CI54" s="738"/>
      <c r="CJ54" s="780"/>
      <c r="CM54" s="567"/>
      <c r="CN54" s="567"/>
      <c r="CO54" s="438"/>
      <c r="CP54" s="438"/>
      <c r="CQ54" s="781"/>
      <c r="CR54" s="776"/>
      <c r="CS54" s="734"/>
      <c r="CT54" s="777"/>
      <c r="CU54" s="832"/>
      <c r="CV54" s="778"/>
      <c r="CW54" s="778"/>
      <c r="CX54" s="779"/>
      <c r="CY54" s="734"/>
      <c r="CZ54" s="734"/>
      <c r="DC54" s="567"/>
      <c r="DD54" s="438"/>
      <c r="DF54" s="781"/>
      <c r="DG54" s="734"/>
      <c r="DH54" s="735"/>
      <c r="DI54" s="738"/>
      <c r="DJ54" s="736"/>
      <c r="DK54" s="737"/>
      <c r="DL54" s="737"/>
      <c r="DM54" s="779"/>
      <c r="DO54" s="782"/>
      <c r="DP54" s="438"/>
      <c r="DQ54" s="438"/>
      <c r="DR54" s="438"/>
      <c r="DS54" s="567"/>
      <c r="DT54" s="567"/>
      <c r="DU54" s="567"/>
      <c r="DV54" s="778"/>
      <c r="DW54" s="778"/>
      <c r="DX54" s="778"/>
    </row>
    <row r="55" spans="2:128" x14ac:dyDescent="0.2">
      <c r="B55" s="762">
        <f>'TABLE RM11'!D38</f>
        <v>229.9968403</v>
      </c>
      <c r="C55" s="762">
        <f>'TABLE RM11'!E38</f>
        <v>2.0000824719999999</v>
      </c>
      <c r="D55" s="762">
        <f>'TABLE RM11'!F38</f>
        <v>30.000009590000001</v>
      </c>
      <c r="E55" s="762" t="str">
        <f>'TABLE RM11'!G38</f>
        <v>0.5 Lag</v>
      </c>
      <c r="F55" s="762" t="str">
        <f>'TABLE RM11'!H38</f>
        <v>A</v>
      </c>
      <c r="G55" s="762">
        <f>'TABLE RM11'!I38</f>
        <v>99997.271670000002</v>
      </c>
      <c r="H55" s="765">
        <f>'TABLE RM11'!J38</f>
        <v>-2.7283310000000001E-3</v>
      </c>
      <c r="I55" s="765">
        <f>'TABLE RM11'!K38</f>
        <v>1.4871847000000001E-2</v>
      </c>
      <c r="J55" s="770">
        <f>'TABLE RM11'!L38</f>
        <v>2.0806743569999999</v>
      </c>
      <c r="K55" s="767"/>
      <c r="L55" s="438">
        <f t="shared" si="25"/>
        <v>0.92384883908303461</v>
      </c>
      <c r="M55" s="438">
        <f t="shared" si="26"/>
        <v>0.49779190170528248</v>
      </c>
      <c r="N55" s="438"/>
      <c r="Q55" s="438"/>
      <c r="S55" s="762">
        <v>229.9126382</v>
      </c>
      <c r="T55" s="762">
        <v>2.001350306</v>
      </c>
      <c r="U55" s="762" t="s">
        <v>96</v>
      </c>
      <c r="V55" s="762" t="s">
        <v>92</v>
      </c>
      <c r="W55" s="762">
        <v>99989.868579999995</v>
      </c>
      <c r="X55" s="768">
        <v>-1.0131416000000001E-2</v>
      </c>
      <c r="Y55" s="768">
        <v>1.6097706E-2</v>
      </c>
      <c r="Z55" s="770">
        <v>2.104237871</v>
      </c>
      <c r="AB55" s="438"/>
      <c r="AC55" s="438"/>
      <c r="AD55" s="438"/>
      <c r="AF55" s="762"/>
      <c r="AG55" s="767"/>
      <c r="AH55" s="763"/>
      <c r="AI55" s="763"/>
      <c r="AJ55" s="763"/>
      <c r="AK55" s="765"/>
      <c r="AL55" s="765"/>
      <c r="AM55" s="763"/>
      <c r="AO55" s="438"/>
      <c r="AP55" s="438"/>
      <c r="AQ55" s="438"/>
      <c r="AS55" s="762"/>
      <c r="AT55" s="767"/>
      <c r="AU55" s="763"/>
      <c r="AV55" s="763"/>
      <c r="AW55" s="769"/>
      <c r="AX55" s="765"/>
      <c r="AY55" s="765"/>
      <c r="AZ55" s="770"/>
      <c r="BB55" s="771"/>
      <c r="BC55" s="771"/>
      <c r="BD55" s="771"/>
      <c r="BE55" s="771"/>
      <c r="BF55" s="772"/>
      <c r="BG55" s="772"/>
      <c r="BH55" s="773"/>
      <c r="BO55" s="782">
        <f>C60</f>
        <v>5.9998917250000003</v>
      </c>
      <c r="BP55" s="567">
        <f>H60</f>
        <v>2.1203229999999999E-3</v>
      </c>
      <c r="BQ55" s="567">
        <f>I60</f>
        <v>1.379912E-2</v>
      </c>
      <c r="BR55" s="567">
        <f>H61</f>
        <v>2.27772E-4</v>
      </c>
      <c r="BS55" s="567">
        <f>I61</f>
        <v>1.4767852999999999E-2</v>
      </c>
      <c r="BT55" s="567">
        <f>H62</f>
        <v>5.9537499999999998E-4</v>
      </c>
      <c r="BU55" s="567">
        <f>I62</f>
        <v>1.4016858E-2</v>
      </c>
      <c r="BV55" s="567"/>
      <c r="BW55" s="775"/>
      <c r="BY55" s="54"/>
      <c r="BZ55" s="776"/>
      <c r="CA55" s="738"/>
      <c r="CB55" s="777"/>
      <c r="CC55" s="777"/>
      <c r="CD55" s="736"/>
      <c r="CE55" s="778"/>
      <c r="CF55" s="778"/>
      <c r="CG55" s="779"/>
      <c r="CH55" s="734"/>
      <c r="CI55" s="738"/>
      <c r="CJ55" s="780"/>
      <c r="CM55" s="567"/>
      <c r="CN55" s="567"/>
      <c r="CO55" s="438"/>
      <c r="CP55" s="438"/>
      <c r="CQ55" s="781"/>
      <c r="CR55" s="776"/>
      <c r="CS55" s="734"/>
      <c r="CT55" s="777"/>
      <c r="CU55" s="832"/>
      <c r="CV55" s="778"/>
      <c r="CW55" s="778"/>
      <c r="CX55" s="779"/>
      <c r="CY55" s="734"/>
      <c r="CZ55" s="734"/>
      <c r="DC55" s="567"/>
      <c r="DD55" s="438"/>
      <c r="DF55" s="781"/>
      <c r="DG55" s="734"/>
      <c r="DH55" s="735"/>
      <c r="DI55" s="738"/>
      <c r="DJ55" s="736"/>
      <c r="DK55" s="737"/>
      <c r="DL55" s="737"/>
      <c r="DM55" s="779"/>
      <c r="DO55" s="782"/>
      <c r="DP55" s="438"/>
      <c r="DQ55" s="438"/>
      <c r="DR55" s="438"/>
      <c r="DS55" s="567"/>
      <c r="DT55" s="567"/>
      <c r="DU55" s="567"/>
      <c r="DV55" s="778"/>
      <c r="DW55" s="778"/>
      <c r="DX55" s="778"/>
    </row>
    <row r="56" spans="2:128" x14ac:dyDescent="0.2">
      <c r="B56" s="762">
        <f>'TABLE RM11'!D39</f>
        <v>229.99693540000001</v>
      </c>
      <c r="C56" s="762">
        <f>'TABLE RM11'!E39</f>
        <v>1.999954064</v>
      </c>
      <c r="D56" s="762">
        <f>'TABLE RM11'!F39</f>
        <v>126.87327449999999</v>
      </c>
      <c r="E56" s="762" t="str">
        <f>'TABLE RM11'!G39</f>
        <v>0.8 Lead</v>
      </c>
      <c r="F56" s="762" t="str">
        <f>'TABLE RM11'!H39</f>
        <v>A</v>
      </c>
      <c r="G56" s="762">
        <f>'TABLE RM11'!I39</f>
        <v>99998.561350000004</v>
      </c>
      <c r="H56" s="765">
        <f>'TABLE RM11'!J39</f>
        <v>-1.4386500000000001E-3</v>
      </c>
      <c r="I56" s="765">
        <f>'TABLE RM11'!K39</f>
        <v>1.404744E-2</v>
      </c>
      <c r="J56" s="770">
        <f>'TABLE RM11'!L39</f>
        <v>2.0810244029999998</v>
      </c>
      <c r="K56" s="767"/>
      <c r="L56" s="438">
        <f t="shared" si="25"/>
        <v>0.94928976806212684</v>
      </c>
      <c r="M56" s="438">
        <f t="shared" si="26"/>
        <v>0.54381154146235899</v>
      </c>
      <c r="N56" s="438"/>
      <c r="Q56" s="438"/>
      <c r="S56" s="762">
        <v>229.9109071</v>
      </c>
      <c r="T56" s="762">
        <v>2.001310922</v>
      </c>
      <c r="U56" s="762" t="s">
        <v>98</v>
      </c>
      <c r="V56" s="762" t="s">
        <v>92</v>
      </c>
      <c r="W56" s="762">
        <v>99990.922189999997</v>
      </c>
      <c r="X56" s="768">
        <v>-9.0778100000000004E-3</v>
      </c>
      <c r="Y56" s="768">
        <v>1.4797842E-2</v>
      </c>
      <c r="Z56" s="770">
        <v>2.1428854190000002</v>
      </c>
      <c r="AB56" s="438"/>
      <c r="AC56" s="438"/>
      <c r="AD56" s="438"/>
      <c r="AF56" s="762"/>
      <c r="AG56" s="767"/>
      <c r="AH56" s="763"/>
      <c r="AI56" s="763"/>
      <c r="AJ56" s="763"/>
      <c r="AK56" s="765"/>
      <c r="AL56" s="765"/>
      <c r="AM56" s="763"/>
      <c r="AO56" s="438"/>
      <c r="AP56" s="438"/>
      <c r="AQ56" s="438"/>
      <c r="AS56" s="762"/>
      <c r="AT56" s="767"/>
      <c r="AU56" s="763"/>
      <c r="AV56" s="763"/>
      <c r="AW56" s="769"/>
      <c r="AX56" s="765"/>
      <c r="AY56" s="765"/>
      <c r="AZ56" s="770"/>
      <c r="BB56" s="771"/>
      <c r="BC56" s="771"/>
      <c r="BD56" s="771"/>
      <c r="BE56" s="771"/>
      <c r="BF56" s="772"/>
      <c r="BG56" s="772"/>
      <c r="BH56" s="773"/>
      <c r="BO56" s="782"/>
      <c r="BR56" s="567"/>
      <c r="BS56" s="567"/>
      <c r="BV56" s="567"/>
      <c r="BW56" s="775"/>
      <c r="BY56" s="54"/>
      <c r="BZ56" s="776"/>
      <c r="CA56" s="738"/>
      <c r="CB56" s="777"/>
      <c r="CC56" s="777"/>
      <c r="CD56" s="736"/>
      <c r="CE56" s="778"/>
      <c r="CF56" s="778"/>
      <c r="CG56" s="779"/>
      <c r="CH56" s="734"/>
      <c r="CI56" s="738"/>
      <c r="CJ56" s="780"/>
      <c r="CM56" s="567"/>
      <c r="CN56" s="567"/>
      <c r="CO56" s="438"/>
      <c r="CP56" s="438"/>
      <c r="CQ56" s="781"/>
      <c r="CR56" s="776"/>
      <c r="CS56" s="734"/>
      <c r="CT56" s="777"/>
      <c r="CU56" s="832"/>
      <c r="CV56" s="778"/>
      <c r="CW56" s="778"/>
      <c r="CX56" s="779"/>
      <c r="CY56" s="734"/>
      <c r="CZ56" s="734"/>
      <c r="DC56" s="567"/>
      <c r="DD56" s="438"/>
      <c r="DF56" s="781"/>
      <c r="DG56" s="734"/>
      <c r="DH56" s="735"/>
      <c r="DI56" s="738"/>
      <c r="DJ56" s="736"/>
      <c r="DK56" s="737"/>
      <c r="DL56" s="737"/>
      <c r="DM56" s="779"/>
      <c r="DO56" s="782"/>
      <c r="DP56" s="438"/>
      <c r="DQ56" s="438"/>
      <c r="DR56" s="438"/>
      <c r="DS56" s="567"/>
      <c r="DT56" s="567"/>
      <c r="DU56" s="567"/>
      <c r="DV56" s="778"/>
      <c r="DW56" s="778"/>
      <c r="DX56" s="778"/>
    </row>
    <row r="57" spans="2:128" x14ac:dyDescent="0.2">
      <c r="B57" s="762">
        <f>'TABLE RM11'!D40</f>
        <v>229.99688259999999</v>
      </c>
      <c r="C57" s="762">
        <f>'TABLE RM11'!E40</f>
        <v>4.9998779860000004</v>
      </c>
      <c r="D57" s="762">
        <f>'TABLE RM11'!F40</f>
        <v>89.999791770000002</v>
      </c>
      <c r="E57" s="762" t="str">
        <f>'TABLE RM11'!G40</f>
        <v xml:space="preserve">1  </v>
      </c>
      <c r="F57" s="762" t="str">
        <f>'TABLE RM11'!H40</f>
        <v>A</v>
      </c>
      <c r="G57" s="762">
        <f>'TABLE RM11'!I40</f>
        <v>100000.35219999999</v>
      </c>
      <c r="H57" s="765">
        <f>'TABLE RM11'!J40</f>
        <v>3.5218800000000002E-4</v>
      </c>
      <c r="I57" s="765">
        <f>'TABLE RM11'!K40</f>
        <v>1.3797393E-2</v>
      </c>
      <c r="J57" s="770">
        <f>'TABLE RM11'!L40</f>
        <v>2.0828801349999999</v>
      </c>
      <c r="K57" s="767"/>
      <c r="L57" s="438">
        <f t="shared" si="25"/>
        <v>0.95447220477214201</v>
      </c>
      <c r="M57" s="438">
        <f t="shared" si="26"/>
        <v>0.51436796791973671</v>
      </c>
      <c r="N57" s="438">
        <f>(H57-W57)/I57</f>
        <v>-7247257.1374760438</v>
      </c>
      <c r="Q57" s="438">
        <f>(H57-AK57)/I57</f>
        <v>-0.21806594706572985</v>
      </c>
      <c r="R57" s="438">
        <f>(H57-AS57)/I57</f>
        <v>-16673.21029561296</v>
      </c>
      <c r="S57" s="762">
        <v>229.91711000000001</v>
      </c>
      <c r="T57" s="762">
        <v>4.999761586</v>
      </c>
      <c r="U57" s="762" t="s">
        <v>91</v>
      </c>
      <c r="V57" s="762" t="s">
        <v>92</v>
      </c>
      <c r="W57" s="762">
        <v>99993.255250000002</v>
      </c>
      <c r="X57" s="765">
        <v>-6.7447490000000004E-3</v>
      </c>
      <c r="Y57" s="765">
        <v>1.4455521000000001E-2</v>
      </c>
      <c r="Z57" s="770">
        <v>2.1603072989999998</v>
      </c>
      <c r="AB57" s="438">
        <f>(X57-AK57)/Y57</f>
        <v>-0.69908781368606998</v>
      </c>
      <c r="AC57" s="438">
        <f>Y57/AL57</f>
        <v>0.99989876734483818</v>
      </c>
      <c r="AD57" s="438">
        <f>(X57-AX57)/Y57</f>
        <v>-0.41897958879492359</v>
      </c>
      <c r="AE57" s="438">
        <f>(X57-BF57)/Y57</f>
        <v>-0.56486853708005402</v>
      </c>
      <c r="AF57" s="762">
        <v>229.99883452709565</v>
      </c>
      <c r="AG57" s="767">
        <v>5.0000815097783038</v>
      </c>
      <c r="AH57" s="763" t="s">
        <v>91</v>
      </c>
      <c r="AI57" s="763" t="s">
        <v>92</v>
      </c>
      <c r="AJ57" s="763">
        <v>100003.36092957159</v>
      </c>
      <c r="AK57" s="765">
        <v>3.3609295715830712E-3</v>
      </c>
      <c r="AL57" s="765">
        <v>1.4456984518928484E-2</v>
      </c>
      <c r="AM57" s="763">
        <v>2.1605050141691442</v>
      </c>
      <c r="AO57" s="438">
        <f t="shared" si="27"/>
        <v>0.28007986879180796</v>
      </c>
      <c r="AP57" s="438">
        <f t="shared" si="28"/>
        <v>1.1145399255983999</v>
      </c>
      <c r="AQ57" s="438">
        <f t="shared" si="29"/>
        <v>0.13420568923227114</v>
      </c>
      <c r="AS57" s="762">
        <v>230.04718720821816</v>
      </c>
      <c r="AT57" s="767">
        <v>5.0007155710429627</v>
      </c>
      <c r="AU57" s="763" t="s">
        <v>91</v>
      </c>
      <c r="AV57" s="763" t="s">
        <v>92</v>
      </c>
      <c r="AW57" s="769">
        <v>99999.311819244394</v>
      </c>
      <c r="AX57" s="765">
        <v>-6.8818075560361791E-4</v>
      </c>
      <c r="AY57" s="765">
        <v>1.2971257634549508E-2</v>
      </c>
      <c r="AZ57" s="770">
        <v>2.2156393412306894</v>
      </c>
      <c r="BB57" s="771">
        <v>230.02167890000001</v>
      </c>
      <c r="BC57" s="771">
        <v>5.0003981360000003</v>
      </c>
      <c r="BD57" s="771" t="s">
        <v>91</v>
      </c>
      <c r="BE57" s="771">
        <v>100001.4207</v>
      </c>
      <c r="BF57" s="772">
        <v>1.4207200000000001E-3</v>
      </c>
      <c r="BG57" s="772">
        <v>7.3960099999999997E-3</v>
      </c>
      <c r="BH57" s="773">
        <v>2.209162547</v>
      </c>
      <c r="BO57" s="782"/>
      <c r="BR57" s="567"/>
      <c r="BS57" s="567"/>
      <c r="BV57" s="567">
        <v>1.073691922402982E-2</v>
      </c>
      <c r="BW57" s="775">
        <v>1.4517177808074651</v>
      </c>
      <c r="BY57" s="54">
        <v>26</v>
      </c>
      <c r="BZ57" s="776">
        <v>240.02222772205704</v>
      </c>
      <c r="CA57" s="738">
        <v>0.99997610809422355</v>
      </c>
      <c r="CB57" s="777" t="s">
        <v>91</v>
      </c>
      <c r="CC57" s="777" t="s">
        <v>92</v>
      </c>
      <c r="CD57" s="736">
        <v>99991.767667518739</v>
      </c>
      <c r="CE57" s="778">
        <v>-8.2323324812616505E-3</v>
      </c>
      <c r="CF57" s="778">
        <v>1.591151512545845E-2</v>
      </c>
      <c r="CG57" s="779">
        <v>2.1380857980044414</v>
      </c>
      <c r="CH57" s="734" t="s">
        <v>49</v>
      </c>
      <c r="CI57" s="738">
        <v>-89.915659528614043</v>
      </c>
      <c r="CJ57" s="780">
        <v>0</v>
      </c>
      <c r="CK57" s="6" t="s">
        <v>94</v>
      </c>
      <c r="CL57" s="6">
        <v>1</v>
      </c>
      <c r="CM57" s="567">
        <v>-1</v>
      </c>
      <c r="CN57" s="567">
        <v>-2.4901777388747392E-2</v>
      </c>
      <c r="CO57" s="438">
        <v>-1.565016102640314</v>
      </c>
      <c r="CP57" s="438">
        <v>1.1401722513487933</v>
      </c>
      <c r="CQ57" s="781">
        <v>240.06364099175971</v>
      </c>
      <c r="CR57" s="776">
        <v>0.99977539159984752</v>
      </c>
      <c r="CS57" s="734" t="s">
        <v>95</v>
      </c>
      <c r="CT57" s="777" t="s">
        <v>92</v>
      </c>
      <c r="CU57" s="832">
        <v>100016.66944490749</v>
      </c>
      <c r="CV57" s="778">
        <v>1.6669444907485741E-2</v>
      </c>
      <c r="CW57" s="778">
        <v>1.3955360785737026E-2</v>
      </c>
      <c r="CX57" s="779">
        <v>2.1661882690751559</v>
      </c>
      <c r="CY57" s="734" t="s">
        <v>49</v>
      </c>
      <c r="CZ57" s="734"/>
      <c r="DB57" s="6">
        <v>-1.7000000000000001E-2</v>
      </c>
      <c r="DC57" s="567">
        <v>8.7676675187383507E-3</v>
      </c>
      <c r="DD57" s="438">
        <v>0.55102656469905043</v>
      </c>
      <c r="DF57" s="781">
        <v>240.1</v>
      </c>
      <c r="DG57" s="734">
        <v>1</v>
      </c>
      <c r="DH57" s="735" t="s">
        <v>95</v>
      </c>
      <c r="DI57" s="738" t="s">
        <v>92</v>
      </c>
      <c r="DJ57" s="736">
        <v>99983.491265277669</v>
      </c>
      <c r="DK57" s="737">
        <v>-1.6508734722330699E-2</v>
      </c>
      <c r="DL57" s="737">
        <v>1.3404071515888712E-2</v>
      </c>
      <c r="DM57" s="779">
        <v>2.2433991862094436</v>
      </c>
      <c r="DO57" s="782">
        <f t="shared" si="30"/>
        <v>5.0000815097783038</v>
      </c>
      <c r="DP57" s="438" t="str">
        <f t="shared" si="30"/>
        <v xml:space="preserve">1  </v>
      </c>
      <c r="DQ57" s="567"/>
      <c r="DR57" s="567">
        <f>X57</f>
        <v>-6.7447490000000004E-3</v>
      </c>
      <c r="DS57" s="567">
        <f t="shared" si="31"/>
        <v>3.3609295715830712E-3</v>
      </c>
      <c r="DT57" s="567">
        <f t="shared" si="32"/>
        <v>-6.8818075560361791E-4</v>
      </c>
      <c r="DU57" s="567">
        <f t="shared" si="33"/>
        <v>1.4207200000000001E-3</v>
      </c>
      <c r="DV57" s="778">
        <f>CE65</f>
        <v>-9.3161992240298197E-3</v>
      </c>
      <c r="DW57" s="778">
        <f>CV65</f>
        <v>1.3890818169194971E-2</v>
      </c>
      <c r="DX57" s="778">
        <f>DK65</f>
        <v>-1.7693117315357085E-2</v>
      </c>
    </row>
    <row r="58" spans="2:128" x14ac:dyDescent="0.2">
      <c r="B58" s="762">
        <f>'TABLE RM11'!D41</f>
        <v>229.99675089999999</v>
      </c>
      <c r="C58" s="762">
        <f>'TABLE RM11'!E41</f>
        <v>5.0002160900000003</v>
      </c>
      <c r="D58" s="762">
        <f>'TABLE RM11'!F41</f>
        <v>29.99987089</v>
      </c>
      <c r="E58" s="762" t="str">
        <f>'TABLE RM11'!G41</f>
        <v>0.5 Lag</v>
      </c>
      <c r="F58" s="762" t="str">
        <f>'TABLE RM11'!H41</f>
        <v>A</v>
      </c>
      <c r="G58" s="762">
        <f>'TABLE RM11'!I41</f>
        <v>99999.358940000006</v>
      </c>
      <c r="H58" s="765">
        <f>'TABLE RM11'!J41</f>
        <v>-6.4105800000000001E-4</v>
      </c>
      <c r="I58" s="765">
        <f>'TABLE RM11'!K41</f>
        <v>1.4757961E-2</v>
      </c>
      <c r="J58" s="770">
        <f>'TABLE RM11'!L41</f>
        <v>2.0857663959999999</v>
      </c>
      <c r="K58" s="767"/>
      <c r="L58" s="438">
        <f t="shared" si="25"/>
        <v>0.91925697081167657</v>
      </c>
      <c r="M58" s="438">
        <f t="shared" si="26"/>
        <v>0.31498748370455787</v>
      </c>
      <c r="N58" s="438">
        <f>(H58-W58)/I58</f>
        <v>-6775645.430358435</v>
      </c>
      <c r="Q58" s="438">
        <f>(H58-AK58)/I58</f>
        <v>-0.16049512732730406</v>
      </c>
      <c r="R58" s="438">
        <f>(H58-AS58)/I58</f>
        <v>-15588.059594859307</v>
      </c>
      <c r="S58" s="762">
        <v>229.9119</v>
      </c>
      <c r="T58" s="762">
        <v>4.9998050379999999</v>
      </c>
      <c r="U58" s="762" t="s">
        <v>96</v>
      </c>
      <c r="V58" s="762" t="s">
        <v>92</v>
      </c>
      <c r="W58" s="762">
        <v>99994.710370000001</v>
      </c>
      <c r="X58" s="765">
        <v>-5.2896310000000004E-3</v>
      </c>
      <c r="Y58" s="765">
        <v>1.6054228E-2</v>
      </c>
      <c r="Z58" s="770">
        <v>2.1063675829999999</v>
      </c>
      <c r="AB58" s="438">
        <f>(X58-AK58)/Y58</f>
        <v>-0.43709070469077604</v>
      </c>
      <c r="AC58" s="438">
        <f>Y58/AL58</f>
        <v>0.99995594581827141</v>
      </c>
      <c r="AD58" s="438">
        <f>(X58-AX58)/Y58</f>
        <v>-5.5287266492414507E-2</v>
      </c>
      <c r="AE58" s="438">
        <f>(X58-BF58)/Y58</f>
        <v>-0.31337533016224761</v>
      </c>
      <c r="AF58" s="762">
        <v>230.02221729024419</v>
      </c>
      <c r="AG58" s="767">
        <v>4.9997672449760495</v>
      </c>
      <c r="AH58" s="763" t="s">
        <v>96</v>
      </c>
      <c r="AI58" s="763" t="s">
        <v>92</v>
      </c>
      <c r="AJ58" s="763">
        <v>100001.72752282978</v>
      </c>
      <c r="AK58" s="765">
        <v>1.7275228297863876E-3</v>
      </c>
      <c r="AL58" s="765">
        <v>1.6054935287036776E-2</v>
      </c>
      <c r="AM58" s="763">
        <v>2.1064414752853158</v>
      </c>
      <c r="AO58" s="438">
        <f t="shared" si="27"/>
        <v>0.38178661816031056</v>
      </c>
      <c r="AP58" s="438">
        <f t="shared" si="28"/>
        <v>1.1043567272934331</v>
      </c>
      <c r="AQ58" s="438">
        <f t="shared" si="29"/>
        <v>0.12370992434893631</v>
      </c>
      <c r="AS58" s="762">
        <v>230.04733450860945</v>
      </c>
      <c r="AT58" s="767">
        <v>5.0006996279661156</v>
      </c>
      <c r="AU58" s="763" t="s">
        <v>96</v>
      </c>
      <c r="AV58" s="763" t="s">
        <v>92</v>
      </c>
      <c r="AW58" s="769">
        <v>99995.597963381762</v>
      </c>
      <c r="AX58" s="765">
        <v>-4.4020366182340176E-3</v>
      </c>
      <c r="AY58" s="765">
        <v>1.4537816350686201E-2</v>
      </c>
      <c r="AZ58" s="770">
        <v>2.1093999088344906</v>
      </c>
      <c r="BB58" s="771">
        <v>230.02069230000001</v>
      </c>
      <c r="BC58" s="771">
        <v>5.0008133580000003</v>
      </c>
      <c r="BD58" s="771" t="s">
        <v>96</v>
      </c>
      <c r="BE58" s="771">
        <v>99999.741370000003</v>
      </c>
      <c r="BF58" s="772">
        <v>-2.5863200000000001E-4</v>
      </c>
      <c r="BG58" s="772">
        <v>9.287577E-3</v>
      </c>
      <c r="BH58" s="773">
        <v>2.0920187119999998</v>
      </c>
      <c r="BV58" s="567">
        <v>6.1555744448491354E-3</v>
      </c>
      <c r="BW58" s="775">
        <v>0.66277506445966861</v>
      </c>
      <c r="BY58" s="54">
        <v>27</v>
      </c>
      <c r="BZ58" s="776">
        <v>240.02312109834301</v>
      </c>
      <c r="CA58" s="738">
        <v>0.99996219048965906</v>
      </c>
      <c r="CB58" s="777" t="s">
        <v>96</v>
      </c>
      <c r="CC58" s="777" t="s">
        <v>92</v>
      </c>
      <c r="CD58" s="736">
        <v>99988.616861666131</v>
      </c>
      <c r="CE58" s="778">
        <v>-1.1383138333864729E-2</v>
      </c>
      <c r="CF58" s="778">
        <v>1.6722217477707298E-2</v>
      </c>
      <c r="CG58" s="779">
        <v>2.098263739922392</v>
      </c>
      <c r="CH58" s="734" t="s">
        <v>49</v>
      </c>
      <c r="CI58" s="738">
        <v>-29.918272025017551</v>
      </c>
      <c r="CJ58" s="780">
        <v>0</v>
      </c>
      <c r="CK58" s="6" t="s">
        <v>97</v>
      </c>
      <c r="CL58" s="6">
        <v>1</v>
      </c>
      <c r="CM58" s="567">
        <v>-1</v>
      </c>
      <c r="CN58" s="567">
        <v>-2.2495484150068471E-2</v>
      </c>
      <c r="CO58" s="438">
        <v>-1.3452452810195552</v>
      </c>
      <c r="CP58" s="438">
        <v>1.1246906178820089</v>
      </c>
      <c r="CQ58" s="781">
        <v>240.06053678804449</v>
      </c>
      <c r="CR58" s="776">
        <v>0.9998550350391332</v>
      </c>
      <c r="CS58" s="734" t="s">
        <v>560</v>
      </c>
      <c r="CT58" s="777" t="s">
        <v>92</v>
      </c>
      <c r="CU58" s="832">
        <v>100011.1123458162</v>
      </c>
      <c r="CV58" s="778">
        <v>1.1112345816203743E-2</v>
      </c>
      <c r="CW58" s="778">
        <v>1.4868282185191683E-2</v>
      </c>
      <c r="CX58" s="779">
        <v>2.1081793649170462</v>
      </c>
      <c r="CY58" s="734" t="s">
        <v>49</v>
      </c>
      <c r="CZ58" s="734"/>
      <c r="DB58" s="6">
        <v>-1.2E-2</v>
      </c>
      <c r="DC58" s="567">
        <v>6.1686166613527174E-4</v>
      </c>
      <c r="DD58" s="438">
        <v>3.6888747976015837E-2</v>
      </c>
      <c r="DF58" s="781">
        <v>240</v>
      </c>
      <c r="DG58" s="734">
        <v>1</v>
      </c>
      <c r="DH58" s="735" t="s">
        <v>560</v>
      </c>
      <c r="DI58" s="738" t="s">
        <v>92</v>
      </c>
      <c r="DJ58" s="736">
        <v>99987.858759831681</v>
      </c>
      <c r="DK58" s="737">
        <v>-1.21412401683192E-2</v>
      </c>
      <c r="DL58" s="737">
        <v>1.4358132695600689E-2</v>
      </c>
      <c r="DM58" s="779">
        <v>2.1407789955425933</v>
      </c>
      <c r="DO58" s="782">
        <f t="shared" si="30"/>
        <v>4.9997672449760495</v>
      </c>
      <c r="DP58" s="438" t="str">
        <f t="shared" si="30"/>
        <v>0.5 Lag</v>
      </c>
      <c r="DQ58" s="567"/>
      <c r="DR58" s="567">
        <f>X58</f>
        <v>-5.2896310000000004E-3</v>
      </c>
      <c r="DS58" s="567">
        <f t="shared" si="31"/>
        <v>1.7275228297863876E-3</v>
      </c>
      <c r="DT58" s="567">
        <f t="shared" si="32"/>
        <v>-4.4020366182340176E-3</v>
      </c>
      <c r="DU58" s="567">
        <f t="shared" si="33"/>
        <v>-2.5863200000000001E-4</v>
      </c>
      <c r="DV58" s="778">
        <f>CE66</f>
        <v>-6.4142064448491354E-3</v>
      </c>
      <c r="DW58" s="778">
        <f>CV66</f>
        <v>1.1112345816203743E-2</v>
      </c>
      <c r="DX58" s="778">
        <f>DK66</f>
        <v>-1.2837366808555089E-2</v>
      </c>
    </row>
    <row r="59" spans="2:128" x14ac:dyDescent="0.2">
      <c r="B59" s="762">
        <f>'TABLE RM11'!D42</f>
        <v>229.99661169999999</v>
      </c>
      <c r="C59" s="762">
        <f>'TABLE RM11'!E42</f>
        <v>4.9999010229999996</v>
      </c>
      <c r="D59" s="762">
        <f>'TABLE RM11'!F42</f>
        <v>126.87238360000001</v>
      </c>
      <c r="E59" s="762" t="str">
        <f>'TABLE RM11'!G42</f>
        <v>0.8 Lead</v>
      </c>
      <c r="F59" s="762" t="str">
        <f>'TABLE RM11'!H42</f>
        <v>A</v>
      </c>
      <c r="G59" s="762">
        <f>'TABLE RM11'!I42</f>
        <v>99999.796679999999</v>
      </c>
      <c r="H59" s="765">
        <f>'TABLE RM11'!J42</f>
        <v>-2.0332E-4</v>
      </c>
      <c r="I59" s="765">
        <f>'TABLE RM11'!K42</f>
        <v>1.4003425E-2</v>
      </c>
      <c r="J59" s="770">
        <f>'TABLE RM11'!L42</f>
        <v>2.0833533229999999</v>
      </c>
      <c r="K59" s="767"/>
      <c r="L59" s="438">
        <f t="shared" si="25"/>
        <v>0.94817660805614867</v>
      </c>
      <c r="M59" s="438">
        <f t="shared" si="26"/>
        <v>0.44748845371757268</v>
      </c>
      <c r="N59" s="438"/>
      <c r="Q59" s="438"/>
      <c r="S59" s="762">
        <v>229.90743259999999</v>
      </c>
      <c r="T59" s="762">
        <v>4.9996188019999996</v>
      </c>
      <c r="U59" s="762" t="s">
        <v>98</v>
      </c>
      <c r="V59" s="762" t="s">
        <v>92</v>
      </c>
      <c r="W59" s="762">
        <v>99993.530310000002</v>
      </c>
      <c r="X59" s="765">
        <v>-6.4696909999999996E-3</v>
      </c>
      <c r="Y59" s="765">
        <v>1.4768794E-2</v>
      </c>
      <c r="Z59" s="770">
        <v>2.145035246</v>
      </c>
      <c r="AB59" s="438"/>
      <c r="AC59" s="438"/>
      <c r="AD59" s="438"/>
      <c r="AF59" s="762"/>
      <c r="AG59" s="767"/>
      <c r="AH59" s="763"/>
      <c r="AI59" s="763"/>
      <c r="AJ59" s="763"/>
      <c r="AK59" s="765"/>
      <c r="AL59" s="765"/>
      <c r="AM59" s="763"/>
      <c r="AO59" s="438"/>
      <c r="AP59" s="438"/>
      <c r="AQ59" s="438"/>
      <c r="AS59" s="762"/>
      <c r="AT59" s="767"/>
      <c r="AU59" s="763"/>
      <c r="AV59" s="763"/>
      <c r="AW59" s="769"/>
      <c r="AX59" s="765"/>
      <c r="AY59" s="765"/>
      <c r="AZ59" s="770"/>
      <c r="BB59" s="771"/>
      <c r="BC59" s="771"/>
      <c r="BD59" s="771"/>
      <c r="BE59" s="771"/>
      <c r="BF59" s="772"/>
      <c r="BG59" s="772"/>
      <c r="BH59" s="773"/>
      <c r="BO59" s="782"/>
      <c r="BR59" s="567"/>
      <c r="BS59" s="567"/>
      <c r="BV59" s="567"/>
      <c r="BW59" s="775"/>
      <c r="BY59" s="54"/>
      <c r="BZ59" s="776"/>
      <c r="CA59" s="738"/>
      <c r="CB59" s="777"/>
      <c r="CC59" s="777"/>
      <c r="CD59" s="736"/>
      <c r="CE59" s="778"/>
      <c r="CF59" s="778"/>
      <c r="CG59" s="779"/>
      <c r="CH59" s="734"/>
      <c r="CI59" s="738"/>
      <c r="CJ59" s="780"/>
      <c r="CM59" s="567"/>
      <c r="CN59" s="567"/>
      <c r="CO59" s="438"/>
      <c r="CP59" s="438"/>
      <c r="CQ59" s="781"/>
      <c r="CR59" s="776"/>
      <c r="CS59" s="734"/>
      <c r="CT59" s="777"/>
      <c r="CU59" s="832"/>
      <c r="CV59" s="778"/>
      <c r="CW59" s="778"/>
      <c r="CX59" s="779"/>
      <c r="CY59" s="734"/>
      <c r="CZ59" s="734"/>
      <c r="DC59" s="567"/>
      <c r="DD59" s="438"/>
      <c r="DF59" s="781"/>
      <c r="DG59" s="734"/>
      <c r="DH59" s="735"/>
      <c r="DI59" s="738"/>
      <c r="DJ59" s="736"/>
      <c r="DK59" s="737"/>
      <c r="DL59" s="737"/>
      <c r="DM59" s="779"/>
      <c r="DO59" s="782"/>
      <c r="DP59" s="438"/>
      <c r="DQ59" s="438"/>
      <c r="DR59" s="438"/>
      <c r="DS59" s="567"/>
      <c r="DT59" s="567"/>
      <c r="DU59" s="567"/>
      <c r="DV59" s="778"/>
      <c r="DW59" s="778"/>
      <c r="DX59" s="778"/>
    </row>
    <row r="60" spans="2:128" x14ac:dyDescent="0.2">
      <c r="B60" s="762">
        <f>'TABLE RM11'!D43</f>
        <v>229.99676009999999</v>
      </c>
      <c r="C60" s="762">
        <f>'TABLE RM11'!E43</f>
        <v>5.9998917250000003</v>
      </c>
      <c r="D60" s="762">
        <f>'TABLE RM11'!F43</f>
        <v>90.000350530000006</v>
      </c>
      <c r="E60" s="762" t="str">
        <f>'TABLE RM11'!G43</f>
        <v xml:space="preserve">1  </v>
      </c>
      <c r="F60" s="762" t="str">
        <f>'TABLE RM11'!H43</f>
        <v>A</v>
      </c>
      <c r="G60" s="762">
        <f>'TABLE RM11'!I43</f>
        <v>100002.1203</v>
      </c>
      <c r="H60" s="765">
        <f>'TABLE RM11'!J43</f>
        <v>2.1203229999999999E-3</v>
      </c>
      <c r="I60" s="765">
        <f>'TABLE RM11'!K43</f>
        <v>1.379912E-2</v>
      </c>
      <c r="J60" s="770">
        <f>'TABLE RM11'!L43</f>
        <v>2.0824967380000001</v>
      </c>
      <c r="K60" s="767"/>
      <c r="L60" s="438">
        <f t="shared" si="25"/>
        <v>0.95252709473893338</v>
      </c>
      <c r="M60" s="438">
        <f t="shared" si="26"/>
        <v>0.48442016592362408</v>
      </c>
      <c r="N60" s="438"/>
      <c r="Q60" s="438"/>
      <c r="S60" s="762">
        <v>229.9101398</v>
      </c>
      <c r="T60" s="762">
        <v>5.9980181699999999</v>
      </c>
      <c r="U60" s="762" t="s">
        <v>91</v>
      </c>
      <c r="V60" s="762" t="s">
        <v>92</v>
      </c>
      <c r="W60" s="762">
        <v>99995.435750000004</v>
      </c>
      <c r="X60" s="765">
        <v>-4.5642490000000003E-3</v>
      </c>
      <c r="Y60" s="765">
        <v>1.4486852999999999E-2</v>
      </c>
      <c r="Z60" s="770">
        <v>2.1583153839999998</v>
      </c>
      <c r="AB60" s="438"/>
      <c r="AC60" s="438"/>
      <c r="AD60" s="438"/>
      <c r="AF60" s="762"/>
      <c r="AG60" s="767"/>
      <c r="AH60" s="763"/>
      <c r="AI60" s="763"/>
      <c r="AJ60" s="763"/>
      <c r="AK60" s="765"/>
      <c r="AL60" s="765"/>
      <c r="AM60" s="763"/>
      <c r="AO60" s="438"/>
      <c r="AP60" s="438"/>
      <c r="AQ60" s="438"/>
      <c r="AS60" s="762"/>
      <c r="AT60" s="767"/>
      <c r="AU60" s="763"/>
      <c r="AV60" s="763"/>
      <c r="AW60" s="769"/>
      <c r="AX60" s="765"/>
      <c r="AY60" s="765"/>
      <c r="AZ60" s="770"/>
      <c r="BB60" s="771"/>
      <c r="BC60" s="771"/>
      <c r="BD60" s="771"/>
      <c r="BE60" s="771"/>
      <c r="BF60" s="772"/>
      <c r="BG60" s="772"/>
      <c r="BH60" s="773"/>
      <c r="BO60" s="782"/>
      <c r="BR60" s="567"/>
      <c r="BS60" s="567"/>
      <c r="BV60" s="567"/>
      <c r="BW60" s="775"/>
      <c r="BY60" s="54"/>
      <c r="BZ60" s="776"/>
      <c r="CA60" s="738"/>
      <c r="CB60" s="777"/>
      <c r="CC60" s="777"/>
      <c r="CD60" s="736"/>
      <c r="CE60" s="778"/>
      <c r="CF60" s="778"/>
      <c r="CG60" s="779"/>
      <c r="CH60" s="734"/>
      <c r="CI60" s="738"/>
      <c r="CJ60" s="780"/>
      <c r="CM60" s="567"/>
      <c r="CN60" s="567"/>
      <c r="CO60" s="438"/>
      <c r="CP60" s="438"/>
      <c r="CQ60" s="781"/>
      <c r="CR60" s="776"/>
      <c r="CS60" s="734"/>
      <c r="CT60" s="777"/>
      <c r="CU60" s="832"/>
      <c r="CV60" s="778"/>
      <c r="CW60" s="778"/>
      <c r="CX60" s="779"/>
      <c r="CY60" s="734"/>
      <c r="CZ60" s="734"/>
      <c r="DC60" s="567"/>
      <c r="DD60" s="438"/>
      <c r="DF60" s="781"/>
      <c r="DG60" s="734"/>
      <c r="DH60" s="735"/>
      <c r="DI60" s="738"/>
      <c r="DJ60" s="736"/>
      <c r="DK60" s="737"/>
      <c r="DL60" s="737"/>
      <c r="DM60" s="779"/>
      <c r="DO60" s="782"/>
      <c r="DP60" s="438"/>
      <c r="DQ60" s="438"/>
      <c r="DR60" s="438"/>
      <c r="DS60" s="567"/>
      <c r="DT60" s="567"/>
      <c r="DU60" s="567"/>
      <c r="DV60" s="778"/>
      <c r="DW60" s="778"/>
      <c r="DX60" s="778"/>
    </row>
    <row r="61" spans="2:128" x14ac:dyDescent="0.2">
      <c r="B61" s="762">
        <f>'TABLE RM11'!D44</f>
        <v>229.99681649999999</v>
      </c>
      <c r="C61" s="762">
        <f>'TABLE RM11'!E44</f>
        <v>6.0002580730000004</v>
      </c>
      <c r="D61" s="762">
        <f>'TABLE RM11'!F44</f>
        <v>30.000239220000001</v>
      </c>
      <c r="E61" s="762" t="str">
        <f>'TABLE RM11'!G44</f>
        <v>0.5 Lag</v>
      </c>
      <c r="F61" s="762" t="str">
        <f>'TABLE RM11'!H44</f>
        <v>A</v>
      </c>
      <c r="G61" s="762">
        <f>'TABLE RM11'!I44</f>
        <v>100000.22779999999</v>
      </c>
      <c r="H61" s="765">
        <f>'TABLE RM11'!J44</f>
        <v>2.27772E-4</v>
      </c>
      <c r="I61" s="765">
        <f>'TABLE RM11'!K44</f>
        <v>1.4767852999999999E-2</v>
      </c>
      <c r="J61" s="770">
        <f>'TABLE RM11'!L44</f>
        <v>2.0854082479999998</v>
      </c>
      <c r="K61" s="767"/>
      <c r="L61" s="438">
        <f t="shared" si="25"/>
        <v>0.9171425954188992</v>
      </c>
      <c r="M61" s="438">
        <f t="shared" si="26"/>
        <v>0.39027860041672957</v>
      </c>
      <c r="N61" s="438"/>
      <c r="Q61" s="438"/>
      <c r="S61" s="762">
        <v>229.9103078</v>
      </c>
      <c r="T61" s="762">
        <v>5.9980901319999997</v>
      </c>
      <c r="U61" s="762" t="s">
        <v>96</v>
      </c>
      <c r="V61" s="762" t="s">
        <v>92</v>
      </c>
      <c r="W61" s="762">
        <v>99994.464189999999</v>
      </c>
      <c r="X61" s="765">
        <v>-5.5358050000000004E-3</v>
      </c>
      <c r="Y61" s="765">
        <v>1.6102024999999999E-2</v>
      </c>
      <c r="Z61" s="770">
        <v>2.1048186480000002</v>
      </c>
      <c r="AB61" s="438"/>
      <c r="AC61" s="438"/>
      <c r="AD61" s="438"/>
      <c r="AF61" s="762"/>
      <c r="AG61" s="767"/>
      <c r="AH61" s="763"/>
      <c r="AI61" s="763"/>
      <c r="AJ61" s="763"/>
      <c r="AK61" s="765"/>
      <c r="AL61" s="765"/>
      <c r="AM61" s="763"/>
      <c r="AO61" s="438"/>
      <c r="AP61" s="438"/>
      <c r="AQ61" s="438"/>
      <c r="AS61" s="762"/>
      <c r="AT61" s="767"/>
      <c r="AU61" s="763"/>
      <c r="AV61" s="763"/>
      <c r="AW61" s="769"/>
      <c r="AX61" s="765"/>
      <c r="AY61" s="765"/>
      <c r="AZ61" s="770"/>
      <c r="BB61" s="771"/>
      <c r="BC61" s="771"/>
      <c r="BD61" s="771"/>
      <c r="BE61" s="771"/>
      <c r="BF61" s="772"/>
      <c r="BG61" s="772"/>
      <c r="BH61" s="773"/>
      <c r="BV61" s="567"/>
      <c r="BW61" s="775"/>
      <c r="BY61" s="54"/>
      <c r="BZ61" s="776"/>
      <c r="CA61" s="738"/>
      <c r="CB61" s="777"/>
      <c r="CC61" s="777"/>
      <c r="CD61" s="736"/>
      <c r="CE61" s="778"/>
      <c r="CF61" s="778"/>
      <c r="CG61" s="779"/>
      <c r="CH61" s="734"/>
      <c r="CI61" s="738"/>
      <c r="CJ61" s="780"/>
      <c r="CM61" s="567"/>
      <c r="CN61" s="567"/>
      <c r="CO61" s="438"/>
      <c r="CP61" s="438"/>
      <c r="CQ61" s="781"/>
      <c r="CR61" s="776"/>
      <c r="CS61" s="734"/>
      <c r="CT61" s="777"/>
      <c r="CU61" s="832"/>
      <c r="CV61" s="778"/>
      <c r="CW61" s="778"/>
      <c r="CX61" s="779"/>
      <c r="CY61" s="734"/>
      <c r="CZ61" s="734"/>
      <c r="DC61" s="567"/>
      <c r="DD61" s="438"/>
      <c r="DF61" s="781"/>
      <c r="DG61" s="734"/>
      <c r="DH61" s="735"/>
      <c r="DI61" s="738"/>
      <c r="DJ61" s="736"/>
      <c r="DK61" s="737"/>
      <c r="DL61" s="737"/>
      <c r="DM61" s="779"/>
      <c r="DO61" s="782"/>
      <c r="DP61" s="438"/>
      <c r="DQ61" s="438"/>
      <c r="DR61" s="438"/>
      <c r="DS61" s="567"/>
      <c r="DT61" s="567"/>
      <c r="DU61" s="567"/>
      <c r="DV61" s="778"/>
      <c r="DW61" s="778"/>
      <c r="DX61" s="778"/>
    </row>
    <row r="62" spans="2:128" x14ac:dyDescent="0.2">
      <c r="B62" s="762">
        <f>'TABLE RM11'!D45</f>
        <v>229.99694690000001</v>
      </c>
      <c r="C62" s="762">
        <f>'TABLE RM11'!E45</f>
        <v>5.9998884930000003</v>
      </c>
      <c r="D62" s="762">
        <f>'TABLE RM11'!F45</f>
        <v>126.87270839999999</v>
      </c>
      <c r="E62" s="762" t="str">
        <f>'TABLE RM11'!G45</f>
        <v>0.8 Lead</v>
      </c>
      <c r="F62" s="762" t="str">
        <f>'TABLE RM11'!H45</f>
        <v>A</v>
      </c>
      <c r="G62" s="762">
        <f>'TABLE RM11'!I45</f>
        <v>100000.59540000001</v>
      </c>
      <c r="H62" s="765">
        <f>'TABLE RM11'!J45</f>
        <v>5.9537499999999998E-4</v>
      </c>
      <c r="I62" s="765">
        <f>'TABLE RM11'!K45</f>
        <v>1.4016858E-2</v>
      </c>
      <c r="J62" s="770">
        <f>'TABLE RM11'!L45</f>
        <v>2.0829074420000002</v>
      </c>
      <c r="K62" s="767"/>
      <c r="L62" s="438">
        <f t="shared" si="25"/>
        <v>0.94831454106273327</v>
      </c>
      <c r="M62" s="438">
        <f t="shared" si="26"/>
        <v>0.436925094054602</v>
      </c>
      <c r="N62" s="438"/>
      <c r="Q62" s="438"/>
      <c r="S62" s="762">
        <v>229.90762789999999</v>
      </c>
      <c r="T62" s="762">
        <v>5.9979209400000002</v>
      </c>
      <c r="U62" s="762" t="s">
        <v>98</v>
      </c>
      <c r="V62" s="762" t="s">
        <v>92</v>
      </c>
      <c r="W62" s="762">
        <v>99994.471059999996</v>
      </c>
      <c r="X62" s="765">
        <v>-5.5289420000000002E-3</v>
      </c>
      <c r="Y62" s="765">
        <v>1.4780811E-2</v>
      </c>
      <c r="Z62" s="770">
        <v>2.1441326850000002</v>
      </c>
      <c r="AB62" s="438"/>
      <c r="AC62" s="438"/>
      <c r="AD62" s="438"/>
      <c r="AF62" s="762"/>
      <c r="AG62" s="767"/>
      <c r="AH62" s="763"/>
      <c r="AI62" s="763"/>
      <c r="AJ62" s="763"/>
      <c r="AK62" s="765"/>
      <c r="AL62" s="765"/>
      <c r="AM62" s="763"/>
      <c r="AO62" s="438"/>
      <c r="AP62" s="438"/>
      <c r="AQ62" s="438"/>
      <c r="AS62" s="762"/>
      <c r="AT62" s="767"/>
      <c r="AU62" s="763"/>
      <c r="AV62" s="763"/>
      <c r="AW62" s="769"/>
      <c r="AX62" s="765"/>
      <c r="AY62" s="765"/>
      <c r="AZ62" s="770"/>
      <c r="BB62" s="771"/>
      <c r="BC62" s="771"/>
      <c r="BD62" s="771"/>
      <c r="BE62" s="771"/>
      <c r="BF62" s="772"/>
      <c r="BG62" s="772"/>
      <c r="BH62" s="773"/>
      <c r="BO62" s="782"/>
      <c r="BR62" s="567"/>
      <c r="BS62" s="567"/>
      <c r="BV62" s="567"/>
      <c r="BW62" s="775"/>
      <c r="BY62" s="54"/>
      <c r="BZ62" s="776"/>
      <c r="CA62" s="738"/>
      <c r="CB62" s="777"/>
      <c r="CC62" s="777"/>
      <c r="CD62" s="736"/>
      <c r="CE62" s="778"/>
      <c r="CF62" s="778"/>
      <c r="CG62" s="779"/>
      <c r="CH62" s="734"/>
      <c r="CI62" s="738"/>
      <c r="CJ62" s="780"/>
      <c r="CM62" s="567"/>
      <c r="CN62" s="567"/>
      <c r="CO62" s="438"/>
      <c r="CP62" s="438"/>
      <c r="CQ62" s="781"/>
      <c r="CR62" s="776"/>
      <c r="CS62" s="734"/>
      <c r="CT62" s="777"/>
      <c r="CU62" s="832"/>
      <c r="CV62" s="778"/>
      <c r="CW62" s="778"/>
      <c r="CX62" s="779"/>
      <c r="CY62" s="734"/>
      <c r="CZ62" s="734"/>
      <c r="DC62" s="567"/>
      <c r="DD62" s="438"/>
      <c r="DF62" s="781"/>
      <c r="DG62" s="734"/>
      <c r="DH62" s="735"/>
      <c r="DI62" s="738"/>
      <c r="DJ62" s="736"/>
      <c r="DK62" s="737"/>
      <c r="DL62" s="737"/>
      <c r="DM62" s="779"/>
      <c r="DO62" s="782"/>
      <c r="DP62" s="438"/>
      <c r="DQ62" s="438"/>
      <c r="DR62" s="438"/>
      <c r="DS62" s="567"/>
      <c r="DT62" s="567"/>
      <c r="DU62" s="567"/>
      <c r="DV62" s="778"/>
      <c r="DW62" s="778"/>
      <c r="DX62" s="778"/>
    </row>
    <row r="63" spans="2:128" x14ac:dyDescent="0.2">
      <c r="B63" s="788"/>
      <c r="C63" s="789"/>
      <c r="D63" s="790"/>
      <c r="E63" s="790"/>
      <c r="F63" s="790"/>
      <c r="G63" s="791"/>
      <c r="H63" s="792"/>
      <c r="I63" s="792"/>
      <c r="J63" s="793"/>
      <c r="K63" s="767"/>
      <c r="L63" s="438"/>
      <c r="M63" s="438"/>
      <c r="N63" s="567"/>
      <c r="S63" s="788"/>
      <c r="T63" s="789"/>
      <c r="U63" s="790"/>
      <c r="V63" s="790"/>
      <c r="W63" s="791"/>
      <c r="X63" s="792"/>
      <c r="Y63" s="792"/>
      <c r="Z63" s="793"/>
      <c r="AB63" s="567"/>
      <c r="AF63" s="762">
        <v>229.99676166407394</v>
      </c>
      <c r="AG63" s="767">
        <v>24.996123705498537</v>
      </c>
      <c r="AH63" s="763" t="s">
        <v>91</v>
      </c>
      <c r="AI63" s="763" t="s">
        <v>92</v>
      </c>
      <c r="AJ63" s="763">
        <v>100002.19316728397</v>
      </c>
      <c r="AK63" s="765">
        <v>2.1931672839814453E-3</v>
      </c>
      <c r="AL63" s="765">
        <v>1.451979549940623E-2</v>
      </c>
      <c r="AM63" s="763">
        <v>2.155187785072556</v>
      </c>
      <c r="AO63" s="438">
        <f t="shared" si="27"/>
        <v>0.23234426185757448</v>
      </c>
      <c r="AP63" s="438">
        <f t="shared" si="28"/>
        <v>1.116964044456775</v>
      </c>
      <c r="AQ63" s="438">
        <f t="shared" si="29"/>
        <v>0.26102297956857812</v>
      </c>
      <c r="AS63" s="762">
        <v>230.04605850425506</v>
      </c>
      <c r="AT63" s="767">
        <v>24.962280162298878</v>
      </c>
      <c r="AU63" s="763" t="s">
        <v>91</v>
      </c>
      <c r="AV63" s="763" t="s">
        <v>92</v>
      </c>
      <c r="AW63" s="769">
        <v>99998.819576116352</v>
      </c>
      <c r="AX63" s="765">
        <v>-1.1804238836510272E-3</v>
      </c>
      <c r="AY63" s="765">
        <v>1.2999340105408494E-2</v>
      </c>
      <c r="AZ63" s="770">
        <v>2.2118160450768651</v>
      </c>
      <c r="BB63" s="771">
        <v>230.0232609</v>
      </c>
      <c r="BC63" s="771">
        <v>24.974862649999999</v>
      </c>
      <c r="BD63" s="771" t="s">
        <v>91</v>
      </c>
      <c r="BE63" s="771">
        <v>99998.403170000005</v>
      </c>
      <c r="BF63" s="772">
        <v>-1.596833E-3</v>
      </c>
      <c r="BG63" s="772">
        <v>7.6820760000000004E-3</v>
      </c>
      <c r="BH63" s="773">
        <v>2.1615128399999999</v>
      </c>
      <c r="BO63" s="782"/>
      <c r="BR63" s="567"/>
      <c r="BS63" s="567"/>
      <c r="BV63" s="567">
        <v>8.2348355830934774E-3</v>
      </c>
      <c r="BW63" s="775">
        <v>1.0719544538603207</v>
      </c>
      <c r="BY63" s="54">
        <v>28</v>
      </c>
      <c r="BZ63" s="776">
        <v>109.99824828415549</v>
      </c>
      <c r="CA63" s="738">
        <v>5.0015327899507485</v>
      </c>
      <c r="CB63" s="777" t="s">
        <v>91</v>
      </c>
      <c r="CC63" s="777" t="s">
        <v>92</v>
      </c>
      <c r="CD63" s="736">
        <v>99992.385996653204</v>
      </c>
      <c r="CE63" s="778">
        <v>-7.6140033468008461E-3</v>
      </c>
      <c r="CF63" s="778">
        <v>1.5905625013679627E-2</v>
      </c>
      <c r="CG63" s="779">
        <v>2.1383489433784013</v>
      </c>
      <c r="CH63" s="734" t="s">
        <v>49</v>
      </c>
      <c r="CI63" s="738">
        <v>-89.960302904257759</v>
      </c>
      <c r="CJ63" s="780">
        <v>0</v>
      </c>
      <c r="CK63" s="6" t="s">
        <v>94</v>
      </c>
      <c r="CL63" s="6">
        <v>1</v>
      </c>
      <c r="CM63" s="567">
        <v>-1</v>
      </c>
      <c r="CN63" s="567">
        <v>-2.4283448254286587E-2</v>
      </c>
      <c r="CO63" s="438">
        <v>-1.5267207816984003</v>
      </c>
      <c r="CP63" s="438">
        <v>1.1389383073508741</v>
      </c>
      <c r="CQ63" s="781">
        <v>110.01746565751795</v>
      </c>
      <c r="CR63" s="776">
        <v>5.0004178708760136</v>
      </c>
      <c r="CS63" s="734" t="s">
        <v>95</v>
      </c>
      <c r="CT63" s="777" t="s">
        <v>92</v>
      </c>
      <c r="CU63" s="832">
        <v>100016.66944490749</v>
      </c>
      <c r="CV63" s="778">
        <v>1.6669444907485741E-2</v>
      </c>
      <c r="CW63" s="778">
        <v>1.3965308665993935E-2</v>
      </c>
      <c r="CX63" s="779">
        <v>2.1645404134267756</v>
      </c>
      <c r="CY63" s="734" t="s">
        <v>49</v>
      </c>
      <c r="CZ63" s="734"/>
      <c r="DB63" s="6">
        <v>-1.4E-2</v>
      </c>
      <c r="DC63" s="567">
        <v>6.3859966531991542E-3</v>
      </c>
      <c r="DD63" s="438">
        <v>0.40149297168183457</v>
      </c>
      <c r="DF63" s="781">
        <v>110</v>
      </c>
      <c r="DG63" s="734">
        <v>5</v>
      </c>
      <c r="DH63" s="735" t="s">
        <v>95</v>
      </c>
      <c r="DI63" s="738" t="s">
        <v>92</v>
      </c>
      <c r="DJ63" s="736">
        <v>99986.044848845355</v>
      </c>
      <c r="DK63" s="737">
        <v>-1.3955151154645136E-2</v>
      </c>
      <c r="DL63" s="737">
        <v>1.3387253308334745E-2</v>
      </c>
      <c r="DM63" s="779">
        <v>2.2445163313552881</v>
      </c>
      <c r="DO63" s="782">
        <f t="shared" si="30"/>
        <v>24.996123705498537</v>
      </c>
      <c r="DP63" s="438" t="str">
        <f t="shared" si="30"/>
        <v xml:space="preserve">1  </v>
      </c>
      <c r="DQ63" s="438"/>
      <c r="DR63" s="438"/>
      <c r="DS63" s="567">
        <f t="shared" si="31"/>
        <v>2.1931672839814453E-3</v>
      </c>
      <c r="DT63" s="567">
        <f t="shared" si="32"/>
        <v>-1.1804238836510272E-3</v>
      </c>
      <c r="DU63" s="567">
        <f t="shared" si="33"/>
        <v>-1.596833E-3</v>
      </c>
      <c r="DV63" s="778">
        <f>CE69</f>
        <v>-9.831668583093478E-3</v>
      </c>
      <c r="DW63" s="778">
        <f>CV69</f>
        <v>1.9448226043939941E-2</v>
      </c>
      <c r="DX63" s="778">
        <f>DK69</f>
        <v>-2.0025766661216041E-2</v>
      </c>
    </row>
    <row r="64" spans="2:128" x14ac:dyDescent="0.2">
      <c r="M64" s="567"/>
      <c r="N64" s="567"/>
      <c r="AB64" s="567"/>
      <c r="AF64" s="762">
        <v>229.99000772846557</v>
      </c>
      <c r="AG64" s="767">
        <v>24.996781985062004</v>
      </c>
      <c r="AH64" s="763" t="s">
        <v>96</v>
      </c>
      <c r="AI64" s="763" t="s">
        <v>92</v>
      </c>
      <c r="AJ64" s="763">
        <v>99995.089711319699</v>
      </c>
      <c r="AK64" s="765">
        <v>-4.9102886803042978E-3</v>
      </c>
      <c r="AL64" s="765">
        <v>1.6243421464263837E-2</v>
      </c>
      <c r="AM64" s="763">
        <v>2.0967029831641413</v>
      </c>
      <c r="AO64" s="438">
        <f t="shared" si="27"/>
        <v>0.25671688390324843</v>
      </c>
      <c r="AP64" s="438">
        <f t="shared" si="28"/>
        <v>1.0960393530187724</v>
      </c>
      <c r="AQ64" s="438">
        <f t="shared" si="29"/>
        <v>4.0988859469077168E-2</v>
      </c>
      <c r="AS64" s="762">
        <v>230.04591867788272</v>
      </c>
      <c r="AT64" s="767">
        <v>24.960865242826568</v>
      </c>
      <c r="AU64" s="763" t="s">
        <v>96</v>
      </c>
      <c r="AV64" s="763" t="s">
        <v>92</v>
      </c>
      <c r="AW64" s="769">
        <v>99990.919750777466</v>
      </c>
      <c r="AX64" s="765">
        <v>-9.0802492225372511E-3</v>
      </c>
      <c r="AY64" s="765">
        <v>1.4820107890766243E-2</v>
      </c>
      <c r="AZ64" s="770">
        <v>2.0962968436517775</v>
      </c>
      <c r="BB64" s="771">
        <v>230.01933389999999</v>
      </c>
      <c r="BC64" s="771">
        <v>24.976391509999999</v>
      </c>
      <c r="BD64" s="771" t="s">
        <v>96</v>
      </c>
      <c r="BE64" s="771">
        <v>99994.423909999998</v>
      </c>
      <c r="BF64" s="772">
        <v>-5.5760879999999999E-3</v>
      </c>
      <c r="BG64" s="772">
        <v>9.8620719999999995E-3</v>
      </c>
      <c r="BH64" s="773">
        <v>2.0690025649999999</v>
      </c>
      <c r="BO64" s="782"/>
      <c r="BP64" s="567"/>
      <c r="BQ64" s="567"/>
      <c r="BR64" s="567"/>
      <c r="BS64" s="567"/>
      <c r="BV64" s="567">
        <v>2.5731185316712826E-3</v>
      </c>
      <c r="BW64" s="775">
        <v>0.26091054006412473</v>
      </c>
      <c r="BY64" s="54">
        <v>29</v>
      </c>
      <c r="BZ64" s="776">
        <v>109.99749180800961</v>
      </c>
      <c r="CA64" s="738">
        <v>5.0013492154995909</v>
      </c>
      <c r="CB64" s="777" t="s">
        <v>96</v>
      </c>
      <c r="CC64" s="777" t="s">
        <v>92</v>
      </c>
      <c r="CD64" s="736">
        <v>99995.667164891696</v>
      </c>
      <c r="CE64" s="778">
        <v>-4.3328351083005145E-3</v>
      </c>
      <c r="CF64" s="778">
        <v>1.6732917927806755E-2</v>
      </c>
      <c r="CG64" s="779">
        <v>2.0983304610444495</v>
      </c>
      <c r="CH64" s="734" t="s">
        <v>49</v>
      </c>
      <c r="CI64" s="738">
        <v>-29.962575713079325</v>
      </c>
      <c r="CJ64" s="780">
        <v>0</v>
      </c>
      <c r="CK64" s="6" t="s">
        <v>97</v>
      </c>
      <c r="CL64" s="6">
        <v>1</v>
      </c>
      <c r="CM64" s="567">
        <v>-1</v>
      </c>
      <c r="CN64" s="567">
        <v>-2.1002280015786256E-2</v>
      </c>
      <c r="CO64" s="438">
        <v>-1.2551474946808099</v>
      </c>
      <c r="CP64" s="438">
        <v>1.1252098172779363</v>
      </c>
      <c r="CQ64" s="781">
        <v>110.01540150809339</v>
      </c>
      <c r="CR64" s="776">
        <v>5.0007253317147322</v>
      </c>
      <c r="CS64" s="734" t="s">
        <v>560</v>
      </c>
      <c r="CT64" s="777" t="s">
        <v>92</v>
      </c>
      <c r="CU64" s="832">
        <v>100016.66944490749</v>
      </c>
      <c r="CV64" s="778">
        <v>1.6669444907485741E-2</v>
      </c>
      <c r="CW64" s="778">
        <v>1.4870931332865879E-2</v>
      </c>
      <c r="CX64" s="779">
        <v>2.1093065726345599</v>
      </c>
      <c r="CY64" s="734" t="s">
        <v>49</v>
      </c>
      <c r="CZ64" s="734"/>
      <c r="DB64" s="6">
        <v>-0.01</v>
      </c>
      <c r="DC64" s="567">
        <v>5.6671648916994857E-3</v>
      </c>
      <c r="DD64" s="438">
        <v>0.33868360056208691</v>
      </c>
      <c r="DF64" s="781">
        <v>110</v>
      </c>
      <c r="DG64" s="734">
        <v>5</v>
      </c>
      <c r="DH64" s="735" t="s">
        <v>560</v>
      </c>
      <c r="DI64" s="738" t="s">
        <v>92</v>
      </c>
      <c r="DJ64" s="736">
        <v>99989.818210127356</v>
      </c>
      <c r="DK64" s="737">
        <v>-1.0181789872644004E-2</v>
      </c>
      <c r="DL64" s="737">
        <v>1.4271223999279544E-2</v>
      </c>
      <c r="DM64" s="779">
        <v>2.1504043696025761</v>
      </c>
      <c r="DO64" s="782">
        <f t="shared" si="30"/>
        <v>24.996781985062004</v>
      </c>
      <c r="DP64" s="438" t="str">
        <f t="shared" si="30"/>
        <v>0.5 Lag</v>
      </c>
      <c r="DQ64" s="438"/>
      <c r="DR64" s="438"/>
      <c r="DS64" s="567">
        <f t="shared" si="31"/>
        <v>-4.9102886803042978E-3</v>
      </c>
      <c r="DT64" s="567">
        <f t="shared" si="32"/>
        <v>-9.0802492225372511E-3</v>
      </c>
      <c r="DU64" s="567">
        <f t="shared" si="33"/>
        <v>-5.5760879999999999E-3</v>
      </c>
      <c r="DV64" s="778">
        <f>CE70</f>
        <v>-8.1492065316712825E-3</v>
      </c>
      <c r="DW64" s="778">
        <f>CV70</f>
        <v>1.1112345816203743E-2</v>
      </c>
      <c r="DX64" s="778">
        <f>DK70</f>
        <v>-2.5751287559367484E-2</v>
      </c>
    </row>
    <row r="65" spans="2:128" x14ac:dyDescent="0.2">
      <c r="M65" s="567"/>
      <c r="N65" s="567"/>
      <c r="AB65" s="567"/>
      <c r="AF65" s="762">
        <v>229.99134534906693</v>
      </c>
      <c r="AG65" s="767">
        <v>49.995212415424241</v>
      </c>
      <c r="AH65" s="763" t="s">
        <v>91</v>
      </c>
      <c r="AI65" s="763" t="s">
        <v>92</v>
      </c>
      <c r="AJ65" s="763">
        <v>99994.350132160907</v>
      </c>
      <c r="AK65" s="765">
        <v>-5.6498678390970447E-3</v>
      </c>
      <c r="AL65" s="765">
        <v>1.4490864926271867E-2</v>
      </c>
      <c r="AM65" s="763">
        <v>2.1559565852625182</v>
      </c>
      <c r="AO65" s="438">
        <f t="shared" si="27"/>
        <v>0.2056999725728369</v>
      </c>
      <c r="AP65" s="438">
        <f t="shared" si="28"/>
        <v>0.99073524884258435</v>
      </c>
      <c r="AQ65" s="438">
        <f t="shared" si="29"/>
        <v>0.47491879856156488</v>
      </c>
      <c r="AS65" s="762">
        <v>230.04862657358044</v>
      </c>
      <c r="AT65" s="767">
        <v>50.001829214840541</v>
      </c>
      <c r="AU65" s="763" t="s">
        <v>91</v>
      </c>
      <c r="AV65" s="763" t="s">
        <v>92</v>
      </c>
      <c r="AW65" s="769">
        <v>99991.36936164301</v>
      </c>
      <c r="AX65" s="765">
        <v>-8.630638356987852E-3</v>
      </c>
      <c r="AY65" s="765">
        <v>1.4626374647718109E-2</v>
      </c>
      <c r="AZ65" s="770">
        <v>2.1381867730710393</v>
      </c>
      <c r="BB65" s="771">
        <v>230.02952920000001</v>
      </c>
      <c r="BC65" s="771">
        <v>50.044405580000003</v>
      </c>
      <c r="BD65" s="771" t="s">
        <v>91</v>
      </c>
      <c r="BE65" s="771">
        <v>99987.468150000001</v>
      </c>
      <c r="BF65" s="772">
        <v>-1.2531852E-2</v>
      </c>
      <c r="BG65" s="772">
        <v>7.838088E-3</v>
      </c>
      <c r="BH65" s="773">
        <v>2.1427304290000002</v>
      </c>
      <c r="BV65" s="567">
        <v>9.5501880643861885E-3</v>
      </c>
      <c r="BW65" s="775">
        <v>1.218433381251421</v>
      </c>
      <c r="BY65" s="54">
        <v>30</v>
      </c>
      <c r="BZ65" s="776">
        <v>240.02023644284594</v>
      </c>
      <c r="CA65" s="738">
        <v>5.0014844919159458</v>
      </c>
      <c r="CB65" s="777" t="s">
        <v>91</v>
      </c>
      <c r="CC65" s="777" t="s">
        <v>92</v>
      </c>
      <c r="CD65" s="736">
        <v>99990.683800775965</v>
      </c>
      <c r="CE65" s="778">
        <v>-9.3161992240298197E-3</v>
      </c>
      <c r="CF65" s="778">
        <v>1.5914490494079524E-2</v>
      </c>
      <c r="CG65" s="779">
        <v>2.1376279687924296</v>
      </c>
      <c r="CH65" s="734" t="s">
        <v>49</v>
      </c>
      <c r="CI65" s="738">
        <v>-89.965469590124641</v>
      </c>
      <c r="CJ65" s="780">
        <v>0</v>
      </c>
      <c r="CK65" s="6" t="s">
        <v>94</v>
      </c>
      <c r="CL65" s="6">
        <v>1</v>
      </c>
      <c r="CM65" s="567">
        <v>-1</v>
      </c>
      <c r="CN65" s="567">
        <v>-2.3207017393224789E-2</v>
      </c>
      <c r="CO65" s="438">
        <v>-1.4582318800503362</v>
      </c>
      <c r="CP65" s="438">
        <v>1.1412012634644222</v>
      </c>
      <c r="CQ65" s="781">
        <v>240.06005634407376</v>
      </c>
      <c r="CR65" s="776">
        <v>5.0004045038656413</v>
      </c>
      <c r="CS65" s="734" t="s">
        <v>95</v>
      </c>
      <c r="CT65" s="777" t="s">
        <v>92</v>
      </c>
      <c r="CU65" s="832">
        <v>100013.89081816919</v>
      </c>
      <c r="CV65" s="778">
        <v>1.3890818169194971E-2</v>
      </c>
      <c r="CW65" s="778">
        <v>1.3945384572890169E-2</v>
      </c>
      <c r="CX65" s="779">
        <v>2.1664400066907881</v>
      </c>
      <c r="CY65" s="734" t="s">
        <v>49</v>
      </c>
      <c r="CZ65" s="734"/>
      <c r="DB65" s="6">
        <v>-1.7999999999999999E-2</v>
      </c>
      <c r="DC65" s="567">
        <v>8.6838007759701789E-3</v>
      </c>
      <c r="DD65" s="438">
        <v>0.545653709693107</v>
      </c>
      <c r="DF65" s="781">
        <v>240.1</v>
      </c>
      <c r="DG65" s="734">
        <v>5</v>
      </c>
      <c r="DH65" s="735" t="s">
        <v>95</v>
      </c>
      <c r="DI65" s="738" t="s">
        <v>92</v>
      </c>
      <c r="DJ65" s="736">
        <v>99982.306882684643</v>
      </c>
      <c r="DK65" s="737">
        <v>-1.7693117315357085E-2</v>
      </c>
      <c r="DL65" s="737">
        <v>1.3388241781163306E-2</v>
      </c>
      <c r="DM65" s="779">
        <v>2.2436930682949692</v>
      </c>
      <c r="DO65" s="782">
        <f t="shared" si="30"/>
        <v>49.995212415424241</v>
      </c>
      <c r="DP65" s="438" t="str">
        <f t="shared" si="30"/>
        <v xml:space="preserve">1  </v>
      </c>
      <c r="DQ65" s="438"/>
      <c r="DR65" s="438"/>
      <c r="DS65" s="567">
        <f t="shared" si="31"/>
        <v>-5.6498678390970447E-3</v>
      </c>
      <c r="DT65" s="567">
        <f t="shared" si="32"/>
        <v>-8.630638356987852E-3</v>
      </c>
      <c r="DU65" s="567">
        <f t="shared" si="33"/>
        <v>-1.2531852E-2</v>
      </c>
      <c r="DV65" s="778">
        <f>CE73</f>
        <v>-2.2082040064386188E-2</v>
      </c>
      <c r="DW65" s="778">
        <f>CV73</f>
        <v>-5.5552469307294811E-3</v>
      </c>
      <c r="DX65" s="778">
        <f>DK73</f>
        <v>-3.6377877240214733E-2</v>
      </c>
    </row>
    <row r="66" spans="2:128" x14ac:dyDescent="0.2">
      <c r="M66" s="567"/>
      <c r="N66" s="567"/>
      <c r="AB66" s="567"/>
      <c r="AF66" s="762">
        <v>229.96349778711109</v>
      </c>
      <c r="AG66" s="767">
        <v>49.996153386580161</v>
      </c>
      <c r="AH66" s="763" t="s">
        <v>96</v>
      </c>
      <c r="AI66" s="763" t="s">
        <v>92</v>
      </c>
      <c r="AJ66" s="763">
        <v>99995.485960837774</v>
      </c>
      <c r="AK66" s="765">
        <v>-4.5140391622289222E-3</v>
      </c>
      <c r="AL66" s="765">
        <v>1.6088670123419056E-2</v>
      </c>
      <c r="AM66" s="763">
        <v>2.10434697386426</v>
      </c>
      <c r="AO66" s="438">
        <f t="shared" si="27"/>
        <v>0.62123504105033533</v>
      </c>
      <c r="AP66" s="438">
        <f t="shared" si="28"/>
        <v>0.87733011251161119</v>
      </c>
      <c r="AQ66" s="438">
        <f t="shared" si="29"/>
        <v>-7.127936326816886E-2</v>
      </c>
      <c r="AS66" s="762">
        <v>230.03702627852871</v>
      </c>
      <c r="AT66" s="767">
        <v>50.005263764219578</v>
      </c>
      <c r="AU66" s="763" t="s">
        <v>96</v>
      </c>
      <c r="AV66" s="763" t="s">
        <v>92</v>
      </c>
      <c r="AW66" s="769">
        <v>99985.491115193203</v>
      </c>
      <c r="AX66" s="765">
        <v>-1.4508884806796463E-2</v>
      </c>
      <c r="AY66" s="765">
        <v>1.8338217159058388E-2</v>
      </c>
      <c r="AZ66" s="770">
        <v>2.1030573694803332</v>
      </c>
      <c r="BB66" s="771">
        <v>230.02502759999999</v>
      </c>
      <c r="BC66" s="771">
        <v>50.04021255</v>
      </c>
      <c r="BD66" s="771" t="s">
        <v>96</v>
      </c>
      <c r="BE66" s="771">
        <v>99996.632750000004</v>
      </c>
      <c r="BF66" s="772">
        <v>-3.3672490000000001E-3</v>
      </c>
      <c r="BG66" s="772">
        <v>9.9691050000000007E-3</v>
      </c>
      <c r="BH66" s="773">
        <v>2.0575763299999998</v>
      </c>
      <c r="BV66" s="567">
        <v>4.3108349171124254E-4</v>
      </c>
      <c r="BW66" s="775">
        <v>4.3241945160698229E-2</v>
      </c>
      <c r="BY66" s="54">
        <v>31</v>
      </c>
      <c r="BZ66" s="776">
        <v>240.02012068724974</v>
      </c>
      <c r="CA66" s="738">
        <v>5.0012595806045042</v>
      </c>
      <c r="CB66" s="777" t="s">
        <v>96</v>
      </c>
      <c r="CC66" s="777" t="s">
        <v>92</v>
      </c>
      <c r="CD66" s="736">
        <v>99993.585793555147</v>
      </c>
      <c r="CE66" s="778">
        <v>-6.4142064448491354E-3</v>
      </c>
      <c r="CF66" s="778">
        <v>1.6735744797109233E-2</v>
      </c>
      <c r="CG66" s="779">
        <v>2.0985386971759015</v>
      </c>
      <c r="CH66" s="734" t="s">
        <v>49</v>
      </c>
      <c r="CI66" s="738">
        <v>-29.967506904774023</v>
      </c>
      <c r="CJ66" s="780">
        <v>0</v>
      </c>
      <c r="CK66" s="6" t="s">
        <v>97</v>
      </c>
      <c r="CL66" s="6">
        <v>1</v>
      </c>
      <c r="CM66" s="567">
        <v>-1</v>
      </c>
      <c r="CN66" s="567">
        <v>-1.7526552261052878E-2</v>
      </c>
      <c r="CO66" s="438">
        <v>-1.0472526005583116</v>
      </c>
      <c r="CP66" s="438">
        <v>1.1254056216180548</v>
      </c>
      <c r="CQ66" s="781">
        <v>240.05633466736381</v>
      </c>
      <c r="CR66" s="776">
        <v>5.0006342742232164</v>
      </c>
      <c r="CS66" s="734" t="s">
        <v>560</v>
      </c>
      <c r="CT66" s="777" t="s">
        <v>92</v>
      </c>
      <c r="CU66" s="832">
        <v>100011.1123458162</v>
      </c>
      <c r="CV66" s="778">
        <v>1.1112345816203743E-2</v>
      </c>
      <c r="CW66" s="778">
        <v>1.4870855872434131E-2</v>
      </c>
      <c r="CX66" s="779">
        <v>2.1086667528477663</v>
      </c>
      <c r="CY66" s="734" t="s">
        <v>49</v>
      </c>
      <c r="CZ66" s="734"/>
      <c r="DB66" s="6">
        <v>-1.2999999999999999E-2</v>
      </c>
      <c r="DC66" s="567">
        <v>6.585793555150864E-3</v>
      </c>
      <c r="DD66" s="438">
        <v>0.39351660980683867</v>
      </c>
      <c r="DF66" s="781">
        <v>240.1</v>
      </c>
      <c r="DG66" s="734">
        <v>5</v>
      </c>
      <c r="DH66" s="735" t="s">
        <v>560</v>
      </c>
      <c r="DI66" s="738" t="s">
        <v>92</v>
      </c>
      <c r="DJ66" s="736">
        <v>99987.162633191445</v>
      </c>
      <c r="DK66" s="737">
        <v>-1.2837366808555089E-2</v>
      </c>
      <c r="DL66" s="737">
        <v>1.4300711422479514E-2</v>
      </c>
      <c r="DM66" s="779">
        <v>2.1488656749076123</v>
      </c>
      <c r="DO66" s="782">
        <f t="shared" si="30"/>
        <v>49.996153386580161</v>
      </c>
      <c r="DP66" s="438" t="str">
        <f t="shared" si="30"/>
        <v>0.5 Lag</v>
      </c>
      <c r="DQ66" s="438"/>
      <c r="DR66" s="438"/>
      <c r="DS66" s="567">
        <f t="shared" si="31"/>
        <v>-4.5140391622289222E-3</v>
      </c>
      <c r="DT66" s="567">
        <f t="shared" si="32"/>
        <v>-1.4508884806796463E-2</v>
      </c>
      <c r="DU66" s="567">
        <f t="shared" si="33"/>
        <v>-3.3672490000000001E-3</v>
      </c>
      <c r="DV66" s="778">
        <f>CE74</f>
        <v>-3.7983324917112427E-3</v>
      </c>
      <c r="DW66" s="778">
        <f>CV74</f>
        <v>1.0001000100019156E-2</v>
      </c>
      <c r="DX66" s="778">
        <f>DK74</f>
        <v>-2.6047781140980077E-2</v>
      </c>
    </row>
    <row r="67" spans="2:128" x14ac:dyDescent="0.2">
      <c r="B67" s="762" t="e">
        <f>'TABLE RM11'!#REF!</f>
        <v>#REF!</v>
      </c>
      <c r="C67" s="762" t="e">
        <f>'TABLE RM11'!#REF!</f>
        <v>#REF!</v>
      </c>
      <c r="D67" s="762" t="e">
        <f>'TABLE RM11'!#REF!</f>
        <v>#REF!</v>
      </c>
      <c r="E67" s="762" t="e">
        <f>'TABLE RM11'!#REF!</f>
        <v>#REF!</v>
      </c>
      <c r="F67" s="762"/>
      <c r="G67" s="762" t="e">
        <f>'TABLE RM11'!#REF!</f>
        <v>#REF!</v>
      </c>
      <c r="H67" s="765" t="e">
        <f>'TABLE RM11'!#REF!</f>
        <v>#REF!</v>
      </c>
      <c r="I67" s="765" t="e">
        <f>'TABLE RM11'!#REF!</f>
        <v>#REF!</v>
      </c>
      <c r="J67" s="770" t="e">
        <f>'TABLE RM11'!#REF!</f>
        <v>#REF!</v>
      </c>
      <c r="K67" s="767"/>
      <c r="L67" s="438" t="e">
        <f>I67/Y67</f>
        <v>#REF!</v>
      </c>
      <c r="M67" s="438" t="e">
        <f>(H67-X67)/I67</f>
        <v>#REF!</v>
      </c>
      <c r="N67" s="438" t="e">
        <f>(H67-W67)/I67</f>
        <v>#REF!</v>
      </c>
      <c r="Q67" s="438" t="e">
        <f>(H67-AK67)/I67</f>
        <v>#REF!</v>
      </c>
      <c r="R67" s="438" t="e">
        <f>(H67-AS67)/I67</f>
        <v>#REF!</v>
      </c>
      <c r="S67" s="762">
        <v>229.8659207</v>
      </c>
      <c r="T67" s="762">
        <v>100.03412</v>
      </c>
      <c r="U67" s="762" t="s">
        <v>91</v>
      </c>
      <c r="V67" s="762" t="s">
        <v>101</v>
      </c>
      <c r="W67" s="762">
        <v>99993.898639999999</v>
      </c>
      <c r="X67" s="765">
        <v>-6.1013580000000003E-3</v>
      </c>
      <c r="Y67" s="765">
        <v>1.4509034000000001E-2</v>
      </c>
      <c r="Z67" s="770">
        <v>2.1558697090000001</v>
      </c>
      <c r="AB67" s="438">
        <f>(X67-AK67)/Y67</f>
        <v>1.3552491430751856</v>
      </c>
      <c r="AC67" s="438">
        <f>Y67/AL67</f>
        <v>0.9309604853808271</v>
      </c>
      <c r="AD67" s="438">
        <f>(X67-AX67)/Y67</f>
        <v>0.33710720730894173</v>
      </c>
      <c r="AE67" s="438">
        <f>(X67-BF67)/Y67</f>
        <v>-0.43687525992426512</v>
      </c>
      <c r="AF67" s="762">
        <v>229.9942507112616</v>
      </c>
      <c r="AG67" s="767">
        <v>99.981381129425174</v>
      </c>
      <c r="AH67" s="763" t="s">
        <v>91</v>
      </c>
      <c r="AI67" s="763" t="s">
        <v>101</v>
      </c>
      <c r="AJ67" s="763">
        <v>99974.235286104653</v>
      </c>
      <c r="AK67" s="765">
        <v>-2.5764713895348734E-2</v>
      </c>
      <c r="AL67" s="765">
        <v>1.5585015935520405E-2</v>
      </c>
      <c r="AM67" s="763">
        <v>2.1130620540387275</v>
      </c>
      <c r="AO67" s="438">
        <f t="shared" si="27"/>
        <v>-0.94784991070751723</v>
      </c>
      <c r="AP67" s="438">
        <f t="shared" si="28"/>
        <v>1.0678369124365545</v>
      </c>
      <c r="AQ67" s="438">
        <f t="shared" si="29"/>
        <v>-1.6683970040791936</v>
      </c>
      <c r="AS67" s="762">
        <v>230.05459203042341</v>
      </c>
      <c r="AT67" s="767">
        <v>99.980339659400386</v>
      </c>
      <c r="AU67" s="763" t="s">
        <v>91</v>
      </c>
      <c r="AV67" s="763" t="s">
        <v>101</v>
      </c>
      <c r="AW67" s="769">
        <v>99989.007542067513</v>
      </c>
      <c r="AX67" s="765">
        <v>-1.0992457932490485E-2</v>
      </c>
      <c r="AY67" s="765">
        <v>1.4594940251652321E-2</v>
      </c>
      <c r="AZ67" s="770">
        <v>2.1423890691954459</v>
      </c>
      <c r="BB67" s="771">
        <v>230.0257063</v>
      </c>
      <c r="BC67" s="771">
        <v>100.0088982</v>
      </c>
      <c r="BD67" s="771" t="s">
        <v>91</v>
      </c>
      <c r="BE67" s="771">
        <v>100000.23729999999</v>
      </c>
      <c r="BF67" s="772">
        <v>2.3728000000000001E-4</v>
      </c>
      <c r="BG67" s="772">
        <v>7.8069139999999999E-3</v>
      </c>
      <c r="BH67" s="773">
        <v>2.1472945430000001</v>
      </c>
      <c r="BV67" s="567">
        <v>2.193766542292918E-2</v>
      </c>
      <c r="BW67" s="775">
        <v>2.8100303683285328</v>
      </c>
      <c r="BY67" s="54">
        <v>39</v>
      </c>
      <c r="BZ67" s="776">
        <v>109.99806444272443</v>
      </c>
      <c r="CA67" s="738">
        <v>24.999649046010255</v>
      </c>
      <c r="CB67" s="777" t="s">
        <v>91</v>
      </c>
      <c r="CC67" s="777" t="s">
        <v>92</v>
      </c>
      <c r="CD67" s="736">
        <v>99996.887657137791</v>
      </c>
      <c r="CE67" s="778">
        <v>-3.1123428622104043E-3</v>
      </c>
      <c r="CF67" s="778">
        <v>1.60747516667827E-2</v>
      </c>
      <c r="CG67" s="779">
        <v>2.1272172024344798</v>
      </c>
      <c r="CH67" s="734" t="s">
        <v>49</v>
      </c>
      <c r="CI67" s="738">
        <v>-89.875606026726956</v>
      </c>
      <c r="CJ67" s="780">
        <v>0</v>
      </c>
      <c r="CK67" s="6" t="s">
        <v>94</v>
      </c>
      <c r="CL67" s="6">
        <v>1</v>
      </c>
      <c r="CM67" s="567">
        <v>-1</v>
      </c>
      <c r="CN67" s="567">
        <v>-1.7558874027819887E-2</v>
      </c>
      <c r="CO67" s="438">
        <v>-1.0923263010093038</v>
      </c>
      <c r="CP67" s="438">
        <v>1.1427213773338918</v>
      </c>
      <c r="CQ67" s="781">
        <v>110.01482167547576</v>
      </c>
      <c r="CR67" s="776">
        <v>24.965664439107428</v>
      </c>
      <c r="CS67" s="734" t="s">
        <v>95</v>
      </c>
      <c r="CT67" s="777" t="s">
        <v>92</v>
      </c>
      <c r="CU67" s="832">
        <v>100014.44653116561</v>
      </c>
      <c r="CV67" s="778">
        <v>1.4446531165609485E-2</v>
      </c>
      <c r="CW67" s="778">
        <v>1.4067078804710082E-2</v>
      </c>
      <c r="CX67" s="779">
        <v>2.1544759653962346</v>
      </c>
      <c r="CY67" s="734" t="s">
        <v>49</v>
      </c>
      <c r="CZ67" s="734"/>
      <c r="DB67" s="6">
        <v>-2.5999999999999999E-2</v>
      </c>
      <c r="DC67" s="567">
        <v>2.2887657137789594E-2</v>
      </c>
      <c r="DD67" s="438">
        <v>1.4238264834339722</v>
      </c>
      <c r="DF67" s="781">
        <v>110</v>
      </c>
      <c r="DG67" s="738">
        <v>25</v>
      </c>
      <c r="DH67" s="735" t="s">
        <v>95</v>
      </c>
      <c r="DI67" s="738" t="s">
        <v>92</v>
      </c>
      <c r="DJ67" s="736">
        <v>99974.192525865394</v>
      </c>
      <c r="DK67" s="737">
        <v>-2.5807474134606309E-2</v>
      </c>
      <c r="DL67" s="737">
        <v>1.53607227141905E-2</v>
      </c>
      <c r="DM67" s="779">
        <v>2.1481792032674352</v>
      </c>
      <c r="DO67" s="782">
        <f t="shared" si="30"/>
        <v>99.981381129425174</v>
      </c>
      <c r="DP67" s="438" t="str">
        <f t="shared" si="30"/>
        <v xml:space="preserve">1  </v>
      </c>
      <c r="DQ67" s="438"/>
      <c r="DR67" s="438"/>
      <c r="DS67" s="567">
        <f t="shared" si="31"/>
        <v>-2.5764713895348734E-2</v>
      </c>
      <c r="DT67" s="567">
        <f t="shared" si="32"/>
        <v>-1.0992457932490485E-2</v>
      </c>
      <c r="DU67" s="567">
        <f t="shared" si="33"/>
        <v>2.3728000000000001E-4</v>
      </c>
      <c r="DV67" s="778">
        <f>CE77</f>
        <v>-2.170038542292918E-2</v>
      </c>
      <c r="DW67" s="778">
        <f>CV77</f>
        <v>2.1115568842302309E-2</v>
      </c>
      <c r="DX67" s="778">
        <f>DK77</f>
        <v>-3.6200085237185702E-2</v>
      </c>
    </row>
    <row r="68" spans="2:128" x14ac:dyDescent="0.2">
      <c r="B68" s="762" t="e">
        <f>'TABLE RM11'!#REF!</f>
        <v>#REF!</v>
      </c>
      <c r="C68" s="762" t="e">
        <f>'TABLE RM11'!#REF!</f>
        <v>#REF!</v>
      </c>
      <c r="D68" s="762" t="e">
        <f>'TABLE RM11'!#REF!</f>
        <v>#REF!</v>
      </c>
      <c r="E68" s="762" t="e">
        <f>'TABLE RM11'!#REF!</f>
        <v>#REF!</v>
      </c>
      <c r="F68" s="762"/>
      <c r="G68" s="762" t="e">
        <f>'TABLE RM11'!#REF!</f>
        <v>#REF!</v>
      </c>
      <c r="H68" s="765" t="e">
        <f>'TABLE RM11'!#REF!</f>
        <v>#REF!</v>
      </c>
      <c r="I68" s="765" t="e">
        <f>'TABLE RM11'!#REF!</f>
        <v>#REF!</v>
      </c>
      <c r="J68" s="770" t="e">
        <f>'TABLE RM11'!#REF!</f>
        <v>#REF!</v>
      </c>
      <c r="K68" s="767"/>
      <c r="L68" s="438" t="e">
        <f>I68/Y68</f>
        <v>#REF!</v>
      </c>
      <c r="M68" s="438" t="e">
        <f>(H68-X68)/I68</f>
        <v>#REF!</v>
      </c>
      <c r="N68" s="438" t="e">
        <f>(H68-W68)/I68</f>
        <v>#REF!</v>
      </c>
      <c r="Q68" s="438" t="e">
        <f>(H68-AK68)/I68</f>
        <v>#REF!</v>
      </c>
      <c r="R68" s="438" t="e">
        <f>(H68-AS68)/I68</f>
        <v>#REF!</v>
      </c>
      <c r="S68" s="762">
        <v>229.86189719999999</v>
      </c>
      <c r="T68" s="762">
        <v>100.03312870000001</v>
      </c>
      <c r="U68" s="762" t="s">
        <v>96</v>
      </c>
      <c r="V68" s="762" t="s">
        <v>101</v>
      </c>
      <c r="W68" s="762">
        <v>99983.884699999995</v>
      </c>
      <c r="X68" s="765">
        <v>-1.6115303000000001E-2</v>
      </c>
      <c r="Y68" s="765">
        <v>1.6170879999999999E-2</v>
      </c>
      <c r="Z68" s="770">
        <v>2.1007135510000001</v>
      </c>
      <c r="AB68" s="438">
        <f>(X68-AK68)/Y68</f>
        <v>0.86553708407863705</v>
      </c>
      <c r="AC68" s="438">
        <f>Y68/AL68</f>
        <v>0.79318253304966924</v>
      </c>
      <c r="AD68" s="438">
        <f>(X68-AX68)/Y68</f>
        <v>0.19006272996964038</v>
      </c>
      <c r="AE68" s="438">
        <f>(X68-BF68)/Y68</f>
        <v>-0.47159115644912342</v>
      </c>
      <c r="AF68" s="762">
        <v>229.99765138214821</v>
      </c>
      <c r="AG68" s="767">
        <v>100.04959136084291</v>
      </c>
      <c r="AH68" s="763" t="s">
        <v>96</v>
      </c>
      <c r="AI68" s="763" t="s">
        <v>101</v>
      </c>
      <c r="AJ68" s="763">
        <v>99969.888200677815</v>
      </c>
      <c r="AK68" s="765">
        <v>-3.0111799322185551E-2</v>
      </c>
      <c r="AL68" s="765">
        <v>2.0387337499510185E-2</v>
      </c>
      <c r="AM68" s="763">
        <v>2.1055307346213374</v>
      </c>
      <c r="AO68" s="438">
        <f t="shared" si="27"/>
        <v>-0.5357744592022633</v>
      </c>
      <c r="AP68" s="438">
        <f t="shared" si="28"/>
        <v>1.1192097226294953</v>
      </c>
      <c r="AQ68" s="438">
        <f t="shared" si="29"/>
        <v>-1.0605867648340566</v>
      </c>
      <c r="AS68" s="762">
        <v>230.03659049143312</v>
      </c>
      <c r="AT68" s="767">
        <v>99.973214575322729</v>
      </c>
      <c r="AU68" s="763" t="s">
        <v>96</v>
      </c>
      <c r="AV68" s="763" t="s">
        <v>101</v>
      </c>
      <c r="AW68" s="769">
        <v>99980.811215401191</v>
      </c>
      <c r="AX68" s="765">
        <v>-1.9188784598811459E-2</v>
      </c>
      <c r="AY68" s="765">
        <v>1.8215833089451492E-2</v>
      </c>
      <c r="AZ68" s="770">
        <v>2.1084164400086731</v>
      </c>
      <c r="BB68" s="785">
        <v>230.0224111</v>
      </c>
      <c r="BC68" s="785">
        <v>100.0127949</v>
      </c>
      <c r="BD68" s="785" t="s">
        <v>96</v>
      </c>
      <c r="BE68" s="785">
        <v>99991.510739999998</v>
      </c>
      <c r="BF68" s="786">
        <v>-8.4892590000000007E-3</v>
      </c>
      <c r="BG68" s="786">
        <v>9.7613130000000006E-3</v>
      </c>
      <c r="BH68" s="787">
        <v>2.067843935</v>
      </c>
      <c r="BV68" s="567">
        <v>1.9535377111034785E-2</v>
      </c>
      <c r="BW68" s="775">
        <v>2.0013062905609917</v>
      </c>
      <c r="BY68" s="54">
        <v>40</v>
      </c>
      <c r="BZ68" s="776">
        <v>109.99707637768157</v>
      </c>
      <c r="CA68" s="738">
        <v>24.990028549715429</v>
      </c>
      <c r="CB68" s="777" t="s">
        <v>96</v>
      </c>
      <c r="CC68" s="777" t="s">
        <v>92</v>
      </c>
      <c r="CD68" s="736">
        <v>99997.43349968738</v>
      </c>
      <c r="CE68" s="778">
        <v>-2.5665003126174035E-3</v>
      </c>
      <c r="CF68" s="778">
        <v>1.706626365149113E-2</v>
      </c>
      <c r="CG68" s="779">
        <v>2.0860990472938661</v>
      </c>
      <c r="CH68" s="734" t="s">
        <v>49</v>
      </c>
      <c r="CI68" s="738">
        <v>-30.117510671938646</v>
      </c>
      <c r="CJ68" s="780">
        <v>0</v>
      </c>
      <c r="CK68" s="6" t="s">
        <v>97</v>
      </c>
      <c r="CL68" s="6">
        <v>1</v>
      </c>
      <c r="CM68" s="567">
        <v>-1</v>
      </c>
      <c r="CN68" s="567">
        <v>-1.8124475997710374E-2</v>
      </c>
      <c r="CO68" s="438">
        <v>-1.0620060938837532</v>
      </c>
      <c r="CP68" s="438">
        <v>1.131705276438421</v>
      </c>
      <c r="CQ68" s="781">
        <v>110.01435797197644</v>
      </c>
      <c r="CR68" s="776">
        <v>24.968048709616966</v>
      </c>
      <c r="CS68" s="734" t="s">
        <v>560</v>
      </c>
      <c r="CT68" s="777" t="s">
        <v>92</v>
      </c>
      <c r="CU68" s="832">
        <v>100015.55797568509</v>
      </c>
      <c r="CV68" s="778">
        <v>1.555797568509297E-2</v>
      </c>
      <c r="CW68" s="778">
        <v>1.5080130849261575E-2</v>
      </c>
      <c r="CX68" s="779">
        <v>2.0986674111087367</v>
      </c>
      <c r="CY68" s="734" t="s">
        <v>49</v>
      </c>
      <c r="CZ68" s="734"/>
      <c r="DB68" s="6">
        <v>-0.02</v>
      </c>
      <c r="DC68" s="567">
        <v>1.7433499687382597E-2</v>
      </c>
      <c r="DD68" s="438">
        <v>1.0215182446135116</v>
      </c>
      <c r="DF68" s="781">
        <v>110</v>
      </c>
      <c r="DG68" s="738">
        <v>25</v>
      </c>
      <c r="DH68" s="735" t="s">
        <v>560</v>
      </c>
      <c r="DI68" s="738" t="s">
        <v>92</v>
      </c>
      <c r="DJ68" s="736">
        <v>99979.969972823659</v>
      </c>
      <c r="DK68" s="737">
        <v>-2.0030027176340809E-2</v>
      </c>
      <c r="DL68" s="737">
        <v>1.4563315405240227E-2</v>
      </c>
      <c r="DM68" s="779">
        <v>2.1315263533062359</v>
      </c>
      <c r="DO68" s="782">
        <f t="shared" si="30"/>
        <v>100.04959136084291</v>
      </c>
      <c r="DP68" s="438" t="str">
        <f t="shared" si="30"/>
        <v>0.5 Lag</v>
      </c>
      <c r="DQ68" s="438"/>
      <c r="DR68" s="438"/>
      <c r="DS68" s="567">
        <f t="shared" si="31"/>
        <v>-3.0111799322185551E-2</v>
      </c>
      <c r="DT68" s="567">
        <f t="shared" si="32"/>
        <v>-1.9188784598811459E-2</v>
      </c>
      <c r="DU68" s="567">
        <f t="shared" si="33"/>
        <v>-8.4892590000000007E-3</v>
      </c>
      <c r="DV68" s="778">
        <f>CE78</f>
        <v>-2.8024636111034784E-2</v>
      </c>
      <c r="DW68" s="778">
        <f>CV78</f>
        <v>1.1112345816203743E-2</v>
      </c>
      <c r="DX68" s="778">
        <f>DK78</f>
        <v>-4.0269081922189795E-2</v>
      </c>
    </row>
    <row r="69" spans="2:128" x14ac:dyDescent="0.2">
      <c r="B69" s="762" t="e">
        <f>'TABLE RM11'!#REF!</f>
        <v>#REF!</v>
      </c>
      <c r="C69" s="762" t="e">
        <f>'TABLE RM11'!#REF!</f>
        <v>#REF!</v>
      </c>
      <c r="D69" s="762" t="e">
        <f>'TABLE RM11'!#REF!</f>
        <v>#REF!</v>
      </c>
      <c r="E69" s="762" t="e">
        <f>'TABLE RM11'!#REF!</f>
        <v>#REF!</v>
      </c>
      <c r="F69" s="762"/>
      <c r="G69" s="762" t="e">
        <f>'TABLE RM11'!#REF!</f>
        <v>#REF!</v>
      </c>
      <c r="H69" s="765" t="e">
        <f>'TABLE RM11'!#REF!</f>
        <v>#REF!</v>
      </c>
      <c r="I69" s="765" t="e">
        <f>'TABLE RM11'!#REF!</f>
        <v>#REF!</v>
      </c>
      <c r="J69" s="770" t="e">
        <f>'TABLE RM11'!#REF!</f>
        <v>#REF!</v>
      </c>
      <c r="K69" s="767"/>
      <c r="M69" s="567"/>
      <c r="N69" s="567"/>
      <c r="S69" s="762">
        <v>229.8623202</v>
      </c>
      <c r="T69" s="762">
        <v>100.0293145</v>
      </c>
      <c r="U69" s="762" t="s">
        <v>98</v>
      </c>
      <c r="V69" s="762" t="s">
        <v>101</v>
      </c>
      <c r="W69" s="762">
        <v>99983.783389999997</v>
      </c>
      <c r="X69" s="765">
        <v>-1.6216606000000001E-2</v>
      </c>
      <c r="Y69" s="765">
        <v>1.4791868999999999E-2</v>
      </c>
      <c r="Z69" s="770">
        <v>2.142798446</v>
      </c>
      <c r="AB69" s="567"/>
      <c r="AF69" s="788"/>
      <c r="AG69" s="789"/>
      <c r="AH69" s="790"/>
      <c r="AI69" s="790"/>
      <c r="AJ69" s="794"/>
      <c r="AK69" s="792"/>
      <c r="AL69" s="792"/>
      <c r="AM69" s="793"/>
      <c r="AO69" s="567"/>
      <c r="AS69" s="788"/>
      <c r="AT69" s="789"/>
      <c r="AU69" s="790"/>
      <c r="AV69" s="790"/>
      <c r="AW69" s="794"/>
      <c r="AX69" s="792"/>
      <c r="AY69" s="792"/>
      <c r="AZ69" s="793"/>
      <c r="BV69" s="567"/>
      <c r="BW69" s="775"/>
      <c r="BY69" s="54">
        <v>41</v>
      </c>
      <c r="BZ69" s="776">
        <v>240.02015550565093</v>
      </c>
      <c r="CA69" s="738">
        <v>24.990267267331795</v>
      </c>
      <c r="CB69" s="777" t="s">
        <v>91</v>
      </c>
      <c r="CC69" s="777" t="s">
        <v>92</v>
      </c>
      <c r="CD69" s="736">
        <v>99990.168331416906</v>
      </c>
      <c r="CE69" s="778">
        <v>-9.831668583093478E-3</v>
      </c>
      <c r="CF69" s="778">
        <v>1.5942648014227383E-2</v>
      </c>
      <c r="CG69" s="779">
        <v>2.1352350078213402</v>
      </c>
      <c r="CH69" s="734" t="s">
        <v>49</v>
      </c>
      <c r="CI69" s="738">
        <v>-89.878515012961287</v>
      </c>
      <c r="CJ69" s="780">
        <v>0</v>
      </c>
      <c r="CK69" s="6" t="s">
        <v>94</v>
      </c>
      <c r="CL69" s="6">
        <v>1</v>
      </c>
      <c r="CM69" s="567">
        <v>-1</v>
      </c>
      <c r="CN69" s="567">
        <v>-2.9279894627033419E-2</v>
      </c>
      <c r="CO69" s="438">
        <v>-1.836576621456093</v>
      </c>
      <c r="CP69" s="438">
        <v>1.1436198600813607</v>
      </c>
      <c r="CQ69" s="781">
        <v>240.07061534671823</v>
      </c>
      <c r="CR69" s="776">
        <v>24.965685686291749</v>
      </c>
      <c r="CS69" s="734" t="s">
        <v>95</v>
      </c>
      <c r="CT69" s="777" t="s">
        <v>92</v>
      </c>
      <c r="CU69" s="832">
        <v>100019.44822604394</v>
      </c>
      <c r="CV69" s="778">
        <v>1.9448226043939941E-2</v>
      </c>
      <c r="CW69" s="778">
        <v>1.3940513426457262E-2</v>
      </c>
      <c r="CX69" s="779">
        <v>2.1660848256593699</v>
      </c>
      <c r="CY69" s="734" t="s">
        <v>49</v>
      </c>
      <c r="CZ69" s="734"/>
      <c r="DB69" s="6">
        <v>-0.02</v>
      </c>
      <c r="DC69" s="567">
        <v>1.0168331416906522E-2</v>
      </c>
      <c r="DD69" s="438">
        <v>0.63780693193704074</v>
      </c>
      <c r="DF69" s="781">
        <v>240</v>
      </c>
      <c r="DG69" s="738">
        <v>25</v>
      </c>
      <c r="DH69" s="735" t="s">
        <v>95</v>
      </c>
      <c r="DI69" s="738" t="s">
        <v>92</v>
      </c>
      <c r="DJ69" s="736">
        <v>99979.974233338784</v>
      </c>
      <c r="DK69" s="737">
        <v>-2.0025766661216041E-2</v>
      </c>
      <c r="DL69" s="737">
        <v>1.5947556387403982E-2</v>
      </c>
      <c r="DM69" s="779">
        <v>2.1464028487781786</v>
      </c>
      <c r="DP69" s="438"/>
      <c r="DQ69" s="438"/>
      <c r="DR69" s="438"/>
      <c r="DS69" s="567"/>
    </row>
    <row r="70" spans="2:128" x14ac:dyDescent="0.2">
      <c r="M70" s="567"/>
      <c r="N70" s="567"/>
      <c r="AB70" s="567"/>
      <c r="AO70" s="567"/>
      <c r="BV70" s="567"/>
      <c r="BY70" s="54">
        <v>42</v>
      </c>
      <c r="BZ70" s="776">
        <v>240.01999714930099</v>
      </c>
      <c r="CA70" s="738">
        <v>24.989678495272585</v>
      </c>
      <c r="CB70" s="777" t="s">
        <v>96</v>
      </c>
      <c r="CC70" s="777" t="s">
        <v>92</v>
      </c>
      <c r="CD70" s="736">
        <v>99991.850793468329</v>
      </c>
      <c r="CE70" s="778">
        <v>-8.1492065316712825E-3</v>
      </c>
      <c r="CF70" s="778">
        <v>1.7168989592153749E-2</v>
      </c>
      <c r="CG70" s="779">
        <v>2.0830709229347155</v>
      </c>
      <c r="CH70" s="734" t="s">
        <v>49</v>
      </c>
      <c r="CI70" s="738">
        <v>-30.123871416202594</v>
      </c>
      <c r="CJ70" s="780">
        <v>0</v>
      </c>
      <c r="CK70" s="6" t="s">
        <v>97</v>
      </c>
      <c r="CL70" s="6">
        <v>1</v>
      </c>
      <c r="CM70" s="567">
        <v>-1</v>
      </c>
      <c r="CN70" s="567">
        <v>-1.9261552347875025E-2</v>
      </c>
      <c r="CO70" s="438">
        <v>-1.1218803671869881</v>
      </c>
      <c r="CP70" s="438">
        <v>1.1560387856854848</v>
      </c>
      <c r="CQ70" s="781">
        <v>240.06779624841198</v>
      </c>
      <c r="CR70" s="776">
        <v>24.968939578745143</v>
      </c>
      <c r="CS70" s="734" t="s">
        <v>560</v>
      </c>
      <c r="CT70" s="777" t="s">
        <v>92</v>
      </c>
      <c r="CU70" s="832">
        <v>100011.1123458162</v>
      </c>
      <c r="CV70" s="778">
        <v>1.1112345816203743E-2</v>
      </c>
      <c r="CW70" s="778">
        <v>1.4851568826882591E-2</v>
      </c>
      <c r="CX70" s="779">
        <v>2.1089120830584225</v>
      </c>
      <c r="CY70" s="734" t="s">
        <v>49</v>
      </c>
      <c r="CZ70" s="734"/>
      <c r="DB70" s="6">
        <v>-2.5999999999999999E-2</v>
      </c>
      <c r="DC70" s="567">
        <v>1.7850793468328716E-2</v>
      </c>
      <c r="DD70" s="438">
        <v>1.0397113570670782</v>
      </c>
      <c r="DF70" s="781">
        <v>240</v>
      </c>
      <c r="DG70" s="738">
        <v>25</v>
      </c>
      <c r="DH70" s="735" t="s">
        <v>560</v>
      </c>
      <c r="DI70" s="738" t="s">
        <v>92</v>
      </c>
      <c r="DJ70" s="736">
        <v>99974.248712440633</v>
      </c>
      <c r="DK70" s="737">
        <v>-2.5751287559367484E-2</v>
      </c>
      <c r="DL70" s="737">
        <v>1.4333946104638694E-2</v>
      </c>
      <c r="DM70" s="779">
        <v>2.145189830489723</v>
      </c>
      <c r="DP70" s="438"/>
      <c r="DQ70" s="438"/>
      <c r="DR70" s="438"/>
      <c r="DS70" s="567"/>
    </row>
    <row r="71" spans="2:128" x14ac:dyDescent="0.2">
      <c r="M71" s="567"/>
      <c r="N71" s="567"/>
      <c r="AB71" s="567"/>
      <c r="AO71" s="567"/>
      <c r="BV71" s="567"/>
      <c r="BY71" s="54">
        <v>55</v>
      </c>
      <c r="BZ71" s="776">
        <v>109.9956363518271</v>
      </c>
      <c r="CA71" s="738">
        <v>50.052938361753505</v>
      </c>
      <c r="CB71" s="777" t="s">
        <v>91</v>
      </c>
      <c r="CC71" s="777" t="s">
        <v>92</v>
      </c>
      <c r="CD71" s="736">
        <v>99992.311772750036</v>
      </c>
      <c r="CE71" s="778">
        <v>-7.6882272499689819E-3</v>
      </c>
      <c r="CF71" s="778">
        <v>1.5903004211286681E-2</v>
      </c>
      <c r="CG71" s="779">
        <v>2.1371201189234439</v>
      </c>
      <c r="CH71" s="734" t="s">
        <v>49</v>
      </c>
      <c r="CI71" s="738">
        <v>-89.984198189802825</v>
      </c>
      <c r="CJ71" s="780">
        <v>0</v>
      </c>
      <c r="CK71" s="6" t="s">
        <v>94</v>
      </c>
      <c r="CL71" s="6">
        <v>1</v>
      </c>
      <c r="CM71" s="567">
        <v>-1</v>
      </c>
      <c r="CN71" s="567">
        <v>-2.3246202935061952E-2</v>
      </c>
      <c r="CO71" s="438">
        <v>-1.4617491529407793</v>
      </c>
      <c r="CP71" s="438">
        <v>1.0959160790775535</v>
      </c>
      <c r="CQ71" s="781">
        <v>110.01430577266754</v>
      </c>
      <c r="CR71" s="776">
        <v>49.994800785955029</v>
      </c>
      <c r="CS71" s="734" t="s">
        <v>95</v>
      </c>
      <c r="CT71" s="777" t="s">
        <v>92</v>
      </c>
      <c r="CU71" s="832">
        <v>100015.55797568509</v>
      </c>
      <c r="CV71" s="778">
        <v>1.555797568509297E-2</v>
      </c>
      <c r="CW71" s="778">
        <v>1.4511151460312947E-2</v>
      </c>
      <c r="CX71" s="779">
        <v>2.129352930486943</v>
      </c>
      <c r="CY71" s="734" t="s">
        <v>49</v>
      </c>
      <c r="CZ71" s="734"/>
      <c r="DB71" s="6">
        <v>-2.5999999999999999E-2</v>
      </c>
      <c r="DC71" s="567">
        <v>1.8311772750031017E-2</v>
      </c>
      <c r="DD71" s="438">
        <v>1.1514662579938693</v>
      </c>
      <c r="DF71" s="781">
        <v>110</v>
      </c>
      <c r="DG71" s="738">
        <v>50</v>
      </c>
      <c r="DH71" s="735" t="s">
        <v>95</v>
      </c>
      <c r="DI71" s="738" t="s">
        <v>92</v>
      </c>
      <c r="DJ71" s="736">
        <v>99973.991068627205</v>
      </c>
      <c r="DK71" s="737">
        <v>-2.6008931372794905E-2</v>
      </c>
      <c r="DL71" s="737">
        <v>1.3397374614804052E-2</v>
      </c>
      <c r="DM71" s="779">
        <v>2.2426984973954611</v>
      </c>
      <c r="DP71" s="438"/>
      <c r="DQ71" s="438"/>
      <c r="DR71" s="438"/>
      <c r="DS71" s="567"/>
    </row>
    <row r="72" spans="2:128" x14ac:dyDescent="0.2">
      <c r="M72" s="567"/>
      <c r="N72" s="567"/>
      <c r="AB72" s="567"/>
      <c r="AO72" s="567"/>
      <c r="BV72" s="567"/>
      <c r="BY72" s="54">
        <v>56</v>
      </c>
      <c r="BZ72" s="776">
        <v>109.99449177236465</v>
      </c>
      <c r="CA72" s="738">
        <v>50.051549808495615</v>
      </c>
      <c r="CB72" s="777" t="s">
        <v>96</v>
      </c>
      <c r="CC72" s="777" t="s">
        <v>92</v>
      </c>
      <c r="CD72" s="736">
        <v>99994.922228871263</v>
      </c>
      <c r="CE72" s="778">
        <v>-5.0777711287364191E-3</v>
      </c>
      <c r="CF72" s="778">
        <v>1.6948401099437741E-2</v>
      </c>
      <c r="CG72" s="779">
        <v>2.0916085831912055</v>
      </c>
      <c r="CH72" s="734" t="s">
        <v>49</v>
      </c>
      <c r="CI72" s="738">
        <v>-30.020750627284503</v>
      </c>
      <c r="CJ72" s="780">
        <v>0</v>
      </c>
      <c r="CK72" s="6" t="s">
        <v>97</v>
      </c>
      <c r="CL72" s="6">
        <v>1</v>
      </c>
      <c r="CM72" s="567">
        <v>-1</v>
      </c>
      <c r="CN72" s="567">
        <v>-1.9524302294345902E-2</v>
      </c>
      <c r="CO72" s="438">
        <v>-1.1519849087707521</v>
      </c>
      <c r="CP72" s="438">
        <v>1.0746946410002887</v>
      </c>
      <c r="CQ72" s="781">
        <v>110.0108662674123</v>
      </c>
      <c r="CR72" s="776">
        <v>49.998546338625303</v>
      </c>
      <c r="CS72" s="734" t="s">
        <v>560</v>
      </c>
      <c r="CT72" s="777" t="s">
        <v>92</v>
      </c>
      <c r="CU72" s="832">
        <v>100014.44653116561</v>
      </c>
      <c r="CV72" s="778">
        <v>1.4446531165609485E-2</v>
      </c>
      <c r="CW72" s="778">
        <v>1.5770434179947855E-2</v>
      </c>
      <c r="CX72" s="779">
        <v>2.0813162604339261</v>
      </c>
      <c r="CY72" s="734" t="s">
        <v>49</v>
      </c>
      <c r="CZ72" s="734"/>
      <c r="DB72" s="6">
        <v>-2.3E-2</v>
      </c>
      <c r="DC72" s="567">
        <v>1.792222887126358E-2</v>
      </c>
      <c r="DD72" s="438">
        <v>1.0574583859629181</v>
      </c>
      <c r="DF72" s="781">
        <v>110</v>
      </c>
      <c r="DG72" s="738">
        <v>50</v>
      </c>
      <c r="DH72" s="735" t="s">
        <v>560</v>
      </c>
      <c r="DI72" s="738" t="s">
        <v>92</v>
      </c>
      <c r="DJ72" s="736">
        <v>99977.411567969859</v>
      </c>
      <c r="DK72" s="737">
        <v>-2.2588432030141121E-2</v>
      </c>
      <c r="DL72" s="737">
        <v>1.430888034075878E-2</v>
      </c>
      <c r="DM72" s="779">
        <v>2.1477755900525657</v>
      </c>
      <c r="DP72" s="438"/>
      <c r="DQ72" s="438"/>
      <c r="DR72" s="438"/>
      <c r="DS72" s="567"/>
    </row>
    <row r="73" spans="2:128" x14ac:dyDescent="0.2">
      <c r="M73" s="567"/>
      <c r="N73" s="567"/>
      <c r="AB73" s="567"/>
      <c r="AO73" s="567"/>
      <c r="BV73" s="567"/>
      <c r="BY73" s="54">
        <v>53</v>
      </c>
      <c r="BZ73" s="776">
        <v>240.01953918391126</v>
      </c>
      <c r="CA73" s="738">
        <v>50.053043690099784</v>
      </c>
      <c r="CB73" s="777" t="s">
        <v>91</v>
      </c>
      <c r="CC73" s="777" t="s">
        <v>92</v>
      </c>
      <c r="CD73" s="736">
        <v>99977.917959935614</v>
      </c>
      <c r="CE73" s="778">
        <v>-2.2082040064386188E-2</v>
      </c>
      <c r="CF73" s="778">
        <v>1.5884225854785623E-2</v>
      </c>
      <c r="CG73" s="779">
        <v>2.137173329465111</v>
      </c>
      <c r="CH73" s="734" t="s">
        <v>49</v>
      </c>
      <c r="CI73" s="738">
        <v>-89.979538162124712</v>
      </c>
      <c r="CJ73" s="780">
        <v>0</v>
      </c>
      <c r="CK73" s="6" t="s">
        <v>94</v>
      </c>
      <c r="CL73" s="6">
        <v>1</v>
      </c>
      <c r="CM73" s="567">
        <v>-1</v>
      </c>
      <c r="CN73" s="567">
        <v>-1.6526793133656709E-2</v>
      </c>
      <c r="CO73" s="438">
        <v>-1.0404531693735324</v>
      </c>
      <c r="CP73" s="438">
        <v>1.138925160231556</v>
      </c>
      <c r="CQ73" s="781">
        <v>240.06271382953207</v>
      </c>
      <c r="CR73" s="776">
        <v>49.99439224916803</v>
      </c>
      <c r="CS73" s="734" t="s">
        <v>95</v>
      </c>
      <c r="CT73" s="777" t="s">
        <v>92</v>
      </c>
      <c r="CU73" s="832">
        <v>99994.444753069271</v>
      </c>
      <c r="CV73" s="778">
        <v>-5.5552469307294811E-3</v>
      </c>
      <c r="CW73" s="778">
        <v>1.3946680966777647E-2</v>
      </c>
      <c r="CX73" s="779">
        <v>2.1662382434780296</v>
      </c>
      <c r="CY73" s="734" t="s">
        <v>49</v>
      </c>
      <c r="CZ73" s="734"/>
      <c r="DB73" s="6">
        <v>-3.5999999999999997E-2</v>
      </c>
      <c r="DC73" s="567">
        <v>1.3917959935613809E-2</v>
      </c>
      <c r="DD73" s="438">
        <v>0.87621266927658215</v>
      </c>
      <c r="DF73" s="781">
        <v>240</v>
      </c>
      <c r="DG73" s="738">
        <v>50</v>
      </c>
      <c r="DH73" s="735" t="s">
        <v>95</v>
      </c>
      <c r="DI73" s="738" t="s">
        <v>92</v>
      </c>
      <c r="DJ73" s="736">
        <v>99963.622122759785</v>
      </c>
      <c r="DK73" s="737">
        <v>-3.6377877240214733E-2</v>
      </c>
      <c r="DL73" s="737">
        <v>1.3475225838930259E-2</v>
      </c>
      <c r="DM73" s="779">
        <v>2.2286056900877198</v>
      </c>
      <c r="DP73" s="438"/>
      <c r="DQ73" s="438"/>
      <c r="DR73" s="438"/>
      <c r="DS73" s="567"/>
    </row>
    <row r="74" spans="2:128" x14ac:dyDescent="0.2">
      <c r="BY74" s="54">
        <v>54</v>
      </c>
      <c r="BZ74" s="776">
        <v>240.01649777762714</v>
      </c>
      <c r="CA74" s="738">
        <v>50.052383916729937</v>
      </c>
      <c r="CB74" s="777" t="s">
        <v>96</v>
      </c>
      <c r="CC74" s="777" t="s">
        <v>92</v>
      </c>
      <c r="CD74" s="736">
        <v>99996.201667508285</v>
      </c>
      <c r="CE74" s="778">
        <v>-3.7983324917112427E-3</v>
      </c>
      <c r="CF74" s="778">
        <v>1.6856052263421972E-2</v>
      </c>
      <c r="CG74" s="779">
        <v>2.0943772633861331</v>
      </c>
      <c r="CH74" s="734" t="s">
        <v>49</v>
      </c>
      <c r="CI74" s="738">
        <v>-30.02347738652524</v>
      </c>
      <c r="CJ74" s="780">
        <v>0</v>
      </c>
      <c r="CK74" s="6" t="s">
        <v>97</v>
      </c>
      <c r="CL74" s="6">
        <v>1</v>
      </c>
      <c r="CM74" s="567">
        <v>-1</v>
      </c>
      <c r="CN74" s="567">
        <v>-1.3799332591730398E-2</v>
      </c>
      <c r="CO74" s="438">
        <v>-0.81865743983692274</v>
      </c>
      <c r="CP74" s="438">
        <v>1.0931094880441345</v>
      </c>
      <c r="CQ74" s="781">
        <v>240.06186037433756</v>
      </c>
      <c r="CR74" s="776">
        <v>49.998632148335417</v>
      </c>
      <c r="CS74" s="734" t="s">
        <v>560</v>
      </c>
      <c r="CT74" s="777" t="s">
        <v>92</v>
      </c>
      <c r="CU74" s="832">
        <v>100010.00100010002</v>
      </c>
      <c r="CV74" s="778">
        <v>1.0001000100019156E-2</v>
      </c>
      <c r="CW74" s="778">
        <v>1.5420278067096428E-2</v>
      </c>
      <c r="CX74" s="779">
        <v>2.0875149389562915</v>
      </c>
      <c r="CY74" s="734" t="s">
        <v>49</v>
      </c>
      <c r="CZ74" s="734"/>
      <c r="DB74" s="6">
        <v>-2.5999999999999999E-2</v>
      </c>
      <c r="DC74" s="567">
        <v>2.2201667508288756E-2</v>
      </c>
      <c r="DD74" s="438">
        <v>1.317133286093737</v>
      </c>
      <c r="DF74" s="781">
        <v>240</v>
      </c>
      <c r="DG74" s="738">
        <v>50</v>
      </c>
      <c r="DH74" s="735" t="s">
        <v>560</v>
      </c>
      <c r="DI74" s="738" t="s">
        <v>92</v>
      </c>
      <c r="DJ74" s="736">
        <v>99973.95221885902</v>
      </c>
      <c r="DK74" s="737">
        <v>-2.6047781140980077E-2</v>
      </c>
      <c r="DL74" s="737">
        <v>1.4239755728710139E-2</v>
      </c>
      <c r="DM74" s="779">
        <v>2.1516829579378056</v>
      </c>
      <c r="DP74" s="438"/>
      <c r="DQ74" s="438"/>
      <c r="DR74" s="438"/>
      <c r="DS74" s="567"/>
    </row>
    <row r="75" spans="2:128" x14ac:dyDescent="0.2">
      <c r="BY75" s="54">
        <v>63</v>
      </c>
      <c r="BZ75" s="776">
        <v>109.99733186713942</v>
      </c>
      <c r="CA75" s="738">
        <v>100.02605801654298</v>
      </c>
      <c r="CB75" s="777" t="s">
        <v>91</v>
      </c>
      <c r="CC75" s="777" t="s">
        <v>101</v>
      </c>
      <c r="CD75" s="736">
        <v>99980.977952774003</v>
      </c>
      <c r="CE75" s="778">
        <v>-1.9022047225991656E-2</v>
      </c>
      <c r="CF75" s="778">
        <v>1.588860726718028E-2</v>
      </c>
      <c r="CG75" s="779">
        <v>2.1381607607235984</v>
      </c>
      <c r="CH75" s="734" t="s">
        <v>49</v>
      </c>
      <c r="CI75" s="738">
        <v>-89.920695444274045</v>
      </c>
      <c r="CJ75" s="780">
        <v>0</v>
      </c>
      <c r="CK75" s="6" t="s">
        <v>94</v>
      </c>
      <c r="CL75" s="6">
        <v>1</v>
      </c>
      <c r="CM75" s="567">
        <v>-1</v>
      </c>
      <c r="CN75" s="567">
        <v>-3.5135754434386428E-2</v>
      </c>
      <c r="CO75" s="438">
        <v>-2.2113803836641686</v>
      </c>
      <c r="CP75" s="438">
        <v>1.1300826838893889</v>
      </c>
      <c r="CQ75" s="781">
        <v>110.01185441267857</v>
      </c>
      <c r="CR75" s="776">
        <v>99.96342465166191</v>
      </c>
      <c r="CS75" s="734" t="s">
        <v>95</v>
      </c>
      <c r="CT75" s="777" t="s">
        <v>101</v>
      </c>
      <c r="CU75" s="832">
        <v>100016.11370720839</v>
      </c>
      <c r="CV75" s="778">
        <v>1.6113707208394772E-2</v>
      </c>
      <c r="CW75" s="778">
        <v>1.4059685626273553E-2</v>
      </c>
      <c r="CX75" s="779">
        <v>2.1542566314951155</v>
      </c>
      <c r="CY75" s="734" t="s">
        <v>49</v>
      </c>
      <c r="CZ75" s="734"/>
      <c r="DB75" s="6">
        <v>-3.5000000000000003E-2</v>
      </c>
      <c r="DC75" s="567">
        <v>1.5977952774008347E-2</v>
      </c>
      <c r="DD75" s="438">
        <v>1.005623243455241</v>
      </c>
      <c r="DF75" s="781">
        <v>110</v>
      </c>
      <c r="DG75" s="738">
        <v>100</v>
      </c>
      <c r="DH75" s="735" t="s">
        <v>95</v>
      </c>
      <c r="DI75" s="738" t="s">
        <v>101</v>
      </c>
      <c r="DJ75" s="736">
        <v>99965.340726817114</v>
      </c>
      <c r="DK75" s="737">
        <v>-3.4659273182885954E-2</v>
      </c>
      <c r="DL75" s="737">
        <v>1.3694435547909332E-2</v>
      </c>
      <c r="DM75" s="779">
        <v>2.1988770944323011</v>
      </c>
      <c r="DP75" s="438"/>
      <c r="DQ75" s="438"/>
      <c r="DR75" s="438"/>
      <c r="DS75" s="567"/>
    </row>
    <row r="76" spans="2:128" x14ac:dyDescent="0.2">
      <c r="BY76" s="54">
        <v>64</v>
      </c>
      <c r="BZ76" s="776">
        <v>109.99632944784139</v>
      </c>
      <c r="CA76" s="738">
        <v>100.02435899279054</v>
      </c>
      <c r="CB76" s="777" t="s">
        <v>96</v>
      </c>
      <c r="CC76" s="777" t="s">
        <v>101</v>
      </c>
      <c r="CD76" s="736">
        <v>99978.912041375967</v>
      </c>
      <c r="CE76" s="778">
        <v>-2.1087958624033121E-2</v>
      </c>
      <c r="CF76" s="778">
        <v>1.6789265689354679E-2</v>
      </c>
      <c r="CG76" s="779">
        <v>2.0963723316610134</v>
      </c>
      <c r="CH76" s="734" t="s">
        <v>49</v>
      </c>
      <c r="CI76" s="738">
        <v>-29.923493059003381</v>
      </c>
      <c r="CJ76" s="780">
        <v>0</v>
      </c>
      <c r="CK76" s="6" t="s">
        <v>97</v>
      </c>
      <c r="CL76" s="6">
        <v>1</v>
      </c>
      <c r="CM76" s="567">
        <v>-1</v>
      </c>
      <c r="CN76" s="567">
        <v>-3.2755986560615923E-2</v>
      </c>
      <c r="CO76" s="438">
        <v>-1.9510076954339359</v>
      </c>
      <c r="CP76" s="438">
        <v>1.0943477539923301</v>
      </c>
      <c r="CQ76" s="781">
        <v>110.00909875405068</v>
      </c>
      <c r="CR76" s="776">
        <v>99.975079675694843</v>
      </c>
      <c r="CS76" s="734" t="s">
        <v>560</v>
      </c>
      <c r="CT76" s="777" t="s">
        <v>101</v>
      </c>
      <c r="CU76" s="832">
        <v>100011.66802793658</v>
      </c>
      <c r="CV76" s="778">
        <v>1.1668027936582804E-2</v>
      </c>
      <c r="CW76" s="778">
        <v>1.5341801203598347E-2</v>
      </c>
      <c r="CX76" s="779">
        <v>2.0890545458639145</v>
      </c>
      <c r="CY76" s="734" t="s">
        <v>49</v>
      </c>
      <c r="CZ76" s="734"/>
      <c r="DB76" s="6">
        <v>-3.3000000000000002E-2</v>
      </c>
      <c r="DC76" s="567">
        <v>1.1912041375966881E-2</v>
      </c>
      <c r="DD76" s="438">
        <v>0.70950341702673592</v>
      </c>
      <c r="DF76" s="781">
        <v>110</v>
      </c>
      <c r="DG76" s="738">
        <v>100</v>
      </c>
      <c r="DH76" s="735" t="s">
        <v>560</v>
      </c>
      <c r="DI76" s="738" t="s">
        <v>101</v>
      </c>
      <c r="DJ76" s="736">
        <v>99967.282120877382</v>
      </c>
      <c r="DK76" s="737">
        <v>-3.2717879122617886E-2</v>
      </c>
      <c r="DL76" s="737">
        <v>1.4453197278764209E-2</v>
      </c>
      <c r="DM76" s="779">
        <v>2.1361808243678713</v>
      </c>
      <c r="DP76" s="438"/>
      <c r="DQ76" s="438"/>
      <c r="DR76" s="438"/>
      <c r="DS76" s="567"/>
    </row>
    <row r="77" spans="2:128" x14ac:dyDescent="0.2">
      <c r="BY77" s="54">
        <v>65</v>
      </c>
      <c r="BZ77" s="776">
        <v>240.01891567830793</v>
      </c>
      <c r="CA77" s="738">
        <v>100.02209629918612</v>
      </c>
      <c r="CB77" s="777" t="s">
        <v>91</v>
      </c>
      <c r="CC77" s="777" t="s">
        <v>101</v>
      </c>
      <c r="CD77" s="736">
        <v>99978.299614577074</v>
      </c>
      <c r="CE77" s="778">
        <v>-2.170038542292918E-2</v>
      </c>
      <c r="CF77" s="778">
        <v>1.593119715237996E-2</v>
      </c>
      <c r="CG77" s="779">
        <v>2.1365768654950945</v>
      </c>
      <c r="CH77" s="734" t="s">
        <v>49</v>
      </c>
      <c r="CI77" s="738">
        <v>-89.925915155921487</v>
      </c>
      <c r="CJ77" s="780">
        <v>0</v>
      </c>
      <c r="CK77" s="6" t="s">
        <v>94</v>
      </c>
      <c r="CL77" s="6">
        <v>1</v>
      </c>
      <c r="CM77" s="567">
        <v>-1</v>
      </c>
      <c r="CN77" s="567">
        <v>-4.2815954265231493E-2</v>
      </c>
      <c r="CO77" s="438">
        <v>-2.6875541025386922</v>
      </c>
      <c r="CP77" s="438">
        <v>1.1252562421324404</v>
      </c>
      <c r="CQ77" s="781">
        <v>240.07616927528451</v>
      </c>
      <c r="CR77" s="776">
        <v>99.974278744126877</v>
      </c>
      <c r="CS77" s="734" t="s">
        <v>95</v>
      </c>
      <c r="CT77" s="777" t="s">
        <v>101</v>
      </c>
      <c r="CU77" s="832">
        <v>100021.1155688423</v>
      </c>
      <c r="CV77" s="778">
        <v>2.1115568842302309E-2</v>
      </c>
      <c r="CW77" s="778">
        <v>1.4157839393264962E-2</v>
      </c>
      <c r="CX77" s="779">
        <v>2.1490431481172929</v>
      </c>
      <c r="CY77" s="734" t="s">
        <v>49</v>
      </c>
      <c r="CZ77" s="734"/>
      <c r="DB77" s="6">
        <v>-3.5999999999999997E-2</v>
      </c>
      <c r="DC77" s="567">
        <v>1.4299614577070817E-2</v>
      </c>
      <c r="DD77" s="438">
        <v>0.89758568927976634</v>
      </c>
      <c r="DF77" s="781">
        <v>240</v>
      </c>
      <c r="DG77" s="738">
        <v>100</v>
      </c>
      <c r="DH77" s="735" t="s">
        <v>95</v>
      </c>
      <c r="DI77" s="738" t="s">
        <v>101</v>
      </c>
      <c r="DJ77" s="736">
        <v>99963.799914762814</v>
      </c>
      <c r="DK77" s="737">
        <v>-3.6200085237185702E-2</v>
      </c>
      <c r="DL77" s="737">
        <v>1.3456938867364779E-2</v>
      </c>
      <c r="DM77" s="779">
        <v>2.233692774214822</v>
      </c>
      <c r="DP77" s="438"/>
      <c r="DQ77" s="438"/>
      <c r="DR77" s="438"/>
      <c r="DS77" s="567"/>
    </row>
    <row r="78" spans="2:128" ht="13.5" thickBot="1" x14ac:dyDescent="0.25">
      <c r="BY78" s="54">
        <v>66</v>
      </c>
      <c r="BZ78" s="776">
        <v>240.01996051397879</v>
      </c>
      <c r="CA78" s="738">
        <v>100.02181100640432</v>
      </c>
      <c r="CB78" s="777" t="s">
        <v>96</v>
      </c>
      <c r="CC78" s="777" t="s">
        <v>101</v>
      </c>
      <c r="CD78" s="736">
        <v>99971.975363888967</v>
      </c>
      <c r="CE78" s="778">
        <v>-2.8024636111034784E-2</v>
      </c>
      <c r="CF78" s="778">
        <v>1.6721597360817946E-2</v>
      </c>
      <c r="CG78" s="779">
        <v>2.0980594766424328</v>
      </c>
      <c r="CH78" s="734" t="s">
        <v>49</v>
      </c>
      <c r="CI78" s="738">
        <v>-29.927992114466559</v>
      </c>
      <c r="CJ78" s="780">
        <v>0</v>
      </c>
      <c r="CK78" s="6" t="s">
        <v>97</v>
      </c>
      <c r="CL78" s="6">
        <v>1</v>
      </c>
      <c r="CM78" s="567">
        <v>-1</v>
      </c>
      <c r="CN78" s="567">
        <v>-3.9136981927238523E-2</v>
      </c>
      <c r="CO78" s="438">
        <v>-2.340504981835307</v>
      </c>
      <c r="CP78" s="438">
        <v>1.1005922161395862</v>
      </c>
      <c r="CQ78" s="781">
        <v>240.06100144911463</v>
      </c>
      <c r="CR78" s="776">
        <v>99.97647988098521</v>
      </c>
      <c r="CS78" s="734" t="s">
        <v>560</v>
      </c>
      <c r="CT78" s="777" t="s">
        <v>101</v>
      </c>
      <c r="CU78" s="832">
        <v>100011.1123458162</v>
      </c>
      <c r="CV78" s="778">
        <v>1.1112345816203743E-2</v>
      </c>
      <c r="CW78" s="778">
        <v>1.5193272417889947E-2</v>
      </c>
      <c r="CX78" s="779">
        <v>2.092455492331188</v>
      </c>
      <c r="CY78" s="734" t="s">
        <v>49</v>
      </c>
      <c r="CZ78" s="734"/>
      <c r="DB78" s="6">
        <v>-0.04</v>
      </c>
      <c r="DC78" s="567">
        <v>1.1975363888965217E-2</v>
      </c>
      <c r="DD78" s="438">
        <v>0.71616147850957679</v>
      </c>
      <c r="DF78" s="795">
        <v>240</v>
      </c>
      <c r="DG78" s="796">
        <v>100</v>
      </c>
      <c r="DH78" s="797" t="s">
        <v>560</v>
      </c>
      <c r="DI78" s="796" t="s">
        <v>101</v>
      </c>
      <c r="DJ78" s="798">
        <v>99959.73091807781</v>
      </c>
      <c r="DK78" s="799">
        <v>-4.0269081922189795E-2</v>
      </c>
      <c r="DL78" s="799">
        <v>1.4259735255609611E-2</v>
      </c>
      <c r="DM78" s="800">
        <v>2.1476683862338382</v>
      </c>
      <c r="DP78" s="438"/>
      <c r="DQ78" s="438"/>
      <c r="DR78" s="438"/>
      <c r="DS78" s="567"/>
    </row>
    <row r="79" spans="2:128" x14ac:dyDescent="0.2">
      <c r="BY79" s="54"/>
      <c r="BZ79" s="801"/>
      <c r="CA79" s="802"/>
      <c r="CB79" s="803"/>
      <c r="CC79" s="803"/>
      <c r="CD79" s="804"/>
      <c r="CE79" s="805"/>
      <c r="CF79" s="805"/>
      <c r="CG79" s="806"/>
      <c r="CH79" s="734"/>
      <c r="CI79" s="738"/>
      <c r="CJ79" s="780"/>
      <c r="CP79" s="433"/>
    </row>
    <row r="80" spans="2:128" x14ac:dyDescent="0.2">
      <c r="CA80" s="782"/>
      <c r="CE80" s="567"/>
      <c r="CF80" s="567"/>
      <c r="CP80" s="433"/>
    </row>
    <row r="81" spans="54:94" x14ac:dyDescent="0.2">
      <c r="CA81" s="782"/>
      <c r="CE81" s="567"/>
      <c r="CF81" s="567"/>
      <c r="CP81" s="433"/>
    </row>
    <row r="82" spans="54:94" x14ac:dyDescent="0.2">
      <c r="CA82" s="782"/>
      <c r="CE82" s="567"/>
      <c r="CF82" s="567"/>
      <c r="CP82" s="433"/>
    </row>
    <row r="87" spans="54:94" x14ac:dyDescent="0.2">
      <c r="BD87" s="733" t="s">
        <v>123</v>
      </c>
      <c r="BE87" s="733" t="s">
        <v>124</v>
      </c>
    </row>
    <row r="89" spans="54:94" x14ac:dyDescent="0.2">
      <c r="BC89" s="833">
        <v>42037</v>
      </c>
      <c r="BD89" s="833">
        <v>41288</v>
      </c>
      <c r="BE89" s="833">
        <v>40581</v>
      </c>
      <c r="BF89" s="833">
        <v>39869</v>
      </c>
      <c r="BG89" s="833">
        <v>39136</v>
      </c>
      <c r="BH89" s="833">
        <v>38406</v>
      </c>
      <c r="BI89" s="833">
        <v>37673</v>
      </c>
      <c r="BJ89" s="833">
        <v>36945</v>
      </c>
    </row>
    <row r="90" spans="54:94" x14ac:dyDescent="0.2">
      <c r="BB90" s="6">
        <v>1</v>
      </c>
      <c r="BC90" s="567">
        <f>H7</f>
        <v>2.5232409999999999E-3</v>
      </c>
      <c r="BD90" s="774">
        <f>X7</f>
        <v>-8.7427800000000003E-4</v>
      </c>
      <c r="BE90" s="567">
        <f>AK7</f>
        <v>-9.1797393749759593E-4</v>
      </c>
      <c r="BF90" s="567">
        <v>-2.0295985953100448E-3</v>
      </c>
      <c r="BG90" s="567">
        <v>-1.2436369999999999E-3</v>
      </c>
      <c r="BH90" s="567">
        <v>-1.0000516905250834E-3</v>
      </c>
      <c r="BI90" s="567">
        <v>2.7778549404029037E-3</v>
      </c>
      <c r="BJ90" s="6">
        <v>-7.0000000000000001E-3</v>
      </c>
    </row>
    <row r="91" spans="54:94" x14ac:dyDescent="0.2">
      <c r="BB91" s="6">
        <v>5</v>
      </c>
      <c r="BC91" s="567">
        <f>H13</f>
        <v>2.9853179999999998E-3</v>
      </c>
      <c r="BD91" s="567">
        <f>X13</f>
        <v>-1.224052E-3</v>
      </c>
      <c r="BE91" s="567">
        <f>AK13</f>
        <v>-3.4762230820550855E-4</v>
      </c>
      <c r="BF91" s="567">
        <v>-1.2860631084188334E-3</v>
      </c>
      <c r="BG91" s="567">
        <v>-2.5649330000000001E-3</v>
      </c>
      <c r="BH91" s="567">
        <v>-1.6932332968955244E-3</v>
      </c>
      <c r="BI91" s="567">
        <v>2.7778549404029037E-3</v>
      </c>
      <c r="BJ91" s="6">
        <v>-3.0000000000000001E-3</v>
      </c>
    </row>
    <row r="92" spans="54:94" x14ac:dyDescent="0.2">
      <c r="BB92" s="6">
        <v>25</v>
      </c>
      <c r="BC92" s="567"/>
      <c r="BE92" s="567">
        <f>AK22</f>
        <v>2.2076163277429117E-4</v>
      </c>
      <c r="BF92" s="567">
        <v>-1.0909555114624325E-3</v>
      </c>
      <c r="BG92" s="567">
        <v>-1.1660850000000001E-3</v>
      </c>
      <c r="BH92" s="567">
        <v>-2.9944948110260938E-3</v>
      </c>
      <c r="BI92" s="567">
        <v>3.3334444481297396E-3</v>
      </c>
      <c r="BJ92" s="6">
        <v>-2E-3</v>
      </c>
    </row>
    <row r="93" spans="54:94" x14ac:dyDescent="0.2">
      <c r="BB93" s="6">
        <v>50</v>
      </c>
      <c r="BC93" s="567">
        <f>H25</f>
        <v>3.9287849999999997E-3</v>
      </c>
      <c r="BD93" s="567">
        <f>X25</f>
        <v>-3.719787E-3</v>
      </c>
      <c r="BE93" s="567">
        <f>AK25</f>
        <v>-2.6011027474126536E-3</v>
      </c>
      <c r="BF93" s="567">
        <v>-1.0860438109827619E-3</v>
      </c>
      <c r="BG93" s="567">
        <v>-6.5399560000000004E-3</v>
      </c>
      <c r="BH93" s="567">
        <v>-2.2335431101261349E-2</v>
      </c>
      <c r="BI93" s="567">
        <v>-1.2220728577609407E-2</v>
      </c>
      <c r="BJ93" s="6">
        <v>-1.0999999999999999E-2</v>
      </c>
    </row>
    <row r="94" spans="54:94" x14ac:dyDescent="0.2">
      <c r="BB94" s="6">
        <v>100</v>
      </c>
      <c r="BC94" s="567">
        <f>H28</f>
        <v>5.0557700000000002E-3</v>
      </c>
      <c r="BD94" s="567">
        <f>X28</f>
        <v>1.049557E-3</v>
      </c>
      <c r="BE94" s="567">
        <f>AK28</f>
        <v>2.8779283287816426E-3</v>
      </c>
      <c r="BF94" s="567">
        <v>-2.0434856421003289E-3</v>
      </c>
      <c r="BG94" s="567">
        <v>4.07524E-5</v>
      </c>
      <c r="BH94" s="567">
        <v>-1.55842863346356E-3</v>
      </c>
      <c r="BI94" s="567">
        <v>1.6666944449098082E-3</v>
      </c>
      <c r="BJ94" s="6">
        <v>-6.0000000000000001E-3</v>
      </c>
    </row>
    <row r="100" spans="54:62" x14ac:dyDescent="0.2">
      <c r="BD100" s="733" t="s">
        <v>123</v>
      </c>
      <c r="BE100" s="733" t="s">
        <v>125</v>
      </c>
    </row>
    <row r="102" spans="54:62" x14ac:dyDescent="0.2">
      <c r="BC102" s="833">
        <v>42037</v>
      </c>
      <c r="BD102" s="833">
        <v>41288</v>
      </c>
      <c r="BE102" s="833">
        <v>40581</v>
      </c>
      <c r="BF102" s="833">
        <v>39869</v>
      </c>
      <c r="BG102" s="833">
        <v>39136</v>
      </c>
      <c r="BH102" s="833">
        <v>38406</v>
      </c>
      <c r="BI102" s="833">
        <v>37673</v>
      </c>
      <c r="BJ102" s="833">
        <v>36945</v>
      </c>
    </row>
    <row r="103" spans="54:62" x14ac:dyDescent="0.2">
      <c r="BB103" s="6">
        <v>1</v>
      </c>
      <c r="BC103" s="567">
        <f>H51</f>
        <v>2.4670740000000001E-3</v>
      </c>
      <c r="BD103" s="567">
        <f>X51</f>
        <v>-5.9005749999999999E-3</v>
      </c>
      <c r="BE103" s="567">
        <f>AK51</f>
        <v>2.2391196675908276E-3</v>
      </c>
      <c r="BF103" s="567">
        <v>4.4679979999999999E-3</v>
      </c>
      <c r="BG103" s="567">
        <v>4.4679979999999999E-3</v>
      </c>
      <c r="BH103" s="567">
        <v>-8.2323324812616505E-3</v>
      </c>
      <c r="BI103" s="567">
        <v>1.6669444907485741E-2</v>
      </c>
      <c r="BJ103" s="567">
        <v>-1.7000000000000001E-2</v>
      </c>
    </row>
    <row r="104" spans="54:62" x14ac:dyDescent="0.2">
      <c r="BB104" s="6">
        <v>5</v>
      </c>
      <c r="BC104" s="567">
        <f>H57</f>
        <v>3.5218800000000002E-4</v>
      </c>
      <c r="BD104" s="567">
        <f>X57</f>
        <v>-6.7447490000000004E-3</v>
      </c>
      <c r="BE104" s="567">
        <f>AK57</f>
        <v>3.3609295715830712E-3</v>
      </c>
      <c r="BF104" s="567">
        <v>1.4207200000000001E-3</v>
      </c>
      <c r="BG104" s="567">
        <v>1.4207200000000001E-3</v>
      </c>
      <c r="BH104" s="567">
        <v>-9.3161992240298197E-3</v>
      </c>
      <c r="BI104" s="567">
        <v>1.3890818169194971E-2</v>
      </c>
      <c r="BJ104" s="567">
        <v>-1.7999999999999999E-2</v>
      </c>
    </row>
    <row r="105" spans="54:62" x14ac:dyDescent="0.2">
      <c r="BB105" s="6">
        <v>25</v>
      </c>
      <c r="BE105" s="567">
        <f>AK63</f>
        <v>2.1931672839814453E-3</v>
      </c>
      <c r="BF105" s="567">
        <v>-1.596833E-3</v>
      </c>
      <c r="BG105" s="567">
        <v>-1.596833E-3</v>
      </c>
      <c r="BH105" s="567">
        <v>-9.831668583093478E-3</v>
      </c>
      <c r="BI105" s="567">
        <v>1.9448226043939941E-2</v>
      </c>
      <c r="BJ105" s="567">
        <v>-0.02</v>
      </c>
    </row>
    <row r="106" spans="54:62" x14ac:dyDescent="0.2">
      <c r="BB106" s="6">
        <v>50</v>
      </c>
      <c r="BE106" s="567">
        <f>AK64</f>
        <v>-4.9102886803042978E-3</v>
      </c>
      <c r="BF106" s="567">
        <v>-1.2531852E-2</v>
      </c>
      <c r="BG106" s="567">
        <v>-1.2531852E-2</v>
      </c>
      <c r="BH106" s="567">
        <v>-2.2082040064386188E-2</v>
      </c>
      <c r="BI106" s="567">
        <v>-5.5552469307294811E-3</v>
      </c>
      <c r="BJ106" s="567">
        <v>-3.5999999999999997E-2</v>
      </c>
    </row>
    <row r="107" spans="54:62" x14ac:dyDescent="0.2">
      <c r="BB107" s="6">
        <v>100</v>
      </c>
      <c r="BE107" s="567">
        <f>AK66</f>
        <v>-4.5140391622289222E-3</v>
      </c>
      <c r="BF107" s="567">
        <v>2.3728000000000001E-4</v>
      </c>
      <c r="BG107" s="567">
        <v>2.3728000000000001E-4</v>
      </c>
      <c r="BH107" s="567">
        <v>-2.170038542292918E-2</v>
      </c>
      <c r="BI107" s="567">
        <v>2.1115568842302309E-2</v>
      </c>
      <c r="BJ107" s="567">
        <v>-3.5999999999999997E-2</v>
      </c>
    </row>
  </sheetData>
  <phoneticPr fontId="34" type="noConversion"/>
  <conditionalFormatting sqref="M1:M35 M42:M65536">
    <cfRule type="cellIs" dxfId="8" priority="1" stopIfTrue="1" operator="notBetween">
      <formula>-0.9</formula>
      <formula>0.9</formula>
    </cfRule>
  </conditionalFormatting>
  <pageMargins left="0.75" right="0.75" top="1" bottom="1" header="0.5" footer="0.5"/>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V49"/>
  <sheetViews>
    <sheetView showGridLines="0" zoomScale="75" workbookViewId="0">
      <selection activeCell="G46" sqref="G46"/>
    </sheetView>
  </sheetViews>
  <sheetFormatPr defaultRowHeight="12.75" x14ac:dyDescent="0.2"/>
  <cols>
    <col min="1" max="1" width="18.42578125" customWidth="1"/>
    <col min="5" max="5" width="11.28515625" customWidth="1"/>
    <col min="6" max="6" width="11.5703125" customWidth="1"/>
    <col min="7" max="7" width="13.28515625" customWidth="1"/>
    <col min="9" max="9" width="11.5703125" customWidth="1"/>
    <col min="10" max="10" width="10.140625" customWidth="1"/>
    <col min="14" max="14" width="10.7109375" customWidth="1"/>
    <col min="16" max="18" width="10.5703125" customWidth="1"/>
    <col min="20" max="20" width="11.42578125" customWidth="1"/>
  </cols>
  <sheetData>
    <row r="1" spans="1:22" x14ac:dyDescent="0.2">
      <c r="B1" s="20"/>
      <c r="C1" s="69" t="s">
        <v>148</v>
      </c>
      <c r="D1" s="20" t="s">
        <v>956</v>
      </c>
      <c r="E1" s="20"/>
      <c r="F1" s="65"/>
      <c r="G1" s="315"/>
      <c r="H1" s="65"/>
      <c r="I1" s="325"/>
      <c r="J1" s="317"/>
      <c r="K1" s="65"/>
      <c r="L1" s="21"/>
      <c r="M1" s="68"/>
      <c r="N1" s="65"/>
      <c r="O1" s="65"/>
      <c r="P1" s="65"/>
      <c r="T1" s="21"/>
      <c r="U1" s="21"/>
    </row>
    <row r="2" spans="1:22" x14ac:dyDescent="0.2">
      <c r="B2">
        <v>2</v>
      </c>
      <c r="C2">
        <v>3</v>
      </c>
      <c r="D2">
        <v>4</v>
      </c>
      <c r="E2">
        <v>5</v>
      </c>
      <c r="F2">
        <v>6</v>
      </c>
      <c r="G2">
        <v>7</v>
      </c>
      <c r="H2">
        <v>8</v>
      </c>
      <c r="I2">
        <v>9</v>
      </c>
      <c r="J2">
        <v>10</v>
      </c>
      <c r="K2" s="65"/>
      <c r="L2" s="21"/>
      <c r="M2" s="68"/>
      <c r="N2" s="65"/>
      <c r="O2" s="65"/>
      <c r="P2" s="65"/>
      <c r="T2" s="21"/>
      <c r="U2" s="21"/>
    </row>
    <row r="3" spans="1:22" x14ac:dyDescent="0.2">
      <c r="C3" s="69"/>
      <c r="D3" s="20"/>
      <c r="E3" s="20"/>
      <c r="F3" s="65"/>
      <c r="G3" s="315"/>
      <c r="H3" s="65"/>
      <c r="I3" s="333"/>
      <c r="J3" s="317"/>
      <c r="K3" s="65"/>
      <c r="L3" s="21"/>
      <c r="M3" s="68"/>
      <c r="N3" s="65"/>
      <c r="O3" s="65"/>
      <c r="P3" s="65"/>
      <c r="T3" s="21"/>
      <c r="U3" s="21"/>
    </row>
    <row r="4" spans="1:22" x14ac:dyDescent="0.2">
      <c r="B4" s="20"/>
      <c r="C4" s="65"/>
      <c r="D4" s="65"/>
      <c r="E4" s="65"/>
      <c r="F4" s="65"/>
      <c r="G4" s="65"/>
      <c r="H4" s="65"/>
      <c r="I4" s="65"/>
      <c r="J4" s="65"/>
      <c r="K4" s="65"/>
      <c r="L4" s="21"/>
      <c r="M4" s="68"/>
      <c r="N4" s="65"/>
      <c r="O4" s="65"/>
      <c r="P4" s="65"/>
      <c r="T4" s="21"/>
      <c r="U4" s="21"/>
    </row>
    <row r="5" spans="1:22" ht="51" x14ac:dyDescent="0.2">
      <c r="A5" t="s">
        <v>987</v>
      </c>
      <c r="B5" s="610" t="s">
        <v>999</v>
      </c>
      <c r="C5" s="507" t="s">
        <v>748</v>
      </c>
      <c r="D5" s="507" t="s">
        <v>749</v>
      </c>
      <c r="E5" s="507" t="s">
        <v>19</v>
      </c>
      <c r="F5" s="602" t="e">
        <f>IF(K6="watts","Power Factor", "Reactive Power Factor")</f>
        <v>#N/A</v>
      </c>
      <c r="G5" s="579" t="e">
        <f>IF(K6="watts","Measured 
Impulses
(Imp/(W.h))", "Measured Impulses (Imp/(var.h))")</f>
        <v>#N/A</v>
      </c>
      <c r="H5" s="508" t="s">
        <v>750</v>
      </c>
      <c r="I5" s="507" t="s">
        <v>576</v>
      </c>
      <c r="J5" s="509" t="s">
        <v>751</v>
      </c>
      <c r="K5" s="65" t="s">
        <v>786</v>
      </c>
      <c r="L5" s="21" t="s">
        <v>982</v>
      </c>
      <c r="M5" s="603" t="s">
        <v>984</v>
      </c>
      <c r="N5" s="99" t="s">
        <v>577</v>
      </c>
      <c r="O5" s="99" t="s">
        <v>957</v>
      </c>
      <c r="P5" s="99" t="s">
        <v>958</v>
      </c>
      <c r="Q5" s="23" t="s">
        <v>986</v>
      </c>
      <c r="R5" s="19" t="s">
        <v>578</v>
      </c>
      <c r="T5" s="21" t="s">
        <v>752</v>
      </c>
      <c r="U5" s="21"/>
    </row>
    <row r="6" spans="1:22" x14ac:dyDescent="0.2">
      <c r="A6" s="6" t="e">
        <f t="shared" ref="A6:A19" si="0">TEXT(L6,0)&amp;TEXT(MROUND(C6,0.5),"0.0")&amp;TEXT(ROUND(D6,3),"0.00")&amp;TEXT(ROUND(M6,0),0)&amp;K6</f>
        <v>#N/A</v>
      </c>
      <c r="B6" s="54"/>
      <c r="C6" s="516" t="e">
        <f>VLOOKUP($B6,Data!$A$12:$DA$618,19,FALSE)</f>
        <v>#N/A</v>
      </c>
      <c r="D6" s="511" t="e">
        <f>VLOOKUP($B6,Data!$A$12:$DA$618,20,FALSE)</f>
        <v>#N/A</v>
      </c>
      <c r="E6" s="512" t="e">
        <f>-VLOOKUP($B6,Data!$A$12:$FI$618,21,FALSE)</f>
        <v>#N/A</v>
      </c>
      <c r="F6" s="647" t="e">
        <f>ROUND(IF(K6="watts",COS(RADIANS(M6)),COS(RADIANS(M6-90))),R6)&amp;" "&amp;Q6</f>
        <v>#N/A</v>
      </c>
      <c r="G6" s="513" t="e">
        <f>IF(L6=123,ABS(VLOOKUP($B6,Data!$A$12:$DA$618,26,FALSE))/3,ABS(VLOOKUP($B6,Data!$A$12:$DA$618,26,FALSE)))</f>
        <v>#N/A</v>
      </c>
      <c r="H6" s="514" t="e">
        <f>VLOOKUP($B6,Data!$A$12:$DA$618,23,FALSE)</f>
        <v>#N/A</v>
      </c>
      <c r="I6" s="520" t="e">
        <f>VLOOKUP($B6,Data!$A$12:$DA$618,24,FALSE)</f>
        <v>#N/A</v>
      </c>
      <c r="J6" s="515" t="e">
        <f>VLOOKUP($B6,Data!$A$12:$DA$618,25,FALSE)</f>
        <v>#N/A</v>
      </c>
      <c r="K6" s="65" t="e">
        <f>VLOOKUP($B6,Data!$A$12:$DA$618,13,FALSE)</f>
        <v>#N/A</v>
      </c>
      <c r="L6" s="22" t="e">
        <f>VLOOKUP($B6,Data!$A$12:$DA$618,16,FALSE)</f>
        <v>#N/A</v>
      </c>
      <c r="M6" s="68" t="e">
        <f>-VLOOKUP($B6,Data!$A$12:$FI$618,21,FALSE)</f>
        <v>#N/A</v>
      </c>
      <c r="N6" s="361" t="e">
        <f>VLOOKUP($B6,Data!$A$12:$FI$618,18,FALSE)</f>
        <v>#N/A</v>
      </c>
      <c r="O6" s="571" t="e">
        <f>VLOOKUP($B6,UncCalc!$A$1:$CC$348,80,FALSE)</f>
        <v>#N/A</v>
      </c>
      <c r="P6" s="571" t="e">
        <f>VLOOKUP($B6,UncCalc!$A$1:$CC$348,81,FALSE)</f>
        <v>#N/A</v>
      </c>
      <c r="Q6" t="e">
        <f t="shared" ref="Q6:Q19" si="1">IF(MOD(ROUND((M6+360)/90,2),1)=0," ",IF(ISODD((M6+360)/90),"Lead", "Lag"))</f>
        <v>#N/A</v>
      </c>
      <c r="R6">
        <v>1</v>
      </c>
      <c r="T6" s="24" t="e">
        <f>IF((K6="watts"),I6*10000*COS(RADIANS(M6))/(40+6*(1-ABS(COS(RADIANS(M6))))),I6*10000*ABS(SIN(RADIANS(M6)))/(40+90*ABS(SIN(RADIANS(M6)))))</f>
        <v>#N/A</v>
      </c>
      <c r="U6" s="24"/>
    </row>
    <row r="7" spans="1:22" x14ac:dyDescent="0.2">
      <c r="A7" s="6" t="e">
        <f t="shared" si="0"/>
        <v>#N/A</v>
      </c>
      <c r="B7" s="54"/>
      <c r="C7" s="516" t="e">
        <f>VLOOKUP($B7,Data!$A$12:$DA$618,19,FALSE)</f>
        <v>#N/A</v>
      </c>
      <c r="D7" s="517" t="e">
        <f>VLOOKUP($B7,Data!$A$12:$DA$618,20,FALSE)</f>
        <v>#N/A</v>
      </c>
      <c r="E7" s="518" t="e">
        <f>-VLOOKUP($B7,Data!$A$12:$FI$618,21,FALSE)</f>
        <v>#N/A</v>
      </c>
      <c r="F7" s="647" t="e">
        <f t="shared" ref="F7:F19" si="2">ROUND(IF(K7="watts",COS(RADIANS(M7)),COS(RADIANS(M7-90))),R7)&amp;" "&amp;Q7</f>
        <v>#N/A</v>
      </c>
      <c r="G7" s="516" t="e">
        <f>IF(L7=123,ABS(VLOOKUP($B7,Data!$A$12:$DA$618,26,FALSE))/3,ABS(VLOOKUP($B7,Data!$A$12:$DA$618,26,FALSE)))</f>
        <v>#N/A</v>
      </c>
      <c r="H7" s="604" t="e">
        <f>VLOOKUP($B7,Data!$A$12:$DA$618,23,FALSE)</f>
        <v>#N/A</v>
      </c>
      <c r="I7" s="520" t="e">
        <f>VLOOKUP($B7,Data!$A$12:$DA$618,24,FALSE)</f>
        <v>#N/A</v>
      </c>
      <c r="J7" s="521" t="e">
        <f>VLOOKUP($B7,Data!$A$12:$DA$618,25,FALSE)</f>
        <v>#N/A</v>
      </c>
      <c r="K7" s="65" t="e">
        <f>VLOOKUP($B7,Data!$A$12:$DA$618,13,FALSE)</f>
        <v>#N/A</v>
      </c>
      <c r="L7" s="22" t="e">
        <f>VLOOKUP($B7,Data!$A$12:$DA$618,16,FALSE)</f>
        <v>#N/A</v>
      </c>
      <c r="M7" s="68" t="e">
        <f>-VLOOKUP($B7,Data!$A$12:$FI$618,21,FALSE)</f>
        <v>#N/A</v>
      </c>
      <c r="N7" s="361" t="e">
        <f>VLOOKUP($B7,Data!$A$12:$FI$618,18,FALSE)</f>
        <v>#N/A</v>
      </c>
      <c r="O7" s="571" t="e">
        <f>VLOOKUP($B7,UncCalc!$A$1:$CC$348,80,FALSE)</f>
        <v>#N/A</v>
      </c>
      <c r="P7" s="571" t="e">
        <f>VLOOKUP($B7,UncCalc!$A$1:$CC$348,81,FALSE)</f>
        <v>#N/A</v>
      </c>
      <c r="Q7" t="e">
        <f t="shared" si="1"/>
        <v>#N/A</v>
      </c>
      <c r="R7">
        <v>3</v>
      </c>
      <c r="T7" s="24" t="e">
        <f t="shared" ref="T7:T19" si="3">IF((K7="watts"),I7*10000*COS(RADIANS(M7))/(40+6*(1-ABS(COS(RADIANS(M7))))),I7*10000*ABS(SIN(RADIANS(M7)))/(40+90*ABS(SIN(RADIANS(M7)))))</f>
        <v>#N/A</v>
      </c>
      <c r="U7" s="24"/>
    </row>
    <row r="8" spans="1:22" x14ac:dyDescent="0.2">
      <c r="A8" s="6" t="e">
        <f t="shared" si="0"/>
        <v>#N/A</v>
      </c>
      <c r="B8" s="54"/>
      <c r="C8" s="516" t="e">
        <f>VLOOKUP($B8,Data!$A$12:$DA$618,19,FALSE)</f>
        <v>#N/A</v>
      </c>
      <c r="D8" s="517" t="e">
        <f>VLOOKUP($B8,Data!$A$12:$DA$618,20,FALSE)</f>
        <v>#N/A</v>
      </c>
      <c r="E8" s="518" t="e">
        <f>-VLOOKUP($B8,Data!$A$12:$FI$618,21,FALSE)</f>
        <v>#N/A</v>
      </c>
      <c r="F8" s="647" t="e">
        <f t="shared" si="2"/>
        <v>#N/A</v>
      </c>
      <c r="G8" s="516" t="e">
        <f>IF(L8=123,ABS(VLOOKUP($B8,Data!$A$12:$DA$618,26,FALSE))/3,ABS(VLOOKUP($B8,Data!$A$12:$DA$618,26,FALSE)))</f>
        <v>#N/A</v>
      </c>
      <c r="H8" s="604" t="e">
        <f>VLOOKUP($B8,Data!$A$12:$DA$618,23,FALSE)</f>
        <v>#N/A</v>
      </c>
      <c r="I8" s="520" t="e">
        <f>VLOOKUP($B8,Data!$A$12:$DA$618,24,FALSE)</f>
        <v>#N/A</v>
      </c>
      <c r="J8" s="521" t="e">
        <f>VLOOKUP($B8,Data!$A$12:$DA$618,25,FALSE)</f>
        <v>#N/A</v>
      </c>
      <c r="K8" s="65" t="e">
        <f>VLOOKUP($B8,Data!$A$12:$DA$618,13,FALSE)</f>
        <v>#N/A</v>
      </c>
      <c r="L8" s="22" t="e">
        <f>VLOOKUP($B8,Data!$A$12:$DA$618,16,FALSE)</f>
        <v>#N/A</v>
      </c>
      <c r="M8" s="68" t="e">
        <f>-VLOOKUP($B8,Data!$A$12:$FI$618,21,FALSE)</f>
        <v>#N/A</v>
      </c>
      <c r="N8" s="361" t="e">
        <f>VLOOKUP($B8,Data!$A$12:$FI$618,18,FALSE)</f>
        <v>#N/A</v>
      </c>
      <c r="O8" s="571" t="e">
        <f>VLOOKUP($B8,UncCalc!$A$1:$CC$348,80,FALSE)</f>
        <v>#N/A</v>
      </c>
      <c r="P8" s="571" t="e">
        <f>VLOOKUP($B8,UncCalc!$A$1:$CC$348,81,FALSE)</f>
        <v>#N/A</v>
      </c>
      <c r="Q8" t="e">
        <f t="shared" si="1"/>
        <v>#N/A</v>
      </c>
      <c r="R8">
        <v>3</v>
      </c>
      <c r="T8" s="24" t="e">
        <f t="shared" si="3"/>
        <v>#N/A</v>
      </c>
      <c r="U8" s="24"/>
    </row>
    <row r="9" spans="1:22" x14ac:dyDescent="0.2">
      <c r="A9" s="6" t="e">
        <f t="shared" si="0"/>
        <v>#N/A</v>
      </c>
      <c r="B9" s="54"/>
      <c r="C9" s="516" t="e">
        <f>VLOOKUP($B9,Data!$A$12:$DA$618,19,FALSE)</f>
        <v>#N/A</v>
      </c>
      <c r="D9" s="517" t="e">
        <f>VLOOKUP($B9,Data!$A$12:$DA$618,20,FALSE)</f>
        <v>#N/A</v>
      </c>
      <c r="E9" s="518" t="e">
        <f>-VLOOKUP($B9,Data!$A$12:$FI$618,21,FALSE)</f>
        <v>#N/A</v>
      </c>
      <c r="F9" s="647" t="e">
        <f t="shared" si="2"/>
        <v>#N/A</v>
      </c>
      <c r="G9" s="516" t="e">
        <f>IF(L9=123,ABS(VLOOKUP($B9,Data!$A$12:$DA$618,26,FALSE))/3,ABS(VLOOKUP($B9,Data!$A$12:$DA$618,26,FALSE)))</f>
        <v>#N/A</v>
      </c>
      <c r="H9" s="604" t="e">
        <f>VLOOKUP($B9,Data!$A$12:$DA$618,23,FALSE)</f>
        <v>#N/A</v>
      </c>
      <c r="I9" s="520" t="e">
        <f>VLOOKUP($B9,Data!$A$12:$DA$618,24,FALSE)</f>
        <v>#N/A</v>
      </c>
      <c r="J9" s="521" t="e">
        <f>VLOOKUP($B9,Data!$A$12:$DA$618,25,FALSE)</f>
        <v>#N/A</v>
      </c>
      <c r="K9" s="65" t="e">
        <f>VLOOKUP($B9,Data!$A$12:$DA$618,13,FALSE)</f>
        <v>#N/A</v>
      </c>
      <c r="L9" s="22" t="e">
        <f>VLOOKUP($B9,Data!$A$12:$DA$618,16,FALSE)</f>
        <v>#N/A</v>
      </c>
      <c r="M9" s="68" t="e">
        <f>-VLOOKUP($B9,Data!$A$12:$FI$618,21,FALSE)</f>
        <v>#N/A</v>
      </c>
      <c r="N9" s="361" t="e">
        <f>VLOOKUP($B9,Data!$A$12:$FI$618,18,FALSE)</f>
        <v>#N/A</v>
      </c>
      <c r="O9" s="571" t="e">
        <f>VLOOKUP($B9,UncCalc!$A$1:$CC$348,80,FALSE)</f>
        <v>#N/A</v>
      </c>
      <c r="P9" s="571" t="e">
        <f>VLOOKUP($B9,UncCalc!$A$1:$CC$348,81,FALSE)</f>
        <v>#N/A</v>
      </c>
      <c r="Q9" t="e">
        <f t="shared" si="1"/>
        <v>#N/A</v>
      </c>
      <c r="R9">
        <v>3</v>
      </c>
      <c r="T9" s="24" t="e">
        <f t="shared" si="3"/>
        <v>#N/A</v>
      </c>
      <c r="U9" s="24"/>
    </row>
    <row r="10" spans="1:22" x14ac:dyDescent="0.2">
      <c r="A10" s="6" t="e">
        <f t="shared" si="0"/>
        <v>#N/A</v>
      </c>
      <c r="B10" s="54"/>
      <c r="C10" s="516" t="e">
        <f>VLOOKUP($B10,Data!$A$12:$DA$618,19,FALSE)</f>
        <v>#N/A</v>
      </c>
      <c r="D10" s="517" t="e">
        <f>VLOOKUP($B10,Data!$A$12:$DA$618,20,FALSE)</f>
        <v>#N/A</v>
      </c>
      <c r="E10" s="518" t="e">
        <f>-VLOOKUP($B10,Data!$A$12:$FI$618,21,FALSE)</f>
        <v>#N/A</v>
      </c>
      <c r="F10" s="647" t="e">
        <f t="shared" si="2"/>
        <v>#N/A</v>
      </c>
      <c r="G10" s="516" t="e">
        <f>IF(L10=123,ABS(VLOOKUP($B10,Data!$A$12:$DA$618,26,FALSE))/3,ABS(VLOOKUP($B10,Data!$A$12:$DA$618,26,FALSE)))</f>
        <v>#N/A</v>
      </c>
      <c r="H10" s="604" t="e">
        <f>VLOOKUP($B10,Data!$A$12:$DA$618,23,FALSE)</f>
        <v>#N/A</v>
      </c>
      <c r="I10" s="520" t="e">
        <f>VLOOKUP($B10,Data!$A$12:$DA$618,24,FALSE)</f>
        <v>#N/A</v>
      </c>
      <c r="J10" s="521" t="e">
        <f>VLOOKUP($B10,Data!$A$12:$DA$618,25,FALSE)</f>
        <v>#N/A</v>
      </c>
      <c r="K10" s="65" t="e">
        <f>VLOOKUP($B10,Data!$A$12:$DA$618,13,FALSE)</f>
        <v>#N/A</v>
      </c>
      <c r="L10" s="22" t="e">
        <f>VLOOKUP($B10,Data!$A$12:$DA$618,16,FALSE)</f>
        <v>#N/A</v>
      </c>
      <c r="M10" s="68" t="e">
        <f>-VLOOKUP($B10,Data!$A$12:$FI$618,21,FALSE)</f>
        <v>#N/A</v>
      </c>
      <c r="N10" s="361" t="e">
        <f>VLOOKUP($B10,Data!$A$18:$FI$618,18,FALSE)</f>
        <v>#N/A</v>
      </c>
      <c r="O10" s="571" t="e">
        <f>VLOOKUP($B10,UncCalc!$A$1:$CC$348,80,FALSE)</f>
        <v>#N/A</v>
      </c>
      <c r="P10" s="571" t="e">
        <f>VLOOKUP($B10,UncCalc!$A$1:$CC$348,81,FALSE)</f>
        <v>#N/A</v>
      </c>
      <c r="Q10" t="e">
        <f t="shared" si="1"/>
        <v>#N/A</v>
      </c>
      <c r="R10">
        <v>3</v>
      </c>
      <c r="T10" s="24" t="e">
        <f t="shared" si="3"/>
        <v>#N/A</v>
      </c>
      <c r="U10" s="24"/>
      <c r="V10" s="17"/>
    </row>
    <row r="11" spans="1:22" x14ac:dyDescent="0.2">
      <c r="A11" s="6" t="e">
        <f t="shared" si="0"/>
        <v>#N/A</v>
      </c>
      <c r="B11" s="54"/>
      <c r="C11" s="516" t="e">
        <f>VLOOKUP($B11,Data!$A$12:$DA$618,19,FALSE)</f>
        <v>#N/A</v>
      </c>
      <c r="D11" s="517" t="e">
        <f>VLOOKUP($B11,Data!$A$12:$DA$618,20,FALSE)</f>
        <v>#N/A</v>
      </c>
      <c r="E11" s="518" t="e">
        <f>-VLOOKUP($B11,Data!$A$12:$FI$618,21,FALSE)</f>
        <v>#N/A</v>
      </c>
      <c r="F11" s="647" t="e">
        <f t="shared" si="2"/>
        <v>#N/A</v>
      </c>
      <c r="G11" s="516" t="e">
        <f>IF(L11=123,ABS(VLOOKUP($B11,Data!$A$12:$DA$618,26,FALSE))/3,ABS(VLOOKUP($B11,Data!$A$12:$DA$618,26,FALSE)))</f>
        <v>#N/A</v>
      </c>
      <c r="H11" s="604" t="e">
        <f>VLOOKUP($B11,Data!$A$12:$DA$618,23,FALSE)</f>
        <v>#N/A</v>
      </c>
      <c r="I11" s="520" t="e">
        <f>VLOOKUP($B11,Data!$A$12:$DA$618,24,FALSE)</f>
        <v>#N/A</v>
      </c>
      <c r="J11" s="521" t="e">
        <f>VLOOKUP($B11,Data!$A$12:$DA$618,25,FALSE)</f>
        <v>#N/A</v>
      </c>
      <c r="K11" s="65" t="e">
        <f>VLOOKUP($B11,Data!$A$12:$DA$618,13,FALSE)</f>
        <v>#N/A</v>
      </c>
      <c r="L11" s="22" t="e">
        <f>VLOOKUP($B11,Data!$A$12:$DA$618,16,FALSE)</f>
        <v>#N/A</v>
      </c>
      <c r="M11" s="68" t="e">
        <f>-VLOOKUP($B11,Data!$A$12:$FI$618,21,FALSE)</f>
        <v>#N/A</v>
      </c>
      <c r="N11" s="361" t="e">
        <f>VLOOKUP($B11,Data!$A$18:$FI$618,18,FALSE)</f>
        <v>#N/A</v>
      </c>
      <c r="O11" s="571" t="e">
        <f>VLOOKUP($B11,UncCalc!$A$1:$CC$348,80,FALSE)</f>
        <v>#N/A</v>
      </c>
      <c r="P11" s="571" t="e">
        <f>VLOOKUP($B11,UncCalc!$A$1:$CC$348,81,FALSE)</f>
        <v>#N/A</v>
      </c>
      <c r="Q11" t="e">
        <f t="shared" si="1"/>
        <v>#N/A</v>
      </c>
      <c r="R11">
        <v>1</v>
      </c>
      <c r="T11" s="24" t="e">
        <f t="shared" si="3"/>
        <v>#N/A</v>
      </c>
      <c r="U11" s="24"/>
      <c r="V11" s="17"/>
    </row>
    <row r="12" spans="1:22" x14ac:dyDescent="0.2">
      <c r="A12" s="6" t="e">
        <f t="shared" si="0"/>
        <v>#N/A</v>
      </c>
      <c r="B12" s="54"/>
      <c r="C12" s="516" t="e">
        <f>VLOOKUP($B12,Data!$A$12:$DA$618,19,FALSE)</f>
        <v>#N/A</v>
      </c>
      <c r="D12" s="517" t="e">
        <f>VLOOKUP($B12,Data!$A$12:$DA$618,20,FALSE)</f>
        <v>#N/A</v>
      </c>
      <c r="E12" s="518" t="e">
        <f>-VLOOKUP($B12,Data!$A$12:$FI$618,21,FALSE)</f>
        <v>#N/A</v>
      </c>
      <c r="F12" s="647" t="e">
        <f t="shared" si="2"/>
        <v>#N/A</v>
      </c>
      <c r="G12" s="516" t="e">
        <f>IF(L12=123,ABS(VLOOKUP($B12,Data!$A$12:$DA$618,26,FALSE))/3,ABS(VLOOKUP($B12,Data!$A$12:$DA$618,26,FALSE)))</f>
        <v>#N/A</v>
      </c>
      <c r="H12" s="605" t="e">
        <f>VLOOKUP($B12,Data!$A$12:$DA$618,23,FALSE)</f>
        <v>#N/A</v>
      </c>
      <c r="I12" s="520" t="e">
        <f>VLOOKUP($B12,Data!$A$12:$DA$618,24,FALSE)</f>
        <v>#N/A</v>
      </c>
      <c r="J12" s="521" t="e">
        <f>VLOOKUP($B12,Data!$A$12:$DA$618,25,FALSE)</f>
        <v>#N/A</v>
      </c>
      <c r="K12" s="65" t="e">
        <f>VLOOKUP($B12,Data!$A$12:$DA$618,13,FALSE)</f>
        <v>#N/A</v>
      </c>
      <c r="L12" s="22" t="e">
        <f>VLOOKUP($B12,Data!$A$12:$DA$618,16,FALSE)</f>
        <v>#N/A</v>
      </c>
      <c r="M12" s="68" t="e">
        <f>-VLOOKUP($B12,Data!$A$12:$FI$618,21,FALSE)</f>
        <v>#N/A</v>
      </c>
      <c r="N12" s="361" t="e">
        <f>VLOOKUP($B12,Data!$A$18:$FI$618,18,FALSE)</f>
        <v>#N/A</v>
      </c>
      <c r="O12" s="571" t="e">
        <f>VLOOKUP($B12,UncCalc!$A$1:$CC$348,80,FALSE)</f>
        <v>#N/A</v>
      </c>
      <c r="P12" s="571" t="e">
        <f>VLOOKUP($B12,UncCalc!$A$1:$CC$348,81,FALSE)</f>
        <v>#N/A</v>
      </c>
      <c r="Q12" t="e">
        <f t="shared" si="1"/>
        <v>#N/A</v>
      </c>
      <c r="R12">
        <v>3</v>
      </c>
      <c r="T12" s="24" t="e">
        <f t="shared" si="3"/>
        <v>#N/A</v>
      </c>
      <c r="U12" s="24"/>
    </row>
    <row r="13" spans="1:22" x14ac:dyDescent="0.2">
      <c r="A13" s="6" t="e">
        <f t="shared" si="0"/>
        <v>#N/A</v>
      </c>
      <c r="B13" s="54"/>
      <c r="C13" s="516" t="e">
        <f>VLOOKUP($B13,Data!$A$12:$DA$618,19,FALSE)</f>
        <v>#N/A</v>
      </c>
      <c r="D13" s="517" t="e">
        <f>VLOOKUP($B13,Data!$A$12:$DA$618,20,FALSE)</f>
        <v>#N/A</v>
      </c>
      <c r="E13" s="518" t="e">
        <f>-VLOOKUP($B13,Data!$A$12:$FI$618,21,FALSE)</f>
        <v>#N/A</v>
      </c>
      <c r="F13" s="647" t="e">
        <f t="shared" si="2"/>
        <v>#N/A</v>
      </c>
      <c r="G13" s="516" t="e">
        <f>IF(L13=123,ABS(VLOOKUP($B13,Data!$A$12:$DA$618,26,FALSE))/3,ABS(VLOOKUP($B13,Data!$A$12:$DA$618,26,FALSE)))</f>
        <v>#N/A</v>
      </c>
      <c r="H13" s="605" t="e">
        <f>VLOOKUP($B13,Data!$A$12:$DA$618,23,FALSE)</f>
        <v>#N/A</v>
      </c>
      <c r="I13" s="520" t="e">
        <f>VLOOKUP($B13,Data!$A$12:$DA$618,24,FALSE)</f>
        <v>#N/A</v>
      </c>
      <c r="J13" s="521" t="e">
        <f>VLOOKUP($B13,Data!$A$12:$DA$618,25,FALSE)</f>
        <v>#N/A</v>
      </c>
      <c r="K13" s="65" t="e">
        <f>VLOOKUP($B13,Data!$A$12:$DA$618,13,FALSE)</f>
        <v>#N/A</v>
      </c>
      <c r="L13" s="22" t="e">
        <f>VLOOKUP($B13,Data!$A$12:$DA$618,16,FALSE)</f>
        <v>#N/A</v>
      </c>
      <c r="M13" s="68" t="e">
        <f>-VLOOKUP($B13,Data!$A$12:$FI$618,21,FALSE)</f>
        <v>#N/A</v>
      </c>
      <c r="N13" s="361" t="e">
        <f>VLOOKUP($B13,Data!$A$18:$FI$618,18,FALSE)</f>
        <v>#N/A</v>
      </c>
      <c r="O13" s="571" t="e">
        <f>VLOOKUP($B13,UncCalc!$A$1:$CC$348,80,FALSE)</f>
        <v>#N/A</v>
      </c>
      <c r="P13" s="571" t="e">
        <f>VLOOKUP($B13,UncCalc!$A$1:$CC$348,81,FALSE)</f>
        <v>#N/A</v>
      </c>
      <c r="Q13" t="e">
        <f t="shared" si="1"/>
        <v>#N/A</v>
      </c>
      <c r="R13">
        <v>3</v>
      </c>
      <c r="T13" s="24" t="e">
        <f t="shared" si="3"/>
        <v>#N/A</v>
      </c>
      <c r="U13" s="24"/>
    </row>
    <row r="14" spans="1:22" x14ac:dyDescent="0.2">
      <c r="A14" s="6" t="e">
        <f t="shared" si="0"/>
        <v>#N/A</v>
      </c>
      <c r="B14" s="54"/>
      <c r="C14" s="516" t="e">
        <f>VLOOKUP($B14,Data!$A$12:$DA$618,19,FALSE)</f>
        <v>#N/A</v>
      </c>
      <c r="D14" s="517" t="e">
        <f>VLOOKUP($B14,Data!$A$12:$DA$618,20,FALSE)</f>
        <v>#N/A</v>
      </c>
      <c r="E14" s="518" t="e">
        <f>-VLOOKUP($B14,Data!$A$12:$FI$618,21,FALSE)</f>
        <v>#N/A</v>
      </c>
      <c r="F14" s="647" t="e">
        <f t="shared" si="2"/>
        <v>#N/A</v>
      </c>
      <c r="G14" s="516" t="e">
        <f>IF(L14=123,ABS(VLOOKUP($B14,Data!$A$12:$DA$618,26,FALSE))/3,ABS(VLOOKUP($B14,Data!$A$12:$DA$618,26,FALSE)))</f>
        <v>#N/A</v>
      </c>
      <c r="H14" s="605" t="e">
        <f>VLOOKUP($B14,Data!$A$12:$DA$618,23,FALSE)</f>
        <v>#N/A</v>
      </c>
      <c r="I14" s="520" t="e">
        <f>VLOOKUP($B14,Data!$A$12:$DA$618,24,FALSE)</f>
        <v>#N/A</v>
      </c>
      <c r="J14" s="521" t="e">
        <f>VLOOKUP($B14,Data!$A$12:$DA$618,25,FALSE)</f>
        <v>#N/A</v>
      </c>
      <c r="K14" s="65" t="e">
        <f>VLOOKUP($B14,Data!$A$12:$DA$618,13,FALSE)</f>
        <v>#N/A</v>
      </c>
      <c r="L14" s="22" t="e">
        <f>VLOOKUP($B14,Data!$A$12:$DA$618,16,FALSE)</f>
        <v>#N/A</v>
      </c>
      <c r="M14" s="68" t="e">
        <f>-VLOOKUP($B14,Data!$A$12:$FI$618,21,FALSE)</f>
        <v>#N/A</v>
      </c>
      <c r="N14" s="361" t="e">
        <f>VLOOKUP($B14,Data!$A$18:$FI$618,18,FALSE)</f>
        <v>#N/A</v>
      </c>
      <c r="O14" s="571" t="e">
        <f>VLOOKUP($B14,UncCalc!$A$1:$CC$348,80,FALSE)</f>
        <v>#N/A</v>
      </c>
      <c r="P14" s="571" t="e">
        <f>VLOOKUP($B14,UncCalc!$A$1:$CC$348,81,FALSE)</f>
        <v>#N/A</v>
      </c>
      <c r="Q14" t="e">
        <f t="shared" si="1"/>
        <v>#N/A</v>
      </c>
      <c r="R14">
        <v>3</v>
      </c>
      <c r="T14" s="24" t="e">
        <f t="shared" si="3"/>
        <v>#N/A</v>
      </c>
      <c r="U14" s="24"/>
    </row>
    <row r="15" spans="1:22" x14ac:dyDescent="0.2">
      <c r="A15" s="6" t="e">
        <f t="shared" si="0"/>
        <v>#N/A</v>
      </c>
      <c r="B15" s="54"/>
      <c r="C15" s="516" t="e">
        <f>VLOOKUP($B15,Data!$A$12:$DA$618,19,FALSE)</f>
        <v>#N/A</v>
      </c>
      <c r="D15" s="517" t="e">
        <f>VLOOKUP($B15,Data!$A$12:$DA$618,20,FALSE)</f>
        <v>#N/A</v>
      </c>
      <c r="E15" s="518" t="e">
        <f>-VLOOKUP($B15,Data!$A$12:$FI$618,21,FALSE)</f>
        <v>#N/A</v>
      </c>
      <c r="F15" s="647" t="e">
        <f t="shared" si="2"/>
        <v>#N/A</v>
      </c>
      <c r="G15" s="516" t="e">
        <f>IF(L15=123,ABS(VLOOKUP($B15,Data!$A$12:$DA$618,26,FALSE))/3,ABS(VLOOKUP($B15,Data!$A$12:$DA$618,26,FALSE)))</f>
        <v>#N/A</v>
      </c>
      <c r="H15" s="605" t="e">
        <f>VLOOKUP($B15,Data!$A$12:$DA$618,23,FALSE)</f>
        <v>#N/A</v>
      </c>
      <c r="I15" s="520" t="e">
        <f>VLOOKUP($B15,Data!$A$12:$DA$618,24,FALSE)</f>
        <v>#N/A</v>
      </c>
      <c r="J15" s="521" t="e">
        <f>VLOOKUP($B15,Data!$A$12:$DA$618,25,FALSE)</f>
        <v>#N/A</v>
      </c>
      <c r="K15" s="65" t="e">
        <f>VLOOKUP($B15,Data!$A$12:$DA$618,13,FALSE)</f>
        <v>#N/A</v>
      </c>
      <c r="L15" s="22" t="e">
        <f>VLOOKUP($B15,Data!$A$12:$DA$618,16,FALSE)</f>
        <v>#N/A</v>
      </c>
      <c r="M15" s="68" t="e">
        <f>-VLOOKUP($B15,Data!$A$12:$FI$618,21,FALSE)</f>
        <v>#N/A</v>
      </c>
      <c r="N15" s="361" t="e">
        <f>VLOOKUP($B15,Data!$A$18:$FI$618,18,FALSE)</f>
        <v>#N/A</v>
      </c>
      <c r="O15" s="571" t="e">
        <f>VLOOKUP($B15,UncCalc!$A$1:$CC$348,80,FALSE)</f>
        <v>#N/A</v>
      </c>
      <c r="P15" s="571" t="e">
        <f>VLOOKUP($B15,UncCalc!$A$1:$CC$348,81,FALSE)</f>
        <v>#N/A</v>
      </c>
      <c r="Q15" t="e">
        <f t="shared" si="1"/>
        <v>#N/A</v>
      </c>
      <c r="R15">
        <v>1</v>
      </c>
      <c r="T15" s="24" t="e">
        <f t="shared" si="3"/>
        <v>#N/A</v>
      </c>
      <c r="U15" s="21"/>
    </row>
    <row r="16" spans="1:22" x14ac:dyDescent="0.2">
      <c r="A16" s="6" t="e">
        <f t="shared" si="0"/>
        <v>#N/A</v>
      </c>
      <c r="B16" s="54"/>
      <c r="C16" s="516" t="e">
        <f>VLOOKUP($B16,Data!$A$12:$DA$618,19,FALSE)</f>
        <v>#N/A</v>
      </c>
      <c r="D16" s="517" t="e">
        <f>VLOOKUP($B16,Data!$A$12:$DA$618,20,FALSE)</f>
        <v>#N/A</v>
      </c>
      <c r="E16" s="518" t="e">
        <f>-VLOOKUP($B16,Data!$A$12:$FI$618,21,FALSE)</f>
        <v>#N/A</v>
      </c>
      <c r="F16" s="647" t="e">
        <f t="shared" si="2"/>
        <v>#N/A</v>
      </c>
      <c r="G16" s="516" t="e">
        <f>IF(L16=123,ABS(VLOOKUP($B16,Data!$A$12:$DA$618,26,FALSE))/3,ABS(VLOOKUP($B16,Data!$A$12:$DA$618,26,FALSE)))</f>
        <v>#N/A</v>
      </c>
      <c r="H16" s="605" t="e">
        <f>VLOOKUP($B16,Data!$A$12:$DA$618,23,FALSE)</f>
        <v>#N/A</v>
      </c>
      <c r="I16" s="520" t="e">
        <f>VLOOKUP($B16,Data!$A$12:$DA$618,24,FALSE)</f>
        <v>#N/A</v>
      </c>
      <c r="J16" s="521" t="e">
        <f>VLOOKUP($B16,Data!$A$12:$DA$618,25,FALSE)</f>
        <v>#N/A</v>
      </c>
      <c r="K16" s="65" t="e">
        <f>VLOOKUP($B16,Data!$A$12:$DA$618,13,FALSE)</f>
        <v>#N/A</v>
      </c>
      <c r="L16" s="22" t="e">
        <f>VLOOKUP($B16,Data!$A$12:$DA$618,16,FALSE)</f>
        <v>#N/A</v>
      </c>
      <c r="M16" s="68" t="e">
        <f>-VLOOKUP($B16,Data!$A$12:$FI$618,21,FALSE)</f>
        <v>#N/A</v>
      </c>
      <c r="N16" s="361" t="e">
        <f>VLOOKUP($B16,Data!$A$18:$FI$618,18,FALSE)</f>
        <v>#N/A</v>
      </c>
      <c r="O16" s="571" t="e">
        <f>VLOOKUP($B16,UncCalc!$A$1:$CC$348,80,FALSE)</f>
        <v>#N/A</v>
      </c>
      <c r="P16" s="571" t="e">
        <f>VLOOKUP($B16,UncCalc!$A$1:$CC$348,81,FALSE)</f>
        <v>#N/A</v>
      </c>
      <c r="Q16" t="e">
        <f t="shared" si="1"/>
        <v>#N/A</v>
      </c>
      <c r="R16">
        <v>3</v>
      </c>
      <c r="T16" s="24" t="e">
        <f t="shared" si="3"/>
        <v>#N/A</v>
      </c>
      <c r="U16" s="21"/>
    </row>
    <row r="17" spans="1:21" x14ac:dyDescent="0.2">
      <c r="A17" s="6" t="e">
        <f t="shared" si="0"/>
        <v>#N/A</v>
      </c>
      <c r="B17" s="54"/>
      <c r="C17" s="516" t="e">
        <f>VLOOKUP($B17,Data!$A$12:$DA$618,19,FALSE)</f>
        <v>#N/A</v>
      </c>
      <c r="D17" s="517" t="e">
        <f>VLOOKUP($B17,Data!$A$12:$DA$618,20,FALSE)</f>
        <v>#N/A</v>
      </c>
      <c r="E17" s="518" t="e">
        <f>-VLOOKUP($B17,Data!$A$12:$FI$618,21,FALSE)</f>
        <v>#N/A</v>
      </c>
      <c r="F17" s="647" t="e">
        <f t="shared" si="2"/>
        <v>#N/A</v>
      </c>
      <c r="G17" s="516" t="e">
        <f>IF(L17=123,ABS(VLOOKUP($B17,Data!$A$12:$DA$618,26,FALSE))/3,ABS(VLOOKUP($B17,Data!$A$12:$DA$618,26,FALSE)))</f>
        <v>#N/A</v>
      </c>
      <c r="H17" s="605" t="e">
        <f>VLOOKUP($B17,Data!$A$12:$DA$618,23,FALSE)</f>
        <v>#N/A</v>
      </c>
      <c r="I17" s="520" t="e">
        <f>VLOOKUP($B17,Data!$A$12:$DA$618,24,FALSE)</f>
        <v>#N/A</v>
      </c>
      <c r="J17" s="521" t="e">
        <f>VLOOKUP($B17,Data!$A$12:$DA$618,25,FALSE)</f>
        <v>#N/A</v>
      </c>
      <c r="K17" s="65" t="e">
        <f>VLOOKUP($B17,Data!$A$12:$DA$618,13,FALSE)</f>
        <v>#N/A</v>
      </c>
      <c r="L17" s="22" t="e">
        <f>VLOOKUP($B17,Data!$A$12:$DA$618,16,FALSE)</f>
        <v>#N/A</v>
      </c>
      <c r="M17" s="68" t="e">
        <f>-VLOOKUP($B17,Data!$A$12:$FI$618,21,FALSE)</f>
        <v>#N/A</v>
      </c>
      <c r="N17" s="361" t="e">
        <f>VLOOKUP($B17,Data!$A$18:$FI$618,18,FALSE)</f>
        <v>#N/A</v>
      </c>
      <c r="O17" s="571" t="e">
        <f>VLOOKUP($B17,UncCalc!$A$1:$CC$348,80,FALSE)</f>
        <v>#N/A</v>
      </c>
      <c r="P17" s="571" t="e">
        <f>VLOOKUP($B17,UncCalc!$A$1:$CC$348,81,FALSE)</f>
        <v>#N/A</v>
      </c>
      <c r="Q17" t="e">
        <f t="shared" si="1"/>
        <v>#N/A</v>
      </c>
      <c r="R17">
        <v>3</v>
      </c>
      <c r="T17" s="24" t="e">
        <f t="shared" si="3"/>
        <v>#N/A</v>
      </c>
      <c r="U17" s="21"/>
    </row>
    <row r="18" spans="1:21" x14ac:dyDescent="0.2">
      <c r="A18" s="6" t="e">
        <f t="shared" si="0"/>
        <v>#N/A</v>
      </c>
      <c r="B18" s="54"/>
      <c r="C18" s="516" t="e">
        <f>VLOOKUP($B18,Data!$A$12:$DA$618,19,FALSE)</f>
        <v>#N/A</v>
      </c>
      <c r="D18" s="517" t="e">
        <f>VLOOKUP($B18,Data!$A$12:$DA$618,20,FALSE)</f>
        <v>#N/A</v>
      </c>
      <c r="E18" s="518" t="e">
        <f>-VLOOKUP($B18,Data!$A$12:$FI$618,21,FALSE)</f>
        <v>#N/A</v>
      </c>
      <c r="F18" s="647" t="e">
        <f t="shared" si="2"/>
        <v>#N/A</v>
      </c>
      <c r="G18" s="516" t="e">
        <f>IF(L18=123,ABS(VLOOKUP($B18,Data!$A$12:$DA$618,26,FALSE))/3,ABS(VLOOKUP($B18,Data!$A$12:$DA$618,26,FALSE)))</f>
        <v>#N/A</v>
      </c>
      <c r="H18" s="605" t="e">
        <f>VLOOKUP($B18,Data!$A$12:$DA$618,23,FALSE)</f>
        <v>#N/A</v>
      </c>
      <c r="I18" s="520" t="e">
        <f>VLOOKUP($B18,Data!$A$12:$DA$618,24,FALSE)</f>
        <v>#N/A</v>
      </c>
      <c r="J18" s="521" t="e">
        <f>VLOOKUP($B18,Data!$A$12:$DA$618,25,FALSE)</f>
        <v>#N/A</v>
      </c>
      <c r="K18" s="65" t="e">
        <f>VLOOKUP($B18,Data!$A$12:$DA$618,13,FALSE)</f>
        <v>#N/A</v>
      </c>
      <c r="L18" s="22" t="e">
        <f>VLOOKUP($B18,Data!$A$12:$DA$618,16,FALSE)</f>
        <v>#N/A</v>
      </c>
      <c r="M18" s="68" t="e">
        <f>-VLOOKUP($B18,Data!$A$12:$FI$618,21,FALSE)</f>
        <v>#N/A</v>
      </c>
      <c r="N18" s="361" t="e">
        <f>VLOOKUP($B18,Data!$A$18:$FI$618,18,FALSE)</f>
        <v>#N/A</v>
      </c>
      <c r="O18" s="571" t="e">
        <f>VLOOKUP($B18,UncCalc!$A$1:$CC$348,80,FALSE)</f>
        <v>#N/A</v>
      </c>
      <c r="P18" s="571" t="e">
        <f>VLOOKUP($B18,UncCalc!$A$1:$CC$348,81,FALSE)</f>
        <v>#N/A</v>
      </c>
      <c r="Q18" t="e">
        <f t="shared" si="1"/>
        <v>#N/A</v>
      </c>
      <c r="R18">
        <v>1</v>
      </c>
      <c r="T18" s="24" t="e">
        <f t="shared" si="3"/>
        <v>#N/A</v>
      </c>
      <c r="U18" s="24"/>
    </row>
    <row r="19" spans="1:21" x14ac:dyDescent="0.2">
      <c r="A19" s="6" t="e">
        <f t="shared" si="0"/>
        <v>#N/A</v>
      </c>
      <c r="B19" s="54"/>
      <c r="C19" s="516" t="e">
        <f>VLOOKUP($B19,Data!$A$12:$DA$618,19,FALSE)</f>
        <v>#N/A</v>
      </c>
      <c r="D19" s="517" t="e">
        <f>VLOOKUP($B19,Data!$A$12:$DA$618,20,FALSE)</f>
        <v>#N/A</v>
      </c>
      <c r="E19" s="518" t="e">
        <f>-VLOOKUP($B19,Data!$A$12:$FI$618,21,FALSE)</f>
        <v>#N/A</v>
      </c>
      <c r="F19" s="647" t="e">
        <f t="shared" si="2"/>
        <v>#N/A</v>
      </c>
      <c r="G19" s="516" t="e">
        <f>IF(L19=123,ABS(VLOOKUP($B19,Data!$A$12:$DA$618,26,FALSE))/3,ABS(VLOOKUP($B19,Data!$A$12:$DA$618,26,FALSE)))</f>
        <v>#N/A</v>
      </c>
      <c r="H19" s="605" t="e">
        <f>VLOOKUP($B19,Data!$A$12:$DA$618,23,FALSE)</f>
        <v>#N/A</v>
      </c>
      <c r="I19" s="520" t="e">
        <f>VLOOKUP($B19,Data!$A$12:$DA$618,24,FALSE)</f>
        <v>#N/A</v>
      </c>
      <c r="J19" s="521" t="e">
        <f>VLOOKUP($B19,Data!$A$12:$DA$618,25,FALSE)</f>
        <v>#N/A</v>
      </c>
      <c r="K19" s="65" t="e">
        <f>VLOOKUP($B19,Data!$A$12:$DA$618,13,FALSE)</f>
        <v>#N/A</v>
      </c>
      <c r="L19" s="22" t="e">
        <f>VLOOKUP($B19,Data!$A$12:$DA$618,16,FALSE)</f>
        <v>#N/A</v>
      </c>
      <c r="M19" s="68" t="e">
        <f>-VLOOKUP($B19,Data!$A$12:$FI$618,21,FALSE)</f>
        <v>#N/A</v>
      </c>
      <c r="N19" s="361" t="e">
        <f>VLOOKUP($B19,Data!$A$18:$FI$618,18,FALSE)</f>
        <v>#N/A</v>
      </c>
      <c r="O19" s="571" t="e">
        <f>VLOOKUP($B19,UncCalc!$A$1:$CC$348,80,FALSE)</f>
        <v>#N/A</v>
      </c>
      <c r="P19" s="571" t="e">
        <f>VLOOKUP($B19,UncCalc!$A$1:$CC$348,81,FALSE)</f>
        <v>#N/A</v>
      </c>
      <c r="Q19" t="e">
        <f t="shared" si="1"/>
        <v>#N/A</v>
      </c>
      <c r="R19">
        <v>3</v>
      </c>
      <c r="T19" s="24" t="e">
        <f t="shared" si="3"/>
        <v>#N/A</v>
      </c>
      <c r="U19" s="24"/>
    </row>
    <row r="20" spans="1:21" x14ac:dyDescent="0.2">
      <c r="B20" s="54"/>
      <c r="C20" s="54"/>
      <c r="D20" s="54"/>
      <c r="E20" s="54"/>
      <c r="F20" s="54"/>
      <c r="G20" s="54"/>
      <c r="H20" s="54"/>
      <c r="I20" s="54"/>
      <c r="J20" s="54"/>
      <c r="K20" s="54"/>
      <c r="L20" s="22"/>
      <c r="M20" s="54"/>
      <c r="N20" s="54"/>
      <c r="O20" s="54"/>
      <c r="P20" s="54"/>
      <c r="Q20" s="54"/>
      <c r="R20" s="54"/>
      <c r="T20" s="54"/>
      <c r="U20" s="24"/>
    </row>
    <row r="21" spans="1:21" x14ac:dyDescent="0.2">
      <c r="A21" t="s">
        <v>983</v>
      </c>
      <c r="H21" s="21">
        <v>0</v>
      </c>
      <c r="I21" s="23">
        <f>0.8/477*100</f>
        <v>0.16771488469601678</v>
      </c>
      <c r="J21" s="21">
        <v>2.1</v>
      </c>
      <c r="L21" s="22"/>
      <c r="M21" s="68"/>
      <c r="N21" s="361"/>
      <c r="O21" s="361"/>
      <c r="P21" s="361"/>
      <c r="T21" s="24"/>
      <c r="U21" s="24"/>
    </row>
    <row r="22" spans="1:21" x14ac:dyDescent="0.2">
      <c r="L22" s="22"/>
      <c r="M22" s="68"/>
      <c r="N22" s="361"/>
      <c r="O22" s="361"/>
      <c r="P22" s="361"/>
      <c r="T22" s="24"/>
      <c r="U22" s="24"/>
    </row>
    <row r="23" spans="1:21" x14ac:dyDescent="0.2">
      <c r="B23" s="54"/>
      <c r="C23" s="519"/>
      <c r="D23" s="517"/>
      <c r="E23" s="517"/>
      <c r="F23" s="517"/>
      <c r="G23" s="517"/>
      <c r="H23" s="517"/>
      <c r="I23" s="517"/>
      <c r="J23" s="517"/>
      <c r="K23" s="65"/>
      <c r="L23" s="22"/>
      <c r="M23" s="68"/>
      <c r="N23" s="361"/>
      <c r="O23" s="361"/>
      <c r="P23" s="361"/>
      <c r="T23" s="24"/>
      <c r="U23" s="24"/>
    </row>
    <row r="24" spans="1:21" ht="51" x14ac:dyDescent="0.2">
      <c r="B24" s="54"/>
      <c r="C24" s="507" t="s">
        <v>748</v>
      </c>
      <c r="D24" s="507" t="s">
        <v>749</v>
      </c>
      <c r="E24" s="507" t="s">
        <v>19</v>
      </c>
      <c r="F24" s="602" t="e">
        <f>IF(K25="watts","Power Factor", "Reactive Power Factor")</f>
        <v>#N/A</v>
      </c>
      <c r="G24" s="579" t="e">
        <f>IF(K25="watts","Measured 
Impulses
(Imp/(W.h))", "Measured Impulses (Imp/(var.h))")</f>
        <v>#N/A</v>
      </c>
      <c r="H24" s="507" t="s">
        <v>750</v>
      </c>
      <c r="I24" s="507" t="s">
        <v>576</v>
      </c>
      <c r="J24" s="507" t="s">
        <v>751</v>
      </c>
      <c r="K24" s="65"/>
      <c r="L24" s="22"/>
      <c r="M24" s="68"/>
      <c r="N24" s="361"/>
      <c r="O24" s="361"/>
      <c r="P24" s="361"/>
      <c r="T24" s="24"/>
      <c r="U24" s="24"/>
    </row>
    <row r="25" spans="1:21" x14ac:dyDescent="0.2">
      <c r="A25" s="6" t="e">
        <f t="shared" ref="A25:A41" si="4">TEXT(L25,0)&amp;TEXT(MROUND(C25,0.5),"0.0")&amp;TEXT(ROUND(D25,3),"0.00")&amp;TEXT(ROUND(M25,0),0)&amp;K25</f>
        <v>#N/A</v>
      </c>
      <c r="B25" s="54"/>
      <c r="C25" s="516" t="e">
        <f>VLOOKUP($B25,Data!$A$12:$DA$618,19,FALSE)</f>
        <v>#N/A</v>
      </c>
      <c r="D25" s="517" t="e">
        <f>VLOOKUP($B25,Data!$A$12:$DA$618,20,FALSE)</f>
        <v>#N/A</v>
      </c>
      <c r="E25" s="518" t="e">
        <f>-VLOOKUP($B25,Data!$A$12:$FI$618,21,FALSE)</f>
        <v>#N/A</v>
      </c>
      <c r="F25" s="647" t="e">
        <f>ROUND(IF(K25="watts",COS(RADIANS(M25)),COS(RADIANS(M25-90))),R25)&amp;" "&amp;Q25</f>
        <v>#N/A</v>
      </c>
      <c r="G25" s="516" t="e">
        <f>IF(L25=123,ABS(VLOOKUP($B25,Data!$A$12:$DA$618,26,FALSE))/3,ABS(VLOOKUP($B25,Data!$A$12:$DA$618,26,FALSE)))</f>
        <v>#N/A</v>
      </c>
      <c r="H25" s="520" t="e">
        <f>VLOOKUP($B25,Data!$A$12:$DA$618,23,FALSE)</f>
        <v>#N/A</v>
      </c>
      <c r="I25" s="520" t="e">
        <f>VLOOKUP($B25,Data!$A$12:$DA$618,24,FALSE)</f>
        <v>#N/A</v>
      </c>
      <c r="J25" s="512" t="e">
        <f>VLOOKUP($B25,Data!$A$12:$DA$618,25,FALSE)</f>
        <v>#N/A</v>
      </c>
      <c r="K25" s="65" t="e">
        <f>VLOOKUP($B25,Data!$A$12:$DA$618,13,FALSE)</f>
        <v>#N/A</v>
      </c>
      <c r="L25" s="22" t="e">
        <f>VLOOKUP($B25,Data!$A$12:$DA$618,16,FALSE)</f>
        <v>#N/A</v>
      </c>
      <c r="M25" s="68" t="e">
        <f>-VLOOKUP($B25,Data!$A$12:$FI$618,21,FALSE)</f>
        <v>#N/A</v>
      </c>
      <c r="N25" s="361" t="e">
        <f>VLOOKUP($B25,Data!$A$18:$FI$618,18,FALSE)</f>
        <v>#N/A</v>
      </c>
      <c r="O25" s="571" t="e">
        <f>VLOOKUP($B25,UncCalc!$A$1:$CC$348,80,FALSE)</f>
        <v>#N/A</v>
      </c>
      <c r="P25" s="571" t="e">
        <f>VLOOKUP($B25,UncCalc!$A$1:$CC$348,81,FALSE)</f>
        <v>#N/A</v>
      </c>
      <c r="Q25" t="e">
        <f t="shared" ref="Q25:Q41" si="5">IF(MOD(ROUND((M25+360)/90,2),1)=0," ",IF(ISODD((M25+360)/90),"Lead", "Lag"))</f>
        <v>#N/A</v>
      </c>
      <c r="R25">
        <v>1</v>
      </c>
      <c r="T25" s="24" t="e">
        <f t="shared" ref="T25:T41" si="6">IF((K25="watts"),I25*10000*COS(RADIANS(M25))/(40+6*(1-ABS(COS(RADIANS(M25))))),I25*10000*ABS(SIN(RADIANS(M25)))/(40+90*ABS(SIN(RADIANS(M25)))))</f>
        <v>#N/A</v>
      </c>
      <c r="U25" s="24"/>
    </row>
    <row r="26" spans="1:21" x14ac:dyDescent="0.2">
      <c r="A26" s="6" t="e">
        <f t="shared" si="4"/>
        <v>#N/A</v>
      </c>
      <c r="B26" s="54"/>
      <c r="C26" s="516" t="e">
        <f>VLOOKUP($B26,Data!$A$12:$DA$618,19,FALSE)</f>
        <v>#N/A</v>
      </c>
      <c r="D26" s="517" t="e">
        <f>VLOOKUP($B26,Data!$A$12:$DA$618,20,FALSE)</f>
        <v>#N/A</v>
      </c>
      <c r="E26" s="518" t="e">
        <f>-VLOOKUP($B26,Data!$A$12:$FI$618,21,FALSE)</f>
        <v>#N/A</v>
      </c>
      <c r="F26" s="647" t="e">
        <f t="shared" ref="F26:F41" si="7">ROUND(IF(K26="watts",COS(RADIANS(M26)),COS(RADIANS(M26-90))),R26)&amp;" "&amp;Q26</f>
        <v>#N/A</v>
      </c>
      <c r="G26" s="516" t="e">
        <f>IF(L26=123,ABS(VLOOKUP($B26,Data!$A$12:$DA$618,26,FALSE))/3,ABS(VLOOKUP($B26,Data!$A$12:$DA$618,26,FALSE)))</f>
        <v>#N/A</v>
      </c>
      <c r="H26" s="523" t="e">
        <f>VLOOKUP($B26,Data!$A$12:$DA$618,23,FALSE)</f>
        <v>#N/A</v>
      </c>
      <c r="I26" s="523" t="e">
        <f>VLOOKUP($B26,Data!$A$12:$DA$618,24,FALSE)</f>
        <v>#N/A</v>
      </c>
      <c r="J26" s="518" t="e">
        <f>VLOOKUP($B26,Data!$A$12:$DA$618,25,FALSE)</f>
        <v>#N/A</v>
      </c>
      <c r="K26" s="65" t="e">
        <f>VLOOKUP($B26,Data!$A$12:$DA$618,13,FALSE)</f>
        <v>#N/A</v>
      </c>
      <c r="L26" s="22" t="e">
        <f>VLOOKUP($B26,Data!$A$12:$DA$618,16,FALSE)</f>
        <v>#N/A</v>
      </c>
      <c r="M26" s="68" t="e">
        <f>-VLOOKUP($B26,Data!$A$12:$FI$618,21,FALSE)</f>
        <v>#N/A</v>
      </c>
      <c r="N26" s="361" t="e">
        <f>VLOOKUP($B26,Data!$A$18:$FI$618,18,FALSE)</f>
        <v>#N/A</v>
      </c>
      <c r="O26" s="571" t="e">
        <f>VLOOKUP($B26,UncCalc!$A$1:$CC$348,80,FALSE)</f>
        <v>#N/A</v>
      </c>
      <c r="P26" s="571" t="e">
        <f>VLOOKUP($B26,UncCalc!$A$1:$CC$348,81,FALSE)</f>
        <v>#N/A</v>
      </c>
      <c r="Q26" t="e">
        <f t="shared" si="5"/>
        <v>#N/A</v>
      </c>
      <c r="R26">
        <v>3</v>
      </c>
      <c r="T26" s="24" t="e">
        <f t="shared" si="6"/>
        <v>#N/A</v>
      </c>
      <c r="U26" s="24"/>
    </row>
    <row r="27" spans="1:21" x14ac:dyDescent="0.2">
      <c r="A27" s="6" t="e">
        <f t="shared" si="4"/>
        <v>#N/A</v>
      </c>
      <c r="B27" s="54"/>
      <c r="C27" s="516" t="e">
        <f>VLOOKUP($B27,Data!$A$12:$DA$618,19,FALSE)</f>
        <v>#N/A</v>
      </c>
      <c r="D27" s="517" t="e">
        <f>VLOOKUP($B27,Data!$A$12:$DA$618,20,FALSE)</f>
        <v>#N/A</v>
      </c>
      <c r="E27" s="518" t="e">
        <f>-VLOOKUP($B27,Data!$A$12:$FI$618,21,FALSE)</f>
        <v>#N/A</v>
      </c>
      <c r="F27" s="647" t="e">
        <f t="shared" si="7"/>
        <v>#N/A</v>
      </c>
      <c r="G27" s="516" t="e">
        <f>IF(L27=123,ABS(VLOOKUP($B27,Data!$A$12:$DA$618,26,FALSE))/3,ABS(VLOOKUP($B27,Data!$A$12:$DA$618,26,FALSE)))</f>
        <v>#N/A</v>
      </c>
      <c r="H27" s="523" t="e">
        <f>VLOOKUP($B27,Data!$A$12:$DA$618,23,FALSE)</f>
        <v>#N/A</v>
      </c>
      <c r="I27" s="523" t="e">
        <f>VLOOKUP($B27,Data!$A$12:$DA$618,24,FALSE)</f>
        <v>#N/A</v>
      </c>
      <c r="J27" s="518" t="e">
        <f>VLOOKUP($B27,Data!$A$12:$DA$618,25,FALSE)</f>
        <v>#N/A</v>
      </c>
      <c r="K27" s="65" t="e">
        <f>VLOOKUP($B27,Data!$A$12:$DA$618,13,FALSE)</f>
        <v>#N/A</v>
      </c>
      <c r="L27" s="22" t="e">
        <f>VLOOKUP($B27,Data!$A$12:$DA$618,16,FALSE)</f>
        <v>#N/A</v>
      </c>
      <c r="M27" s="68" t="e">
        <f>-VLOOKUP($B27,Data!$A$12:$FI$618,21,FALSE)</f>
        <v>#N/A</v>
      </c>
      <c r="N27" s="361" t="e">
        <f>VLOOKUP($B27,Data!$A$18:$FI$618,18,FALSE)</f>
        <v>#N/A</v>
      </c>
      <c r="O27" s="571" t="e">
        <f>VLOOKUP($B27,UncCalc!$A$1:$CC$348,80,FALSE)</f>
        <v>#N/A</v>
      </c>
      <c r="P27" s="571" t="e">
        <f>VLOOKUP($B27,UncCalc!$A$1:$CC$348,81,FALSE)</f>
        <v>#N/A</v>
      </c>
      <c r="Q27" t="e">
        <f t="shared" si="5"/>
        <v>#N/A</v>
      </c>
      <c r="R27">
        <v>3</v>
      </c>
      <c r="T27" s="24" t="e">
        <f t="shared" si="6"/>
        <v>#N/A</v>
      </c>
      <c r="U27" s="24"/>
    </row>
    <row r="28" spans="1:21" x14ac:dyDescent="0.2">
      <c r="A28" s="6" t="e">
        <f t="shared" si="4"/>
        <v>#N/A</v>
      </c>
      <c r="B28" s="54"/>
      <c r="C28" s="516" t="e">
        <f>VLOOKUP($B28,Data!$A$12:$DA$618,19,FALSE)</f>
        <v>#N/A</v>
      </c>
      <c r="D28" s="517" t="e">
        <f>VLOOKUP($B28,Data!$A$12:$DA$618,20,FALSE)</f>
        <v>#N/A</v>
      </c>
      <c r="E28" s="518" t="e">
        <f>-VLOOKUP($B28,Data!$A$12:$FI$618,21,FALSE)</f>
        <v>#N/A</v>
      </c>
      <c r="F28" s="647" t="e">
        <f t="shared" si="7"/>
        <v>#N/A</v>
      </c>
      <c r="G28" s="516" t="e">
        <f>IF(L28=123,ABS(VLOOKUP($B28,Data!$A$12:$DA$618,26,FALSE))/3,ABS(VLOOKUP($B28,Data!$A$12:$DA$618,26,FALSE)))</f>
        <v>#N/A</v>
      </c>
      <c r="H28" s="523" t="e">
        <f>VLOOKUP($B28,Data!$A$12:$DA$618,23,FALSE)</f>
        <v>#N/A</v>
      </c>
      <c r="I28" s="523" t="e">
        <f>VLOOKUP($B28,Data!$A$12:$DA$618,24,FALSE)</f>
        <v>#N/A</v>
      </c>
      <c r="J28" s="518" t="e">
        <f>VLOOKUP($B28,Data!$A$12:$DA$618,25,FALSE)</f>
        <v>#N/A</v>
      </c>
      <c r="K28" s="65" t="e">
        <f>VLOOKUP($B28,Data!$A$12:$DA$618,13,FALSE)</f>
        <v>#N/A</v>
      </c>
      <c r="L28" s="22" t="e">
        <f>VLOOKUP($B28,Data!$A$12:$DA$618,16,FALSE)</f>
        <v>#N/A</v>
      </c>
      <c r="M28" s="68" t="e">
        <f>-VLOOKUP($B28,Data!$A$12:$FI$618,21,FALSE)</f>
        <v>#N/A</v>
      </c>
      <c r="N28" s="361" t="e">
        <f>VLOOKUP($B28,Data!$A$18:$FI$618,18,FALSE)</f>
        <v>#N/A</v>
      </c>
      <c r="O28" s="571" t="e">
        <f>VLOOKUP($B28,UncCalc!$A$1:$CC$348,80,FALSE)</f>
        <v>#N/A</v>
      </c>
      <c r="P28" s="571" t="e">
        <f>VLOOKUP($B28,UncCalc!$A$1:$CC$348,81,FALSE)</f>
        <v>#N/A</v>
      </c>
      <c r="Q28" t="e">
        <f t="shared" si="5"/>
        <v>#N/A</v>
      </c>
      <c r="R28">
        <v>1</v>
      </c>
      <c r="T28" s="24" t="e">
        <f t="shared" si="6"/>
        <v>#N/A</v>
      </c>
      <c r="U28" s="24"/>
    </row>
    <row r="29" spans="1:21" x14ac:dyDescent="0.2">
      <c r="A29" s="6" t="e">
        <f t="shared" si="4"/>
        <v>#N/A</v>
      </c>
      <c r="B29" s="54"/>
      <c r="C29" s="516" t="e">
        <f>VLOOKUP($B29,Data!$A$12:$DA$618,19,FALSE)</f>
        <v>#N/A</v>
      </c>
      <c r="D29" s="517" t="e">
        <f>VLOOKUP($B29,Data!$A$12:$DA$618,20,FALSE)</f>
        <v>#N/A</v>
      </c>
      <c r="E29" s="518" t="e">
        <f>-VLOOKUP($B29,Data!$A$12:$FI$618,21,FALSE)</f>
        <v>#N/A</v>
      </c>
      <c r="F29" s="647" t="e">
        <f t="shared" si="7"/>
        <v>#N/A</v>
      </c>
      <c r="G29" s="516" t="e">
        <f>IF(L29=123,ABS(VLOOKUP($B29,Data!$A$12:$DA$618,26,FALSE))/3,ABS(VLOOKUP($B29,Data!$A$12:$DA$618,26,FALSE)))</f>
        <v>#N/A</v>
      </c>
      <c r="H29" s="523" t="e">
        <f>VLOOKUP($B29,Data!$A$12:$DA$618,23,FALSE)</f>
        <v>#N/A</v>
      </c>
      <c r="I29" s="523" t="e">
        <f>VLOOKUP($B29,Data!$A$12:$DA$618,24,FALSE)</f>
        <v>#N/A</v>
      </c>
      <c r="J29" s="518" t="e">
        <f>VLOOKUP($B29,Data!$A$12:$DA$618,25,FALSE)</f>
        <v>#N/A</v>
      </c>
      <c r="K29" s="65" t="e">
        <f>VLOOKUP($B29,Data!$A$12:$DA$618,13,FALSE)</f>
        <v>#N/A</v>
      </c>
      <c r="L29" s="22" t="e">
        <f>VLOOKUP($B29,Data!$A$12:$DA$618,16,FALSE)</f>
        <v>#N/A</v>
      </c>
      <c r="M29" s="68" t="e">
        <f>-VLOOKUP($B29,Data!$A$12:$FI$618,21,FALSE)</f>
        <v>#N/A</v>
      </c>
      <c r="N29" s="361" t="e">
        <f>VLOOKUP($B29,Data!$A$18:$FI$618,18,FALSE)</f>
        <v>#N/A</v>
      </c>
      <c r="O29" s="571" t="e">
        <f>VLOOKUP($B29,UncCalc!$A$1:$CC$348,80,FALSE)</f>
        <v>#N/A</v>
      </c>
      <c r="P29" s="571" t="e">
        <f>VLOOKUP($B29,UncCalc!$A$1:$CC$348,81,FALSE)</f>
        <v>#N/A</v>
      </c>
      <c r="Q29" t="e">
        <f t="shared" si="5"/>
        <v>#N/A</v>
      </c>
      <c r="R29">
        <v>3</v>
      </c>
      <c r="T29" s="24" t="e">
        <f t="shared" si="6"/>
        <v>#N/A</v>
      </c>
      <c r="U29" s="24"/>
    </row>
    <row r="30" spans="1:21" x14ac:dyDescent="0.2">
      <c r="A30" s="6" t="e">
        <f t="shared" si="4"/>
        <v>#N/A</v>
      </c>
      <c r="B30" s="54"/>
      <c r="C30" s="516" t="e">
        <f>VLOOKUP($B30,Data!$A$12:$DA$618,19,FALSE)</f>
        <v>#N/A</v>
      </c>
      <c r="D30" s="517" t="e">
        <f>VLOOKUP($B30,Data!$A$12:$DA$618,20,FALSE)</f>
        <v>#N/A</v>
      </c>
      <c r="E30" s="518" t="e">
        <f>-VLOOKUP($B30,Data!$A$12:$FI$618,21,FALSE)</f>
        <v>#N/A</v>
      </c>
      <c r="F30" s="647" t="e">
        <f t="shared" si="7"/>
        <v>#N/A</v>
      </c>
      <c r="G30" s="516" t="e">
        <f>IF(L30=123,ABS(VLOOKUP($B30,Data!$A$12:$DA$618,26,FALSE))/3,ABS(VLOOKUP($B30,Data!$A$12:$DA$618,26,FALSE)))</f>
        <v>#N/A</v>
      </c>
      <c r="H30" s="523" t="e">
        <f>VLOOKUP($B30,Data!$A$12:$DA$618,23,FALSE)</f>
        <v>#N/A</v>
      </c>
      <c r="I30" s="523" t="e">
        <f>VLOOKUP($B30,Data!$A$12:$DA$618,24,FALSE)</f>
        <v>#N/A</v>
      </c>
      <c r="J30" s="518" t="e">
        <f>VLOOKUP($B30,Data!$A$12:$DA$618,25,FALSE)</f>
        <v>#N/A</v>
      </c>
      <c r="K30" s="65" t="e">
        <f>VLOOKUP($B30,Data!$A$12:$DA$618,13,FALSE)</f>
        <v>#N/A</v>
      </c>
      <c r="L30" s="22" t="e">
        <f>VLOOKUP($B30,Data!$A$12:$DA$618,16,FALSE)</f>
        <v>#N/A</v>
      </c>
      <c r="M30" s="68" t="e">
        <f>-VLOOKUP($B30,Data!$A$12:$FI$618,21,FALSE)</f>
        <v>#N/A</v>
      </c>
      <c r="N30" s="361" t="e">
        <f>VLOOKUP($B30,Data!$A$18:$FI$618,18,FALSE)</f>
        <v>#N/A</v>
      </c>
      <c r="O30" s="571" t="e">
        <f>VLOOKUP($B30,UncCalc!$A$1:$CC$348,80,FALSE)</f>
        <v>#N/A</v>
      </c>
      <c r="P30" s="571" t="e">
        <f>VLOOKUP($B30,UncCalc!$A$1:$CC$348,81,FALSE)</f>
        <v>#N/A</v>
      </c>
      <c r="Q30" t="e">
        <f t="shared" si="5"/>
        <v>#N/A</v>
      </c>
      <c r="R30">
        <v>1</v>
      </c>
      <c r="T30" s="24" t="e">
        <f t="shared" si="6"/>
        <v>#N/A</v>
      </c>
      <c r="U30" s="24"/>
    </row>
    <row r="31" spans="1:21" x14ac:dyDescent="0.2">
      <c r="A31" s="6" t="e">
        <f t="shared" si="4"/>
        <v>#N/A</v>
      </c>
      <c r="B31" s="54"/>
      <c r="C31" s="516" t="e">
        <f>VLOOKUP($B31,Data!$A$12:$DA$618,19,FALSE)</f>
        <v>#N/A</v>
      </c>
      <c r="D31" s="517" t="e">
        <f>VLOOKUP($B31,Data!$A$12:$DA$618,20,FALSE)</f>
        <v>#N/A</v>
      </c>
      <c r="E31" s="518" t="e">
        <f>-VLOOKUP($B31,Data!$A$12:$FI$618,21,FALSE)</f>
        <v>#N/A</v>
      </c>
      <c r="F31" s="647" t="e">
        <f t="shared" si="7"/>
        <v>#N/A</v>
      </c>
      <c r="G31" s="516" t="e">
        <f>IF(L31=123,ABS(VLOOKUP($B31,Data!$A$12:$DA$618,26,FALSE))/3,ABS(VLOOKUP($B31,Data!$A$12:$DA$618,26,FALSE)))</f>
        <v>#N/A</v>
      </c>
      <c r="H31" s="523" t="e">
        <f>VLOOKUP($B31,Data!$A$12:$DA$618,23,FALSE)</f>
        <v>#N/A</v>
      </c>
      <c r="I31" s="523" t="e">
        <f>VLOOKUP($B31,Data!$A$12:$DA$618,24,FALSE)</f>
        <v>#N/A</v>
      </c>
      <c r="J31" s="518" t="e">
        <f>VLOOKUP($B31,Data!$A$12:$DA$618,25,FALSE)</f>
        <v>#N/A</v>
      </c>
      <c r="K31" s="65" t="e">
        <f>VLOOKUP($B31,Data!$A$12:$DA$618,13,FALSE)</f>
        <v>#N/A</v>
      </c>
      <c r="L31" s="22" t="e">
        <f>VLOOKUP($B31,Data!$A$12:$DA$618,16,FALSE)</f>
        <v>#N/A</v>
      </c>
      <c r="M31" s="68" t="e">
        <f>-VLOOKUP($B31,Data!$A$12:$FI$618,21,FALSE)</f>
        <v>#N/A</v>
      </c>
      <c r="N31" s="361" t="e">
        <f>VLOOKUP($B31,Data!$A$18:$FI$618,18,FALSE)</f>
        <v>#N/A</v>
      </c>
      <c r="O31" s="571" t="e">
        <f>VLOOKUP($B31,UncCalc!$A$1:$CC$348,80,FALSE)</f>
        <v>#N/A</v>
      </c>
      <c r="P31" s="571" t="e">
        <f>VLOOKUP($B31,UncCalc!$A$1:$CC$348,81,FALSE)</f>
        <v>#N/A</v>
      </c>
      <c r="Q31" t="e">
        <f t="shared" si="5"/>
        <v>#N/A</v>
      </c>
      <c r="R31">
        <v>3</v>
      </c>
      <c r="T31" s="24" t="e">
        <f t="shared" si="6"/>
        <v>#N/A</v>
      </c>
      <c r="U31" s="24"/>
    </row>
    <row r="32" spans="1:21" x14ac:dyDescent="0.2">
      <c r="A32" s="6" t="e">
        <f t="shared" si="4"/>
        <v>#N/A</v>
      </c>
      <c r="B32" s="54"/>
      <c r="C32" s="516" t="e">
        <f>VLOOKUP($B32,Data!$A$12:$DA$618,19,FALSE)</f>
        <v>#N/A</v>
      </c>
      <c r="D32" s="517" t="e">
        <f>VLOOKUP($B32,Data!$A$12:$DA$618,20,FALSE)</f>
        <v>#N/A</v>
      </c>
      <c r="E32" s="518" t="e">
        <f>-VLOOKUP($B32,Data!$A$12:$FI$618,21,FALSE)</f>
        <v>#N/A</v>
      </c>
      <c r="F32" s="647" t="e">
        <f t="shared" si="7"/>
        <v>#N/A</v>
      </c>
      <c r="G32" s="516" t="e">
        <f>IF(L32=123,ABS(VLOOKUP($B32,Data!$A$12:$DA$618,26,FALSE))/3,ABS(VLOOKUP($B32,Data!$A$12:$DA$618,26,FALSE)))</f>
        <v>#N/A</v>
      </c>
      <c r="H32" s="523" t="e">
        <f>VLOOKUP($B32,Data!$A$12:$DA$618,23,FALSE)</f>
        <v>#N/A</v>
      </c>
      <c r="I32" s="523" t="e">
        <f>VLOOKUP($B32,Data!$A$12:$DA$618,24,FALSE)</f>
        <v>#N/A</v>
      </c>
      <c r="J32" s="518" t="e">
        <f>VLOOKUP($B32,Data!$A$12:$DA$618,25,FALSE)</f>
        <v>#N/A</v>
      </c>
      <c r="K32" s="65" t="e">
        <f>VLOOKUP($B32,Data!$A$12:$DA$618,13,FALSE)</f>
        <v>#N/A</v>
      </c>
      <c r="L32" s="22" t="e">
        <f>VLOOKUP($B32,Data!$A$12:$DA$618,16,FALSE)</f>
        <v>#N/A</v>
      </c>
      <c r="M32" s="68" t="e">
        <f>-VLOOKUP($B32,Data!$A$12:$FI$618,21,FALSE)</f>
        <v>#N/A</v>
      </c>
      <c r="N32" s="361" t="e">
        <f>VLOOKUP($B32,Data!$A$18:$FI$618,18,FALSE)</f>
        <v>#N/A</v>
      </c>
      <c r="O32" s="571" t="e">
        <f>VLOOKUP($B32,UncCalc!$A$1:$CC$348,80,FALSE)</f>
        <v>#N/A</v>
      </c>
      <c r="P32" s="571" t="e">
        <f>VLOOKUP($B32,UncCalc!$A$1:$CC$348,81,FALSE)</f>
        <v>#N/A</v>
      </c>
      <c r="Q32" t="e">
        <f t="shared" si="5"/>
        <v>#N/A</v>
      </c>
      <c r="R32">
        <v>1</v>
      </c>
      <c r="T32" s="24" t="e">
        <f t="shared" si="6"/>
        <v>#N/A</v>
      </c>
      <c r="U32" s="24"/>
    </row>
    <row r="33" spans="1:21" x14ac:dyDescent="0.2">
      <c r="A33" s="6" t="e">
        <f t="shared" si="4"/>
        <v>#N/A</v>
      </c>
      <c r="B33" s="54"/>
      <c r="C33" s="516" t="e">
        <f>VLOOKUP($B33,Data!$A$12:$DA$618,19,FALSE)</f>
        <v>#N/A</v>
      </c>
      <c r="D33" s="517" t="e">
        <f>VLOOKUP($B33,Data!$A$12:$DA$618,20,FALSE)</f>
        <v>#N/A</v>
      </c>
      <c r="E33" s="518" t="e">
        <f>-VLOOKUP($B33,Data!$A$12:$FI$618,21,FALSE)</f>
        <v>#N/A</v>
      </c>
      <c r="F33" s="647" t="e">
        <f t="shared" si="7"/>
        <v>#N/A</v>
      </c>
      <c r="G33" s="516" t="e">
        <f>IF(L33=123,ABS(VLOOKUP($B33,Data!$A$12:$DA$618,26,FALSE))/3,ABS(VLOOKUP($B33,Data!$A$12:$DA$618,26,FALSE)))</f>
        <v>#N/A</v>
      </c>
      <c r="H33" s="523" t="e">
        <f>VLOOKUP($B33,Data!$A$12:$DA$618,23,FALSE)</f>
        <v>#N/A</v>
      </c>
      <c r="I33" s="523" t="e">
        <f>VLOOKUP($B33,Data!$A$12:$DA$618,24,FALSE)</f>
        <v>#N/A</v>
      </c>
      <c r="J33" s="518" t="e">
        <f>VLOOKUP($B33,Data!$A$12:$DA$618,25,FALSE)</f>
        <v>#N/A</v>
      </c>
      <c r="K33" s="65" t="e">
        <f>VLOOKUP($B33,Data!$A$12:$DA$618,13,FALSE)</f>
        <v>#N/A</v>
      </c>
      <c r="L33" s="22" t="e">
        <f>VLOOKUP($B33,Data!$A$12:$DA$618,16,FALSE)</f>
        <v>#N/A</v>
      </c>
      <c r="M33" s="68" t="e">
        <f>-VLOOKUP($B33,Data!$A$12:$FI$618,21,FALSE)</f>
        <v>#N/A</v>
      </c>
      <c r="N33" s="361" t="e">
        <f>VLOOKUP($B33,Data!$A$18:$FI$618,18,FALSE)</f>
        <v>#N/A</v>
      </c>
      <c r="O33" s="571" t="e">
        <f>VLOOKUP($B33,UncCalc!$A$1:$CC$348,80,FALSE)</f>
        <v>#N/A</v>
      </c>
      <c r="P33" s="571" t="e">
        <f>VLOOKUP($B33,UncCalc!$A$1:$CC$348,81,FALSE)</f>
        <v>#N/A</v>
      </c>
      <c r="Q33" t="e">
        <f t="shared" si="5"/>
        <v>#N/A</v>
      </c>
      <c r="R33">
        <v>3</v>
      </c>
      <c r="T33" s="24" t="e">
        <f t="shared" si="6"/>
        <v>#N/A</v>
      </c>
      <c r="U33" s="24"/>
    </row>
    <row r="34" spans="1:21" x14ac:dyDescent="0.2">
      <c r="A34" s="6" t="e">
        <f t="shared" si="4"/>
        <v>#N/A</v>
      </c>
      <c r="B34" s="54"/>
      <c r="C34" s="516" t="e">
        <f>VLOOKUP($B34,Data!$A$12:$DA$618,19,FALSE)</f>
        <v>#N/A</v>
      </c>
      <c r="D34" s="517" t="e">
        <f>VLOOKUP($B34,Data!$A$12:$DA$618,20,FALSE)</f>
        <v>#N/A</v>
      </c>
      <c r="E34" s="518" t="e">
        <f>-VLOOKUP($B34,Data!$A$12:$FI$618,21,FALSE)</f>
        <v>#N/A</v>
      </c>
      <c r="F34" s="647" t="e">
        <f t="shared" si="7"/>
        <v>#N/A</v>
      </c>
      <c r="G34" s="516" t="e">
        <f>IF(L34=123,ABS(VLOOKUP($B34,Data!$A$12:$DA$618,26,FALSE))/3,ABS(VLOOKUP($B34,Data!$A$12:$DA$618,26,FALSE)))</f>
        <v>#N/A</v>
      </c>
      <c r="H34" s="523" t="e">
        <f>VLOOKUP($B34,Data!$A$12:$DA$618,23,FALSE)</f>
        <v>#N/A</v>
      </c>
      <c r="I34" s="523" t="e">
        <f>VLOOKUP($B34,Data!$A$12:$DA$618,24,FALSE)</f>
        <v>#N/A</v>
      </c>
      <c r="J34" s="518" t="e">
        <f>VLOOKUP($B34,Data!$A$12:$DA$618,25,FALSE)</f>
        <v>#N/A</v>
      </c>
      <c r="K34" s="65" t="e">
        <f>VLOOKUP($B34,Data!$A$12:$DA$618,13,FALSE)</f>
        <v>#N/A</v>
      </c>
      <c r="L34" s="22" t="e">
        <f>VLOOKUP($B34,Data!$A$12:$DA$618,16,FALSE)</f>
        <v>#N/A</v>
      </c>
      <c r="M34" s="68" t="e">
        <f>-VLOOKUP($B34,Data!$A$12:$FI$618,21,FALSE)</f>
        <v>#N/A</v>
      </c>
      <c r="N34" s="361" t="e">
        <f>VLOOKUP($B34,Data!$A$18:$FI$618,18,FALSE)</f>
        <v>#N/A</v>
      </c>
      <c r="O34" s="571" t="e">
        <f>VLOOKUP($B34,UncCalc!$A$1:$CC$348,80,FALSE)</f>
        <v>#N/A</v>
      </c>
      <c r="P34" s="571" t="e">
        <f>VLOOKUP($B34,UncCalc!$A$1:$CC$348,81,FALSE)</f>
        <v>#N/A</v>
      </c>
      <c r="Q34" t="e">
        <f t="shared" si="5"/>
        <v>#N/A</v>
      </c>
      <c r="R34">
        <v>3</v>
      </c>
      <c r="T34" s="24" t="e">
        <f t="shared" si="6"/>
        <v>#N/A</v>
      </c>
      <c r="U34" s="24"/>
    </row>
    <row r="35" spans="1:21" x14ac:dyDescent="0.2">
      <c r="A35" s="6" t="e">
        <f t="shared" si="4"/>
        <v>#N/A</v>
      </c>
      <c r="B35" s="54"/>
      <c r="C35" s="516" t="e">
        <f>VLOOKUP($B35,Data!$A$12:$DA$618,19,FALSE)</f>
        <v>#N/A</v>
      </c>
      <c r="D35" s="517" t="e">
        <f>VLOOKUP($B35,Data!$A$12:$DA$618,20,FALSE)</f>
        <v>#N/A</v>
      </c>
      <c r="E35" s="518" t="e">
        <f>-VLOOKUP($B35,Data!$A$12:$FI$618,21,FALSE)</f>
        <v>#N/A</v>
      </c>
      <c r="F35" s="647" t="e">
        <f t="shared" si="7"/>
        <v>#N/A</v>
      </c>
      <c r="G35" s="516" t="e">
        <f>IF(L35=123,ABS(VLOOKUP($B35,Data!$A$12:$DA$618,26,FALSE))/3,ABS(VLOOKUP($B35,Data!$A$12:$DA$618,26,FALSE)))</f>
        <v>#N/A</v>
      </c>
      <c r="H35" s="523" t="e">
        <f>VLOOKUP($B35,Data!$A$12:$DA$618,23,FALSE)</f>
        <v>#N/A</v>
      </c>
      <c r="I35" s="523" t="e">
        <f>VLOOKUP($B35,Data!$A$12:$DA$618,24,FALSE)</f>
        <v>#N/A</v>
      </c>
      <c r="J35" s="518" t="e">
        <f>VLOOKUP($B35,Data!$A$12:$DA$618,25,FALSE)</f>
        <v>#N/A</v>
      </c>
      <c r="K35" s="65" t="e">
        <f>VLOOKUP($B35,Data!$A$12:$DA$618,13,FALSE)</f>
        <v>#N/A</v>
      </c>
      <c r="L35" s="22" t="e">
        <f>VLOOKUP($B35,Data!$A$12:$DA$618,16,FALSE)</f>
        <v>#N/A</v>
      </c>
      <c r="M35" s="68" t="e">
        <f>-VLOOKUP($B35,Data!$A$12:$FI$618,21,FALSE)</f>
        <v>#N/A</v>
      </c>
      <c r="N35" s="361" t="e">
        <f>VLOOKUP($B35,Data!$A$18:$FI$618,18,FALSE)</f>
        <v>#N/A</v>
      </c>
      <c r="O35" s="571" t="e">
        <f>VLOOKUP($B35,UncCalc!$A$1:$CC$348,80,FALSE)</f>
        <v>#N/A</v>
      </c>
      <c r="P35" s="571" t="e">
        <f>VLOOKUP($B35,UncCalc!$A$1:$CC$348,81,FALSE)</f>
        <v>#N/A</v>
      </c>
      <c r="Q35" t="e">
        <f t="shared" si="5"/>
        <v>#N/A</v>
      </c>
      <c r="R35">
        <v>3</v>
      </c>
      <c r="T35" s="24" t="e">
        <f t="shared" si="6"/>
        <v>#N/A</v>
      </c>
      <c r="U35" s="24"/>
    </row>
    <row r="36" spans="1:21" x14ac:dyDescent="0.2">
      <c r="A36" s="6" t="e">
        <f t="shared" si="4"/>
        <v>#N/A</v>
      </c>
      <c r="B36" s="54"/>
      <c r="C36" s="516" t="e">
        <f>VLOOKUP($B36,Data!$A$12:$DA$618,19,FALSE)</f>
        <v>#N/A</v>
      </c>
      <c r="D36" s="517" t="e">
        <f>VLOOKUP($B36,Data!$A$12:$DA$618,20,FALSE)</f>
        <v>#N/A</v>
      </c>
      <c r="E36" s="518" t="e">
        <f>-VLOOKUP($B36,Data!$A$12:$FI$618,21,FALSE)</f>
        <v>#N/A</v>
      </c>
      <c r="F36" s="647" t="e">
        <f t="shared" si="7"/>
        <v>#N/A</v>
      </c>
      <c r="G36" s="516" t="e">
        <f>IF(L36=123,ABS(VLOOKUP($B36,Data!$A$12:$DA$618,26,FALSE))/3,ABS(VLOOKUP($B36,Data!$A$12:$DA$618,26,FALSE)))</f>
        <v>#N/A</v>
      </c>
      <c r="H36" s="523" t="e">
        <f>VLOOKUP($B36,Data!$A$12:$DA$618,23,FALSE)</f>
        <v>#N/A</v>
      </c>
      <c r="I36" s="523" t="e">
        <f>VLOOKUP($B36,Data!$A$12:$DA$618,24,FALSE)</f>
        <v>#N/A</v>
      </c>
      <c r="J36" s="518" t="e">
        <f>VLOOKUP($B36,Data!$A$12:$DA$618,25,FALSE)</f>
        <v>#N/A</v>
      </c>
      <c r="K36" s="65" t="e">
        <f>VLOOKUP($B36,Data!$A$12:$DA$618,13,FALSE)</f>
        <v>#N/A</v>
      </c>
      <c r="L36" s="22" t="e">
        <f>VLOOKUP($B36,Data!$A$12:$DA$618,16,FALSE)</f>
        <v>#N/A</v>
      </c>
      <c r="M36" s="68" t="e">
        <f>-VLOOKUP($B36,Data!$A$12:$FI$618,21,FALSE)</f>
        <v>#N/A</v>
      </c>
      <c r="N36" s="361" t="e">
        <f>VLOOKUP($B36,Data!$A$18:$FI$618,18,FALSE)</f>
        <v>#N/A</v>
      </c>
      <c r="O36" s="571" t="e">
        <f>VLOOKUP($B36,UncCalc!$A$1:$CC$348,80,FALSE)</f>
        <v>#N/A</v>
      </c>
      <c r="P36" s="571" t="e">
        <f>VLOOKUP($B36,UncCalc!$A$1:$CC$348,81,FALSE)</f>
        <v>#N/A</v>
      </c>
      <c r="Q36" t="e">
        <f t="shared" si="5"/>
        <v>#N/A</v>
      </c>
      <c r="R36">
        <v>3</v>
      </c>
      <c r="T36" s="24" t="e">
        <f t="shared" si="6"/>
        <v>#N/A</v>
      </c>
      <c r="U36" s="24"/>
    </row>
    <row r="37" spans="1:21" x14ac:dyDescent="0.2">
      <c r="A37" s="6" t="e">
        <f t="shared" si="4"/>
        <v>#N/A</v>
      </c>
      <c r="B37" s="54"/>
      <c r="C37" s="516" t="e">
        <f>VLOOKUP($B37,Data!$A$12:$DA$618,19,FALSE)</f>
        <v>#N/A</v>
      </c>
      <c r="D37" s="517" t="e">
        <f>VLOOKUP($B37,Data!$A$12:$DA$618,20,FALSE)</f>
        <v>#N/A</v>
      </c>
      <c r="E37" s="518" t="e">
        <f>-VLOOKUP($B37,Data!$A$12:$FI$618,21,FALSE)</f>
        <v>#N/A</v>
      </c>
      <c r="F37" s="647" t="e">
        <f t="shared" si="7"/>
        <v>#N/A</v>
      </c>
      <c r="G37" s="516" t="e">
        <f>IF(L37=123,ABS(VLOOKUP($B37,Data!$A$12:$DA$618,26,FALSE))/3,ABS(VLOOKUP($B37,Data!$A$12:$DA$618,26,FALSE)))</f>
        <v>#N/A</v>
      </c>
      <c r="H37" s="523" t="e">
        <f>VLOOKUP($B37,Data!$A$12:$DA$618,23,FALSE)</f>
        <v>#N/A</v>
      </c>
      <c r="I37" s="523" t="e">
        <f>VLOOKUP($B37,Data!$A$12:$DA$618,24,FALSE)</f>
        <v>#N/A</v>
      </c>
      <c r="J37" s="518" t="e">
        <f>VLOOKUP($B37,Data!$A$12:$DA$618,25,FALSE)</f>
        <v>#N/A</v>
      </c>
      <c r="K37" s="65" t="e">
        <f>VLOOKUP($B37,Data!$A$12:$DA$618,13,FALSE)</f>
        <v>#N/A</v>
      </c>
      <c r="L37" s="22" t="e">
        <f>VLOOKUP($B37,Data!$A$12:$DA$618,16,FALSE)</f>
        <v>#N/A</v>
      </c>
      <c r="M37" s="68" t="e">
        <f>-VLOOKUP($B37,Data!$A$12:$FI$618,21,FALSE)</f>
        <v>#N/A</v>
      </c>
      <c r="N37" s="361" t="e">
        <f>VLOOKUP($B37,Data!$A$18:$FI$618,18,FALSE)</f>
        <v>#N/A</v>
      </c>
      <c r="O37" s="571" t="e">
        <f>VLOOKUP($B37,UncCalc!$A$1:$CC$348,80,FALSE)</f>
        <v>#N/A</v>
      </c>
      <c r="P37" s="571" t="e">
        <f>VLOOKUP($B37,UncCalc!$A$1:$CC$348,81,FALSE)</f>
        <v>#N/A</v>
      </c>
      <c r="Q37" t="e">
        <f t="shared" si="5"/>
        <v>#N/A</v>
      </c>
      <c r="R37">
        <v>1</v>
      </c>
      <c r="T37" s="24" t="e">
        <f t="shared" si="6"/>
        <v>#N/A</v>
      </c>
      <c r="U37" s="24"/>
    </row>
    <row r="38" spans="1:21" x14ac:dyDescent="0.2">
      <c r="A38" s="6" t="e">
        <f t="shared" si="4"/>
        <v>#N/A</v>
      </c>
      <c r="B38" s="54"/>
      <c r="C38" s="516" t="e">
        <f>VLOOKUP($B38,Data!$A$12:$DA$618,19,FALSE)</f>
        <v>#N/A</v>
      </c>
      <c r="D38" s="517" t="e">
        <f>VLOOKUP($B38,Data!$A$12:$DA$618,20,FALSE)</f>
        <v>#N/A</v>
      </c>
      <c r="E38" s="518" t="e">
        <f>-VLOOKUP($B38,Data!$A$12:$FI$618,21,FALSE)</f>
        <v>#N/A</v>
      </c>
      <c r="F38" s="647" t="e">
        <f t="shared" si="7"/>
        <v>#N/A</v>
      </c>
      <c r="G38" s="516" t="e">
        <f>IF(L38=123,ABS(VLOOKUP($B38,Data!$A$12:$DA$618,26,FALSE))/3,ABS(VLOOKUP($B38,Data!$A$12:$DA$618,26,FALSE)))</f>
        <v>#N/A</v>
      </c>
      <c r="H38" s="523" t="e">
        <f>VLOOKUP($B38,Data!$A$12:$DA$618,23,FALSE)</f>
        <v>#N/A</v>
      </c>
      <c r="I38" s="523" t="e">
        <f>VLOOKUP($B38,Data!$A$12:$DA$618,24,FALSE)</f>
        <v>#N/A</v>
      </c>
      <c r="J38" s="518" t="e">
        <f>VLOOKUP($B38,Data!$A$12:$DA$618,25,FALSE)</f>
        <v>#N/A</v>
      </c>
      <c r="K38" s="65" t="e">
        <f>VLOOKUP($B38,Data!$A$12:$DA$618,13,FALSE)</f>
        <v>#N/A</v>
      </c>
      <c r="L38" s="22" t="e">
        <f>VLOOKUP($B38,Data!$A$12:$DA$618,16,FALSE)</f>
        <v>#N/A</v>
      </c>
      <c r="M38" s="68" t="e">
        <f>-VLOOKUP($B38,Data!$A$12:$FI$618,21,FALSE)</f>
        <v>#N/A</v>
      </c>
      <c r="N38" s="361" t="e">
        <f>VLOOKUP($B38,Data!$A$18:$FI$618,18,FALSE)</f>
        <v>#N/A</v>
      </c>
      <c r="O38" s="571" t="e">
        <f>VLOOKUP($B38,UncCalc!$A$1:$CC$348,80,FALSE)</f>
        <v>#N/A</v>
      </c>
      <c r="P38" s="571" t="e">
        <f>VLOOKUP($B38,UncCalc!$A$1:$CC$348,81,FALSE)</f>
        <v>#N/A</v>
      </c>
      <c r="Q38" t="e">
        <f t="shared" si="5"/>
        <v>#N/A</v>
      </c>
      <c r="R38">
        <v>3</v>
      </c>
      <c r="T38" s="24" t="e">
        <f t="shared" si="6"/>
        <v>#N/A</v>
      </c>
      <c r="U38" s="24"/>
    </row>
    <row r="39" spans="1:21" x14ac:dyDescent="0.2">
      <c r="A39" s="6" t="e">
        <f t="shared" si="4"/>
        <v>#N/A</v>
      </c>
      <c r="B39" s="54"/>
      <c r="C39" s="516" t="e">
        <f>VLOOKUP($B39,Data!$A$12:$DA$618,19,FALSE)</f>
        <v>#N/A</v>
      </c>
      <c r="D39" s="522" t="e">
        <f>VLOOKUP($B39,Data!$A$12:$DA$618,20,FALSE)</f>
        <v>#N/A</v>
      </c>
      <c r="E39" s="518" t="e">
        <f>-VLOOKUP($B39,Data!$A$12:$FI$618,21,FALSE)</f>
        <v>#N/A</v>
      </c>
      <c r="F39" s="647" t="e">
        <f t="shared" si="7"/>
        <v>#N/A</v>
      </c>
      <c r="G39" s="516" t="e">
        <f>IF(L39=123,ABS(VLOOKUP($B39,Data!$A$12:$DA$618,26,FALSE))/3,ABS(VLOOKUP($B39,Data!$A$12:$DA$618,26,FALSE)))</f>
        <v>#N/A</v>
      </c>
      <c r="H39" s="523" t="e">
        <f>VLOOKUP($B39,Data!$A$12:$DA$618,23,FALSE)</f>
        <v>#N/A</v>
      </c>
      <c r="I39" s="523" t="e">
        <f>VLOOKUP($B39,Data!$A$12:$DA$618,24,FALSE)</f>
        <v>#N/A</v>
      </c>
      <c r="J39" s="518" t="e">
        <f>VLOOKUP($B39,Data!$A$12:$DA$618,25,FALSE)</f>
        <v>#N/A</v>
      </c>
      <c r="K39" s="65" t="e">
        <f>VLOOKUP($B39,Data!$A$12:$DA$618,13,FALSE)</f>
        <v>#N/A</v>
      </c>
      <c r="L39" s="22" t="e">
        <f>VLOOKUP($B39,Data!$A$12:$DA$618,16,FALSE)</f>
        <v>#N/A</v>
      </c>
      <c r="M39" s="68" t="e">
        <f>-VLOOKUP($B39,Data!$A$12:$FI$618,21,FALSE)</f>
        <v>#N/A</v>
      </c>
      <c r="N39" s="361" t="e">
        <f>VLOOKUP($B39,Data!$A$18:$FI$618,18,FALSE)</f>
        <v>#N/A</v>
      </c>
      <c r="O39" s="571" t="e">
        <f>VLOOKUP($B39,UncCalc!$A$1:$CC$348,80,FALSE)</f>
        <v>#N/A</v>
      </c>
      <c r="P39" s="571" t="e">
        <f>VLOOKUP($B39,UncCalc!$A$1:$CC$348,81,FALSE)</f>
        <v>#N/A</v>
      </c>
      <c r="Q39" t="e">
        <f t="shared" si="5"/>
        <v>#N/A</v>
      </c>
      <c r="R39">
        <v>3</v>
      </c>
      <c r="T39" s="24" t="e">
        <f t="shared" si="6"/>
        <v>#N/A</v>
      </c>
      <c r="U39" s="24"/>
    </row>
    <row r="40" spans="1:21" x14ac:dyDescent="0.2">
      <c r="A40" s="6" t="e">
        <f t="shared" si="4"/>
        <v>#N/A</v>
      </c>
      <c r="B40" s="54"/>
      <c r="C40" s="516" t="e">
        <f>VLOOKUP($B40,Data!$A$12:$DA$618,19,FALSE)</f>
        <v>#N/A</v>
      </c>
      <c r="D40" s="522" t="e">
        <f>VLOOKUP($B40,Data!$A$12:$DA$618,20,FALSE)</f>
        <v>#N/A</v>
      </c>
      <c r="E40" s="518" t="e">
        <f>-VLOOKUP($B40,Data!$A$12:$FI$618,21,FALSE)</f>
        <v>#N/A</v>
      </c>
      <c r="F40" s="647" t="e">
        <f t="shared" si="7"/>
        <v>#N/A</v>
      </c>
      <c r="G40" s="516" t="e">
        <f>IF(L40=123,ABS(VLOOKUP($B40,Data!$A$12:$DA$618,26,FALSE))/3,ABS(VLOOKUP($B40,Data!$A$12:$DA$618,26,FALSE)))</f>
        <v>#N/A</v>
      </c>
      <c r="H40" s="523" t="e">
        <f>VLOOKUP($B40,Data!$A$12:$DA$618,23,FALSE)</f>
        <v>#N/A</v>
      </c>
      <c r="I40" s="523" t="e">
        <f>VLOOKUP($B40,Data!$A$12:$DA$618,24,FALSE)</f>
        <v>#N/A</v>
      </c>
      <c r="J40" s="518" t="e">
        <f>VLOOKUP($B40,Data!$A$12:$DA$618,25,FALSE)</f>
        <v>#N/A</v>
      </c>
      <c r="K40" s="65" t="e">
        <f>VLOOKUP($B40,Data!$A$12:$DA$618,13,FALSE)</f>
        <v>#N/A</v>
      </c>
      <c r="L40" s="22" t="e">
        <f>VLOOKUP($B40,Data!$A$12:$DA$618,16,FALSE)</f>
        <v>#N/A</v>
      </c>
      <c r="M40" s="68" t="e">
        <f>-VLOOKUP($B40,Data!$A$12:$FI$618,21,FALSE)</f>
        <v>#N/A</v>
      </c>
      <c r="N40" s="361" t="e">
        <f>VLOOKUP($B40,Data!$A$18:$FI$618,18,FALSE)</f>
        <v>#N/A</v>
      </c>
      <c r="O40" s="571" t="e">
        <f>VLOOKUP($B40,UncCalc!$A$1:$CC$348,80,FALSE)</f>
        <v>#N/A</v>
      </c>
      <c r="P40" s="571" t="e">
        <f>VLOOKUP($B40,UncCalc!$A$1:$CC$348,81,FALSE)</f>
        <v>#N/A</v>
      </c>
      <c r="Q40" t="e">
        <f t="shared" si="5"/>
        <v>#N/A</v>
      </c>
      <c r="R40">
        <v>3</v>
      </c>
      <c r="T40" s="24" t="e">
        <f t="shared" si="6"/>
        <v>#N/A</v>
      </c>
      <c r="U40" s="24"/>
    </row>
    <row r="41" spans="1:21" x14ac:dyDescent="0.2">
      <c r="A41" s="6" t="e">
        <f t="shared" si="4"/>
        <v>#N/A</v>
      </c>
      <c r="B41" s="54"/>
      <c r="C41" s="516" t="e">
        <f>VLOOKUP($B41,Data!$A$12:$DA$618,19,FALSE)</f>
        <v>#N/A</v>
      </c>
      <c r="D41" s="522" t="e">
        <f>VLOOKUP($B41,Data!$A$12:$DA$618,20,FALSE)</f>
        <v>#N/A</v>
      </c>
      <c r="E41" s="518" t="e">
        <f>-VLOOKUP($B41,Data!$A$12:$FI$618,21,FALSE)</f>
        <v>#N/A</v>
      </c>
      <c r="F41" s="647" t="e">
        <f t="shared" si="7"/>
        <v>#N/A</v>
      </c>
      <c r="G41" s="516" t="e">
        <f>IF(L41=123,ABS(VLOOKUP($B41,Data!$A$12:$DA$618,26,FALSE))/3,ABS(VLOOKUP($B41,Data!$A$12:$DA$618,26,FALSE)))</f>
        <v>#N/A</v>
      </c>
      <c r="H41" s="523" t="e">
        <f>VLOOKUP($B41,Data!$A$12:$DA$618,23,FALSE)</f>
        <v>#N/A</v>
      </c>
      <c r="I41" s="523" t="e">
        <f>VLOOKUP($B41,Data!$A$12:$DA$618,24,FALSE)</f>
        <v>#N/A</v>
      </c>
      <c r="J41" s="518" t="e">
        <f>VLOOKUP($B41,Data!$A$12:$DA$618,25,FALSE)</f>
        <v>#N/A</v>
      </c>
      <c r="K41" s="65" t="e">
        <f>VLOOKUP($B41,Data!$A$12:$DA$618,13,FALSE)</f>
        <v>#N/A</v>
      </c>
      <c r="L41" s="22" t="e">
        <f>VLOOKUP($B41,Data!$A$12:$DA$618,16,FALSE)</f>
        <v>#N/A</v>
      </c>
      <c r="M41" s="68" t="e">
        <f>-VLOOKUP($B41,Data!$A$12:$FI$618,21,FALSE)</f>
        <v>#N/A</v>
      </c>
      <c r="N41" s="361" t="e">
        <f>VLOOKUP($B41,Data!$A$18:$FI$618,18,FALSE)</f>
        <v>#N/A</v>
      </c>
      <c r="O41" s="571" t="e">
        <f>VLOOKUP($B41,UncCalc!$A$1:$CC$348,80,FALSE)</f>
        <v>#N/A</v>
      </c>
      <c r="P41" s="571" t="e">
        <f>VLOOKUP($B41,UncCalc!$A$1:$CC$348,81,FALSE)</f>
        <v>#N/A</v>
      </c>
      <c r="Q41" t="e">
        <f t="shared" si="5"/>
        <v>#N/A</v>
      </c>
      <c r="R41">
        <v>3</v>
      </c>
      <c r="T41" s="24" t="e">
        <f t="shared" si="6"/>
        <v>#N/A</v>
      </c>
      <c r="U41" s="24"/>
    </row>
    <row r="42" spans="1:21" x14ac:dyDescent="0.2">
      <c r="B42" s="54"/>
      <c r="C42" s="54"/>
      <c r="D42" s="54"/>
      <c r="E42" s="54"/>
      <c r="F42" s="54"/>
      <c r="G42" s="54"/>
      <c r="H42" s="54"/>
      <c r="I42" s="54"/>
      <c r="J42" s="54"/>
      <c r="K42" s="54"/>
      <c r="L42" s="22"/>
      <c r="M42" s="68"/>
      <c r="N42" s="361"/>
      <c r="O42" s="361"/>
      <c r="P42" s="361"/>
      <c r="T42" s="24"/>
      <c r="U42" s="24"/>
    </row>
    <row r="43" spans="1:21" x14ac:dyDescent="0.2">
      <c r="A43" t="s">
        <v>988</v>
      </c>
      <c r="B43" s="54"/>
      <c r="C43" s="54"/>
      <c r="D43" s="54"/>
      <c r="E43" s="54"/>
      <c r="F43" s="54"/>
      <c r="G43" s="54"/>
      <c r="H43" s="54">
        <v>0</v>
      </c>
      <c r="I43" s="572">
        <f>0.08/47.7*100</f>
        <v>0.16771488469601675</v>
      </c>
      <c r="J43" s="54">
        <v>2.1</v>
      </c>
      <c r="K43" s="65"/>
      <c r="L43" s="22"/>
      <c r="M43" s="68"/>
      <c r="N43" s="361"/>
      <c r="O43" s="361"/>
      <c r="P43" s="361"/>
      <c r="T43" s="24"/>
      <c r="U43" s="24"/>
    </row>
    <row r="44" spans="1:21" x14ac:dyDescent="0.2">
      <c r="B44" s="54"/>
      <c r="C44" s="54"/>
      <c r="D44" s="54"/>
      <c r="E44" s="54"/>
      <c r="F44" s="54"/>
      <c r="G44" s="54"/>
      <c r="H44" s="54"/>
      <c r="I44" s="54"/>
      <c r="J44" s="54"/>
      <c r="K44" s="54"/>
      <c r="L44" s="54"/>
      <c r="M44" s="54"/>
      <c r="N44" s="65"/>
      <c r="O44" s="68"/>
      <c r="P44" s="361"/>
      <c r="Q44" s="361"/>
      <c r="R44" s="361"/>
      <c r="T44" s="24"/>
      <c r="U44" s="24"/>
    </row>
    <row r="45" spans="1:21" x14ac:dyDescent="0.2">
      <c r="T45" s="10"/>
      <c r="U45" s="10"/>
    </row>
    <row r="46" spans="1:21" x14ac:dyDescent="0.2">
      <c r="T46" s="10"/>
      <c r="U46" s="10"/>
    </row>
    <row r="47" spans="1:21" x14ac:dyDescent="0.2">
      <c r="T47" s="10"/>
      <c r="U47" s="10"/>
    </row>
    <row r="48" spans="1:21" x14ac:dyDescent="0.2">
      <c r="T48" s="10"/>
      <c r="U48" s="10"/>
    </row>
    <row r="49" spans="20:21" x14ac:dyDescent="0.2">
      <c r="T49" s="10"/>
      <c r="U49" s="10"/>
    </row>
  </sheetData>
  <phoneticPr fontId="13" type="noConversion"/>
  <conditionalFormatting sqref="Q44:R65536 O1:P43">
    <cfRule type="cellIs" dxfId="7" priority="1" stopIfTrue="1" operator="greaterThan">
      <formula>0.1</formula>
    </cfRule>
  </conditionalFormatting>
  <pageMargins left="0.75" right="0.75" top="1" bottom="1" header="0.5" footer="0.5"/>
  <pageSetup paperSize="121"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R36"/>
  <sheetViews>
    <sheetView showGridLines="0" zoomScale="75" workbookViewId="0">
      <selection activeCell="L13" sqref="L13"/>
    </sheetView>
  </sheetViews>
  <sheetFormatPr defaultRowHeight="12.75" x14ac:dyDescent="0.2"/>
  <cols>
    <col min="2" max="2" width="10.42578125" customWidth="1"/>
    <col min="3" max="3" width="10.85546875" customWidth="1"/>
    <col min="6" max="6" width="11" customWidth="1"/>
    <col min="8" max="8" width="13" customWidth="1"/>
    <col min="10" max="10" width="12.140625" customWidth="1"/>
    <col min="12" max="12" width="10.140625" customWidth="1"/>
    <col min="15" max="15" width="9.85546875" customWidth="1"/>
    <col min="16" max="16" width="12" customWidth="1"/>
  </cols>
  <sheetData>
    <row r="1" spans="1:18" x14ac:dyDescent="0.2">
      <c r="C1" s="577" t="s">
        <v>996</v>
      </c>
      <c r="D1" s="433"/>
      <c r="E1" s="433"/>
      <c r="F1" s="433"/>
      <c r="G1" s="433"/>
      <c r="H1" s="433"/>
      <c r="I1" s="433"/>
      <c r="J1" s="433"/>
      <c r="K1" s="433"/>
      <c r="M1" s="452"/>
    </row>
    <row r="2" spans="1:18" x14ac:dyDescent="0.2">
      <c r="C2" s="433"/>
      <c r="D2" s="433"/>
      <c r="E2" s="433"/>
      <c r="F2" s="433"/>
      <c r="G2" s="433"/>
      <c r="H2" s="433"/>
      <c r="I2" s="433"/>
      <c r="J2" s="433"/>
      <c r="K2" s="433"/>
      <c r="M2" s="452"/>
    </row>
    <row r="3" spans="1:18" x14ac:dyDescent="0.2">
      <c r="C3" s="607" t="s">
        <v>980</v>
      </c>
      <c r="D3" s="433"/>
      <c r="E3" s="433"/>
      <c r="F3" s="433"/>
      <c r="G3" s="433"/>
      <c r="H3" s="433"/>
      <c r="I3" s="433"/>
      <c r="J3" s="433"/>
      <c r="K3" s="433"/>
      <c r="M3" s="452"/>
    </row>
    <row r="4" spans="1:18" x14ac:dyDescent="0.2">
      <c r="C4" s="433"/>
      <c r="D4" s="433"/>
      <c r="E4" s="433"/>
      <c r="F4" s="433"/>
      <c r="G4" s="433"/>
      <c r="H4" s="433"/>
      <c r="I4" s="433"/>
      <c r="J4" s="433"/>
      <c r="K4" s="433"/>
      <c r="M4" s="452"/>
    </row>
    <row r="5" spans="1:18" ht="60" x14ac:dyDescent="0.2">
      <c r="B5" s="610" t="s">
        <v>1000</v>
      </c>
      <c r="C5" s="578" t="s">
        <v>968</v>
      </c>
      <c r="D5" s="578" t="s">
        <v>1028</v>
      </c>
      <c r="E5" s="578" t="s">
        <v>1029</v>
      </c>
      <c r="F5" s="667" t="s">
        <v>18</v>
      </c>
      <c r="G5" s="602" t="e">
        <f>IF(L6="watts","Power Factor", "Reactive Power Factor")</f>
        <v>#N/A</v>
      </c>
      <c r="H5" s="579" t="e">
        <f>IF(L6="watts","Measured 
Impulses
(Imp/(W.h))", "Measured Impulses (Imp/(var.h))")</f>
        <v>#N/A</v>
      </c>
      <c r="I5" s="580" t="s">
        <v>978</v>
      </c>
      <c r="J5" s="578" t="s">
        <v>576</v>
      </c>
      <c r="K5" s="581" t="s">
        <v>979</v>
      </c>
      <c r="L5" s="65" t="s">
        <v>786</v>
      </c>
      <c r="M5" s="582" t="s">
        <v>997</v>
      </c>
      <c r="N5" s="582" t="s">
        <v>578</v>
      </c>
      <c r="O5" s="582" t="s">
        <v>973</v>
      </c>
      <c r="P5" s="582" t="s">
        <v>752</v>
      </c>
      <c r="Q5" s="21"/>
    </row>
    <row r="6" spans="1:18" ht="15" x14ac:dyDescent="0.25">
      <c r="C6" s="583" t="e">
        <f>VLOOKUP($B6,'Star Data'!$A$1:$GC$1212,3,FALSE)</f>
        <v>#N/A</v>
      </c>
      <c r="D6" s="589" t="e">
        <f>VLOOKUP($B6,'Star Data'!$A$4:$GC$1163,171,FALSE)</f>
        <v>#N/A</v>
      </c>
      <c r="E6" s="585" t="e">
        <f>IF(C6=123,AVERAGE(VLOOKUP($B6,'Star Data'!$A$4:$GC$1163,20,FALSE),VLOOKUP($B6,'Star Data'!$A$4:$GC$1163,21,FALSE),VLOOKUP($B6,'Star Data'!$A$4:$GC$1163,22,FALSE)),VLOOKUP($B6,'Star Data'!$A$4:$GC$1163,20,FALSE))</f>
        <v>#N/A</v>
      </c>
      <c r="F6" s="585" t="e">
        <f>M6</f>
        <v>#N/A</v>
      </c>
      <c r="G6" s="583" t="e">
        <f>ROUND(IF(L6="watts",COS(RADIANS(M6)),COS(RADIANS(M6-90))),N6)&amp;" "&amp;O6</f>
        <v>#N/A</v>
      </c>
      <c r="H6" s="584" t="e">
        <f>VLOOKUP($B6,'Star Data'!$A$4:$GC$1163,170,FALSE)</f>
        <v>#N/A</v>
      </c>
      <c r="I6" s="608" t="e">
        <f>VLOOKUP($B6,'Star Data'!$A$4:$GC$1163,169,FALSE)</f>
        <v>#N/A</v>
      </c>
      <c r="J6" s="608" t="e">
        <f>VLOOKUP($B6,'Star Data'!$A$4:$GC$1163,166,FALSE)</f>
        <v>#N/A</v>
      </c>
      <c r="K6" s="589" t="e">
        <f>VLOOKUP($B6,'Star Data'!$A$4:$GC$1163,165,FALSE)</f>
        <v>#N/A</v>
      </c>
      <c r="L6" s="10" t="e">
        <f>VLOOKUP($B6,'Star Data'!$A$4:$GC$1163,2,FALSE)</f>
        <v>#N/A</v>
      </c>
      <c r="M6" s="600" t="e">
        <f>IF(C6=123,AVERAGE(VLOOKUP($B6,'Star Data'!$A$4:$GC$1163,23,FALSE),VLOOKUP($B6,'Star Data'!$A$4:$GC$1163,24,FALSE),VLOOKUP($B6,'Star Data'!$A$4:$GC$1163,25,FALSE)),VLOOKUP($B6,'Star Data'!$A$4:$GC$1163,23,FALSE))</f>
        <v>#N/A</v>
      </c>
      <c r="N6">
        <v>1</v>
      </c>
      <c r="O6" t="e">
        <f t="shared" ref="O6:O16" si="0">IF(MOD(ROUND((M6+360)/90,2),1)=0," ",IF(ISODD((M6+360)/90),"Lead", "Lag"))</f>
        <v>#N/A</v>
      </c>
      <c r="P6" s="10" t="e">
        <f>IF(L6="watts",J6*10000*COS(RADIANS(M6))/(40+6*(1-ABS(COS(RADIANS(M6))))),J6*10000*ABS(SIN(RADIANS(M6)))/(40+90*ABS(SIN(RADIANS(M6)))))</f>
        <v>#N/A</v>
      </c>
    </row>
    <row r="7" spans="1:18" ht="15" x14ac:dyDescent="0.25">
      <c r="C7" s="583" t="e">
        <f>VLOOKUP($B7,'Star Data'!$A$1:$GC$1212,3,FALSE)</f>
        <v>#N/A</v>
      </c>
      <c r="D7" s="589" t="e">
        <f>VLOOKUP($B7,'Star Data'!$A$4:$GC$1163,171,FALSE)</f>
        <v>#N/A</v>
      </c>
      <c r="E7" s="585" t="e">
        <f>IF(C7=123,AVERAGE(VLOOKUP($B7,'Star Data'!$A$4:$GC$1163,20,FALSE),VLOOKUP($B7,'Star Data'!$A$4:$GC$1163,21,FALSE),VLOOKUP($B7,'Star Data'!$A$4:$GC$1163,22,FALSE)),VLOOKUP($B7,'Star Data'!$A$4:$GC$1163,20,FALSE))</f>
        <v>#N/A</v>
      </c>
      <c r="F7" s="585" t="e">
        <f t="shared" ref="F7:F16" si="1">M7</f>
        <v>#N/A</v>
      </c>
      <c r="G7" s="583" t="e">
        <f t="shared" ref="G7:G12" si="2">ROUND(IF(L7="watts",COS(RADIANS(M7)),COS(RADIANS(M7-90))),N7)&amp;" "&amp;O7</f>
        <v>#N/A</v>
      </c>
      <c r="H7" s="584" t="e">
        <f>VLOOKUP($B7,'Star Data'!$A$4:$GC$1163,170,FALSE)</f>
        <v>#N/A</v>
      </c>
      <c r="I7" s="608" t="e">
        <f>VLOOKUP($B7,'Star Data'!$A$4:$GC$1163,169,FALSE)</f>
        <v>#N/A</v>
      </c>
      <c r="J7" s="608" t="e">
        <f>VLOOKUP($B7,'Star Data'!$A$4:$GC$1163,166,FALSE)</f>
        <v>#N/A</v>
      </c>
      <c r="K7" s="589" t="e">
        <f>VLOOKUP($B7,'Star Data'!$A$4:$GC$1163,165,FALSE)</f>
        <v>#N/A</v>
      </c>
      <c r="L7" s="10" t="e">
        <f>VLOOKUP($B7,'Star Data'!$A$4:$GC$1163,2,FALSE)</f>
        <v>#N/A</v>
      </c>
      <c r="M7" s="600" t="e">
        <f>IF(C7=123,AVERAGE(VLOOKUP($B7,'Star Data'!$A$4:$GC$1163,23,FALSE),VLOOKUP($B7,'Star Data'!$A$4:$GC$1163,24,FALSE),VLOOKUP($B7,'Star Data'!$A$4:$GC$1163,25,FALSE)),VLOOKUP($B7,'Star Data'!$A$4:$GC$1163,23,FALSE))</f>
        <v>#N/A</v>
      </c>
      <c r="N7">
        <v>1</v>
      </c>
      <c r="O7" t="e">
        <f t="shared" si="0"/>
        <v>#N/A</v>
      </c>
      <c r="P7" s="10" t="e">
        <f t="shared" ref="P7:P12" si="3">IF(L7="watts",J7*10000*COS(RADIANS(M7))/(40+6*(1-ABS(COS(RADIANS(M7))))),J7*10000*ABS(SIN(RADIANS(M7)))/(40+90*ABS(SIN(RADIANS(M7)))))</f>
        <v>#N/A</v>
      </c>
    </row>
    <row r="8" spans="1:18" ht="15" x14ac:dyDescent="0.25">
      <c r="C8" s="583" t="e">
        <f>VLOOKUP($B8,'Star Data'!$A$1:$GC$1212,3,FALSE)</f>
        <v>#N/A</v>
      </c>
      <c r="D8" s="589" t="e">
        <f>VLOOKUP($B8,'Star Data'!$A$4:$GC$1163,171,FALSE)</f>
        <v>#N/A</v>
      </c>
      <c r="E8" s="585" t="e">
        <f>IF(C8=123,AVERAGE(VLOOKUP($B8,'Star Data'!$A$4:$GC$1163,20,FALSE),VLOOKUP($B8,'Star Data'!$A$4:$GC$1163,21,FALSE),VLOOKUP($B8,'Star Data'!$A$4:$GC$1163,22,FALSE)),VLOOKUP($B8,'Star Data'!$A$4:$GC$1163,20,FALSE))</f>
        <v>#N/A</v>
      </c>
      <c r="F8" s="585" t="e">
        <f t="shared" si="1"/>
        <v>#N/A</v>
      </c>
      <c r="G8" s="583" t="e">
        <f t="shared" si="2"/>
        <v>#N/A</v>
      </c>
      <c r="H8" s="584" t="e">
        <f>VLOOKUP($B8,'Star Data'!$A$4:$GC$1163,170,FALSE)</f>
        <v>#N/A</v>
      </c>
      <c r="I8" s="608" t="e">
        <f>VLOOKUP($B8,'Star Data'!$A$4:$GC$1163,169,FALSE)</f>
        <v>#N/A</v>
      </c>
      <c r="J8" s="608" t="e">
        <f>VLOOKUP($B8,'Star Data'!$A$4:$GC$1163,166,FALSE)</f>
        <v>#N/A</v>
      </c>
      <c r="K8" s="589" t="e">
        <f>VLOOKUP($B8,'Star Data'!$A$4:$GC$1163,165,FALSE)</f>
        <v>#N/A</v>
      </c>
      <c r="L8" s="10" t="e">
        <f>VLOOKUP($B8,'Star Data'!$A$4:$GC$1163,2,FALSE)</f>
        <v>#N/A</v>
      </c>
      <c r="M8" s="600" t="e">
        <f>IF(C8=123,AVERAGE(VLOOKUP($B8,'Star Data'!$A$4:$GC$1163,23,FALSE),VLOOKUP($B8,'Star Data'!$A$4:$GC$1163,24,FALSE),VLOOKUP($B8,'Star Data'!$A$4:$GC$1163,25,FALSE)),VLOOKUP($B8,'Star Data'!$A$4:$GC$1163,23,FALSE))</f>
        <v>#N/A</v>
      </c>
      <c r="N8">
        <v>1</v>
      </c>
      <c r="O8" t="e">
        <f t="shared" si="0"/>
        <v>#N/A</v>
      </c>
      <c r="P8" s="10" t="e">
        <f t="shared" si="3"/>
        <v>#N/A</v>
      </c>
    </row>
    <row r="9" spans="1:18" ht="15" x14ac:dyDescent="0.25">
      <c r="C9" s="583" t="e">
        <f>VLOOKUP($B9,'Star Data'!$A$1:$GC$1212,3,FALSE)</f>
        <v>#N/A</v>
      </c>
      <c r="D9" s="589" t="e">
        <f>VLOOKUP($B9,'Star Data'!$A$4:$GC$1163,171,FALSE)</f>
        <v>#N/A</v>
      </c>
      <c r="E9" s="585" t="e">
        <f>IF(C9=123,AVERAGE(VLOOKUP($B9,'Star Data'!$A$4:$GC$1163,20,FALSE),VLOOKUP($B9,'Star Data'!$A$4:$GC$1163,21,FALSE),VLOOKUP($B9,'Star Data'!$A$4:$GC$1163,22,FALSE)),VLOOKUP($B9,'Star Data'!$A$4:$GC$1163,20,FALSE))</f>
        <v>#N/A</v>
      </c>
      <c r="F9" s="585" t="e">
        <f t="shared" si="1"/>
        <v>#N/A</v>
      </c>
      <c r="G9" s="583" t="e">
        <f t="shared" si="2"/>
        <v>#N/A</v>
      </c>
      <c r="H9" s="584" t="e">
        <f>VLOOKUP($B9,'Star Data'!$A$4:$GC$1163,170,FALSE)</f>
        <v>#N/A</v>
      </c>
      <c r="I9" s="608" t="e">
        <f>VLOOKUP($B9,'Star Data'!$A$4:$GC$1163,169,FALSE)</f>
        <v>#N/A</v>
      </c>
      <c r="J9" s="608" t="e">
        <f>VLOOKUP($B9,'Star Data'!$A$4:$GC$1163,166,FALSE)</f>
        <v>#N/A</v>
      </c>
      <c r="K9" s="589" t="e">
        <f>VLOOKUP($B9,'Star Data'!$A$4:$GC$1163,165,FALSE)</f>
        <v>#N/A</v>
      </c>
      <c r="L9" s="10" t="e">
        <f>VLOOKUP($B9,'Star Data'!$A$4:$GC$1163,2,FALSE)</f>
        <v>#N/A</v>
      </c>
      <c r="M9" s="600" t="e">
        <f>IF(C9=123,AVERAGE(VLOOKUP($B9,'Star Data'!$A$4:$GC$1163,23,FALSE),VLOOKUP($B9,'Star Data'!$A$4:$GC$1163,24,FALSE),VLOOKUP($B9,'Star Data'!$A$4:$GC$1163,25,FALSE)),VLOOKUP($B9,'Star Data'!$A$4:$GC$1163,23,FALSE))</f>
        <v>#N/A</v>
      </c>
      <c r="N9">
        <v>1</v>
      </c>
      <c r="O9" t="e">
        <f t="shared" si="0"/>
        <v>#N/A</v>
      </c>
      <c r="P9" s="10" t="e">
        <f t="shared" si="3"/>
        <v>#N/A</v>
      </c>
    </row>
    <row r="10" spans="1:18" ht="15" x14ac:dyDescent="0.25">
      <c r="C10" s="583" t="e">
        <f>VLOOKUP($B10,'Star Data'!$A$1:$GC$1212,3,FALSE)</f>
        <v>#N/A</v>
      </c>
      <c r="D10" s="589" t="e">
        <f>VLOOKUP($B10,'Star Data'!$A$4:$GC$1163,171,FALSE)</f>
        <v>#N/A</v>
      </c>
      <c r="E10" s="585" t="e">
        <f>IF(C10=123,AVERAGE(VLOOKUP($B10,'Star Data'!$A$4:$GC$1163,20,FALSE),VLOOKUP($B10,'Star Data'!$A$4:$GC$1163,21,FALSE),VLOOKUP($B10,'Star Data'!$A$4:$GC$1163,22,FALSE)),VLOOKUP($B10,'Star Data'!$A$4:$GC$1163,20,FALSE))</f>
        <v>#N/A</v>
      </c>
      <c r="F10" s="585" t="e">
        <f t="shared" si="1"/>
        <v>#N/A</v>
      </c>
      <c r="G10" s="583" t="e">
        <f t="shared" si="2"/>
        <v>#N/A</v>
      </c>
      <c r="H10" s="584" t="e">
        <f>VLOOKUP($B10,'Star Data'!$A$4:$GC$1163,170,FALSE)</f>
        <v>#N/A</v>
      </c>
      <c r="I10" s="608" t="e">
        <f>VLOOKUP($B10,'Star Data'!$A$4:$GC$1163,169,FALSE)</f>
        <v>#N/A</v>
      </c>
      <c r="J10" s="608" t="e">
        <f>VLOOKUP($B10,'Star Data'!$A$4:$GC$1163,166,FALSE)</f>
        <v>#N/A</v>
      </c>
      <c r="K10" s="589" t="e">
        <f>VLOOKUP($B10,'Star Data'!$A$4:$GC$1163,165,FALSE)</f>
        <v>#N/A</v>
      </c>
      <c r="L10" s="10" t="e">
        <f>VLOOKUP($B10,'Star Data'!$A$4:$GC$1163,2,FALSE)</f>
        <v>#N/A</v>
      </c>
      <c r="M10" s="600" t="e">
        <f>IF(C10=123,AVERAGE(VLOOKUP($B10,'Star Data'!$A$4:$GC$1163,23,FALSE),VLOOKUP($B10,'Star Data'!$A$4:$GC$1163,24,FALSE),VLOOKUP($B10,'Star Data'!$A$4:$GC$1163,25,FALSE)),VLOOKUP($B10,'Star Data'!$A$4:$GC$1163,23,FALSE))</f>
        <v>#N/A</v>
      </c>
      <c r="N10">
        <v>1</v>
      </c>
      <c r="O10" t="e">
        <f t="shared" si="0"/>
        <v>#N/A</v>
      </c>
      <c r="P10" s="10" t="e">
        <f t="shared" si="3"/>
        <v>#N/A</v>
      </c>
    </row>
    <row r="11" spans="1:18" ht="15" x14ac:dyDescent="0.25">
      <c r="C11" s="583" t="e">
        <f>VLOOKUP($B11,'Star Data'!$A$1:$GC$1212,3,FALSE)</f>
        <v>#N/A</v>
      </c>
      <c r="D11" s="589" t="e">
        <f>VLOOKUP($B11,'Star Data'!$A$4:$GC$1163,171,FALSE)</f>
        <v>#N/A</v>
      </c>
      <c r="E11" s="585" t="e">
        <f>IF(C11=123,AVERAGE(VLOOKUP($B11,'Star Data'!$A$4:$GC$1163,20,FALSE),VLOOKUP($B11,'Star Data'!$A$4:$GC$1163,21,FALSE),VLOOKUP($B11,'Star Data'!$A$4:$GC$1163,22,FALSE)),VLOOKUP($B11,'Star Data'!$A$4:$GC$1163,20,FALSE))</f>
        <v>#N/A</v>
      </c>
      <c r="F11" s="585" t="e">
        <f t="shared" si="1"/>
        <v>#N/A</v>
      </c>
      <c r="G11" s="583" t="e">
        <f t="shared" si="2"/>
        <v>#N/A</v>
      </c>
      <c r="H11" s="584" t="e">
        <f>VLOOKUP($B11,'Star Data'!$A$4:$GC$1163,170,FALSE)</f>
        <v>#N/A</v>
      </c>
      <c r="I11" s="608" t="e">
        <f>VLOOKUP($B11,'Star Data'!$A$4:$GC$1163,169,FALSE)</f>
        <v>#N/A</v>
      </c>
      <c r="J11" s="608" t="e">
        <f>VLOOKUP($B11,'Star Data'!$A$4:$GC$1163,166,FALSE)</f>
        <v>#N/A</v>
      </c>
      <c r="K11" s="589" t="e">
        <f>VLOOKUP($B11,'Star Data'!$A$4:$GC$1163,165,FALSE)</f>
        <v>#N/A</v>
      </c>
      <c r="L11" s="10" t="e">
        <f>VLOOKUP($B11,'Star Data'!$A$4:$GC$1163,2,FALSE)</f>
        <v>#N/A</v>
      </c>
      <c r="M11" s="600" t="e">
        <f>IF(C11=123,AVERAGE(VLOOKUP($B11,'Star Data'!$A$4:$GC$1163,23,FALSE),VLOOKUP($B11,'Star Data'!$A$4:$GC$1163,24,FALSE),VLOOKUP($B11,'Star Data'!$A$4:$GC$1163,25,FALSE)),VLOOKUP($B11,'Star Data'!$A$4:$GC$1163,23,FALSE))</f>
        <v>#N/A</v>
      </c>
      <c r="N11">
        <v>1</v>
      </c>
      <c r="O11" t="e">
        <f t="shared" si="0"/>
        <v>#N/A</v>
      </c>
      <c r="P11" s="10" t="e">
        <f t="shared" si="3"/>
        <v>#N/A</v>
      </c>
    </row>
    <row r="12" spans="1:18" ht="15" x14ac:dyDescent="0.25">
      <c r="C12" s="583" t="e">
        <f>VLOOKUP($B12,'Star Data'!$A$1:$GC$1212,3,FALSE)</f>
        <v>#N/A</v>
      </c>
      <c r="D12" s="589" t="e">
        <f>VLOOKUP($B12,'Star Data'!$A$4:$GC$1163,171,FALSE)</f>
        <v>#N/A</v>
      </c>
      <c r="E12" s="585" t="e">
        <f>IF(C12=123,AVERAGE(VLOOKUP($B12,'Star Data'!$A$4:$GC$1163,20,FALSE),VLOOKUP($B12,'Star Data'!$A$4:$GC$1163,21,FALSE),VLOOKUP($B12,'Star Data'!$A$4:$GC$1163,22,FALSE)),VLOOKUP($B12,'Star Data'!$A$4:$GC$1163,20,FALSE))</f>
        <v>#N/A</v>
      </c>
      <c r="F12" s="585" t="e">
        <f t="shared" si="1"/>
        <v>#N/A</v>
      </c>
      <c r="G12" s="583" t="e">
        <f t="shared" si="2"/>
        <v>#N/A</v>
      </c>
      <c r="H12" s="584" t="e">
        <f>VLOOKUP($B12,'Star Data'!$A$4:$GC$1163,170,FALSE)</f>
        <v>#N/A</v>
      </c>
      <c r="I12" s="608" t="e">
        <f>VLOOKUP($B12,'Star Data'!$A$4:$GC$1163,169,FALSE)</f>
        <v>#N/A</v>
      </c>
      <c r="J12" s="608" t="e">
        <f>VLOOKUP($B12,'Star Data'!$A$4:$GC$1163,166,FALSE)</f>
        <v>#N/A</v>
      </c>
      <c r="K12" s="589" t="e">
        <f>VLOOKUP($B12,'Star Data'!$A$4:$GC$1163,165,FALSE)</f>
        <v>#N/A</v>
      </c>
      <c r="L12" s="10" t="e">
        <f>VLOOKUP($B12,'Star Data'!$A$4:$GC$1163,2,FALSE)</f>
        <v>#N/A</v>
      </c>
      <c r="M12" s="600" t="e">
        <f>IF(C12=123,AVERAGE(VLOOKUP($B12,'Star Data'!$A$4:$GC$1163,23,FALSE),VLOOKUP($B12,'Star Data'!$A$4:$GC$1163,24,FALSE),VLOOKUP($B12,'Star Data'!$A$4:$GC$1163,25,FALSE)),VLOOKUP($B12,'Star Data'!$A$4:$GC$1163,23,FALSE))</f>
        <v>#N/A</v>
      </c>
      <c r="N12">
        <v>1</v>
      </c>
      <c r="O12" t="e">
        <f t="shared" si="0"/>
        <v>#N/A</v>
      </c>
      <c r="P12" s="10" t="e">
        <f t="shared" si="3"/>
        <v>#N/A</v>
      </c>
    </row>
    <row r="13" spans="1:18" ht="15" x14ac:dyDescent="0.25">
      <c r="C13" s="583" t="e">
        <f>VLOOKUP($B13,'Star Data'!$A$1:$GC$1212,3,FALSE)</f>
        <v>#N/A</v>
      </c>
      <c r="D13" s="589" t="e">
        <f>VLOOKUP($B13,'Star Data'!$A$4:$GC$1163,171,FALSE)</f>
        <v>#N/A</v>
      </c>
      <c r="E13" s="585" t="e">
        <f>IF(C13=123,AVERAGE(VLOOKUP($B13,'Star Data'!$A$4:$GC$1163,20,FALSE),VLOOKUP($B13,'Star Data'!$A$4:$GC$1163,21,FALSE),VLOOKUP($B13,'Star Data'!$A$4:$GC$1163,22,FALSE)),VLOOKUP($B13,'Star Data'!$A$4:$GC$1163,20,FALSE))</f>
        <v>#N/A</v>
      </c>
      <c r="F13" s="585" t="e">
        <f t="shared" si="1"/>
        <v>#N/A</v>
      </c>
      <c r="G13" s="583" t="e">
        <f>ROUND(IF(L13="watts",COS(RADIANS(M13)),COS(RADIANS(M13-90))),N13)&amp;" "&amp;O13</f>
        <v>#N/A</v>
      </c>
      <c r="H13" s="584" t="e">
        <f>VLOOKUP($B13,'Star Data'!$A$4:$GC$1163,170,FALSE)</f>
        <v>#N/A</v>
      </c>
      <c r="I13" s="608" t="e">
        <f>VLOOKUP($B13,'Star Data'!$A$4:$GC$1163,169,FALSE)</f>
        <v>#N/A</v>
      </c>
      <c r="J13" s="608" t="e">
        <f>VLOOKUP($B13,'Star Data'!$A$4:$GC$1163,166,FALSE)</f>
        <v>#N/A</v>
      </c>
      <c r="K13" s="589" t="e">
        <f>VLOOKUP($B13,'Star Data'!$A$4:$GC$1163,165,FALSE)</f>
        <v>#N/A</v>
      </c>
      <c r="L13" s="10" t="e">
        <f>VLOOKUP($B13,'Star Data'!$A$4:$GC$1163,2,FALSE)</f>
        <v>#N/A</v>
      </c>
      <c r="M13" s="600" t="e">
        <f>IF(C13=123,AVERAGE(VLOOKUP($B13,'Star Data'!$A$4:$GC$1163,23,FALSE),VLOOKUP($B13,'Star Data'!$A$4:$GC$1163,24,FALSE),VLOOKUP($B13,'Star Data'!$A$4:$GC$1163,25,FALSE)),VLOOKUP($B13,'Star Data'!$A$4:$GC$1163,23,FALSE))</f>
        <v>#N/A</v>
      </c>
      <c r="N13">
        <v>1</v>
      </c>
      <c r="O13" t="e">
        <f t="shared" si="0"/>
        <v>#N/A</v>
      </c>
      <c r="P13" s="10" t="e">
        <f>IF(L13="watts",J13*10000*COS(RADIANS(M13))/(40+6*(1-ABS(COS(RADIANS(M13))))),J13*10000*ABS(SIN(RADIANS(M13)))/(40+90*ABS(SIN(RADIANS(M13)))))</f>
        <v>#N/A</v>
      </c>
    </row>
    <row r="14" spans="1:18" ht="15" x14ac:dyDescent="0.25">
      <c r="C14" s="583" t="e">
        <f>VLOOKUP($B14,'Star Data'!$A$1:$GC$1212,3,FALSE)</f>
        <v>#N/A</v>
      </c>
      <c r="D14" s="589" t="e">
        <f>VLOOKUP($B14,'Star Data'!$A$4:$GC$1163,171,FALSE)</f>
        <v>#N/A</v>
      </c>
      <c r="E14" s="585" t="e">
        <f>IF(C14=123,AVERAGE(VLOOKUP($B14,'Star Data'!$A$4:$GC$1163,20,FALSE),VLOOKUP($B14,'Star Data'!$A$4:$GC$1163,21,FALSE),VLOOKUP($B14,'Star Data'!$A$4:$GC$1163,22,FALSE)),VLOOKUP($B14,'Star Data'!$A$4:$GC$1163,20,FALSE))</f>
        <v>#N/A</v>
      </c>
      <c r="F14" s="585" t="e">
        <f t="shared" si="1"/>
        <v>#N/A</v>
      </c>
      <c r="G14" s="583" t="e">
        <f>ROUND(IF(L14="watts",COS(RADIANS(M14)),COS(RADIANS(M14-90))),N14)&amp;" "&amp;O14</f>
        <v>#N/A</v>
      </c>
      <c r="H14" s="584" t="e">
        <f>VLOOKUP($B14,'Star Data'!$A$4:$GC$1163,170,FALSE)</f>
        <v>#N/A</v>
      </c>
      <c r="I14" s="608" t="e">
        <f>VLOOKUP($B14,'Star Data'!$A$4:$GC$1163,169,FALSE)</f>
        <v>#N/A</v>
      </c>
      <c r="J14" s="608" t="e">
        <f>VLOOKUP($B14,'Star Data'!$A$4:$GC$1163,166,FALSE)</f>
        <v>#N/A</v>
      </c>
      <c r="K14" s="589" t="e">
        <f>VLOOKUP($B14,'Star Data'!$A$4:$GC$1163,165,FALSE)</f>
        <v>#N/A</v>
      </c>
      <c r="L14" s="10" t="e">
        <f>VLOOKUP($B14,'Star Data'!$A$4:$GC$1163,2,FALSE)</f>
        <v>#N/A</v>
      </c>
      <c r="M14" s="600" t="e">
        <f>IF(C14=123,AVERAGE(VLOOKUP($B14,'Star Data'!$A$4:$GC$1163,23,FALSE),VLOOKUP($B14,'Star Data'!$A$4:$GC$1163,24,FALSE),VLOOKUP($B14,'Star Data'!$A$4:$GC$1163,25,FALSE)),VLOOKUP($B14,'Star Data'!$A$4:$GC$1163,23,FALSE))</f>
        <v>#N/A</v>
      </c>
      <c r="N14">
        <v>1</v>
      </c>
      <c r="O14" t="e">
        <f t="shared" si="0"/>
        <v>#N/A</v>
      </c>
      <c r="P14" s="10" t="e">
        <f>IF(L14="watts",J14*10000*COS(RADIANS(M14))/(40+6*(1-ABS(COS(RADIANS(M14))))),J14*10000*ABS(SIN(RADIANS(M14)))/(40+90*ABS(SIN(RADIANS(M14)))))</f>
        <v>#N/A</v>
      </c>
    </row>
    <row r="15" spans="1:18" ht="15" x14ac:dyDescent="0.25">
      <c r="C15" s="583" t="e">
        <f>VLOOKUP($B15,'Star Data'!$A$1:$GC$1212,3,FALSE)</f>
        <v>#N/A</v>
      </c>
      <c r="D15" s="589" t="e">
        <f>VLOOKUP($B15,'Star Data'!$A$4:$GC$1163,171,FALSE)</f>
        <v>#N/A</v>
      </c>
      <c r="E15" s="585" t="e">
        <f>IF(C15=123,AVERAGE(VLOOKUP($B15,'Star Data'!$A$4:$GC$1163,20,FALSE),VLOOKUP($B15,'Star Data'!$A$4:$GC$1163,21,FALSE),VLOOKUP($B15,'Star Data'!$A$4:$GC$1163,22,FALSE)),VLOOKUP($B15,'Star Data'!$A$4:$GC$1163,20,FALSE))</f>
        <v>#N/A</v>
      </c>
      <c r="F15" s="585" t="e">
        <f t="shared" si="1"/>
        <v>#N/A</v>
      </c>
      <c r="G15" s="583" t="e">
        <f>ROUND(IF(L15="watts",COS(RADIANS(M15)),COS(RADIANS(M15-90))),N15)&amp;" "&amp;O15</f>
        <v>#N/A</v>
      </c>
      <c r="H15" s="584" t="e">
        <f>VLOOKUP($B15,'Star Data'!$A$4:$GC$1163,170,FALSE)</f>
        <v>#N/A</v>
      </c>
      <c r="I15" s="608" t="e">
        <f>VLOOKUP($B15,'Star Data'!$A$4:$GC$1163,169,FALSE)</f>
        <v>#N/A</v>
      </c>
      <c r="J15" s="608" t="e">
        <f>VLOOKUP($B15,'Star Data'!$A$4:$GC$1163,166,FALSE)</f>
        <v>#N/A</v>
      </c>
      <c r="K15" s="589" t="e">
        <f>VLOOKUP($B15,'Star Data'!$A$4:$GC$1163,165,FALSE)</f>
        <v>#N/A</v>
      </c>
      <c r="L15" s="10" t="e">
        <f>VLOOKUP($B15,'Star Data'!$A$4:$GC$1163,2,FALSE)</f>
        <v>#N/A</v>
      </c>
      <c r="M15" s="600" t="e">
        <f>IF(C15=123,AVERAGE(VLOOKUP($B15,'Star Data'!$A$4:$GC$1163,23,FALSE),VLOOKUP($B15,'Star Data'!$A$4:$GC$1163,24,FALSE),VLOOKUP($B15,'Star Data'!$A$4:$GC$1163,25,FALSE)),VLOOKUP($B15,'Star Data'!$A$4:$GC$1163,23,FALSE))</f>
        <v>#N/A</v>
      </c>
      <c r="N15">
        <v>1</v>
      </c>
      <c r="O15" t="e">
        <f t="shared" si="0"/>
        <v>#N/A</v>
      </c>
      <c r="P15" s="10" t="e">
        <f>IF(L15="watts",J15*10000*COS(RADIANS(M15))/(40+6*(1-ABS(COS(RADIANS(M15))))),J15*10000*ABS(SIN(RADIANS(M15)))/(40+90*ABS(SIN(RADIANS(M15)))))</f>
        <v>#N/A</v>
      </c>
    </row>
    <row r="16" spans="1:18" ht="15" x14ac:dyDescent="0.25">
      <c r="A16" s="6"/>
      <c r="C16" s="583" t="e">
        <f>VLOOKUP($B16,'Star Data'!$A$1:$GC$1212,3,FALSE)</f>
        <v>#N/A</v>
      </c>
      <c r="D16" s="584" t="e">
        <f>VLOOKUP($B16,'Star Data'!$A$4:$GC$1163,171,FALSE)</f>
        <v>#N/A</v>
      </c>
      <c r="E16" s="585" t="e">
        <f>IF(C16=123,AVERAGE(VLOOKUP($B16,'Star Data'!$A$4:$GC$1163,20,FALSE),VLOOKUP($B16,'Star Data'!$A$4:$GC$1163,21,FALSE),VLOOKUP($B16,'Star Data'!$A$4:$GC$1163,22,FALSE)),VLOOKUP($B16,'Star Data'!$A$4:$GC$1163,20,FALSE))</f>
        <v>#N/A</v>
      </c>
      <c r="F16" s="585" t="e">
        <f t="shared" si="1"/>
        <v>#N/A</v>
      </c>
      <c r="G16" s="583" t="e">
        <f>ROUND(IF(L16="watts",COS(RADIANS(M16)),COS(RADIANS(M16-90))),N16)&amp;" "&amp;O16</f>
        <v>#N/A</v>
      </c>
      <c r="H16" s="584" t="e">
        <f>VLOOKUP($B16,'Star Data'!$A$4:$GC$1163,170,FALSE)</f>
        <v>#N/A</v>
      </c>
      <c r="I16" s="608" t="e">
        <f>VLOOKUP($B16,'Star Data'!$A$4:$GC$1163,169,FALSE)</f>
        <v>#N/A</v>
      </c>
      <c r="J16" s="608" t="e">
        <f>VLOOKUP($B16,'Star Data'!$A$4:$GC$1163,166,FALSE)</f>
        <v>#N/A</v>
      </c>
      <c r="K16" s="589" t="e">
        <f>VLOOKUP($B16,'Star Data'!$A$4:$GC$1163,165,FALSE)</f>
        <v>#N/A</v>
      </c>
      <c r="L16" s="438" t="e">
        <f>VLOOKUP($B16,'Star Data'!$A$4:$GC$1163,2,FALSE)</f>
        <v>#N/A</v>
      </c>
      <c r="M16" s="600" t="e">
        <f>IF(C16=123,AVERAGE(VLOOKUP($B16,'Star Data'!$A$4:$GC$1163,23,FALSE),VLOOKUP($B16,'Star Data'!$A$4:$GC$1163,24,FALSE),VLOOKUP($B16,'Star Data'!$A$4:$GC$1163,25,FALSE)),VLOOKUP($B16,'Star Data'!$A$4:$GC$1163,23,FALSE))</f>
        <v>#N/A</v>
      </c>
      <c r="N16" s="6">
        <v>1</v>
      </c>
      <c r="O16" s="6" t="e">
        <f t="shared" si="0"/>
        <v>#N/A</v>
      </c>
      <c r="P16" s="438" t="e">
        <f>IF(L16="watts",J16*10000*COS(RADIANS(M16))/(40+6*(1-ABS(COS(RADIANS(M16))))),J16*10000*ABS(SIN(RADIANS(M16)))/(40+90*ABS(SIN(RADIANS(M16)))))</f>
        <v>#N/A</v>
      </c>
      <c r="Q16" s="6"/>
      <c r="R16" s="6"/>
    </row>
    <row r="17" spans="2:17" ht="15" x14ac:dyDescent="0.25">
      <c r="C17" s="591"/>
      <c r="D17" s="592"/>
      <c r="E17" s="593"/>
      <c r="F17" s="593"/>
      <c r="G17" s="591"/>
      <c r="H17" s="591"/>
      <c r="I17" s="594"/>
      <c r="J17" s="594"/>
      <c r="K17" s="592"/>
      <c r="L17" s="10"/>
      <c r="M17" s="452"/>
    </row>
    <row r="18" spans="2:17" x14ac:dyDescent="0.2">
      <c r="C18" s="595"/>
      <c r="D18" s="596"/>
      <c r="E18" s="597"/>
      <c r="F18" s="597"/>
      <c r="G18" s="595"/>
      <c r="H18" s="595"/>
      <c r="I18" s="598"/>
      <c r="J18" s="598"/>
      <c r="K18" s="596"/>
      <c r="L18" s="10"/>
      <c r="M18" s="452"/>
    </row>
    <row r="19" spans="2:17" x14ac:dyDescent="0.2">
      <c r="C19" s="609" t="s">
        <v>981</v>
      </c>
      <c r="D19" s="596"/>
      <c r="E19" s="597"/>
      <c r="F19" s="597"/>
      <c r="G19" s="595"/>
      <c r="H19" s="595"/>
      <c r="I19" s="598"/>
      <c r="J19" s="598"/>
      <c r="K19" s="596"/>
      <c r="L19" s="10"/>
      <c r="M19" s="452"/>
    </row>
    <row r="20" spans="2:17" x14ac:dyDescent="0.2">
      <c r="C20" s="595"/>
      <c r="D20" s="596"/>
      <c r="E20" s="597"/>
      <c r="F20" s="597"/>
      <c r="G20" s="595"/>
      <c r="H20" s="595"/>
      <c r="I20" s="598"/>
      <c r="J20" s="598"/>
      <c r="K20" s="596"/>
      <c r="L20" s="10"/>
      <c r="M20" s="452"/>
    </row>
    <row r="21" spans="2:17" ht="60" x14ac:dyDescent="0.2">
      <c r="B21" s="610" t="s">
        <v>1000</v>
      </c>
      <c r="C21" s="578" t="s">
        <v>968</v>
      </c>
      <c r="D21" s="578" t="s">
        <v>1028</v>
      </c>
      <c r="E21" s="578" t="s">
        <v>1029</v>
      </c>
      <c r="F21" s="667" t="s">
        <v>18</v>
      </c>
      <c r="G21" s="602" t="e">
        <f>IF(L22="watts","Power Factor", "Reactive Power Factor")</f>
        <v>#N/A</v>
      </c>
      <c r="H21" s="579" t="e">
        <f>IF(L22="watts","Measured 
Impulses
(Imp/(W.h))", "Measured Impulses (Imp/(var.h))")</f>
        <v>#N/A</v>
      </c>
      <c r="I21" s="580" t="s">
        <v>978</v>
      </c>
      <c r="J21" s="578" t="s">
        <v>576</v>
      </c>
      <c r="K21" s="581" t="s">
        <v>979</v>
      </c>
      <c r="L21" s="65" t="s">
        <v>786</v>
      </c>
      <c r="M21" s="582" t="s">
        <v>972</v>
      </c>
      <c r="N21" s="582" t="s">
        <v>578</v>
      </c>
      <c r="O21" s="582" t="s">
        <v>973</v>
      </c>
      <c r="P21" s="582" t="s">
        <v>752</v>
      </c>
      <c r="Q21" s="21"/>
    </row>
    <row r="22" spans="2:17" ht="15" x14ac:dyDescent="0.25">
      <c r="C22" s="583" t="e">
        <f>VLOOKUP($B22,'Star Data'!$A$1:$GC$1212,3,FALSE)</f>
        <v>#N/A</v>
      </c>
      <c r="D22" s="589" t="e">
        <f>VLOOKUP($B22,'Star Data'!$A$4:$GC$1163,171,FALSE)</f>
        <v>#N/A</v>
      </c>
      <c r="E22" s="585" t="e">
        <f>IF(C22=123,AVERAGE(VLOOKUP($B22,'Star Data'!$A$4:$GC$1163,20,FALSE),VLOOKUP($B22,'Star Data'!$A$4:$GC$1163,21,FALSE),VLOOKUP($B22,'Star Data'!$A$4:$GC$1163,22,FALSE)),VLOOKUP($B22,'Star Data'!$A$4:$GC$1163,20,FALSE))</f>
        <v>#N/A</v>
      </c>
      <c r="F22" s="585" t="e">
        <f t="shared" ref="F22:F35" si="4">M22</f>
        <v>#N/A</v>
      </c>
      <c r="G22" s="583" t="e">
        <f t="shared" ref="G22:G34" si="5">ROUND(IF(L22="watts",COS(RADIANS(M22)),COS(RADIANS(M22-90))),N22)&amp;" "&amp;O22</f>
        <v>#N/A</v>
      </c>
      <c r="H22" s="584" t="e">
        <f>VLOOKUP($B22,'Star Data'!$A$4:$GC$1163,170,FALSE)</f>
        <v>#N/A</v>
      </c>
      <c r="I22" s="608" t="e">
        <f>VLOOKUP($B22,'Star Data'!$A$4:$GC$1163,169,FALSE)</f>
        <v>#N/A</v>
      </c>
      <c r="J22" s="608" t="e">
        <f>VLOOKUP($B22,'Star Data'!$A$4:$GC$1163,166,FALSE)</f>
        <v>#N/A</v>
      </c>
      <c r="K22" s="589" t="e">
        <f>VLOOKUP($B22,'Star Data'!$A$4:$GC$1163,165,FALSE)</f>
        <v>#N/A</v>
      </c>
      <c r="L22" s="10" t="e">
        <f>VLOOKUP($B22,'Star Data'!$A$4:$GC$1163,2,FALSE)</f>
        <v>#N/A</v>
      </c>
      <c r="M22" s="600" t="e">
        <f>IF(C22=123,AVERAGE(VLOOKUP($B22,'Star Data'!$A$4:$GC$1163,23,FALSE),VLOOKUP($B22,'Star Data'!$A$4:$GC$1163,24,FALSE),VLOOKUP($B22,'Star Data'!$A$4:$GC$1163,25,FALSE)),VLOOKUP($B22,'Star Data'!$A$4:$GC$1163,23,FALSE))</f>
        <v>#N/A</v>
      </c>
      <c r="N22">
        <v>1</v>
      </c>
      <c r="O22" t="e">
        <f t="shared" ref="O22:O35" si="6">IF(MOD(ROUND((M22+360)/90,2),1)=0," ",IF(ISODD((M22+360)/90),"Lead", "Lag"))</f>
        <v>#N/A</v>
      </c>
      <c r="P22" s="10" t="e">
        <f t="shared" ref="P22:P34" si="7">IF(L22="watts",J22*10000*COS(RADIANS(M22))/(40+6*(1-ABS(COS(RADIANS(M22))))),J22*10000*ABS(SIN(RADIANS(M22)))/(40+90*ABS(SIN(RADIANS(M22)))))</f>
        <v>#N/A</v>
      </c>
    </row>
    <row r="23" spans="2:17" ht="15" x14ac:dyDescent="0.25">
      <c r="C23" s="583" t="e">
        <f>VLOOKUP($B23,'Star Data'!$A$1:$GC$1212,3,FALSE)</f>
        <v>#N/A</v>
      </c>
      <c r="D23" s="589" t="e">
        <f>VLOOKUP($B23,'Star Data'!$A$4:$GC$1163,171,FALSE)</f>
        <v>#N/A</v>
      </c>
      <c r="E23" s="585" t="e">
        <f>IF(C23=123,AVERAGE(VLOOKUP($B23,'Star Data'!$A$4:$GC$1163,20,FALSE),VLOOKUP($B23,'Star Data'!$A$4:$GC$1163,21,FALSE),VLOOKUP($B23,'Star Data'!$A$4:$GC$1163,22,FALSE)),VLOOKUP($B23,'Star Data'!$A$4:$GC$1163,20,FALSE))</f>
        <v>#N/A</v>
      </c>
      <c r="F23" s="585" t="e">
        <f t="shared" si="4"/>
        <v>#N/A</v>
      </c>
      <c r="G23" s="583" t="e">
        <f t="shared" si="5"/>
        <v>#N/A</v>
      </c>
      <c r="H23" s="584" t="e">
        <f>VLOOKUP($B23,'Star Data'!$A$4:$GC$1163,170,FALSE)</f>
        <v>#N/A</v>
      </c>
      <c r="I23" s="608" t="e">
        <f>VLOOKUP($B23,'Star Data'!$A$4:$GC$1163,169,FALSE)</f>
        <v>#N/A</v>
      </c>
      <c r="J23" s="608" t="e">
        <f>VLOOKUP($B23,'Star Data'!$A$4:$GC$1163,166,FALSE)</f>
        <v>#N/A</v>
      </c>
      <c r="K23" s="589" t="e">
        <f>VLOOKUP($B23,'Star Data'!$A$4:$GC$1163,165,FALSE)</f>
        <v>#N/A</v>
      </c>
      <c r="L23" s="10" t="e">
        <f>VLOOKUP($B23,'Star Data'!$A$4:$GC$1163,2,FALSE)</f>
        <v>#N/A</v>
      </c>
      <c r="M23" s="600" t="e">
        <f>IF(C23=123,AVERAGE(VLOOKUP($B23,'Star Data'!$A$4:$GC$1163,23,FALSE),VLOOKUP($B23,'Star Data'!$A$4:$GC$1163,24,FALSE),VLOOKUP($B23,'Star Data'!$A$4:$GC$1163,25,FALSE)),VLOOKUP($B23,'Star Data'!$A$4:$GC$1163,23,FALSE))</f>
        <v>#N/A</v>
      </c>
      <c r="N23">
        <v>1</v>
      </c>
      <c r="O23" t="e">
        <f t="shared" si="6"/>
        <v>#N/A</v>
      </c>
      <c r="P23" s="10" t="e">
        <f t="shared" si="7"/>
        <v>#N/A</v>
      </c>
    </row>
    <row r="24" spans="2:17" ht="15" x14ac:dyDescent="0.25">
      <c r="C24" s="583" t="e">
        <f>VLOOKUP($B24,'Star Data'!$A$1:$GC$1212,3,FALSE)</f>
        <v>#N/A</v>
      </c>
      <c r="D24" s="589" t="e">
        <f>VLOOKUP($B24,'Star Data'!$A$4:$GC$1163,171,FALSE)</f>
        <v>#N/A</v>
      </c>
      <c r="E24" s="585" t="e">
        <f>IF(C24=123,AVERAGE(VLOOKUP($B24,'Star Data'!$A$4:$GC$1163,20,FALSE),VLOOKUP($B24,'Star Data'!$A$4:$GC$1163,21,FALSE),VLOOKUP($B24,'Star Data'!$A$4:$GC$1163,22,FALSE)),VLOOKUP($B24,'Star Data'!$A$4:$GC$1163,20,FALSE))</f>
        <v>#N/A</v>
      </c>
      <c r="F24" s="585" t="e">
        <f t="shared" si="4"/>
        <v>#N/A</v>
      </c>
      <c r="G24" s="583" t="e">
        <f t="shared" si="5"/>
        <v>#N/A</v>
      </c>
      <c r="H24" s="584" t="e">
        <f>VLOOKUP($B24,'Star Data'!$A$4:$GC$1163,170,FALSE)</f>
        <v>#N/A</v>
      </c>
      <c r="I24" s="608" t="e">
        <f>VLOOKUP($B24,'Star Data'!$A$4:$GC$1163,169,FALSE)</f>
        <v>#N/A</v>
      </c>
      <c r="J24" s="608" t="e">
        <f>VLOOKUP($B24,'Star Data'!$A$4:$GC$1163,166,FALSE)</f>
        <v>#N/A</v>
      </c>
      <c r="K24" s="589" t="e">
        <f>VLOOKUP($B24,'Star Data'!$A$4:$GC$1163,165,FALSE)</f>
        <v>#N/A</v>
      </c>
      <c r="L24" s="10" t="e">
        <f>VLOOKUP($B24,'Star Data'!$A$4:$GC$1163,2,FALSE)</f>
        <v>#N/A</v>
      </c>
      <c r="M24" s="600" t="e">
        <f>IF(C24=123,AVERAGE(VLOOKUP($B24,'Star Data'!$A$4:$GC$1163,23,FALSE),VLOOKUP($B24,'Star Data'!$A$4:$GC$1163,24,FALSE),VLOOKUP($B24,'Star Data'!$A$4:$GC$1163,25,FALSE)),VLOOKUP($B24,'Star Data'!$A$4:$GC$1163,23,FALSE))</f>
        <v>#N/A</v>
      </c>
      <c r="N24">
        <v>1</v>
      </c>
      <c r="O24" t="e">
        <f t="shared" si="6"/>
        <v>#N/A</v>
      </c>
      <c r="P24" s="10" t="e">
        <f t="shared" si="7"/>
        <v>#N/A</v>
      </c>
    </row>
    <row r="25" spans="2:17" ht="15" x14ac:dyDescent="0.25">
      <c r="C25" s="583" t="e">
        <f>VLOOKUP($B25,'Star Data'!$A$1:$GC$1212,3,FALSE)</f>
        <v>#N/A</v>
      </c>
      <c r="D25" s="584" t="e">
        <f>VLOOKUP($B25,'Star Data'!$A$4:$GC$1163,171,FALSE)</f>
        <v>#N/A</v>
      </c>
      <c r="E25" s="585" t="e">
        <f>IF(C25=123,AVERAGE(VLOOKUP($B25,'Star Data'!$A$4:$GC$1163,20,FALSE),VLOOKUP($B25,'Star Data'!$A$4:$GC$1163,21,FALSE),VLOOKUP($B25,'Star Data'!$A$4:$GC$1163,22,FALSE)),VLOOKUP($B25,'Star Data'!$A$4:$GC$1163,20,FALSE))</f>
        <v>#N/A</v>
      </c>
      <c r="F25" s="585" t="e">
        <f t="shared" si="4"/>
        <v>#N/A</v>
      </c>
      <c r="G25" s="583" t="e">
        <f t="shared" si="5"/>
        <v>#N/A</v>
      </c>
      <c r="H25" s="584" t="e">
        <f>VLOOKUP($B25,'Star Data'!$A$4:$GC$1163,170,FALSE)</f>
        <v>#N/A</v>
      </c>
      <c r="I25" s="608" t="e">
        <f>VLOOKUP($B25,'Star Data'!$A$4:$GC$1163,169,FALSE)</f>
        <v>#N/A</v>
      </c>
      <c r="J25" s="608" t="e">
        <f>VLOOKUP($B25,'Star Data'!$A$4:$GC$1163,166,FALSE)</f>
        <v>#N/A</v>
      </c>
      <c r="K25" s="589" t="e">
        <f>VLOOKUP($B25,'Star Data'!$A$4:$GC$1163,165,FALSE)</f>
        <v>#N/A</v>
      </c>
      <c r="L25" s="10" t="e">
        <f>VLOOKUP($B25,'Star Data'!$A$4:$GC$1163,2,FALSE)</f>
        <v>#N/A</v>
      </c>
      <c r="M25" s="600" t="e">
        <f>IF(C25=123,AVERAGE(VLOOKUP($B25,'Star Data'!$A$4:$GC$1163,23,FALSE),VLOOKUP($B25,'Star Data'!$A$4:$GC$1163,24,FALSE),VLOOKUP($B25,'Star Data'!$A$4:$GC$1163,25,FALSE)),VLOOKUP($B25,'Star Data'!$A$4:$GC$1163,23,FALSE))</f>
        <v>#N/A</v>
      </c>
      <c r="N25">
        <v>1</v>
      </c>
      <c r="O25" t="e">
        <f t="shared" si="6"/>
        <v>#N/A</v>
      </c>
      <c r="P25" s="10" t="e">
        <f t="shared" si="7"/>
        <v>#N/A</v>
      </c>
    </row>
    <row r="26" spans="2:17" ht="15" x14ac:dyDescent="0.25">
      <c r="C26" s="583" t="e">
        <f>VLOOKUP($B26,'Star Data'!$A$1:$GC$1212,3,FALSE)</f>
        <v>#N/A</v>
      </c>
      <c r="D26" s="584" t="e">
        <f>VLOOKUP($B26,'Star Data'!$A$4:$GC$1163,171,FALSE)</f>
        <v>#N/A</v>
      </c>
      <c r="E26" s="585" t="e">
        <f>IF(C26=123,AVERAGE(VLOOKUP($B26,'Star Data'!$A$4:$GC$1163,20,FALSE),VLOOKUP($B26,'Star Data'!$A$4:$GC$1163,21,FALSE),VLOOKUP($B26,'Star Data'!$A$4:$GC$1163,22,FALSE)),VLOOKUP($B26,'Star Data'!$A$4:$GC$1163,20,FALSE))</f>
        <v>#N/A</v>
      </c>
      <c r="F26" s="585" t="e">
        <f t="shared" si="4"/>
        <v>#N/A</v>
      </c>
      <c r="G26" s="583" t="e">
        <f t="shared" si="5"/>
        <v>#N/A</v>
      </c>
      <c r="H26" s="584" t="e">
        <f>VLOOKUP($B26,'Star Data'!$A$4:$GC$1163,170,FALSE)</f>
        <v>#N/A</v>
      </c>
      <c r="I26" s="608" t="e">
        <f>VLOOKUP($B26,'Star Data'!$A$4:$GC$1163,169,FALSE)</f>
        <v>#N/A</v>
      </c>
      <c r="J26" s="608" t="e">
        <f>VLOOKUP($B26,'Star Data'!$A$4:$GC$1163,166,FALSE)</f>
        <v>#N/A</v>
      </c>
      <c r="K26" s="589" t="e">
        <f>VLOOKUP($B26,'Star Data'!$A$4:$GC$1163,165,FALSE)</f>
        <v>#N/A</v>
      </c>
      <c r="L26" s="10" t="e">
        <f>VLOOKUP($B26,'Star Data'!$A$4:$GC$1163,2,FALSE)</f>
        <v>#N/A</v>
      </c>
      <c r="M26" s="600" t="e">
        <f>IF(C26=123,AVERAGE(VLOOKUP($B26,'Star Data'!$A$4:$GC$1163,23,FALSE),VLOOKUP($B26,'Star Data'!$A$4:$GC$1163,24,FALSE),VLOOKUP($B26,'Star Data'!$A$4:$GC$1163,25,FALSE)),VLOOKUP($B26,'Star Data'!$A$4:$GC$1163,23,FALSE))</f>
        <v>#N/A</v>
      </c>
      <c r="N26">
        <v>1</v>
      </c>
      <c r="O26" t="e">
        <f t="shared" si="6"/>
        <v>#N/A</v>
      </c>
      <c r="P26" s="10" t="e">
        <f t="shared" si="7"/>
        <v>#N/A</v>
      </c>
    </row>
    <row r="27" spans="2:17" ht="15" x14ac:dyDescent="0.25">
      <c r="C27" s="583" t="e">
        <f>VLOOKUP($B27,'Star Data'!$A$1:$GC$1212,3,FALSE)</f>
        <v>#N/A</v>
      </c>
      <c r="D27" s="584" t="e">
        <f>VLOOKUP($B27,'Star Data'!$A$4:$GC$1163,171,FALSE)</f>
        <v>#N/A</v>
      </c>
      <c r="E27" s="585" t="e">
        <f>IF(C27=123,AVERAGE(VLOOKUP($B27,'Star Data'!$A$4:$GC$1163,20,FALSE),VLOOKUP($B27,'Star Data'!$A$4:$GC$1163,21,FALSE),VLOOKUP($B27,'Star Data'!$A$4:$GC$1163,22,FALSE)),VLOOKUP($B27,'Star Data'!$A$4:$GC$1163,20,FALSE))</f>
        <v>#N/A</v>
      </c>
      <c r="F27" s="585" t="e">
        <f t="shared" si="4"/>
        <v>#N/A</v>
      </c>
      <c r="G27" s="583" t="e">
        <f t="shared" si="5"/>
        <v>#N/A</v>
      </c>
      <c r="H27" s="584" t="e">
        <f>VLOOKUP($B27,'Star Data'!$A$4:$GC$1163,170,FALSE)</f>
        <v>#N/A</v>
      </c>
      <c r="I27" s="608" t="e">
        <f>VLOOKUP($B27,'Star Data'!$A$4:$GC$1163,169,FALSE)</f>
        <v>#N/A</v>
      </c>
      <c r="J27" s="608" t="e">
        <f>VLOOKUP($B27,'Star Data'!$A$4:$GC$1163,166,FALSE)</f>
        <v>#N/A</v>
      </c>
      <c r="K27" s="589" t="e">
        <f>VLOOKUP($B27,'Star Data'!$A$4:$GC$1163,165,FALSE)</f>
        <v>#N/A</v>
      </c>
      <c r="L27" s="10" t="e">
        <f>VLOOKUP($B27,'Star Data'!$A$4:$GC$1163,2,FALSE)</f>
        <v>#N/A</v>
      </c>
      <c r="M27" s="600" t="e">
        <f>IF(C27=123,AVERAGE(VLOOKUP($B27,'Star Data'!$A$4:$GC$1163,23,FALSE),VLOOKUP($B27,'Star Data'!$A$4:$GC$1163,24,FALSE),VLOOKUP($B27,'Star Data'!$A$4:$GC$1163,25,FALSE)),VLOOKUP($B27,'Star Data'!$A$4:$GC$1163,23,FALSE))</f>
        <v>#N/A</v>
      </c>
      <c r="N27">
        <v>1</v>
      </c>
      <c r="O27" t="e">
        <f t="shared" si="6"/>
        <v>#N/A</v>
      </c>
      <c r="P27" s="10" t="e">
        <f t="shared" si="7"/>
        <v>#N/A</v>
      </c>
    </row>
    <row r="28" spans="2:17" ht="15" x14ac:dyDescent="0.25">
      <c r="C28" s="583" t="e">
        <f>VLOOKUP($B28,'Star Data'!$A$1:$GC$1212,3,FALSE)</f>
        <v>#N/A</v>
      </c>
      <c r="D28" s="589" t="e">
        <f>VLOOKUP($B28,'Star Data'!$A$4:$GC$1163,171,FALSE)</f>
        <v>#N/A</v>
      </c>
      <c r="E28" s="585" t="e">
        <f>IF(C28=123,AVERAGE(VLOOKUP($B28,'Star Data'!$A$4:$GC$1163,20,FALSE),VLOOKUP($B28,'Star Data'!$A$4:$GC$1163,21,FALSE),VLOOKUP($B28,'Star Data'!$A$4:$GC$1163,22,FALSE)),VLOOKUP($B28,'Star Data'!$A$4:$GC$1163,20,FALSE))</f>
        <v>#N/A</v>
      </c>
      <c r="F28" s="585" t="e">
        <f t="shared" si="4"/>
        <v>#N/A</v>
      </c>
      <c r="G28" s="583" t="e">
        <f t="shared" si="5"/>
        <v>#N/A</v>
      </c>
      <c r="H28" s="584" t="e">
        <f>VLOOKUP($B28,'Star Data'!$A$4:$GC$1163,170,FALSE)</f>
        <v>#N/A</v>
      </c>
      <c r="I28" s="608" t="e">
        <f>VLOOKUP($B28,'Star Data'!$A$4:$GC$1163,169,FALSE)</f>
        <v>#N/A</v>
      </c>
      <c r="J28" s="608" t="e">
        <f>VLOOKUP($B28,'Star Data'!$A$4:$GC$1163,166,FALSE)</f>
        <v>#N/A</v>
      </c>
      <c r="K28" s="589" t="e">
        <f>VLOOKUP($B28,'Star Data'!$A$4:$GC$1163,165,FALSE)</f>
        <v>#N/A</v>
      </c>
      <c r="L28" s="10" t="e">
        <f>VLOOKUP($B28,'Star Data'!$A$4:$GC$1163,2,FALSE)</f>
        <v>#N/A</v>
      </c>
      <c r="M28" s="600" t="e">
        <f>IF(C28=123,AVERAGE(VLOOKUP($B28,'Star Data'!$A$4:$GC$1163,23,FALSE),VLOOKUP($B28,'Star Data'!$A$4:$GC$1163,24,FALSE),VLOOKUP($B28,'Star Data'!$A$4:$GC$1163,25,FALSE)),VLOOKUP($B28,'Star Data'!$A$4:$GC$1163,23,FALSE))</f>
        <v>#N/A</v>
      </c>
      <c r="N28">
        <v>1</v>
      </c>
      <c r="O28" t="e">
        <f t="shared" si="6"/>
        <v>#N/A</v>
      </c>
      <c r="P28" s="10" t="e">
        <f t="shared" si="7"/>
        <v>#N/A</v>
      </c>
    </row>
    <row r="29" spans="2:17" ht="15" x14ac:dyDescent="0.25">
      <c r="C29" s="583" t="e">
        <f>VLOOKUP($B29,'Star Data'!$A$1:$GC$1212,3,FALSE)</f>
        <v>#N/A</v>
      </c>
      <c r="D29" s="589" t="e">
        <f>VLOOKUP($B29,'Star Data'!$A$4:$GC$1163,171,FALSE)</f>
        <v>#N/A</v>
      </c>
      <c r="E29" s="585" t="e">
        <f>IF(C29=123,AVERAGE(VLOOKUP($B29,'Star Data'!$A$4:$GC$1163,20,FALSE),VLOOKUP($B29,'Star Data'!$A$4:$GC$1163,21,FALSE),VLOOKUP($B29,'Star Data'!$A$4:$GC$1163,22,FALSE)),VLOOKUP($B29,'Star Data'!$A$4:$GC$1163,20,FALSE))</f>
        <v>#N/A</v>
      </c>
      <c r="F29" s="585" t="e">
        <f t="shared" si="4"/>
        <v>#N/A</v>
      </c>
      <c r="G29" s="583" t="e">
        <f t="shared" si="5"/>
        <v>#N/A</v>
      </c>
      <c r="H29" s="584" t="e">
        <f>VLOOKUP($B29,'Star Data'!$A$4:$GC$1163,170,FALSE)</f>
        <v>#N/A</v>
      </c>
      <c r="I29" s="608" t="e">
        <f>VLOOKUP($B29,'Star Data'!$A$4:$GC$1163,169,FALSE)</f>
        <v>#N/A</v>
      </c>
      <c r="J29" s="608" t="e">
        <f>VLOOKUP($B29,'Star Data'!$A$4:$GC$1163,166,FALSE)</f>
        <v>#N/A</v>
      </c>
      <c r="K29" s="589" t="e">
        <f>VLOOKUP($B29,'Star Data'!$A$4:$GC$1163,165,FALSE)</f>
        <v>#N/A</v>
      </c>
      <c r="L29" s="10" t="e">
        <f>VLOOKUP($B29,'Star Data'!$A$4:$GC$1163,2,FALSE)</f>
        <v>#N/A</v>
      </c>
      <c r="M29" s="600" t="e">
        <f>IF(C29=123,AVERAGE(VLOOKUP($B29,'Star Data'!$A$4:$GC$1163,23,FALSE),VLOOKUP($B29,'Star Data'!$A$4:$GC$1163,24,FALSE),VLOOKUP($B29,'Star Data'!$A$4:$GC$1163,25,FALSE)),VLOOKUP($B29,'Star Data'!$A$4:$GC$1163,23,FALSE))</f>
        <v>#N/A</v>
      </c>
      <c r="N29">
        <v>1</v>
      </c>
      <c r="O29" t="e">
        <f t="shared" si="6"/>
        <v>#N/A</v>
      </c>
      <c r="P29" s="10" t="e">
        <f t="shared" si="7"/>
        <v>#N/A</v>
      </c>
    </row>
    <row r="30" spans="2:17" ht="15" x14ac:dyDescent="0.25">
      <c r="C30" s="583" t="e">
        <f>VLOOKUP($B30,'Star Data'!$A$1:$GC$1212,3,FALSE)</f>
        <v>#N/A</v>
      </c>
      <c r="D30" s="589" t="e">
        <f>VLOOKUP($B30,'Star Data'!$A$4:$GC$1163,171,FALSE)</f>
        <v>#N/A</v>
      </c>
      <c r="E30" s="585" t="e">
        <f>IF(C30=123,AVERAGE(VLOOKUP($B30,'Star Data'!$A$4:$GC$1163,20,FALSE),VLOOKUP($B30,'Star Data'!$A$4:$GC$1163,21,FALSE),VLOOKUP($B30,'Star Data'!$A$4:$GC$1163,22,FALSE)),VLOOKUP($B30,'Star Data'!$A$4:$GC$1163,20,FALSE))</f>
        <v>#N/A</v>
      </c>
      <c r="F30" s="585" t="e">
        <f t="shared" si="4"/>
        <v>#N/A</v>
      </c>
      <c r="G30" s="583" t="e">
        <f t="shared" si="5"/>
        <v>#N/A</v>
      </c>
      <c r="H30" s="584" t="e">
        <f>VLOOKUP($B30,'Star Data'!$A$4:$GC$1163,170,FALSE)</f>
        <v>#N/A</v>
      </c>
      <c r="I30" s="608" t="e">
        <f>VLOOKUP($B30,'Star Data'!$A$4:$GC$1163,169,FALSE)</f>
        <v>#N/A</v>
      </c>
      <c r="J30" s="608" t="e">
        <f>VLOOKUP($B30,'Star Data'!$A$4:$GC$1163,166,FALSE)</f>
        <v>#N/A</v>
      </c>
      <c r="K30" s="589" t="e">
        <f>VLOOKUP($B30,'Star Data'!$A$4:$GC$1163,165,FALSE)</f>
        <v>#N/A</v>
      </c>
      <c r="L30" s="10" t="e">
        <f>VLOOKUP($B30,'Star Data'!$A$4:$GC$1163,2,FALSE)</f>
        <v>#N/A</v>
      </c>
      <c r="M30" s="600" t="e">
        <f>IF(C30=123,AVERAGE(VLOOKUP($B30,'Star Data'!$A$4:$GC$1163,23,FALSE),VLOOKUP($B30,'Star Data'!$A$4:$GC$1163,24,FALSE),VLOOKUP($B30,'Star Data'!$A$4:$GC$1163,25,FALSE)),VLOOKUP($B30,'Star Data'!$A$4:$GC$1163,23,FALSE))</f>
        <v>#N/A</v>
      </c>
      <c r="N30">
        <v>1</v>
      </c>
      <c r="O30" t="e">
        <f t="shared" si="6"/>
        <v>#N/A</v>
      </c>
      <c r="P30" s="10" t="e">
        <f t="shared" si="7"/>
        <v>#N/A</v>
      </c>
    </row>
    <row r="31" spans="2:17" ht="15" x14ac:dyDescent="0.25">
      <c r="C31" s="583" t="e">
        <f>VLOOKUP($B31,'Star Data'!$A$1:$GC$1212,3,FALSE)</f>
        <v>#N/A</v>
      </c>
      <c r="D31" s="589" t="e">
        <f>VLOOKUP($B31,'Star Data'!$A$4:$GC$1163,171,FALSE)</f>
        <v>#N/A</v>
      </c>
      <c r="E31" s="585" t="e">
        <f>IF(C31=123,AVERAGE(VLOOKUP($B31,'Star Data'!$A$4:$GC$1163,20,FALSE),VLOOKUP($B31,'Star Data'!$A$4:$GC$1163,21,FALSE),VLOOKUP($B31,'Star Data'!$A$4:$GC$1163,22,FALSE)),VLOOKUP($B31,'Star Data'!$A$4:$GC$1163,20,FALSE))</f>
        <v>#N/A</v>
      </c>
      <c r="F31" s="585" t="e">
        <f t="shared" si="4"/>
        <v>#N/A</v>
      </c>
      <c r="G31" s="583" t="e">
        <f t="shared" si="5"/>
        <v>#N/A</v>
      </c>
      <c r="H31" s="584" t="e">
        <f>VLOOKUP($B31,'Star Data'!$A$4:$GC$1163,170,FALSE)</f>
        <v>#N/A</v>
      </c>
      <c r="I31" s="608" t="e">
        <f>VLOOKUP($B31,'Star Data'!$A$4:$GC$1163,169,FALSE)</f>
        <v>#N/A</v>
      </c>
      <c r="J31" s="608" t="e">
        <f>VLOOKUP($B31,'Star Data'!$A$4:$GC$1163,166,FALSE)</f>
        <v>#N/A</v>
      </c>
      <c r="K31" s="589" t="e">
        <f>VLOOKUP($B31,'Star Data'!$A$4:$GC$1163,165,FALSE)</f>
        <v>#N/A</v>
      </c>
      <c r="L31" s="10" t="e">
        <f>VLOOKUP($B31,'Star Data'!$A$4:$GC$1163,2,FALSE)</f>
        <v>#N/A</v>
      </c>
      <c r="M31" s="600" t="e">
        <f>IF(C31=123,AVERAGE(VLOOKUP($B31,'Star Data'!$A$4:$GC$1163,23,FALSE),VLOOKUP($B31,'Star Data'!$A$4:$GC$1163,24,FALSE),VLOOKUP($B31,'Star Data'!$A$4:$GC$1163,25,FALSE)),VLOOKUP($B31,'Star Data'!$A$4:$GC$1163,23,FALSE))</f>
        <v>#N/A</v>
      </c>
      <c r="N31">
        <v>1</v>
      </c>
      <c r="O31" t="e">
        <f t="shared" si="6"/>
        <v>#N/A</v>
      </c>
      <c r="P31" s="10" t="e">
        <f t="shared" si="7"/>
        <v>#N/A</v>
      </c>
    </row>
    <row r="32" spans="2:17" ht="15" x14ac:dyDescent="0.25">
      <c r="C32" s="583" t="e">
        <f>VLOOKUP($B32,'Star Data'!$A$1:$GC$1212,3,FALSE)</f>
        <v>#N/A</v>
      </c>
      <c r="D32" s="589" t="e">
        <f>VLOOKUP($B32,'Star Data'!$A$4:$GC$1163,171,FALSE)</f>
        <v>#N/A</v>
      </c>
      <c r="E32" s="585" t="e">
        <f>IF(C32=123,AVERAGE(VLOOKUP($B32,'Star Data'!$A$4:$GC$1163,20,FALSE),VLOOKUP($B32,'Star Data'!$A$4:$GC$1163,21,FALSE),VLOOKUP($B32,'Star Data'!$A$4:$GC$1163,22,FALSE)),VLOOKUP($B32,'Star Data'!$A$4:$GC$1163,20,FALSE))</f>
        <v>#N/A</v>
      </c>
      <c r="F32" s="585" t="e">
        <f t="shared" si="4"/>
        <v>#N/A</v>
      </c>
      <c r="G32" s="583" t="e">
        <f t="shared" si="5"/>
        <v>#N/A</v>
      </c>
      <c r="H32" s="584" t="e">
        <f>VLOOKUP($B32,'Star Data'!$A$4:$GC$1163,170,FALSE)</f>
        <v>#N/A</v>
      </c>
      <c r="I32" s="608" t="e">
        <f>VLOOKUP($B32,'Star Data'!$A$4:$GC$1163,169,FALSE)</f>
        <v>#N/A</v>
      </c>
      <c r="J32" s="608" t="e">
        <f>VLOOKUP($B32,'Star Data'!$A$4:$GC$1163,166,FALSE)</f>
        <v>#N/A</v>
      </c>
      <c r="K32" s="589" t="e">
        <f>VLOOKUP($B32,'Star Data'!$A$4:$GC$1163,165,FALSE)</f>
        <v>#N/A</v>
      </c>
      <c r="L32" s="10" t="e">
        <f>VLOOKUP($B32,'Star Data'!$A$4:$GC$1163,2,FALSE)</f>
        <v>#N/A</v>
      </c>
      <c r="M32" s="600" t="e">
        <f>IF(C32=123,AVERAGE(VLOOKUP($B32,'Star Data'!$A$4:$GC$1163,23,FALSE),VLOOKUP($B32,'Star Data'!$A$4:$GC$1163,24,FALSE),VLOOKUP($B32,'Star Data'!$A$4:$GC$1163,25,FALSE)),VLOOKUP($B32,'Star Data'!$A$4:$GC$1163,23,FALSE))</f>
        <v>#N/A</v>
      </c>
      <c r="N32">
        <v>1</v>
      </c>
      <c r="O32" t="e">
        <f t="shared" si="6"/>
        <v>#N/A</v>
      </c>
      <c r="P32" s="10" t="e">
        <f t="shared" si="7"/>
        <v>#N/A</v>
      </c>
    </row>
    <row r="33" spans="3:16" ht="15" x14ac:dyDescent="0.25">
      <c r="C33" s="583" t="e">
        <f>VLOOKUP($B33,'Star Data'!$A$1:$GC$1212,3,FALSE)</f>
        <v>#N/A</v>
      </c>
      <c r="D33" s="589" t="e">
        <f>VLOOKUP($B33,'Star Data'!$A$4:$GC$1163,171,FALSE)</f>
        <v>#N/A</v>
      </c>
      <c r="E33" s="585" t="e">
        <f>IF(C33=123,AVERAGE(VLOOKUP($B33,'Star Data'!$A$4:$GC$1163,20,FALSE),VLOOKUP($B33,'Star Data'!$A$4:$GC$1163,21,FALSE),VLOOKUP($B33,'Star Data'!$A$4:$GC$1163,22,FALSE)),VLOOKUP($B33,'Star Data'!$A$4:$GC$1163,20,FALSE))</f>
        <v>#N/A</v>
      </c>
      <c r="F33" s="585" t="e">
        <f t="shared" si="4"/>
        <v>#N/A</v>
      </c>
      <c r="G33" s="583" t="e">
        <f t="shared" si="5"/>
        <v>#N/A</v>
      </c>
      <c r="H33" s="584" t="e">
        <f>VLOOKUP($B33,'Star Data'!$A$4:$GC$1163,170,FALSE)</f>
        <v>#N/A</v>
      </c>
      <c r="I33" s="608" t="e">
        <f>VLOOKUP($B33,'Star Data'!$A$4:$GC$1163,169,FALSE)</f>
        <v>#N/A</v>
      </c>
      <c r="J33" s="608" t="e">
        <f>VLOOKUP($B33,'Star Data'!$A$4:$GC$1163,166,FALSE)</f>
        <v>#N/A</v>
      </c>
      <c r="K33" s="589" t="e">
        <f>VLOOKUP($B33,'Star Data'!$A$4:$GC$1163,165,FALSE)</f>
        <v>#N/A</v>
      </c>
      <c r="L33" s="10" t="e">
        <f>VLOOKUP($B33,'Star Data'!$A$4:$GC$1163,2,FALSE)</f>
        <v>#N/A</v>
      </c>
      <c r="M33" s="600" t="e">
        <f>IF(C33=123,AVERAGE(VLOOKUP($B33,'Star Data'!$A$4:$GC$1163,23,FALSE),VLOOKUP($B33,'Star Data'!$A$4:$GC$1163,24,FALSE),VLOOKUP($B33,'Star Data'!$A$4:$GC$1163,25,FALSE)),VLOOKUP($B33,'Star Data'!$A$4:$GC$1163,23,FALSE))</f>
        <v>#N/A</v>
      </c>
      <c r="N33">
        <v>1</v>
      </c>
      <c r="O33" t="e">
        <f t="shared" si="6"/>
        <v>#N/A</v>
      </c>
      <c r="P33" s="10" t="e">
        <f t="shared" si="7"/>
        <v>#N/A</v>
      </c>
    </row>
    <row r="34" spans="3:16" ht="15" x14ac:dyDescent="0.25">
      <c r="C34" s="583" t="e">
        <f>VLOOKUP($B34,'Star Data'!$A$1:$GC$1212,3,FALSE)</f>
        <v>#N/A</v>
      </c>
      <c r="D34" s="589" t="e">
        <f>VLOOKUP($B34,'Star Data'!$A$4:$GC$1163,171,FALSE)</f>
        <v>#N/A</v>
      </c>
      <c r="E34" s="585" t="e">
        <f>IF(C34=123,AVERAGE(VLOOKUP($B34,'Star Data'!$A$4:$GC$1163,20,FALSE),VLOOKUP($B34,'Star Data'!$A$4:$GC$1163,21,FALSE),VLOOKUP($B34,'Star Data'!$A$4:$GC$1163,22,FALSE)),VLOOKUP($B34,'Star Data'!$A$4:$GC$1163,20,FALSE))</f>
        <v>#N/A</v>
      </c>
      <c r="F34" s="585" t="e">
        <f t="shared" si="4"/>
        <v>#N/A</v>
      </c>
      <c r="G34" s="583" t="e">
        <f t="shared" si="5"/>
        <v>#N/A</v>
      </c>
      <c r="H34" s="584" t="e">
        <f>VLOOKUP($B34,'Star Data'!$A$4:$GC$1163,170,FALSE)</f>
        <v>#N/A</v>
      </c>
      <c r="I34" s="608" t="e">
        <f>VLOOKUP($B34,'Star Data'!$A$4:$GC$1163,169,FALSE)</f>
        <v>#N/A</v>
      </c>
      <c r="J34" s="608" t="e">
        <f>VLOOKUP($B34,'Star Data'!$A$4:$GC$1163,166,FALSE)</f>
        <v>#N/A</v>
      </c>
      <c r="K34" s="589" t="e">
        <f>VLOOKUP($B34,'Star Data'!$A$4:$GC$1163,165,FALSE)</f>
        <v>#N/A</v>
      </c>
      <c r="L34" s="10" t="e">
        <f>VLOOKUP($B34,'Star Data'!$A$4:$GC$1163,2,FALSE)</f>
        <v>#N/A</v>
      </c>
      <c r="M34" s="600" t="e">
        <f>IF(C34=123,AVERAGE(VLOOKUP($B34,'Star Data'!$A$4:$GC$1163,23,FALSE),VLOOKUP($B34,'Star Data'!$A$4:$GC$1163,24,FALSE),VLOOKUP($B34,'Star Data'!$A$4:$GC$1163,25,FALSE)),VLOOKUP($B34,'Star Data'!$A$4:$GC$1163,23,FALSE))</f>
        <v>#N/A</v>
      </c>
      <c r="N34">
        <v>1</v>
      </c>
      <c r="O34" t="e">
        <f t="shared" si="6"/>
        <v>#N/A</v>
      </c>
      <c r="P34" s="10" t="e">
        <f t="shared" si="7"/>
        <v>#N/A</v>
      </c>
    </row>
    <row r="35" spans="3:16" ht="15" x14ac:dyDescent="0.25">
      <c r="C35" s="583" t="e">
        <f>VLOOKUP($B35,'Star Data'!$A$1:$GC$1212,3,FALSE)</f>
        <v>#N/A</v>
      </c>
      <c r="D35" s="589" t="e">
        <f>VLOOKUP($B35,'Star Data'!$A$4:$GC$1163,171,FALSE)</f>
        <v>#N/A</v>
      </c>
      <c r="E35" s="585" t="e">
        <f>IF(C35=123,AVERAGE(VLOOKUP($B35,'Star Data'!$A$4:$GC$1163,20,FALSE),VLOOKUP($B35,'Star Data'!$A$4:$GC$1163,21,FALSE),VLOOKUP($B35,'Star Data'!$A$4:$GC$1163,22,FALSE)),VLOOKUP($B35,'Star Data'!$A$4:$GC$1163,20,FALSE))</f>
        <v>#N/A</v>
      </c>
      <c r="F35" s="585" t="e">
        <f t="shared" si="4"/>
        <v>#N/A</v>
      </c>
      <c r="G35" s="583" t="e">
        <f>ROUND(IF(L35="watts",COS(RADIANS(M35)),COS(RADIANS(M35-90))),N35)&amp;" "&amp;O35</f>
        <v>#N/A</v>
      </c>
      <c r="H35" s="584" t="e">
        <f>VLOOKUP($B35,'Star Data'!$A$4:$GC$1163,170,FALSE)</f>
        <v>#N/A</v>
      </c>
      <c r="I35" s="608" t="e">
        <f>VLOOKUP($B35,'Star Data'!$A$4:$GC$1163,169,FALSE)</f>
        <v>#N/A</v>
      </c>
      <c r="J35" s="608" t="e">
        <f>VLOOKUP($B35,'Star Data'!$A$4:$GC$1163,166,FALSE)</f>
        <v>#N/A</v>
      </c>
      <c r="K35" s="589" t="e">
        <f>VLOOKUP($B35,'Star Data'!$A$4:$GC$1163,165,FALSE)</f>
        <v>#N/A</v>
      </c>
      <c r="L35" s="10" t="e">
        <f>VLOOKUP($B35,'Star Data'!$A$4:$GC$1163,2,FALSE)</f>
        <v>#N/A</v>
      </c>
      <c r="M35" s="600" t="e">
        <f>IF(C35=123,AVERAGE(VLOOKUP($B35,'Star Data'!$A$4:$GC$1163,23,FALSE),VLOOKUP($B35,'Star Data'!$A$4:$GC$1163,24,FALSE),VLOOKUP($B35,'Star Data'!$A$4:$GC$1163,25,FALSE)),VLOOKUP($B35,'Star Data'!$A$4:$GC$1163,23,FALSE))</f>
        <v>#N/A</v>
      </c>
      <c r="N35">
        <v>1</v>
      </c>
      <c r="O35" t="e">
        <f t="shared" si="6"/>
        <v>#N/A</v>
      </c>
      <c r="P35" s="10" t="e">
        <f>IF(L35="watts",J35*10000*COS(RADIANS(M35))/(40+6*(1-ABS(COS(RADIANS(M35))))),J35*10000*ABS(SIN(RADIANS(M35)))/(40+90*ABS(SIN(RADIANS(M35)))))</f>
        <v>#N/A</v>
      </c>
    </row>
    <row r="36" spans="3:16" ht="15" x14ac:dyDescent="0.25">
      <c r="C36" s="591"/>
      <c r="D36" s="592"/>
      <c r="E36" s="593"/>
      <c r="F36" s="593"/>
      <c r="G36" s="591"/>
      <c r="H36" s="591"/>
      <c r="I36" s="594"/>
      <c r="J36" s="594"/>
      <c r="K36" s="592"/>
      <c r="L36" s="10"/>
      <c r="M36" s="452"/>
    </row>
  </sheetData>
  <phoneticPr fontId="13" type="noConversion"/>
  <pageMargins left="0.75" right="0.75" top="1" bottom="1" header="0.5" footer="0.5"/>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U34"/>
  <sheetViews>
    <sheetView showGridLines="0" zoomScale="75" workbookViewId="0">
      <selection activeCell="I21" sqref="I21"/>
    </sheetView>
  </sheetViews>
  <sheetFormatPr defaultRowHeight="12.75" x14ac:dyDescent="0.2"/>
  <cols>
    <col min="2" max="2" width="10.5703125" customWidth="1"/>
    <col min="3" max="3" width="9.85546875" style="433" customWidth="1"/>
    <col min="4" max="4" width="10.5703125" style="433" customWidth="1"/>
    <col min="5" max="5" width="9.140625" style="433"/>
    <col min="6" max="9" width="12.7109375" style="433" customWidth="1"/>
    <col min="10" max="10" width="10.85546875" style="433" customWidth="1"/>
    <col min="11" max="11" width="12" style="433" customWidth="1"/>
    <col min="12" max="12" width="9.140625" style="433"/>
    <col min="15" max="15" width="9.7109375" style="452" customWidth="1"/>
    <col min="16" max="16" width="9.140625" style="452"/>
    <col min="17" max="17" width="9.85546875" style="452" customWidth="1"/>
    <col min="20" max="20" width="11.7109375" customWidth="1"/>
  </cols>
  <sheetData>
    <row r="1" spans="2:21" x14ac:dyDescent="0.2">
      <c r="C1" s="577" t="s">
        <v>967</v>
      </c>
    </row>
    <row r="3" spans="2:21" x14ac:dyDescent="0.2">
      <c r="C3" s="577" t="s">
        <v>980</v>
      </c>
    </row>
    <row r="5" spans="2:21" ht="51" x14ac:dyDescent="0.2">
      <c r="B5" s="610" t="s">
        <v>1001</v>
      </c>
      <c r="C5" s="578" t="s">
        <v>968</v>
      </c>
      <c r="D5" s="578" t="s">
        <v>974</v>
      </c>
      <c r="E5" s="578" t="s">
        <v>975</v>
      </c>
      <c r="F5" s="602" t="e">
        <f>IF(M6="watts","Power Factor", "Reactive Power Factor")</f>
        <v>#N/A</v>
      </c>
      <c r="G5" s="578" t="s">
        <v>976</v>
      </c>
      <c r="H5" s="578" t="s">
        <v>977</v>
      </c>
      <c r="I5" s="579" t="e">
        <f>IF(M6="watts","Measured 
Impulses
(Imp/(W.h))", "Measured Impulses (Imp/(var.h))")</f>
        <v>#N/A</v>
      </c>
      <c r="J5" s="580" t="s">
        <v>978</v>
      </c>
      <c r="K5" s="578" t="s">
        <v>576</v>
      </c>
      <c r="L5" s="581" t="s">
        <v>979</v>
      </c>
      <c r="M5" s="65" t="s">
        <v>786</v>
      </c>
      <c r="N5" s="582" t="s">
        <v>969</v>
      </c>
      <c r="O5" s="582" t="s">
        <v>970</v>
      </c>
      <c r="P5" s="582" t="s">
        <v>971</v>
      </c>
      <c r="Q5" s="582" t="s">
        <v>972</v>
      </c>
      <c r="R5" s="582" t="s">
        <v>578</v>
      </c>
      <c r="S5" s="582" t="s">
        <v>973</v>
      </c>
      <c r="T5" s="582" t="s">
        <v>752</v>
      </c>
      <c r="U5" s="21"/>
    </row>
    <row r="6" spans="2:21" ht="15" x14ac:dyDescent="0.25">
      <c r="C6" s="583" t="e">
        <f>IF(VLOOKUP($B6,'2W Delta Data'!$A$1:$GC$1212,3,FALSE),IF(VLOOKUP($B6,'2W Delta Data'!$A$1:$GC$1212,4,FALSE),"1,3","1"),"3")</f>
        <v>#N/A</v>
      </c>
      <c r="D6" s="584" t="e">
        <f>VLOOKUP($B6,'2W Delta Data'!$A$4:$GC$855,180,FALSE)</f>
        <v>#N/A</v>
      </c>
      <c r="E6" s="585" t="e">
        <f>IF(C6="1,3",AVERAGE(VLOOKUP($B6,'2W Delta Data'!$A$4:$GC$855,20,FALSE),VLOOKUP($B6,'2W Delta Data'!$A$4:$GC$855,22,FALSE)),IF(C6="1",VLOOKUP($B6,'2W Delta Data'!$A$4:$GC$855,20,FALSE),VLOOKUP($B6,'2W Delta Data'!$A$4:$GC$855,22,FALSE)))</f>
        <v>#N/A</v>
      </c>
      <c r="F6" s="583" t="e">
        <f>ROUND(IF(M6="watts",COS(RADIANS(Q6)),COS(RADIANS(Q6-90))),R6)&amp;" "&amp;S6</f>
        <v>#N/A</v>
      </c>
      <c r="G6" s="586" t="e">
        <f>IF(OR($C6="1,3",$C6="1"),VLOOKUP($B6,'2W Delta Data'!$A$4:$GC$855,23,FALSE),"-")</f>
        <v>#N/A</v>
      </c>
      <c r="H6" s="587" t="e">
        <f>IF(OR($C6="1,3",$C6="3"),VLOOKUP($B6,'2W Delta Data'!$A$4:$GC$855,25,FALSE),"-")</f>
        <v>#N/A</v>
      </c>
      <c r="I6" s="584" t="e">
        <f>VLOOKUP($B6,'2W Delta Data'!$A$4:$GC$855,179,FALSE)</f>
        <v>#N/A</v>
      </c>
      <c r="J6" s="588" t="e">
        <f>VLOOKUP($B6,'2W Delta Data'!$A$4:$GC$855,178,FALSE)</f>
        <v>#N/A</v>
      </c>
      <c r="K6" s="588" t="e">
        <f>VLOOKUP($B6,'2W Delta Data'!$A$4:$GC$855,175,FALSE)</f>
        <v>#N/A</v>
      </c>
      <c r="L6" s="589" t="e">
        <f>VLOOKUP($B6,'2W Delta Data'!$A$4:$GC$855,174,FALSE)</f>
        <v>#N/A</v>
      </c>
      <c r="M6" s="10" t="e">
        <f>VLOOKUP($B6,'2W Delta Data'!$A$4:$GC$855,2,FALSE)</f>
        <v>#N/A</v>
      </c>
      <c r="N6" t="e">
        <f>VLOOKUP($B6,'2W Delta Data'!$A$4:$GC$855,11,FALSE)</f>
        <v>#N/A</v>
      </c>
      <c r="O6" s="600" t="e">
        <f>IF(OR($C6="1,3",$C6="1"),VLOOKUP($B6,'2W Delta Data'!$A$4:$GC$855,23,FALSE),"-")</f>
        <v>#N/A</v>
      </c>
      <c r="P6" s="600" t="e">
        <f>IF(OR($C6="1,3",$C6="3"),VLOOKUP($B6,'2W Delta Data'!$A$4:$GC$855,25,FALSE),"-")</f>
        <v>#N/A</v>
      </c>
      <c r="Q6" s="600" t="e">
        <f>IF(C6="1,3",AVERAGE(O6,P6), IF(C6="1", O6, P6))</f>
        <v>#N/A</v>
      </c>
      <c r="R6">
        <v>1</v>
      </c>
      <c r="S6" t="e">
        <f t="shared" ref="S6:S14" si="0">IF(MOD(ROUND((Q6+360)/90,2),1)=0," ",IF(ISODD((Q6+360)/90),"Lead", "Lag"))</f>
        <v>#N/A</v>
      </c>
      <c r="T6" s="10" t="e">
        <f>IF(M6="watts",K6*10000*COS(RADIANS(Q6))/(40+6*(1-ABS(COS(RADIANS(Q6))))),K6*10000*ABS(SIN(RADIANS(Q6)))/(40+90*ABS(SIN(RADIANS(Q6)))))</f>
        <v>#N/A</v>
      </c>
    </row>
    <row r="7" spans="2:21" ht="15" x14ac:dyDescent="0.25">
      <c r="C7" s="583" t="e">
        <f>IF(VLOOKUP($B7,'2W Delta Data'!$A$3:$GC$1213,3,FALSE),IF(VLOOKUP($B7,'2W Delta Data'!$A$3:$GC$1213,4,FALSE),"1,3","1"),"3")</f>
        <v>#N/A</v>
      </c>
      <c r="D7" s="584" t="e">
        <f>VLOOKUP($B7,'2W Delta Data'!$A$4:$GC$855,180,FALSE)</f>
        <v>#N/A</v>
      </c>
      <c r="E7" s="585" t="e">
        <f>IF(C7="1,3",AVERAGE(VLOOKUP($B7,'2W Delta Data'!$A$4:$GC$855,20,FALSE),VLOOKUP($B7,'2W Delta Data'!$A$4:$GC$855,22,FALSE)),IF(C7="1",VLOOKUP($B7,'2W Delta Data'!$A$4:$GC$855,20,FALSE),VLOOKUP($B7,'2W Delta Data'!$A$4:$GC$855,22,FALSE)))</f>
        <v>#N/A</v>
      </c>
      <c r="F7" s="583" t="e">
        <f t="shared" ref="F7:F14" si="1">ROUND(IF(M7="watts",COS(RADIANS(Q7)),COS(RADIANS(Q7-90))),R7)&amp;" "&amp;S7</f>
        <v>#N/A</v>
      </c>
      <c r="G7" s="584" t="e">
        <f>IF(OR($C7="1,3",$C7="1"),VLOOKUP($B7,'2W Delta Data'!$A$4:$GC$855,23,FALSE),"-")</f>
        <v>#N/A</v>
      </c>
      <c r="H7" s="584" t="e">
        <f>IF(OR($C7="1,3",$C7="3"),VLOOKUP($B7,'2W Delta Data'!$A$4:$GC$855,25,FALSE),"-")</f>
        <v>#N/A</v>
      </c>
      <c r="I7" s="584" t="e">
        <f>VLOOKUP($B7,'2W Delta Data'!$A$4:$GC$855,179,FALSE)</f>
        <v>#N/A</v>
      </c>
      <c r="J7" s="588" t="e">
        <f>VLOOKUP($B7,'2W Delta Data'!$A$4:$GC$855,178,FALSE)</f>
        <v>#N/A</v>
      </c>
      <c r="K7" s="588" t="e">
        <f>VLOOKUP($B7,'2W Delta Data'!$A$4:$GC$855,175,FALSE)</f>
        <v>#N/A</v>
      </c>
      <c r="L7" s="589" t="e">
        <f>VLOOKUP($B7,'2W Delta Data'!$A$4:$GC$855,174,FALSE)</f>
        <v>#N/A</v>
      </c>
      <c r="M7" s="10" t="e">
        <f>VLOOKUP($B7,'2W Delta Data'!$A$4:$GC$855,2,FALSE)</f>
        <v>#N/A</v>
      </c>
      <c r="N7" t="e">
        <f>VLOOKUP($B7,'2W Delta Data'!$A$4:$GC$855,11,FALSE)</f>
        <v>#N/A</v>
      </c>
      <c r="O7" s="590" t="e">
        <f>IF(OR($C7="1,3",$C7="1"),VLOOKUP($B7,'2W Delta Data'!$A$4:$GC$855,23,FALSE),"-")</f>
        <v>#N/A</v>
      </c>
      <c r="P7" s="590" t="e">
        <f>IF(OR($C7="1,3",$C7="3"),VLOOKUP($B7,'2W Delta Data'!$A$4:$GC$855,25,FALSE),"-")</f>
        <v>#N/A</v>
      </c>
      <c r="Q7" s="590" t="e">
        <f t="shared" ref="Q7:Q14" si="2">IF(C7="1,3",AVERAGE(O7,P7), IF(C7="1", O7, P7))</f>
        <v>#N/A</v>
      </c>
      <c r="R7">
        <v>3</v>
      </c>
      <c r="S7" t="e">
        <f t="shared" si="0"/>
        <v>#N/A</v>
      </c>
      <c r="T7" s="10" t="e">
        <f t="shared" ref="T7:T14" si="3">IF(M7="watts",K7*10000*COS(RADIANS(Q7))/(40+6*(1-ABS(COS(RADIANS(Q7))))),K7*10000*ABS(SIN(RADIANS(Q7)))/(40+90*ABS(SIN(RADIANS(Q7)))))</f>
        <v>#N/A</v>
      </c>
    </row>
    <row r="8" spans="2:21" ht="15" x14ac:dyDescent="0.25">
      <c r="C8" s="583" t="e">
        <f>IF(VLOOKUP($B8,'2W Delta Data'!$A$3:$GC$1213,3,FALSE),IF(VLOOKUP($B8,'2W Delta Data'!$A$3:$GC$1213,4,FALSE),"1,3","1"),"3")</f>
        <v>#N/A</v>
      </c>
      <c r="D8" s="584" t="e">
        <f>VLOOKUP($B8,'2W Delta Data'!$A$4:$GC$855,180,FALSE)</f>
        <v>#N/A</v>
      </c>
      <c r="E8" s="585" t="e">
        <f>IF(C8="1,3",AVERAGE(VLOOKUP($B8,'2W Delta Data'!$A$4:$GC$855,20,FALSE),VLOOKUP($B8,'2W Delta Data'!$A$4:$GC$855,22,FALSE)),IF(C8="1",VLOOKUP($B8,'2W Delta Data'!$A$4:$GC$855,20,FALSE),VLOOKUP($B8,'2W Delta Data'!$A$4:$GC$855,22,FALSE)))</f>
        <v>#N/A</v>
      </c>
      <c r="F8" s="583" t="e">
        <f t="shared" si="1"/>
        <v>#N/A</v>
      </c>
      <c r="G8" s="584" t="e">
        <f>IF(OR($C8="1,3",$C8="1"),VLOOKUP($B8,'2W Delta Data'!$A$4:$GC$855,23,FALSE),"-")</f>
        <v>#N/A</v>
      </c>
      <c r="H8" s="584" t="e">
        <f>IF(OR($C8="1,3",$C8="3"),VLOOKUP($B8,'2W Delta Data'!$A$4:$GC$855,25,FALSE),"-")</f>
        <v>#N/A</v>
      </c>
      <c r="I8" s="584" t="e">
        <f>VLOOKUP($B8,'2W Delta Data'!$A$4:$GC$855,179,FALSE)</f>
        <v>#N/A</v>
      </c>
      <c r="J8" s="588" t="e">
        <f>VLOOKUP($B8,'2W Delta Data'!$A$4:$GC$855,178,FALSE)</f>
        <v>#N/A</v>
      </c>
      <c r="K8" s="588" t="e">
        <f>VLOOKUP($B8,'2W Delta Data'!$A$4:$GC$855,175,FALSE)</f>
        <v>#N/A</v>
      </c>
      <c r="L8" s="589" t="e">
        <f>VLOOKUP($B8,'2W Delta Data'!$A$4:$GC$855,174,FALSE)</f>
        <v>#N/A</v>
      </c>
      <c r="M8" s="10" t="e">
        <f>VLOOKUP($B8,'2W Delta Data'!$A$4:$GC$855,2,FALSE)</f>
        <v>#N/A</v>
      </c>
      <c r="N8" t="e">
        <f>VLOOKUP($B8,'2W Delta Data'!$A$4:$GC$855,11,FALSE)</f>
        <v>#N/A</v>
      </c>
      <c r="O8" s="590" t="e">
        <f>IF(OR($C8="1,3",$C8="1"),VLOOKUP($B8,'2W Delta Data'!$A$4:$GC$855,23,FALSE),"-")</f>
        <v>#N/A</v>
      </c>
      <c r="P8" s="590" t="e">
        <f>IF(OR($C8="1,3",$C8="3"),VLOOKUP($B8,'2W Delta Data'!$A$4:$GC$855,25,FALSE),"-")</f>
        <v>#N/A</v>
      </c>
      <c r="Q8" s="590" t="e">
        <f t="shared" si="2"/>
        <v>#N/A</v>
      </c>
      <c r="R8">
        <v>2</v>
      </c>
      <c r="S8" t="e">
        <f t="shared" si="0"/>
        <v>#N/A</v>
      </c>
      <c r="T8" s="10" t="e">
        <f t="shared" si="3"/>
        <v>#N/A</v>
      </c>
    </row>
    <row r="9" spans="2:21" ht="15" x14ac:dyDescent="0.25">
      <c r="C9" s="583" t="e">
        <f>IF(VLOOKUP($B9,'2W Delta Data'!$A$3:$GC$1213,3,FALSE),IF(VLOOKUP($B9,'2W Delta Data'!$A$3:$GC$1213,4,FALSE),"1,3","1"),"3")</f>
        <v>#N/A</v>
      </c>
      <c r="D9" s="584" t="e">
        <f>VLOOKUP($B9,'2W Delta Data'!$A$4:$GC$855,180,FALSE)</f>
        <v>#N/A</v>
      </c>
      <c r="E9" s="585" t="e">
        <f>IF(C9="1,3",AVERAGE(VLOOKUP($B9,'2W Delta Data'!$A$4:$GC$855,20,FALSE),VLOOKUP($B9,'2W Delta Data'!$A$4:$GC$855,22,FALSE)),IF(C9="1",VLOOKUP($B9,'2W Delta Data'!$A$4:$GC$855,20,FALSE),VLOOKUP($B9,'2W Delta Data'!$A$4:$GC$855,22,FALSE)))</f>
        <v>#N/A</v>
      </c>
      <c r="F9" s="583" t="e">
        <f t="shared" si="1"/>
        <v>#N/A</v>
      </c>
      <c r="G9" s="584" t="e">
        <f>IF(OR($C9="1,3",$C9="1"),VLOOKUP($B9,'2W Delta Data'!$A$4:$GC$855,23,FALSE),"-")</f>
        <v>#N/A</v>
      </c>
      <c r="H9" s="584" t="e">
        <f>IF(OR($C9="1,3",$C9="3"),VLOOKUP($B9,'2W Delta Data'!$A$4:$GC$855,25,FALSE),"-")</f>
        <v>#N/A</v>
      </c>
      <c r="I9" s="584" t="e">
        <f>VLOOKUP($B9,'2W Delta Data'!$A$4:$GC$855,179,FALSE)</f>
        <v>#N/A</v>
      </c>
      <c r="J9" s="588" t="e">
        <f>VLOOKUP($B9,'2W Delta Data'!$A$4:$GC$855,178,FALSE)</f>
        <v>#N/A</v>
      </c>
      <c r="K9" s="588" t="e">
        <f>VLOOKUP($B9,'2W Delta Data'!$A$4:$GC$855,175,FALSE)</f>
        <v>#N/A</v>
      </c>
      <c r="L9" s="589" t="e">
        <f>VLOOKUP($B9,'2W Delta Data'!$A$4:$GC$855,174,FALSE)</f>
        <v>#N/A</v>
      </c>
      <c r="M9" s="10" t="e">
        <f>VLOOKUP($B9,'2W Delta Data'!$A$4:$GC$855,2,FALSE)</f>
        <v>#N/A</v>
      </c>
      <c r="N9" t="e">
        <f>VLOOKUP($B9,'2W Delta Data'!$A$4:$GC$855,11,FALSE)</f>
        <v>#N/A</v>
      </c>
      <c r="O9" s="590" t="e">
        <f>IF(OR($C9="1,3",$C9="1"),VLOOKUP($B9,'2W Delta Data'!$A$4:$GC$855,23,FALSE),"-")</f>
        <v>#N/A</v>
      </c>
      <c r="P9" s="590" t="e">
        <f>IF(OR($C9="1,3",$C9="3"),VLOOKUP($B9,'2W Delta Data'!$A$4:$GC$855,25,FALSE),"-")</f>
        <v>#N/A</v>
      </c>
      <c r="Q9" s="590" t="e">
        <f t="shared" si="2"/>
        <v>#N/A</v>
      </c>
      <c r="R9">
        <v>3</v>
      </c>
      <c r="S9" t="e">
        <f t="shared" si="0"/>
        <v>#N/A</v>
      </c>
      <c r="T9" s="10" t="e">
        <f t="shared" si="3"/>
        <v>#N/A</v>
      </c>
    </row>
    <row r="10" spans="2:21" ht="15" x14ac:dyDescent="0.25">
      <c r="C10" s="583" t="e">
        <f>IF(VLOOKUP($B10,'2W Delta Data'!$A$3:$GC$1213,3,FALSE),IF(VLOOKUP($B10,'2W Delta Data'!$A$3:$GC$1213,4,FALSE),"1,3","1"),"3")</f>
        <v>#N/A</v>
      </c>
      <c r="D10" s="584" t="e">
        <f>VLOOKUP($B10,'2W Delta Data'!$A$4:$GC$855,180,FALSE)</f>
        <v>#N/A</v>
      </c>
      <c r="E10" s="585" t="e">
        <f>IF(C10="1,3",AVERAGE(VLOOKUP($B10,'2W Delta Data'!$A$4:$GC$855,20,FALSE),VLOOKUP($B10,'2W Delta Data'!$A$4:$GC$855,22,FALSE)),IF(C10="1",VLOOKUP($B10,'2W Delta Data'!$A$4:$GC$855,20,FALSE),VLOOKUP($B10,'2W Delta Data'!$A$4:$GC$855,22,FALSE)))</f>
        <v>#N/A</v>
      </c>
      <c r="F10" s="583" t="e">
        <f t="shared" si="1"/>
        <v>#N/A</v>
      </c>
      <c r="G10" s="584" t="e">
        <f>IF(OR($C10="1,3",$C10="1"),VLOOKUP($B10,'2W Delta Data'!$A$4:$GC$855,23,FALSE),"-")</f>
        <v>#N/A</v>
      </c>
      <c r="H10" s="584" t="e">
        <f>IF(OR($C10="1,3",$C10="3"),VLOOKUP($B10,'2W Delta Data'!$A$4:$GC$855,25,FALSE),"-")</f>
        <v>#N/A</v>
      </c>
      <c r="I10" s="584" t="e">
        <f>VLOOKUP($B10,'2W Delta Data'!$A$4:$GC$855,179,FALSE)</f>
        <v>#N/A</v>
      </c>
      <c r="J10" s="588" t="e">
        <f>VLOOKUP($B10,'2W Delta Data'!$A$4:$GC$855,178,FALSE)</f>
        <v>#N/A</v>
      </c>
      <c r="K10" s="588" t="e">
        <f>VLOOKUP($B10,'2W Delta Data'!$A$4:$GC$855,175,FALSE)</f>
        <v>#N/A</v>
      </c>
      <c r="L10" s="589" t="e">
        <f>VLOOKUP($B10,'2W Delta Data'!$A$4:$GC$855,174,FALSE)</f>
        <v>#N/A</v>
      </c>
      <c r="M10" s="10" t="e">
        <f>VLOOKUP($B10,'2W Delta Data'!$A$4:$GC$855,2,FALSE)</f>
        <v>#N/A</v>
      </c>
      <c r="N10" t="e">
        <f>VLOOKUP($B10,'2W Delta Data'!$A$4:$GC$855,11,FALSE)</f>
        <v>#N/A</v>
      </c>
      <c r="O10" s="590" t="e">
        <f>IF(OR($C10="1,3",$C10="1"),VLOOKUP($B10,'2W Delta Data'!$A$4:$GC$855,23,FALSE),"-")</f>
        <v>#N/A</v>
      </c>
      <c r="P10" s="590" t="e">
        <f>IF(OR($C10="1,3",$C10="3"),VLOOKUP($B10,'2W Delta Data'!$A$4:$GC$855,25,FALSE),"-")</f>
        <v>#N/A</v>
      </c>
      <c r="Q10" s="590" t="e">
        <f t="shared" si="2"/>
        <v>#N/A</v>
      </c>
      <c r="R10">
        <v>2</v>
      </c>
      <c r="S10" t="e">
        <f t="shared" si="0"/>
        <v>#N/A</v>
      </c>
      <c r="T10" s="10" t="e">
        <f t="shared" si="3"/>
        <v>#N/A</v>
      </c>
    </row>
    <row r="11" spans="2:21" ht="15" x14ac:dyDescent="0.25">
      <c r="C11" s="583" t="e">
        <f>IF(VLOOKUP($B11,'2W Delta Data'!$A$3:$GC$1213,3,FALSE),IF(VLOOKUP($B11,'2W Delta Data'!$A$3:$GC$1213,4,FALSE),"1,3","1"),"3")</f>
        <v>#N/A</v>
      </c>
      <c r="D11" s="584" t="e">
        <f>VLOOKUP($B11,'2W Delta Data'!$A$4:$GC$855,180,FALSE)</f>
        <v>#N/A</v>
      </c>
      <c r="E11" s="585" t="e">
        <f>IF(C11="1,3",AVERAGE(VLOOKUP($B11,'2W Delta Data'!$A$4:$GC$855,20,FALSE),VLOOKUP($B11,'2W Delta Data'!$A$4:$GC$855,22,FALSE)),IF(C11="1",VLOOKUP($B11,'2W Delta Data'!$A$4:$GC$855,20,FALSE),VLOOKUP($B11,'2W Delta Data'!$A$4:$GC$855,22,FALSE)))</f>
        <v>#N/A</v>
      </c>
      <c r="F11" s="583" t="e">
        <f t="shared" si="1"/>
        <v>#N/A</v>
      </c>
      <c r="G11" s="584" t="e">
        <f>IF(OR($C11="1,3",$C11="1"),VLOOKUP($B11,'2W Delta Data'!$A$4:$GC$855,23,FALSE),"-")</f>
        <v>#N/A</v>
      </c>
      <c r="H11" s="584" t="e">
        <f>IF(OR($C11="1,3",$C11="3"),VLOOKUP($B11,'2W Delta Data'!$A$4:$GC$855,25,FALSE),"-")</f>
        <v>#N/A</v>
      </c>
      <c r="I11" s="584" t="e">
        <f>VLOOKUP($B11,'2W Delta Data'!$A$4:$GC$855,179,FALSE)</f>
        <v>#N/A</v>
      </c>
      <c r="J11" s="588" t="e">
        <f>VLOOKUP($B11,'2W Delta Data'!$A$4:$GC$855,178,FALSE)</f>
        <v>#N/A</v>
      </c>
      <c r="K11" s="588" t="e">
        <f>VLOOKUP($B11,'2W Delta Data'!$A$4:$GC$855,175,FALSE)</f>
        <v>#N/A</v>
      </c>
      <c r="L11" s="589" t="e">
        <f>VLOOKUP($B11,'2W Delta Data'!$A$4:$GC$855,174,FALSE)</f>
        <v>#N/A</v>
      </c>
      <c r="M11" s="10" t="e">
        <f>VLOOKUP($B11,'2W Delta Data'!$A$4:$GC$855,2,FALSE)</f>
        <v>#N/A</v>
      </c>
      <c r="N11" t="e">
        <f>VLOOKUP($B11,'2W Delta Data'!$A$4:$GC$855,11,FALSE)</f>
        <v>#N/A</v>
      </c>
      <c r="O11" s="590" t="e">
        <f>IF(OR($C11="1,3",$C11="1"),VLOOKUP($B11,'2W Delta Data'!$A$4:$GC$855,23,FALSE),"-")</f>
        <v>#N/A</v>
      </c>
      <c r="P11" s="590" t="e">
        <f>IF(OR($C11="1,3",$C11="3"),VLOOKUP($B11,'2W Delta Data'!$A$4:$GC$855,25,FALSE),"-")</f>
        <v>#N/A</v>
      </c>
      <c r="Q11" s="590" t="e">
        <f t="shared" si="2"/>
        <v>#N/A</v>
      </c>
      <c r="R11">
        <v>3</v>
      </c>
      <c r="S11" t="e">
        <f t="shared" si="0"/>
        <v>#N/A</v>
      </c>
      <c r="T11" s="10" t="e">
        <f t="shared" si="3"/>
        <v>#N/A</v>
      </c>
    </row>
    <row r="12" spans="2:21" ht="15" x14ac:dyDescent="0.25">
      <c r="C12" s="583" t="e">
        <f>IF(VLOOKUP($B12,'2W Delta Data'!$A$3:$GC$1213,3,FALSE),IF(VLOOKUP($B12,'2W Delta Data'!$A$3:$GC$1213,4,FALSE),"1,3","1"),"3")</f>
        <v>#N/A</v>
      </c>
      <c r="D12" s="584" t="e">
        <f>VLOOKUP($B12,'2W Delta Data'!$A$4:$GC$855,180,FALSE)</f>
        <v>#N/A</v>
      </c>
      <c r="E12" s="585" t="e">
        <f>IF(C12="1,3",AVERAGE(VLOOKUP($B12,'2W Delta Data'!$A$4:$GC$855,20,FALSE),VLOOKUP($B12,'2W Delta Data'!$A$4:$GC$855,22,FALSE)),IF(C12="1",VLOOKUP($B12,'2W Delta Data'!$A$4:$GC$855,20,FALSE),VLOOKUP($B12,'2W Delta Data'!$A$4:$GC$855,22,FALSE)))</f>
        <v>#N/A</v>
      </c>
      <c r="F12" s="583" t="e">
        <f t="shared" si="1"/>
        <v>#N/A</v>
      </c>
      <c r="G12" s="584" t="e">
        <f>IF(OR($C12="1,3",$C12="1"),VLOOKUP($B12,'2W Delta Data'!$A$4:$GC$855,23,FALSE),"-")</f>
        <v>#N/A</v>
      </c>
      <c r="H12" s="584" t="e">
        <f>IF(OR($C12="1,3",$C12="3"),VLOOKUP($B12,'2W Delta Data'!$A$4:$GC$855,25,FALSE),"-")</f>
        <v>#N/A</v>
      </c>
      <c r="I12" s="584" t="e">
        <f>VLOOKUP($B12,'2W Delta Data'!$A$4:$GC$855,179,FALSE)</f>
        <v>#N/A</v>
      </c>
      <c r="J12" s="588" t="e">
        <f>VLOOKUP($B12,'2W Delta Data'!$A$4:$GC$855,178,FALSE)</f>
        <v>#N/A</v>
      </c>
      <c r="K12" s="588" t="e">
        <f>VLOOKUP($B12,'2W Delta Data'!$A$4:$GC$855,175,FALSE)</f>
        <v>#N/A</v>
      </c>
      <c r="L12" s="589" t="e">
        <f>VLOOKUP($B12,'2W Delta Data'!$A$4:$GC$855,174,FALSE)</f>
        <v>#N/A</v>
      </c>
      <c r="M12" s="10" t="e">
        <f>VLOOKUP($B12,'2W Delta Data'!$A$4:$GC$855,2,FALSE)</f>
        <v>#N/A</v>
      </c>
      <c r="N12" t="e">
        <f>VLOOKUP($B12,'2W Delta Data'!$A$4:$GC$855,11,FALSE)</f>
        <v>#N/A</v>
      </c>
      <c r="O12" s="590" t="e">
        <f>IF(OR($C12="1,3",$C12="1"),VLOOKUP($B12,'2W Delta Data'!$A$4:$GC$855,23,FALSE),"-")</f>
        <v>#N/A</v>
      </c>
      <c r="P12" s="590" t="e">
        <f>IF(OR($C12="1,3",$C12="3"),VLOOKUP($B12,'2W Delta Data'!$A$4:$GC$855,25,FALSE),"-")</f>
        <v>#N/A</v>
      </c>
      <c r="Q12" s="590" t="e">
        <f t="shared" si="2"/>
        <v>#N/A</v>
      </c>
      <c r="R12">
        <v>3</v>
      </c>
      <c r="S12" t="e">
        <f t="shared" si="0"/>
        <v>#N/A</v>
      </c>
      <c r="T12" s="10" t="e">
        <f t="shared" si="3"/>
        <v>#N/A</v>
      </c>
    </row>
    <row r="13" spans="2:21" ht="15" x14ac:dyDescent="0.25">
      <c r="C13" s="583" t="e">
        <f>IF(VLOOKUP($B13,'2W Delta Data'!$A$3:$GC$1213,3,FALSE),IF(VLOOKUP($B13,'2W Delta Data'!$A$3:$GC$1213,4,FALSE),"1,3","1"),"3")</f>
        <v>#N/A</v>
      </c>
      <c r="D13" s="584" t="e">
        <f>VLOOKUP($B13,'2W Delta Data'!$A$4:$GC$855,180,FALSE)</f>
        <v>#N/A</v>
      </c>
      <c r="E13" s="585" t="e">
        <f>IF(C13="1,3",AVERAGE(VLOOKUP($B13,'2W Delta Data'!$A$4:$GC$855,20,FALSE),VLOOKUP($B13,'2W Delta Data'!$A$4:$GC$855,22,FALSE)),IF(C13="1",VLOOKUP($B13,'2W Delta Data'!$A$4:$GC$855,20,FALSE),VLOOKUP($B13,'2W Delta Data'!$A$4:$GC$855,22,FALSE)))</f>
        <v>#N/A</v>
      </c>
      <c r="F13" s="583" t="e">
        <f t="shared" si="1"/>
        <v>#N/A</v>
      </c>
      <c r="G13" s="584" t="e">
        <f>IF(OR($C13="1,3",$C13="1"),VLOOKUP($B13,'2W Delta Data'!$A$4:$GC$855,23,FALSE),"-")</f>
        <v>#N/A</v>
      </c>
      <c r="H13" s="584" t="e">
        <f>IF(OR($C13="1,3",$C13="3"),VLOOKUP($B13,'2W Delta Data'!$A$4:$GC$855,25,FALSE),"-")</f>
        <v>#N/A</v>
      </c>
      <c r="I13" s="584" t="e">
        <f>VLOOKUP($B13,'2W Delta Data'!$A$4:$GC$855,179,FALSE)</f>
        <v>#N/A</v>
      </c>
      <c r="J13" s="588" t="e">
        <f>VLOOKUP($B13,'2W Delta Data'!$A$4:$GC$855,178,FALSE)</f>
        <v>#N/A</v>
      </c>
      <c r="K13" s="588" t="e">
        <f>VLOOKUP($B13,'2W Delta Data'!$A$4:$GC$855,175,FALSE)</f>
        <v>#N/A</v>
      </c>
      <c r="L13" s="589" t="e">
        <f>VLOOKUP($B13,'2W Delta Data'!$A$4:$GC$855,174,FALSE)</f>
        <v>#N/A</v>
      </c>
      <c r="M13" s="10" t="e">
        <f>VLOOKUP($B13,'2W Delta Data'!$A$4:$GC$855,2,FALSE)</f>
        <v>#N/A</v>
      </c>
      <c r="N13" t="e">
        <f>VLOOKUP($B13,'2W Delta Data'!$A$4:$GC$855,11,FALSE)</f>
        <v>#N/A</v>
      </c>
      <c r="O13" s="590" t="e">
        <f>IF(OR($C13="1,3",$C13="1"),VLOOKUP($B13,'2W Delta Data'!$A$4:$GC$855,23,FALSE),"-")</f>
        <v>#N/A</v>
      </c>
      <c r="P13" s="590" t="e">
        <f>IF(OR($C13="1,3",$C13="3"),VLOOKUP($B13,'2W Delta Data'!$A$4:$GC$855,25,FALSE),"-")</f>
        <v>#N/A</v>
      </c>
      <c r="Q13" s="590" t="e">
        <f t="shared" si="2"/>
        <v>#N/A</v>
      </c>
      <c r="R13">
        <v>3</v>
      </c>
      <c r="S13" t="e">
        <f t="shared" si="0"/>
        <v>#N/A</v>
      </c>
      <c r="T13" s="10" t="e">
        <f t="shared" si="3"/>
        <v>#N/A</v>
      </c>
    </row>
    <row r="14" spans="2:21" ht="15" x14ac:dyDescent="0.25">
      <c r="C14" s="583" t="e">
        <f>IF(VLOOKUP($B14,'2W Delta Data'!$A$3:$GC$1213,3,FALSE),IF(VLOOKUP($B14,'2W Delta Data'!$A$3:$GC$1213,4,FALSE),"1,3","1"),"3")</f>
        <v>#N/A</v>
      </c>
      <c r="D14" s="584" t="e">
        <f>VLOOKUP($B14,'2W Delta Data'!$A$4:$GC$855,180,FALSE)</f>
        <v>#N/A</v>
      </c>
      <c r="E14" s="585" t="e">
        <f>IF(C14="1,3",AVERAGE(VLOOKUP($B14,'2W Delta Data'!$A$4:$GC$855,20,FALSE),VLOOKUP($B14,'2W Delta Data'!$A$4:$GC$855,22,FALSE)),IF(C14="1",VLOOKUP($B14,'2W Delta Data'!$A$4:$GC$855,20,FALSE),VLOOKUP($B14,'2W Delta Data'!$A$4:$GC$855,22,FALSE)))</f>
        <v>#N/A</v>
      </c>
      <c r="F14" s="583" t="e">
        <f t="shared" si="1"/>
        <v>#N/A</v>
      </c>
      <c r="G14" s="584" t="e">
        <f>IF(OR($C14="1,3",$C14="1"),VLOOKUP($B14,'2W Delta Data'!$A$4:$GC$855,23,FALSE),"-")</f>
        <v>#N/A</v>
      </c>
      <c r="H14" s="584" t="e">
        <f>IF(OR($C14="1,3",$C14="3"),VLOOKUP($B14,'2W Delta Data'!$A$4:$GC$855,25,FALSE),"-")</f>
        <v>#N/A</v>
      </c>
      <c r="I14" s="584" t="e">
        <f>VLOOKUP($B14,'2W Delta Data'!$A$4:$GC$855,179,FALSE)</f>
        <v>#N/A</v>
      </c>
      <c r="J14" s="588" t="e">
        <f>VLOOKUP($B14,'2W Delta Data'!$A$4:$GC$855,178,FALSE)</f>
        <v>#N/A</v>
      </c>
      <c r="K14" s="588" t="e">
        <f>VLOOKUP($B14,'2W Delta Data'!$A$4:$GC$855,175,FALSE)</f>
        <v>#N/A</v>
      </c>
      <c r="L14" s="589" t="e">
        <f>VLOOKUP($B14,'2W Delta Data'!$A$4:$GC$855,174,FALSE)</f>
        <v>#N/A</v>
      </c>
      <c r="M14" s="10" t="e">
        <f>VLOOKUP($B14,'2W Delta Data'!$A$4:$GC$855,2,FALSE)</f>
        <v>#N/A</v>
      </c>
      <c r="N14" t="e">
        <f>VLOOKUP($B14,'2W Delta Data'!$A$4:$GC$855,11,FALSE)</f>
        <v>#N/A</v>
      </c>
      <c r="O14" s="590" t="e">
        <f>IF(OR($C14="1,3",$C14="1"),VLOOKUP($B14,'2W Delta Data'!$A$4:$GC$855,23,FALSE),"-")</f>
        <v>#N/A</v>
      </c>
      <c r="P14" s="590" t="e">
        <f>IF(OR($C14="1,3",$C14="3"),VLOOKUP($B14,'2W Delta Data'!$A$4:$GC$855,25,FALSE),"-")</f>
        <v>#N/A</v>
      </c>
      <c r="Q14" s="590" t="e">
        <f t="shared" si="2"/>
        <v>#N/A</v>
      </c>
      <c r="R14">
        <v>3</v>
      </c>
      <c r="S14" t="e">
        <f t="shared" si="0"/>
        <v>#N/A</v>
      </c>
      <c r="T14" s="10" t="e">
        <f t="shared" si="3"/>
        <v>#N/A</v>
      </c>
    </row>
    <row r="15" spans="2:21" ht="15" x14ac:dyDescent="0.25">
      <c r="C15" s="591"/>
      <c r="D15" s="592"/>
      <c r="E15" s="593"/>
      <c r="F15" s="591"/>
      <c r="G15" s="591"/>
      <c r="H15" s="591"/>
      <c r="I15" s="591"/>
      <c r="J15" s="594"/>
      <c r="K15" s="594"/>
      <c r="L15" s="592"/>
    </row>
    <row r="16" spans="2:21" x14ac:dyDescent="0.2">
      <c r="C16" s="595"/>
      <c r="D16" s="595"/>
      <c r="E16" s="595"/>
      <c r="F16" s="595"/>
      <c r="G16" s="595"/>
      <c r="H16" s="595"/>
      <c r="I16" s="595"/>
      <c r="J16" s="595"/>
      <c r="K16" s="595"/>
      <c r="L16" s="595"/>
    </row>
    <row r="17" spans="2:20" x14ac:dyDescent="0.2">
      <c r="C17" s="595"/>
      <c r="D17" s="595"/>
      <c r="E17" s="595"/>
      <c r="F17" s="595"/>
      <c r="G17" s="595"/>
      <c r="H17" s="595"/>
      <c r="I17" s="595"/>
      <c r="J17" s="595"/>
      <c r="K17" s="595"/>
      <c r="L17" s="595"/>
    </row>
    <row r="18" spans="2:20" x14ac:dyDescent="0.2">
      <c r="C18" s="595"/>
      <c r="D18" s="595"/>
      <c r="E18" s="595"/>
      <c r="F18" s="595"/>
      <c r="G18" s="595"/>
      <c r="H18" s="595"/>
      <c r="I18" s="595"/>
      <c r="J18" s="595"/>
      <c r="K18" s="595"/>
      <c r="L18" s="595"/>
    </row>
    <row r="19" spans="2:20" x14ac:dyDescent="0.2">
      <c r="C19" s="601" t="s">
        <v>981</v>
      </c>
      <c r="D19" s="596"/>
      <c r="E19" s="597"/>
      <c r="F19" s="595"/>
      <c r="G19" s="595"/>
      <c r="H19" s="595"/>
      <c r="I19" s="595"/>
      <c r="J19" s="598"/>
      <c r="K19" s="598"/>
      <c r="L19" s="596"/>
      <c r="M19" s="10"/>
    </row>
    <row r="20" spans="2:20" x14ac:dyDescent="0.2">
      <c r="C20" s="595"/>
      <c r="D20" s="596"/>
      <c r="E20" s="597"/>
      <c r="F20" s="595"/>
      <c r="G20" s="595"/>
      <c r="H20" s="595"/>
      <c r="I20" s="595"/>
      <c r="J20" s="598"/>
      <c r="K20" s="598"/>
      <c r="L20" s="596"/>
      <c r="M20" s="10"/>
    </row>
    <row r="21" spans="2:20" ht="51" x14ac:dyDescent="0.2">
      <c r="B21" s="610" t="s">
        <v>1001</v>
      </c>
      <c r="C21" s="578" t="s">
        <v>968</v>
      </c>
      <c r="D21" s="578" t="s">
        <v>974</v>
      </c>
      <c r="E21" s="578" t="s">
        <v>975</v>
      </c>
      <c r="F21" s="602" t="e">
        <f>IF(M22="watts","Power Factor", "Reactive Power Factor")</f>
        <v>#N/A</v>
      </c>
      <c r="G21" s="578" t="s">
        <v>976</v>
      </c>
      <c r="H21" s="578" t="s">
        <v>977</v>
      </c>
      <c r="I21" s="579" t="e">
        <f>IF(M22="watts","Measured 
Impulses
(Imp/(W.h))", "Measured Impulses (Imp/(var.h))")</f>
        <v>#N/A</v>
      </c>
      <c r="J21" s="580" t="s">
        <v>978</v>
      </c>
      <c r="K21" s="578" t="s">
        <v>576</v>
      </c>
      <c r="L21" s="581" t="s">
        <v>979</v>
      </c>
      <c r="M21" s="65" t="s">
        <v>786</v>
      </c>
      <c r="N21" s="582" t="s">
        <v>969</v>
      </c>
      <c r="O21" s="599" t="s">
        <v>970</v>
      </c>
      <c r="P21" s="599" t="s">
        <v>971</v>
      </c>
      <c r="Q21" s="582" t="s">
        <v>972</v>
      </c>
      <c r="R21" s="582" t="s">
        <v>578</v>
      </c>
      <c r="S21" s="582" t="s">
        <v>973</v>
      </c>
      <c r="T21" s="582" t="s">
        <v>752</v>
      </c>
    </row>
    <row r="22" spans="2:20" ht="15" x14ac:dyDescent="0.25">
      <c r="C22" s="583" t="e">
        <f>IF(VLOOKUP($B22,'2W Delta Data'!$A$3:$GC$1213,3,FALSE),IF(VLOOKUP($B22,'2W Delta Data'!$A$3:$GC$1213,4,FALSE),"1,3","1"),"3")</f>
        <v>#N/A</v>
      </c>
      <c r="D22" s="584" t="e">
        <f>VLOOKUP($B22,'2W Delta Data'!$A$4:$GC$855,180,FALSE)</f>
        <v>#N/A</v>
      </c>
      <c r="E22" s="585" t="e">
        <f>IF(C22="1,3",AVERAGE(VLOOKUP($B22,'2W Delta Data'!$A$4:$GC$855,20,FALSE),VLOOKUP($B22,'2W Delta Data'!$A$4:$GC$855,22,FALSE)),IF(C22="1",VLOOKUP($B22,'2W Delta Data'!$A$4:$GC$855,20,FALSE),VLOOKUP($B22,'2W Delta Data'!$A$4:$GC$855,22,FALSE)))</f>
        <v>#N/A</v>
      </c>
      <c r="F22" s="583" t="e">
        <f t="shared" ref="F22:F33" si="4">ROUND(IF(M22="watts",COS(RADIANS(Q22)),COS(RADIANS(Q22-90))),R22)&amp;" "&amp;S22</f>
        <v>#N/A</v>
      </c>
      <c r="G22" s="584" t="e">
        <f>IF(OR($C22="1,3",$C22="1"),VLOOKUP($B22,'2W Delta Data'!$A$4:$GC$855,23,FALSE),"-")</f>
        <v>#N/A</v>
      </c>
      <c r="H22" s="584" t="e">
        <f>IF(OR($C22="1,3",$C22="3"),VLOOKUP($B22,'2W Delta Data'!$A$4:$GC$855,25,FALSE),"-")</f>
        <v>#N/A</v>
      </c>
      <c r="I22" s="589" t="e">
        <f>VLOOKUP($B22,'2W Delta Data'!$A$4:$GC$855,179,FALSE)</f>
        <v>#N/A</v>
      </c>
      <c r="J22" s="588" t="e">
        <f>VLOOKUP($B22,'2W Delta Data'!$A$4:$GC$855,178,FALSE)</f>
        <v>#N/A</v>
      </c>
      <c r="K22" s="588" t="e">
        <f>VLOOKUP($B22,'2W Delta Data'!$A$4:$GC$855,175,FALSE)</f>
        <v>#N/A</v>
      </c>
      <c r="L22" s="589" t="e">
        <f>VLOOKUP($B22,'2W Delta Data'!$A$4:$GC$855,174,FALSE)</f>
        <v>#N/A</v>
      </c>
      <c r="M22" s="10" t="e">
        <f>VLOOKUP($B22,'2W Delta Data'!$A$4:$GC$855,2,FALSE)</f>
        <v>#N/A</v>
      </c>
      <c r="N22" t="e">
        <f>VLOOKUP($B22,'2W Delta Data'!$A$4:$GC$855,11,FALSE)</f>
        <v>#N/A</v>
      </c>
      <c r="O22" s="590" t="e">
        <f>IF(OR($C22="1,3",$C22="1"),VLOOKUP($B22,'2W Delta Data'!$A$4:$GC$855,23,FALSE),"-")</f>
        <v>#N/A</v>
      </c>
      <c r="P22" s="590" t="e">
        <f>IF(OR($C22="1,3",$C22="3"),VLOOKUP($B22,'2W Delta Data'!$A$4:$GC$855,25,FALSE),"-")</f>
        <v>#N/A</v>
      </c>
      <c r="Q22" s="590" t="e">
        <f t="shared" ref="Q22:Q33" si="5">IF(C22="1,3",AVERAGE(O22,P22), IF(C22="1", O22, P22))</f>
        <v>#N/A</v>
      </c>
      <c r="R22">
        <v>3</v>
      </c>
      <c r="S22" t="e">
        <f t="shared" ref="S22:S33" si="6">IF(MOD(ROUND((Q22+360)/90,2),1)=0," ",IF(ISODD((Q22+360)/90),"Lead", "Lag"))</f>
        <v>#N/A</v>
      </c>
      <c r="T22" s="10" t="e">
        <f t="shared" ref="T22:T33" si="7">IF(M22="watts",K22*10000*COS(RADIANS(Q22))/(40+6*(1-ABS(COS(RADIANS(Q22))))),K22*10000*ABS(SIN(RADIANS(Q22)))/(40+90*ABS(SIN(RADIANS(Q22)))))</f>
        <v>#N/A</v>
      </c>
    </row>
    <row r="23" spans="2:20" ht="15" x14ac:dyDescent="0.25">
      <c r="C23" s="583" t="e">
        <f>IF(VLOOKUP($B23,'2W Delta Data'!$A$3:$GC$1213,3,FALSE),IF(VLOOKUP($B23,'2W Delta Data'!$A$3:$GC$1213,4,FALSE),"1,3","1"),"3")</f>
        <v>#N/A</v>
      </c>
      <c r="D23" s="584" t="e">
        <f>VLOOKUP($B23,'2W Delta Data'!$A$4:$GC$855,180,FALSE)</f>
        <v>#N/A</v>
      </c>
      <c r="E23" s="585" t="e">
        <f>IF(C23="1,3",AVERAGE(VLOOKUP($B23,'2W Delta Data'!$A$4:$GC$855,20,FALSE),VLOOKUP($B23,'2W Delta Data'!$A$4:$GC$855,22,FALSE)),IF(C23="1",VLOOKUP($B23,'2W Delta Data'!$A$4:$GC$855,20,FALSE),VLOOKUP($B23,'2W Delta Data'!$A$4:$GC$855,22,FALSE)))</f>
        <v>#N/A</v>
      </c>
      <c r="F23" s="583" t="e">
        <f t="shared" si="4"/>
        <v>#N/A</v>
      </c>
      <c r="G23" s="584" t="e">
        <f>IF(OR($C23="1,3",$C23="1"),VLOOKUP($B23,'2W Delta Data'!$A$4:$GC$855,23,FALSE),"-")</f>
        <v>#N/A</v>
      </c>
      <c r="H23" s="584" t="e">
        <f>IF(OR($C23="1,3",$C23="3"),VLOOKUP($B23,'2W Delta Data'!$A$4:$GC$855,25,FALSE),"-")</f>
        <v>#N/A</v>
      </c>
      <c r="I23" s="589" t="e">
        <f>VLOOKUP($B23,'2W Delta Data'!$A$4:$GC$855,179,FALSE)</f>
        <v>#N/A</v>
      </c>
      <c r="J23" s="588" t="e">
        <f>VLOOKUP($B23,'2W Delta Data'!$A$4:$GC$855,178,FALSE)</f>
        <v>#N/A</v>
      </c>
      <c r="K23" s="588" t="e">
        <f>VLOOKUP($B23,'2W Delta Data'!$A$4:$GC$855,175,FALSE)</f>
        <v>#N/A</v>
      </c>
      <c r="L23" s="589" t="e">
        <f>VLOOKUP($B23,'2W Delta Data'!$A$4:$GC$855,174,FALSE)</f>
        <v>#N/A</v>
      </c>
      <c r="M23" s="10" t="e">
        <f>VLOOKUP($B23,'2W Delta Data'!$A$4:$GC$855,2,FALSE)</f>
        <v>#N/A</v>
      </c>
      <c r="N23" t="e">
        <f>VLOOKUP($B23,'2W Delta Data'!$A$4:$GC$855,11,FALSE)</f>
        <v>#N/A</v>
      </c>
      <c r="O23" s="590" t="e">
        <f>IF(OR($C23="1,3",$C23="1"),VLOOKUP($B23,'2W Delta Data'!$A$4:$GC$855,23,FALSE),"-")</f>
        <v>#N/A</v>
      </c>
      <c r="P23" s="590" t="e">
        <f>IF(OR($C23="1,3",$C23="3"),VLOOKUP($B23,'2W Delta Data'!$A$4:$GC$855,25,FALSE),"-")</f>
        <v>#N/A</v>
      </c>
      <c r="Q23" s="590" t="e">
        <f t="shared" si="5"/>
        <v>#N/A</v>
      </c>
      <c r="R23">
        <v>3</v>
      </c>
      <c r="S23" t="e">
        <f t="shared" si="6"/>
        <v>#N/A</v>
      </c>
      <c r="T23" s="10" t="e">
        <f t="shared" si="7"/>
        <v>#N/A</v>
      </c>
    </row>
    <row r="24" spans="2:20" ht="15" x14ac:dyDescent="0.25">
      <c r="C24" s="583" t="e">
        <f>IF(VLOOKUP($B24,'2W Delta Data'!$A$3:$GC$1213,3,FALSE),IF(VLOOKUP($B24,'2W Delta Data'!$A$3:$GC$1213,4,FALSE),"1,3","1"),"3")</f>
        <v>#N/A</v>
      </c>
      <c r="D24" s="584" t="e">
        <f>VLOOKUP($B24,'2W Delta Data'!$A$4:$GC$855,180,FALSE)</f>
        <v>#N/A</v>
      </c>
      <c r="E24" s="585" t="e">
        <f>IF(C24="1,3",AVERAGE(VLOOKUP($B24,'2W Delta Data'!$A$4:$GC$855,20,FALSE),VLOOKUP($B24,'2W Delta Data'!$A$4:$GC$855,22,FALSE)),IF(C24="1",VLOOKUP($B24,'2W Delta Data'!$A$4:$GC$855,20,FALSE),VLOOKUP($B24,'2W Delta Data'!$A$4:$GC$855,22,FALSE)))</f>
        <v>#N/A</v>
      </c>
      <c r="F24" s="583" t="e">
        <f t="shared" si="4"/>
        <v>#N/A</v>
      </c>
      <c r="G24" s="584" t="e">
        <f>IF(OR($C24="1,3",$C24="1"),VLOOKUP($B24,'2W Delta Data'!$A$4:$GC$855,23,FALSE),"-")</f>
        <v>#N/A</v>
      </c>
      <c r="H24" s="584" t="e">
        <f>IF(OR($C24="1,3",$C24="3"),VLOOKUP($B24,'2W Delta Data'!$A$4:$GC$855,25,FALSE),"-")</f>
        <v>#N/A</v>
      </c>
      <c r="I24" s="589" t="e">
        <f>VLOOKUP($B24,'2W Delta Data'!$A$4:$GC$855,179,FALSE)</f>
        <v>#N/A</v>
      </c>
      <c r="J24" s="588" t="e">
        <f>VLOOKUP($B24,'2W Delta Data'!$A$4:$GC$855,178,FALSE)</f>
        <v>#N/A</v>
      </c>
      <c r="K24" s="588" t="e">
        <f>VLOOKUP($B24,'2W Delta Data'!$A$4:$GC$855,175,FALSE)</f>
        <v>#N/A</v>
      </c>
      <c r="L24" s="589" t="e">
        <f>VLOOKUP($B24,'2W Delta Data'!$A$4:$GC$855,174,FALSE)</f>
        <v>#N/A</v>
      </c>
      <c r="M24" s="10" t="e">
        <f>VLOOKUP($B24,'2W Delta Data'!$A$4:$GC$855,2,FALSE)</f>
        <v>#N/A</v>
      </c>
      <c r="N24" t="e">
        <f>VLOOKUP($B24,'2W Delta Data'!$A$4:$GC$855,11,FALSE)</f>
        <v>#N/A</v>
      </c>
      <c r="O24" s="590" t="e">
        <f>IF(OR($C24="1,3",$C24="1"),VLOOKUP($B24,'2W Delta Data'!$A$4:$GC$855,23,FALSE),"-")</f>
        <v>#N/A</v>
      </c>
      <c r="P24" s="590" t="e">
        <f>IF(OR($C24="1,3",$C24="3"),VLOOKUP($B24,'2W Delta Data'!$A$4:$GC$855,25,FALSE),"-")</f>
        <v>#N/A</v>
      </c>
      <c r="Q24" s="590" t="e">
        <f t="shared" si="5"/>
        <v>#N/A</v>
      </c>
      <c r="R24">
        <v>3</v>
      </c>
      <c r="S24" t="e">
        <f t="shared" si="6"/>
        <v>#N/A</v>
      </c>
      <c r="T24" s="10" t="e">
        <f t="shared" si="7"/>
        <v>#N/A</v>
      </c>
    </row>
    <row r="25" spans="2:20" ht="15" x14ac:dyDescent="0.25">
      <c r="C25" s="583" t="e">
        <f>IF(VLOOKUP($B25,'2W Delta Data'!$A$3:$GC$1213,3,FALSE),IF(VLOOKUP($B25,'2W Delta Data'!$A$3:$GC$1213,4,FALSE),"1,3","1"),"3")</f>
        <v>#N/A</v>
      </c>
      <c r="D25" s="584" t="e">
        <f>VLOOKUP($B25,'2W Delta Data'!$A$4:$GC$855,180,FALSE)</f>
        <v>#N/A</v>
      </c>
      <c r="E25" s="585" t="e">
        <f>IF(C25="1,3",AVERAGE(VLOOKUP($B25,'2W Delta Data'!$A$4:$GC$855,20,FALSE),VLOOKUP($B25,'2W Delta Data'!$A$4:$GC$855,22,FALSE)),IF(C25="1",VLOOKUP($B25,'2W Delta Data'!$A$4:$GC$855,20,FALSE),VLOOKUP($B25,'2W Delta Data'!$A$4:$GC$855,22,FALSE)))</f>
        <v>#N/A</v>
      </c>
      <c r="F25" s="583" t="e">
        <f t="shared" si="4"/>
        <v>#N/A</v>
      </c>
      <c r="G25" s="584" t="e">
        <f>IF(OR($C25="1,3",$C25="1"),VLOOKUP($B25,'2W Delta Data'!$A$4:$GC$855,23,FALSE),"-")</f>
        <v>#N/A</v>
      </c>
      <c r="H25" s="584" t="e">
        <f>IF(OR($C25="1,3",$C25="3"),VLOOKUP($B25,'2W Delta Data'!$A$4:$GC$855,25,FALSE),"-")</f>
        <v>#N/A</v>
      </c>
      <c r="I25" s="589" t="e">
        <f>VLOOKUP($B25,'2W Delta Data'!$A$4:$GC$855,179,FALSE)</f>
        <v>#N/A</v>
      </c>
      <c r="J25" s="588" t="e">
        <f>VLOOKUP($B25,'2W Delta Data'!$A$4:$GC$855,178,FALSE)</f>
        <v>#N/A</v>
      </c>
      <c r="K25" s="588" t="e">
        <f>VLOOKUP($B25,'2W Delta Data'!$A$4:$GC$855,175,FALSE)</f>
        <v>#N/A</v>
      </c>
      <c r="L25" s="589" t="e">
        <f>VLOOKUP($B25,'2W Delta Data'!$A$4:$GC$855,174,FALSE)</f>
        <v>#N/A</v>
      </c>
      <c r="M25" s="10" t="e">
        <f>VLOOKUP($B25,'2W Delta Data'!$A$4:$GC$855,2,FALSE)</f>
        <v>#N/A</v>
      </c>
      <c r="N25" t="e">
        <f>VLOOKUP($B25,'2W Delta Data'!$A$4:$GC$855,11,FALSE)</f>
        <v>#N/A</v>
      </c>
      <c r="O25" s="590" t="e">
        <f>IF(OR($C25="1,3",$C25="1"),VLOOKUP($B25,'2W Delta Data'!$A$4:$GC$855,23,FALSE),"-")</f>
        <v>#N/A</v>
      </c>
      <c r="P25" s="590" t="e">
        <f>IF(OR($C25="1,3",$C25="3"),VLOOKUP($B25,'2W Delta Data'!$A$4:$GC$855,25,FALSE),"-")</f>
        <v>#N/A</v>
      </c>
      <c r="Q25" s="590" t="e">
        <f t="shared" si="5"/>
        <v>#N/A</v>
      </c>
      <c r="R25">
        <v>3</v>
      </c>
      <c r="S25" t="e">
        <f t="shared" si="6"/>
        <v>#N/A</v>
      </c>
      <c r="T25" s="10" t="e">
        <f t="shared" si="7"/>
        <v>#N/A</v>
      </c>
    </row>
    <row r="26" spans="2:20" s="6" customFormat="1" ht="15" x14ac:dyDescent="0.25">
      <c r="C26" s="583" t="e">
        <f>IF(VLOOKUP($B26,'2W Delta Data'!$A$3:$GC$1213,3,FALSE),IF(VLOOKUP($B26,'2W Delta Data'!$A$3:$GC$1213,4,FALSE),"1,3","1"),"3")</f>
        <v>#N/A</v>
      </c>
      <c r="D26" s="584" t="e">
        <f>VLOOKUP($B26,'2W Delta Data'!$A$4:$GC$855,180,FALSE)</f>
        <v>#N/A</v>
      </c>
      <c r="E26" s="585" t="e">
        <f>IF(C26="1,3",AVERAGE(VLOOKUP($B26,'2W Delta Data'!$A$4:$GC$855,20,FALSE),VLOOKUP($B26,'2W Delta Data'!$A$4:$GC$855,22,FALSE)),IF(C26="1",VLOOKUP($B26,'2W Delta Data'!$A$4:$GC$855,20,FALSE),VLOOKUP($B26,'2W Delta Data'!$A$4:$GC$855,22,FALSE)))</f>
        <v>#N/A</v>
      </c>
      <c r="F26" s="583" t="e">
        <f t="shared" si="4"/>
        <v>#N/A</v>
      </c>
      <c r="G26" s="584" t="e">
        <f>IF(OR($C26="1,3",$C26="1"),VLOOKUP($B26,'2W Delta Data'!$A$4:$GC$855,23,FALSE),"-")</f>
        <v>#N/A</v>
      </c>
      <c r="H26" s="584" t="e">
        <f>IF(OR($C26="1,3",$C26="3"),VLOOKUP($B26,'2W Delta Data'!$A$4:$GC$855,25,FALSE),"-")</f>
        <v>#N/A</v>
      </c>
      <c r="I26" s="589" t="e">
        <f>VLOOKUP($B26,'2W Delta Data'!$A$4:$GC$855,179,FALSE)</f>
        <v>#N/A</v>
      </c>
      <c r="J26" s="588" t="e">
        <f>VLOOKUP($B26,'2W Delta Data'!$A$4:$GC$855,178,FALSE)</f>
        <v>#N/A</v>
      </c>
      <c r="K26" s="588" t="e">
        <f>VLOOKUP($B26,'2W Delta Data'!$A$4:$GC$855,175,FALSE)</f>
        <v>#N/A</v>
      </c>
      <c r="L26" s="589" t="e">
        <f>VLOOKUP($B26,'2W Delta Data'!$A$4:$GC$855,174,FALSE)</f>
        <v>#N/A</v>
      </c>
      <c r="M26" s="438" t="e">
        <f>VLOOKUP($B26,'2W Delta Data'!$A$4:$GC$855,2,FALSE)</f>
        <v>#N/A</v>
      </c>
      <c r="N26" s="6" t="e">
        <f>VLOOKUP($B26,'2W Delta Data'!$A$4:$GC$855,11,FALSE)</f>
        <v>#N/A</v>
      </c>
      <c r="O26" s="590" t="e">
        <f>IF(OR($C26="1,3",$C26="1"),VLOOKUP($B26,'2W Delta Data'!$A$4:$GC$855,23,FALSE),"-")</f>
        <v>#N/A</v>
      </c>
      <c r="P26" s="590" t="e">
        <f>IF(OR($C26="1,3",$C26="3"),VLOOKUP($B26,'2W Delta Data'!$A$4:$GC$855,25,FALSE),"-")</f>
        <v>#N/A</v>
      </c>
      <c r="Q26" s="590" t="e">
        <f t="shared" si="5"/>
        <v>#N/A</v>
      </c>
      <c r="R26">
        <v>3</v>
      </c>
      <c r="S26" t="e">
        <f t="shared" si="6"/>
        <v>#N/A</v>
      </c>
      <c r="T26" s="10" t="e">
        <f t="shared" si="7"/>
        <v>#N/A</v>
      </c>
    </row>
    <row r="27" spans="2:20" ht="15" x14ac:dyDescent="0.25">
      <c r="C27" s="583" t="e">
        <f>IF(VLOOKUP($B27,'2W Delta Data'!$A$3:$GC$1213,3,FALSE),IF(VLOOKUP($B27,'2W Delta Data'!$A$3:$GC$1213,4,FALSE),"1,3","1"),"3")</f>
        <v>#N/A</v>
      </c>
      <c r="D27" s="584" t="e">
        <f>VLOOKUP($B27,'2W Delta Data'!$A$4:$GC$855,180,FALSE)</f>
        <v>#N/A</v>
      </c>
      <c r="E27" s="585" t="e">
        <f>IF(C27="1,3",AVERAGE(VLOOKUP($B27,'2W Delta Data'!$A$4:$GC$855,20,FALSE),VLOOKUP($B27,'2W Delta Data'!$A$4:$GC$855,22,FALSE)),IF(C27="1",VLOOKUP($B27,'2W Delta Data'!$A$4:$GC$855,20,FALSE),VLOOKUP($B27,'2W Delta Data'!$A$4:$GC$855,22,FALSE)))</f>
        <v>#N/A</v>
      </c>
      <c r="F27" s="583" t="e">
        <f t="shared" si="4"/>
        <v>#N/A</v>
      </c>
      <c r="G27" s="584" t="e">
        <f>IF(OR($C27="1,3",$C27="1"),VLOOKUP($B27,'2W Delta Data'!$A$4:$GC$855,23,FALSE),"-")</f>
        <v>#N/A</v>
      </c>
      <c r="H27" s="584" t="e">
        <f>IF(OR($C27="1,3",$C27="3"),VLOOKUP($B27,'2W Delta Data'!$A$4:$GC$855,25,FALSE),"-")</f>
        <v>#N/A</v>
      </c>
      <c r="I27" s="589" t="e">
        <f>VLOOKUP($B27,'2W Delta Data'!$A$4:$GC$855,179,FALSE)</f>
        <v>#N/A</v>
      </c>
      <c r="J27" s="588" t="e">
        <f>VLOOKUP($B27,'2W Delta Data'!$A$4:$GC$855,178,FALSE)</f>
        <v>#N/A</v>
      </c>
      <c r="K27" s="588" t="e">
        <f>VLOOKUP($B27,'2W Delta Data'!$A$4:$GC$855,175,FALSE)</f>
        <v>#N/A</v>
      </c>
      <c r="L27" s="589" t="e">
        <f>VLOOKUP($B27,'2W Delta Data'!$A$4:$GC$855,174,FALSE)</f>
        <v>#N/A</v>
      </c>
      <c r="M27" s="10" t="e">
        <f>VLOOKUP($B27,'2W Delta Data'!$A$4:$GC$855,2,FALSE)</f>
        <v>#N/A</v>
      </c>
      <c r="N27" t="e">
        <f>VLOOKUP($B27,'2W Delta Data'!$A$4:$GC$855,11,FALSE)</f>
        <v>#N/A</v>
      </c>
      <c r="O27" s="590" t="e">
        <f>IF(OR($C27="1,3",$C27="1"),VLOOKUP($B27,'2W Delta Data'!$A$4:$GC$855,23,FALSE),"-")</f>
        <v>#N/A</v>
      </c>
      <c r="P27" s="590" t="e">
        <f>IF(OR($C27="1,3",$C27="3"),VLOOKUP($B27,'2W Delta Data'!$A$4:$GC$855,25,FALSE),"-")</f>
        <v>#N/A</v>
      </c>
      <c r="Q27" s="590" t="e">
        <f t="shared" si="5"/>
        <v>#N/A</v>
      </c>
      <c r="R27">
        <v>2</v>
      </c>
      <c r="S27" t="e">
        <f t="shared" si="6"/>
        <v>#N/A</v>
      </c>
      <c r="T27" s="10" t="e">
        <f t="shared" si="7"/>
        <v>#N/A</v>
      </c>
    </row>
    <row r="28" spans="2:20" ht="15" x14ac:dyDescent="0.25">
      <c r="C28" s="583" t="e">
        <f>IF(VLOOKUP($B28,'2W Delta Data'!$A$3:$GC$1213,3,FALSE),IF(VLOOKUP($B28,'2W Delta Data'!$A$3:$GC$1213,4,FALSE),"1,3","1"),"3")</f>
        <v>#N/A</v>
      </c>
      <c r="D28" s="584" t="e">
        <f>VLOOKUP($B28,'2W Delta Data'!$A$4:$GC$855,180,FALSE)</f>
        <v>#N/A</v>
      </c>
      <c r="E28" s="585" t="e">
        <f>IF(C28="1,3",AVERAGE(VLOOKUP($B28,'2W Delta Data'!$A$4:$GC$855,20,FALSE),VLOOKUP($B28,'2W Delta Data'!$A$4:$GC$855,22,FALSE)),IF(C28="1",VLOOKUP($B28,'2W Delta Data'!$A$4:$GC$855,20,FALSE),VLOOKUP($B28,'2W Delta Data'!$A$4:$GC$855,22,FALSE)))</f>
        <v>#N/A</v>
      </c>
      <c r="F28" s="583" t="e">
        <f t="shared" si="4"/>
        <v>#N/A</v>
      </c>
      <c r="G28" s="584" t="e">
        <f>IF(OR($C28="1,3",$C28="1"),VLOOKUP($B28,'2W Delta Data'!$A$4:$GC$855,23,FALSE),"-")</f>
        <v>#N/A</v>
      </c>
      <c r="H28" s="584" t="e">
        <f>IF(OR($C28="1,3",$C28="3"),VLOOKUP($B28,'2W Delta Data'!$A$4:$GC$855,25,FALSE),"-")</f>
        <v>#N/A</v>
      </c>
      <c r="I28" s="589" t="e">
        <f>VLOOKUP($B28,'2W Delta Data'!$A$4:$GC$855,179,FALSE)</f>
        <v>#N/A</v>
      </c>
      <c r="J28" s="588" t="e">
        <f>VLOOKUP($B28,'2W Delta Data'!$A$4:$GC$855,178,FALSE)</f>
        <v>#N/A</v>
      </c>
      <c r="K28" s="588" t="e">
        <f>VLOOKUP($B28,'2W Delta Data'!$A$4:$GC$855,175,FALSE)</f>
        <v>#N/A</v>
      </c>
      <c r="L28" s="589" t="e">
        <f>VLOOKUP($B28,'2W Delta Data'!$A$4:$GC$855,174,FALSE)</f>
        <v>#N/A</v>
      </c>
      <c r="M28" s="10" t="e">
        <f>VLOOKUP($B28,'2W Delta Data'!$A$4:$GC$855,2,FALSE)</f>
        <v>#N/A</v>
      </c>
      <c r="N28" t="e">
        <f>VLOOKUP($B28,'2W Delta Data'!$A$4:$GC$855,11,FALSE)</f>
        <v>#N/A</v>
      </c>
      <c r="O28" s="590" t="e">
        <f>IF(OR($C28="1,3",$C28="1"),VLOOKUP($B28,'2W Delta Data'!$A$4:$GC$855,23,FALSE),"-")</f>
        <v>#N/A</v>
      </c>
      <c r="P28" s="590" t="e">
        <f>IF(OR($C28="1,3",$C28="3"),VLOOKUP($B28,'2W Delta Data'!$A$4:$GC$855,25,FALSE),"-")</f>
        <v>#N/A</v>
      </c>
      <c r="Q28" s="590" t="e">
        <f t="shared" si="5"/>
        <v>#N/A</v>
      </c>
      <c r="R28">
        <v>3</v>
      </c>
      <c r="S28" t="e">
        <f t="shared" si="6"/>
        <v>#N/A</v>
      </c>
      <c r="T28" s="10" t="e">
        <f t="shared" si="7"/>
        <v>#N/A</v>
      </c>
    </row>
    <row r="29" spans="2:20" s="6" customFormat="1" ht="15" x14ac:dyDescent="0.25">
      <c r="C29" s="583" t="e">
        <f>IF(VLOOKUP($B29,'2W Delta Data'!$A$3:$GC$1213,3,FALSE),IF(VLOOKUP($B29,'2W Delta Data'!$A$3:$GC$1213,4,FALSE),"1,3","1"),"3")</f>
        <v>#N/A</v>
      </c>
      <c r="D29" s="584" t="e">
        <f>VLOOKUP($B29,'2W Delta Data'!$A$4:$GC$855,180,FALSE)</f>
        <v>#N/A</v>
      </c>
      <c r="E29" s="585" t="e">
        <f>IF(C29="1,3",AVERAGE(VLOOKUP($B29,'2W Delta Data'!$A$4:$GC$855,20,FALSE),VLOOKUP($B29,'2W Delta Data'!$A$4:$GC$855,22,FALSE)),IF(C29="1",VLOOKUP($B29,'2W Delta Data'!$A$4:$GC$855,20,FALSE),VLOOKUP($B29,'2W Delta Data'!$A$4:$GC$855,22,FALSE)))</f>
        <v>#N/A</v>
      </c>
      <c r="F29" s="583" t="e">
        <f t="shared" si="4"/>
        <v>#N/A</v>
      </c>
      <c r="G29" s="584" t="e">
        <f>IF(OR($C29="1,3",$C29="1"),VLOOKUP($B29,'2W Delta Data'!$A$4:$GC$855,23,FALSE),"-")</f>
        <v>#N/A</v>
      </c>
      <c r="H29" s="584" t="e">
        <f>IF(OR($C29="1,3",$C29="3"),VLOOKUP($B29,'2W Delta Data'!$A$4:$GC$855,25,FALSE),"-")</f>
        <v>#N/A</v>
      </c>
      <c r="I29" s="589" t="e">
        <f>VLOOKUP($B29,'2W Delta Data'!$A$4:$GC$855,179,FALSE)</f>
        <v>#N/A</v>
      </c>
      <c r="J29" s="588" t="e">
        <f>VLOOKUP($B29,'2W Delta Data'!$A$4:$GC$855,178,FALSE)</f>
        <v>#N/A</v>
      </c>
      <c r="K29" s="588" t="e">
        <f>VLOOKUP($B29,'2W Delta Data'!$A$4:$GC$855,175,FALSE)</f>
        <v>#N/A</v>
      </c>
      <c r="L29" s="589" t="e">
        <f>VLOOKUP($B29,'2W Delta Data'!$A$4:$GC$855,174,FALSE)</f>
        <v>#N/A</v>
      </c>
      <c r="M29" s="438" t="e">
        <f>VLOOKUP($B29,'2W Delta Data'!$A$4:$GC$855,2,FALSE)</f>
        <v>#N/A</v>
      </c>
      <c r="N29" s="6" t="e">
        <f>VLOOKUP($B29,'2W Delta Data'!$A$4:$GC$855,11,FALSE)</f>
        <v>#N/A</v>
      </c>
      <c r="O29" s="600" t="e">
        <f>IF(OR($C29="1,3",$C29="1"),VLOOKUP($B29,'2W Delta Data'!$A$4:$GC$855,23,FALSE),"-")</f>
        <v>#N/A</v>
      </c>
      <c r="P29" s="600" t="e">
        <f>IF(OR($C29="1,3",$C29="3"),VLOOKUP($B29,'2W Delta Data'!$A$4:$GC$855,25,FALSE),"-")</f>
        <v>#N/A</v>
      </c>
      <c r="Q29" s="600" t="e">
        <f t="shared" si="5"/>
        <v>#N/A</v>
      </c>
      <c r="R29" s="6">
        <v>2</v>
      </c>
      <c r="S29" s="6" t="e">
        <f t="shared" si="6"/>
        <v>#N/A</v>
      </c>
      <c r="T29" s="438" t="e">
        <f t="shared" si="7"/>
        <v>#N/A</v>
      </c>
    </row>
    <row r="30" spans="2:20" ht="15" x14ac:dyDescent="0.25">
      <c r="C30" s="583" t="e">
        <f>IF(VLOOKUP($B30,'2W Delta Data'!$A$3:$GC$1213,3,FALSE),IF(VLOOKUP($B30,'2W Delta Data'!$A$3:$GC$1213,4,FALSE),"1,3","1"),"3")</f>
        <v>#N/A</v>
      </c>
      <c r="D30" s="584" t="e">
        <f>VLOOKUP($B30,'2W Delta Data'!$A$4:$GC$855,180,FALSE)</f>
        <v>#N/A</v>
      </c>
      <c r="E30" s="585" t="e">
        <f>IF(C30="1,3",AVERAGE(VLOOKUP($B30,'2W Delta Data'!$A$4:$GC$855,20,FALSE),VLOOKUP($B30,'2W Delta Data'!$A$4:$GC$855,22,FALSE)),IF(C30="1",VLOOKUP($B30,'2W Delta Data'!$A$4:$GC$855,20,FALSE),VLOOKUP($B30,'2W Delta Data'!$A$4:$GC$855,22,FALSE)))</f>
        <v>#N/A</v>
      </c>
      <c r="F30" s="583" t="e">
        <f t="shared" si="4"/>
        <v>#N/A</v>
      </c>
      <c r="G30" s="584" t="e">
        <f>IF(OR($C30="1,3",$C30="1"),VLOOKUP($B30,'2W Delta Data'!$A$4:$GC$855,23,FALSE),"-")</f>
        <v>#N/A</v>
      </c>
      <c r="H30" s="584" t="e">
        <f>IF(OR($C30="1,3",$C30="3"),VLOOKUP($B30,'2W Delta Data'!$A$4:$GC$855,25,FALSE),"-")</f>
        <v>#N/A</v>
      </c>
      <c r="I30" s="589" t="e">
        <f>VLOOKUP($B30,'2W Delta Data'!$A$4:$GC$855,179,FALSE)</f>
        <v>#N/A</v>
      </c>
      <c r="J30" s="588" t="e">
        <f>VLOOKUP($B30,'2W Delta Data'!$A$4:$GC$855,178,FALSE)</f>
        <v>#N/A</v>
      </c>
      <c r="K30" s="588" t="e">
        <f>VLOOKUP($B30,'2W Delta Data'!$A$4:$GC$855,175,FALSE)</f>
        <v>#N/A</v>
      </c>
      <c r="L30" s="589" t="e">
        <f>VLOOKUP($B30,'2W Delta Data'!$A$4:$GC$855,174,FALSE)</f>
        <v>#N/A</v>
      </c>
      <c r="M30" s="10" t="e">
        <f>VLOOKUP($B30,'2W Delta Data'!$A$4:$GC$855,2,FALSE)</f>
        <v>#N/A</v>
      </c>
      <c r="N30" t="e">
        <f>VLOOKUP($B30,'2W Delta Data'!$A$4:$GC$855,11,FALSE)</f>
        <v>#N/A</v>
      </c>
      <c r="O30" s="590" t="e">
        <f>IF(OR($C30="1,3",$C30="1"),VLOOKUP($B30,'2W Delta Data'!$A$4:$GC$855,23,FALSE),"-")</f>
        <v>#N/A</v>
      </c>
      <c r="P30" s="590" t="e">
        <f>IF(OR($C30="1,3",$C30="3"),VLOOKUP($B30,'2W Delta Data'!$A$4:$GC$855,25,FALSE),"-")</f>
        <v>#N/A</v>
      </c>
      <c r="Q30" s="590" t="e">
        <f t="shared" si="5"/>
        <v>#N/A</v>
      </c>
      <c r="R30">
        <v>3</v>
      </c>
      <c r="S30" t="e">
        <f t="shared" si="6"/>
        <v>#N/A</v>
      </c>
      <c r="T30" s="10" t="e">
        <f t="shared" si="7"/>
        <v>#N/A</v>
      </c>
    </row>
    <row r="31" spans="2:20" ht="15" x14ac:dyDescent="0.25">
      <c r="C31" s="583" t="e">
        <f>IF(VLOOKUP($B31,'2W Delta Data'!$A$3:$GC$1213,3,FALSE),IF(VLOOKUP($B31,'2W Delta Data'!$A$3:$GC$1213,4,FALSE),"1,3","1"),"3")</f>
        <v>#N/A</v>
      </c>
      <c r="D31" s="584" t="e">
        <f>VLOOKUP($B31,'2W Delta Data'!$A$4:$GC$855,180,FALSE)</f>
        <v>#N/A</v>
      </c>
      <c r="E31" s="585" t="e">
        <f>IF(C31="1,3",AVERAGE(VLOOKUP($B31,'2W Delta Data'!$A$4:$GC$855,20,FALSE),VLOOKUP($B31,'2W Delta Data'!$A$4:$GC$855,22,FALSE)),IF(C31="1",VLOOKUP($B31,'2W Delta Data'!$A$4:$GC$855,20,FALSE),VLOOKUP($B31,'2W Delta Data'!$A$4:$GC$855,22,FALSE)))</f>
        <v>#N/A</v>
      </c>
      <c r="F31" s="583" t="e">
        <f t="shared" si="4"/>
        <v>#N/A</v>
      </c>
      <c r="G31" s="584" t="e">
        <f>IF(OR($C31="1,3",$C31="1"),VLOOKUP($B31,'2W Delta Data'!$A$4:$GC$855,23,FALSE),"-")</f>
        <v>#N/A</v>
      </c>
      <c r="H31" s="584" t="e">
        <f>IF(OR($C31="1,3",$C31="3"),VLOOKUP($B31,'2W Delta Data'!$A$4:$GC$855,25,FALSE),"-")</f>
        <v>#N/A</v>
      </c>
      <c r="I31" s="589" t="e">
        <f>VLOOKUP($B31,'2W Delta Data'!$A$4:$GC$855,179,FALSE)</f>
        <v>#N/A</v>
      </c>
      <c r="J31" s="588" t="e">
        <f>VLOOKUP($B31,'2W Delta Data'!$A$4:$GC$855,178,FALSE)</f>
        <v>#N/A</v>
      </c>
      <c r="K31" s="588" t="e">
        <f>VLOOKUP($B31,'2W Delta Data'!$A$4:$GC$855,175,FALSE)</f>
        <v>#N/A</v>
      </c>
      <c r="L31" s="589" t="e">
        <f>VLOOKUP($B31,'2W Delta Data'!$A$4:$GC$855,174,FALSE)</f>
        <v>#N/A</v>
      </c>
      <c r="M31" s="10" t="e">
        <f>VLOOKUP($B31,'2W Delta Data'!$A$4:$GC$855,2,FALSE)</f>
        <v>#N/A</v>
      </c>
      <c r="N31" t="e">
        <f>VLOOKUP($B31,'2W Delta Data'!$A$4:$GC$855,11,FALSE)</f>
        <v>#N/A</v>
      </c>
      <c r="O31" s="590" t="e">
        <f>IF(OR($C31="1,3",$C31="1"),VLOOKUP($B31,'2W Delta Data'!$A$4:$GC$855,23,FALSE),"-")</f>
        <v>#N/A</v>
      </c>
      <c r="P31" s="590" t="e">
        <f>IF(OR($C31="1,3",$C31="3"),VLOOKUP($B31,'2W Delta Data'!$A$4:$GC$855,25,FALSE),"-")</f>
        <v>#N/A</v>
      </c>
      <c r="Q31" s="590" t="e">
        <f t="shared" si="5"/>
        <v>#N/A</v>
      </c>
      <c r="R31">
        <v>3</v>
      </c>
      <c r="S31" t="e">
        <f t="shared" si="6"/>
        <v>#N/A</v>
      </c>
      <c r="T31" s="10" t="e">
        <f t="shared" si="7"/>
        <v>#N/A</v>
      </c>
    </row>
    <row r="32" spans="2:20" ht="15" x14ac:dyDescent="0.25">
      <c r="C32" s="583" t="e">
        <f>IF(VLOOKUP($B32,'2W Delta Data'!$A$3:$GC$1213,3,FALSE),IF(VLOOKUP($B32,'2W Delta Data'!$A$3:$GC$1213,4,FALSE),"1,3","1"),"3")</f>
        <v>#N/A</v>
      </c>
      <c r="D32" s="584" t="e">
        <f>VLOOKUP($B32,'2W Delta Data'!$A$4:$GC$855,180,FALSE)</f>
        <v>#N/A</v>
      </c>
      <c r="E32" s="585" t="e">
        <f>IF(C32="1,3",AVERAGE(VLOOKUP($B32,'2W Delta Data'!$A$4:$GC$855,20,FALSE),VLOOKUP($B32,'2W Delta Data'!$A$4:$GC$855,22,FALSE)),IF(C32="1",VLOOKUP($B32,'2W Delta Data'!$A$4:$GC$855,20,FALSE),VLOOKUP($B32,'2W Delta Data'!$A$4:$GC$855,22,FALSE)))</f>
        <v>#N/A</v>
      </c>
      <c r="F32" s="583" t="e">
        <f t="shared" si="4"/>
        <v>#N/A</v>
      </c>
      <c r="G32" s="584" t="e">
        <f>IF(OR($C32="1,3",$C32="1"),VLOOKUP($B32,'2W Delta Data'!$A$4:$GC$855,23,FALSE),"-")</f>
        <v>#N/A</v>
      </c>
      <c r="H32" s="584" t="e">
        <f>IF(OR($C32="1,3",$C32="3"),VLOOKUP($B32,'2W Delta Data'!$A$4:$GC$855,25,FALSE),"-")</f>
        <v>#N/A</v>
      </c>
      <c r="I32" s="589" t="e">
        <f>VLOOKUP($B32,'2W Delta Data'!$A$4:$GC$855,179,FALSE)</f>
        <v>#N/A</v>
      </c>
      <c r="J32" s="588" t="e">
        <f>VLOOKUP($B32,'2W Delta Data'!$A$4:$GC$855,178,FALSE)</f>
        <v>#N/A</v>
      </c>
      <c r="K32" s="588" t="e">
        <f>VLOOKUP($B32,'2W Delta Data'!$A$4:$GC$855,175,FALSE)</f>
        <v>#N/A</v>
      </c>
      <c r="L32" s="589" t="e">
        <f>VLOOKUP($B32,'2W Delta Data'!$A$4:$GC$855,174,FALSE)</f>
        <v>#N/A</v>
      </c>
      <c r="M32" s="10" t="e">
        <f>VLOOKUP($B32,'2W Delta Data'!$A$4:$GC$855,2,FALSE)</f>
        <v>#N/A</v>
      </c>
      <c r="N32" t="e">
        <f>VLOOKUP($B32,'2W Delta Data'!$A$4:$GC$855,11,FALSE)</f>
        <v>#N/A</v>
      </c>
      <c r="O32" s="590" t="e">
        <f>IF(OR($C32="1,3",$C32="1"),VLOOKUP($B32,'2W Delta Data'!$A$4:$GC$855,23,FALSE),"-")</f>
        <v>#N/A</v>
      </c>
      <c r="P32" s="590" t="e">
        <f>IF(OR($C32="1,3",$C32="3"),VLOOKUP($B32,'2W Delta Data'!$A$4:$GC$855,25,FALSE),"-")</f>
        <v>#N/A</v>
      </c>
      <c r="Q32" s="590" t="e">
        <f t="shared" si="5"/>
        <v>#N/A</v>
      </c>
      <c r="R32">
        <v>3</v>
      </c>
      <c r="S32" t="e">
        <f t="shared" si="6"/>
        <v>#N/A</v>
      </c>
      <c r="T32" s="10" t="e">
        <f t="shared" si="7"/>
        <v>#N/A</v>
      </c>
    </row>
    <row r="33" spans="3:20" ht="15" x14ac:dyDescent="0.25">
      <c r="C33" s="583" t="e">
        <f>IF(VLOOKUP($B33,'2W Delta Data'!$A$3:$GC$1213,3,FALSE),IF(VLOOKUP($B33,'2W Delta Data'!$A$3:$GC$1213,4,FALSE),"1,3","1"),"3")</f>
        <v>#N/A</v>
      </c>
      <c r="D33" s="584" t="e">
        <f>VLOOKUP($B33,'2W Delta Data'!$A$4:$GC$855,180,FALSE)</f>
        <v>#N/A</v>
      </c>
      <c r="E33" s="585" t="e">
        <f>IF(C33="1,3",AVERAGE(VLOOKUP($B33,'2W Delta Data'!$A$4:$GC$855,20,FALSE),VLOOKUP($B33,'2W Delta Data'!$A$4:$GC$855,22,FALSE)),IF(C33="1",VLOOKUP($B33,'2W Delta Data'!$A$4:$GC$855,20,FALSE),VLOOKUP($B33,'2W Delta Data'!$A$4:$GC$855,22,FALSE)))</f>
        <v>#N/A</v>
      </c>
      <c r="F33" s="583" t="e">
        <f t="shared" si="4"/>
        <v>#N/A</v>
      </c>
      <c r="G33" s="584" t="e">
        <f>IF(OR($C33="1,3",$C33="1"),VLOOKUP($B33,'2W Delta Data'!$A$4:$GC$855,23,FALSE),"-")</f>
        <v>#N/A</v>
      </c>
      <c r="H33" s="584" t="e">
        <f>IF(OR($C33="1,3",$C33="3"),VLOOKUP($B33,'2W Delta Data'!$A$4:$GC$855,25,FALSE),"-")</f>
        <v>#N/A</v>
      </c>
      <c r="I33" s="589" t="e">
        <f>VLOOKUP($B33,'2W Delta Data'!$A$4:$GC$855,179,FALSE)</f>
        <v>#N/A</v>
      </c>
      <c r="J33" s="588" t="e">
        <f>VLOOKUP($B33,'2W Delta Data'!$A$4:$GC$855,178,FALSE)</f>
        <v>#N/A</v>
      </c>
      <c r="K33" s="588" t="e">
        <f>VLOOKUP($B33,'2W Delta Data'!$A$4:$GC$855,175,FALSE)</f>
        <v>#N/A</v>
      </c>
      <c r="L33" s="589" t="e">
        <f>VLOOKUP($B33,'2W Delta Data'!$A$4:$GC$855,174,FALSE)</f>
        <v>#N/A</v>
      </c>
      <c r="M33" s="10" t="e">
        <f>VLOOKUP($B33,'2W Delta Data'!$A$4:$GC$855,2,FALSE)</f>
        <v>#N/A</v>
      </c>
      <c r="N33" t="e">
        <f>VLOOKUP($B33,'2W Delta Data'!$A$4:$GC$855,11,FALSE)</f>
        <v>#N/A</v>
      </c>
      <c r="O33" s="590" t="e">
        <f>IF(OR($C33="1,3",$C33="1"),VLOOKUP($B33,'2W Delta Data'!$A$4:$GC$855,23,FALSE),"-")</f>
        <v>#N/A</v>
      </c>
      <c r="P33" s="590" t="e">
        <f>IF(OR($C33="1,3",$C33="3"),VLOOKUP($B33,'2W Delta Data'!$A$4:$GC$855,25,FALSE),"-")</f>
        <v>#N/A</v>
      </c>
      <c r="Q33" s="590" t="e">
        <f t="shared" si="5"/>
        <v>#N/A</v>
      </c>
      <c r="R33">
        <v>3</v>
      </c>
      <c r="S33" t="e">
        <f t="shared" si="6"/>
        <v>#N/A</v>
      </c>
      <c r="T33" s="10" t="e">
        <f t="shared" si="7"/>
        <v>#N/A</v>
      </c>
    </row>
    <row r="34" spans="3:20" ht="15" x14ac:dyDescent="0.25">
      <c r="C34" s="591"/>
      <c r="D34" s="592"/>
      <c r="E34" s="593"/>
      <c r="F34" s="591"/>
      <c r="G34" s="591"/>
      <c r="H34" s="591"/>
      <c r="I34" s="591"/>
      <c r="J34" s="594"/>
      <c r="K34" s="594"/>
      <c r="L34" s="592"/>
    </row>
  </sheetData>
  <phoneticPr fontId="13" type="noConversion"/>
  <pageMargins left="0.75" right="0.75" top="1" bottom="1" header="0.5" footer="0.5"/>
  <pageSetup paperSize="9"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279"/>
  <sheetViews>
    <sheetView showGridLines="0" zoomScale="75" workbookViewId="0">
      <selection activeCell="R7" sqref="R7"/>
    </sheetView>
  </sheetViews>
  <sheetFormatPr defaultRowHeight="12.75" x14ac:dyDescent="0.2"/>
  <cols>
    <col min="8" max="8" width="11" customWidth="1"/>
    <col min="9" max="9" width="10.5703125" customWidth="1"/>
    <col min="10" max="10" width="11.85546875" bestFit="1" customWidth="1"/>
    <col min="11" max="11" width="10" customWidth="1"/>
    <col min="12" max="12" width="10.42578125" customWidth="1"/>
    <col min="13" max="13" width="11.140625" customWidth="1"/>
    <col min="14" max="14" width="9.42578125" bestFit="1" customWidth="1"/>
    <col min="15" max="15" width="10.42578125" customWidth="1"/>
    <col min="18" max="18" width="8.85546875" style="21" customWidth="1"/>
  </cols>
  <sheetData>
    <row r="1" spans="1:27" x14ac:dyDescent="0.2">
      <c r="A1" s="8" t="s">
        <v>173</v>
      </c>
    </row>
    <row r="2" spans="1:27" x14ac:dyDescent="0.2">
      <c r="E2" s="46"/>
    </row>
    <row r="3" spans="1:27" ht="13.9" customHeight="1" x14ac:dyDescent="0.2">
      <c r="O3" s="21"/>
      <c r="P3" s="21"/>
    </row>
    <row r="4" spans="1:27" x14ac:dyDescent="0.2">
      <c r="D4" s="20" t="s">
        <v>412</v>
      </c>
      <c r="E4" s="20"/>
      <c r="F4" s="20"/>
      <c r="O4" s="21"/>
      <c r="P4" s="21"/>
    </row>
    <row r="5" spans="1:27" x14ac:dyDescent="0.2">
      <c r="D5" s="75"/>
      <c r="E5" s="899" t="s">
        <v>413</v>
      </c>
      <c r="F5" s="900"/>
      <c r="G5" s="76"/>
      <c r="H5" s="77"/>
      <c r="I5" s="76"/>
      <c r="J5" s="76"/>
      <c r="K5" s="76"/>
      <c r="L5" s="76"/>
      <c r="M5" s="78"/>
      <c r="P5" s="21"/>
    </row>
    <row r="6" spans="1:27" ht="76.5" x14ac:dyDescent="0.2">
      <c r="C6" s="25"/>
      <c r="D6" s="79" t="s">
        <v>414</v>
      </c>
      <c r="E6" s="80" t="s">
        <v>415</v>
      </c>
      <c r="F6" s="80" t="s">
        <v>416</v>
      </c>
      <c r="G6" s="81" t="s">
        <v>417</v>
      </c>
      <c r="H6" s="82" t="s">
        <v>418</v>
      </c>
      <c r="I6" s="83" t="s">
        <v>426</v>
      </c>
      <c r="J6" s="84" t="s">
        <v>278</v>
      </c>
      <c r="K6" s="81" t="s">
        <v>279</v>
      </c>
      <c r="L6" s="85" t="s">
        <v>280</v>
      </c>
      <c r="M6" s="86" t="s">
        <v>281</v>
      </c>
      <c r="R6" s="360" t="s">
        <v>1054</v>
      </c>
      <c r="S6" s="19" t="s">
        <v>551</v>
      </c>
    </row>
    <row r="7" spans="1:27" ht="14.45" customHeight="1" x14ac:dyDescent="0.2">
      <c r="B7" s="54"/>
      <c r="C7" s="54"/>
      <c r="D7" s="70" t="e">
        <f>VLOOKUP($C7,Data!$A$12:$AA$211,16,FALSE)</f>
        <v>#N/A</v>
      </c>
      <c r="E7" s="71" t="e">
        <f>LEFT(N7,FIND(",",N7)-1)</f>
        <v>#N/A</v>
      </c>
      <c r="F7" s="71" t="e">
        <f>MID(N7,FIND(",",N7)+1,7)</f>
        <v>#N/A</v>
      </c>
      <c r="G7" s="306" t="e">
        <f>VLOOKUP($C7,Data!$A$12:$AA$211,19,FALSE)</f>
        <v>#N/A</v>
      </c>
      <c r="H7" s="307" t="e">
        <f>VLOOKUP($C7,Data!$A$12:$AA$211,20,FALSE)</f>
        <v>#N/A</v>
      </c>
      <c r="I7" s="308" t="e">
        <f>IF(P7&gt;0.95,"1",ROUND(P7,S7)&amp;" "&amp;R7)</f>
        <v>#N/A</v>
      </c>
      <c r="J7" s="309" t="e">
        <f>ABS(VLOOKUP($C7,Data!$A$12:$AA$211,26,FALSE))/IF(D7=123,3,1)</f>
        <v>#N/A</v>
      </c>
      <c r="K7" s="308" t="e">
        <f>VLOOKUP($C7,Data!$A$12:$AA$211,23,FALSE)</f>
        <v>#N/A</v>
      </c>
      <c r="L7" s="358" t="e">
        <f>VLOOKUP($C7,Data!$A$12:$AA$211,24,FALSE)</f>
        <v>#N/A</v>
      </c>
      <c r="M7" s="311" t="e">
        <f>VLOOKUP($C7,Data!$A$12:$AA$211,25,FALSE)</f>
        <v>#N/A</v>
      </c>
      <c r="N7" s="312" t="e">
        <f>VLOOKUP($C7,Data!$A$12:$R$211,18,FALSE)</f>
        <v>#N/A</v>
      </c>
      <c r="P7" s="65" t="e">
        <f>IF(Q7="Watts",COS(RADIANS(VLOOKUP($C7,Data!$A$12:$AA$211,21,FALSE))),SIN(RADIANS(VLOOKUP($C7,Data!$A$12:$AA$211,21,FALSE))))</f>
        <v>#N/A</v>
      </c>
      <c r="Q7" s="313" t="e">
        <f>VLOOKUP($C7,Data!$A$12:$AA$211,13,FALSE)</f>
        <v>#N/A</v>
      </c>
      <c r="R7" s="65" t="e">
        <f>IF(SIGN(VLOOKUP($C7,Data!$A$12:$AA$211,21,FALSE))=1,"lead","lag")</f>
        <v>#N/A</v>
      </c>
      <c r="S7">
        <v>1</v>
      </c>
    </row>
    <row r="8" spans="1:27" ht="14.45" customHeight="1" x14ac:dyDescent="0.2">
      <c r="B8" s="54"/>
      <c r="C8" s="54"/>
      <c r="D8" s="71" t="e">
        <f>VLOOKUP($C8,Data!$A$12:$AA$211,16,FALSE)</f>
        <v>#N/A</v>
      </c>
      <c r="E8" s="71" t="e">
        <f t="shared" ref="E8:E56" si="0">LEFT(N8,FIND(",",N8)-1)</f>
        <v>#N/A</v>
      </c>
      <c r="F8" s="71" t="e">
        <f t="shared" ref="F8:F56" si="1">MID(N8,FIND(",",N8)+1,7)</f>
        <v>#N/A</v>
      </c>
      <c r="G8" s="314" t="e">
        <f>VLOOKUP($C8,Data!$A$12:$AA$211,19,FALSE)</f>
        <v>#N/A</v>
      </c>
      <c r="H8" s="315" t="e">
        <f>VLOOKUP($C8,Data!$A$12:$AA$211,20,FALSE)</f>
        <v>#N/A</v>
      </c>
      <c r="I8" s="316" t="e">
        <f t="shared" ref="I8:I56" si="2">IF(P8&gt;0.95,"1",ROUND(P8,S8)&amp;" "&amp;R8)</f>
        <v>#N/A</v>
      </c>
      <c r="J8" s="317" t="e">
        <f>ABS(VLOOKUP($C8,Data!$A$12:$AA$211,26,FALSE))/IF(D8=123,3,1)</f>
        <v>#N/A</v>
      </c>
      <c r="K8" s="316" t="e">
        <f>VLOOKUP($C8,Data!$A$12:$AA$211,23,FALSE)</f>
        <v>#N/A</v>
      </c>
      <c r="L8" s="359" t="e">
        <f>VLOOKUP($C8,Data!$A$12:$AA$211,24,FALSE)</f>
        <v>#N/A</v>
      </c>
      <c r="M8" s="313" t="e">
        <f>VLOOKUP($C8,Data!$A$12:$AA$211,25,FALSE)</f>
        <v>#N/A</v>
      </c>
      <c r="N8" s="312" t="e">
        <f>VLOOKUP($C8,Data!$A$12:$R$211,18,FALSE)</f>
        <v>#N/A</v>
      </c>
      <c r="P8" s="65" t="e">
        <f>IF(Q8="Watts",COS(RADIANS(VLOOKUP($C8,Data!$A$12:$AA$211,21,FALSE))),SIN(RADIANS(VLOOKUP($C8,Data!$A$12:$AA$211,21,FALSE))))</f>
        <v>#N/A</v>
      </c>
      <c r="Q8" s="313" t="e">
        <f>VLOOKUP($C8,Data!$A$12:$AA$211,13,FALSE)</f>
        <v>#N/A</v>
      </c>
      <c r="R8" s="65" t="e">
        <f>IF(SIGN(VLOOKUP($C8,Data!$A$12:$AA$211,21,FALSE))=1,"lead","lag")</f>
        <v>#N/A</v>
      </c>
      <c r="S8">
        <v>1</v>
      </c>
      <c r="W8" t="s">
        <v>552</v>
      </c>
    </row>
    <row r="9" spans="1:27" ht="14.45" customHeight="1" x14ac:dyDescent="0.2">
      <c r="B9" s="54"/>
      <c r="C9" s="54"/>
      <c r="D9" s="71" t="e">
        <f>VLOOKUP($C9,Data!$A$12:$AA$211,16,FALSE)</f>
        <v>#N/A</v>
      </c>
      <c r="E9" s="71" t="e">
        <f t="shared" si="0"/>
        <v>#N/A</v>
      </c>
      <c r="F9" s="71" t="e">
        <f t="shared" si="1"/>
        <v>#N/A</v>
      </c>
      <c r="G9" s="314" t="e">
        <f>VLOOKUP($C9,Data!$A$12:$AA$211,19,FALSE)</f>
        <v>#N/A</v>
      </c>
      <c r="H9" s="315" t="e">
        <f>VLOOKUP($C9,Data!$A$12:$AA$211,20,FALSE)</f>
        <v>#N/A</v>
      </c>
      <c r="I9" s="316" t="e">
        <f t="shared" si="2"/>
        <v>#N/A</v>
      </c>
      <c r="J9" s="317" t="e">
        <f>ABS(VLOOKUP($C9,Data!$A$12:$AA$211,26,FALSE))/IF(D9=123,3,1)</f>
        <v>#N/A</v>
      </c>
      <c r="K9" s="316" t="e">
        <f>VLOOKUP($C9,Data!$A$12:$AA$211,23,FALSE)</f>
        <v>#N/A</v>
      </c>
      <c r="L9" s="359" t="e">
        <f>VLOOKUP($C9,Data!$A$12:$AA$211,24,FALSE)</f>
        <v>#N/A</v>
      </c>
      <c r="M9" s="313" t="e">
        <f>VLOOKUP($C9,Data!$A$12:$AA$211,25,FALSE)</f>
        <v>#N/A</v>
      </c>
      <c r="N9" s="312" t="e">
        <f>VLOOKUP($C9,Data!$A$12:$R$211,18,FALSE)</f>
        <v>#N/A</v>
      </c>
      <c r="P9" s="65" t="e">
        <f>IF(Q9="Watts",COS(RADIANS(VLOOKUP($C9,Data!$A$12:$AA$211,21,FALSE))),SIN(RADIANS(VLOOKUP($C9,Data!$A$12:$AA$211,21,FALSE))))</f>
        <v>#N/A</v>
      </c>
      <c r="Q9" s="313" t="e">
        <f>VLOOKUP($C9,Data!$A$12:$AA$211,13,FALSE)</f>
        <v>#N/A</v>
      </c>
      <c r="R9" s="65" t="e">
        <f>IF(SIGN(VLOOKUP($C9,Data!$A$12:$AA$211,21,FALSE))=1,"lead","lag")</f>
        <v>#N/A</v>
      </c>
      <c r="S9">
        <v>1</v>
      </c>
    </row>
    <row r="10" spans="1:27" ht="14.45" customHeight="1" x14ac:dyDescent="0.2">
      <c r="B10" s="54"/>
      <c r="C10" s="54"/>
      <c r="D10" s="71" t="e">
        <f>VLOOKUP($C10,Data!$A$12:$AA$211,16,FALSE)</f>
        <v>#N/A</v>
      </c>
      <c r="E10" s="71" t="e">
        <f t="shared" si="0"/>
        <v>#N/A</v>
      </c>
      <c r="F10" s="71" t="e">
        <f t="shared" si="1"/>
        <v>#N/A</v>
      </c>
      <c r="G10" s="314" t="e">
        <f>VLOOKUP($C10,Data!$A$12:$AA$211,19,FALSE)</f>
        <v>#N/A</v>
      </c>
      <c r="H10" s="315" t="e">
        <f>VLOOKUP($C10,Data!$A$12:$AA$211,20,FALSE)</f>
        <v>#N/A</v>
      </c>
      <c r="I10" s="316" t="e">
        <f t="shared" si="2"/>
        <v>#N/A</v>
      </c>
      <c r="J10" s="317" t="e">
        <f>ABS(VLOOKUP($C10,Data!$A$12:$AA$211,26,FALSE))/IF(D10=123,3,1)</f>
        <v>#N/A</v>
      </c>
      <c r="K10" s="318" t="e">
        <f>VLOOKUP($C10,Data!$A$12:$AA$211,23,FALSE)</f>
        <v>#N/A</v>
      </c>
      <c r="L10" s="357" t="e">
        <f>VLOOKUP($C10,Data!$A$12:$AA$211,24,FALSE)</f>
        <v>#N/A</v>
      </c>
      <c r="M10" s="313" t="e">
        <f>VLOOKUP($C10,Data!$A$12:$AA$211,25,FALSE)</f>
        <v>#N/A</v>
      </c>
      <c r="N10" s="312" t="e">
        <f>VLOOKUP($C10,Data!$A$12:$R$211,18,FALSE)</f>
        <v>#N/A</v>
      </c>
      <c r="P10" s="65" t="e">
        <f>IF(Q10="Watts",COS(RADIANS(VLOOKUP($C10,Data!$A$12:$AA$211,21,FALSE))),SIN(RADIANS(VLOOKUP($C10,Data!$A$12:$AA$211,21,FALSE))))</f>
        <v>#N/A</v>
      </c>
      <c r="Q10" s="313" t="e">
        <f>VLOOKUP($C10,Data!$A$12:$AA$211,13,FALSE)</f>
        <v>#N/A</v>
      </c>
      <c r="R10" s="65" t="e">
        <f>IF(SIGN(VLOOKUP($C10,Data!$A$12:$AA$211,21,FALSE))=1,"lead","lag")</f>
        <v>#N/A</v>
      </c>
      <c r="S10">
        <v>1</v>
      </c>
      <c r="W10" t="s">
        <v>553</v>
      </c>
      <c r="Y10" t="s">
        <v>554</v>
      </c>
    </row>
    <row r="11" spans="1:27" ht="14.45" customHeight="1" x14ac:dyDescent="0.2">
      <c r="B11" s="54"/>
      <c r="C11" s="54"/>
      <c r="D11" s="71" t="e">
        <f>VLOOKUP($C11,Data!$A$12:$AA$211,16,FALSE)</f>
        <v>#N/A</v>
      </c>
      <c r="E11" s="71" t="e">
        <f t="shared" si="0"/>
        <v>#N/A</v>
      </c>
      <c r="F11" s="71" t="e">
        <f t="shared" si="1"/>
        <v>#N/A</v>
      </c>
      <c r="G11" s="314" t="e">
        <f>VLOOKUP($C11,Data!$A$12:$AA$211,19,FALSE)</f>
        <v>#N/A</v>
      </c>
      <c r="H11" s="315" t="e">
        <f>VLOOKUP($C11,Data!$A$12:$AA$211,20,FALSE)</f>
        <v>#N/A</v>
      </c>
      <c r="I11" s="316" t="e">
        <f t="shared" si="2"/>
        <v>#N/A</v>
      </c>
      <c r="J11" s="317" t="e">
        <f>ABS(VLOOKUP($C11,Data!$A$12:$AA$211,26,FALSE))/IF(D11=123,3,1)</f>
        <v>#N/A</v>
      </c>
      <c r="K11" s="318" t="e">
        <f>VLOOKUP($C11,Data!$A$12:$AA$211,23,FALSE)</f>
        <v>#N/A</v>
      </c>
      <c r="L11" s="318" t="e">
        <f>VLOOKUP($C11,Data!$A$12:$AA$211,24,FALSE)</f>
        <v>#N/A</v>
      </c>
      <c r="M11" s="313" t="e">
        <f>VLOOKUP($C11,Data!$A$12:$AA$211,25,FALSE)</f>
        <v>#N/A</v>
      </c>
      <c r="N11" s="312" t="e">
        <f>VLOOKUP($C11,Data!$A$12:$R$211,18,FALSE)</f>
        <v>#N/A</v>
      </c>
      <c r="P11" s="65" t="e">
        <f>IF(Q11="Watts",COS(RADIANS(VLOOKUP($C11,Data!$A$12:$AA$211,21,FALSE))),SIN(RADIANS(VLOOKUP($C11,Data!$A$12:$AA$211,21,FALSE))))</f>
        <v>#N/A</v>
      </c>
      <c r="Q11" s="313" t="e">
        <f>VLOOKUP($C11,Data!$A$12:$AA$211,13,FALSE)</f>
        <v>#N/A</v>
      </c>
      <c r="R11" s="65" t="e">
        <f>IF(SIGN(VLOOKUP($C11,Data!$A$12:$AA$211,21,FALSE))=1,"lead","lag")</f>
        <v>#N/A</v>
      </c>
      <c r="S11">
        <v>1</v>
      </c>
      <c r="W11" t="s">
        <v>555</v>
      </c>
    </row>
    <row r="12" spans="1:27" ht="14.45" customHeight="1" x14ac:dyDescent="0.2">
      <c r="B12" s="54"/>
      <c r="C12" s="54"/>
      <c r="D12" s="71" t="e">
        <f>VLOOKUP($C12,Data!$A$12:$AA$211,16,FALSE)</f>
        <v>#N/A</v>
      </c>
      <c r="E12" s="71" t="e">
        <f t="shared" si="0"/>
        <v>#N/A</v>
      </c>
      <c r="F12" s="71" t="e">
        <f t="shared" si="1"/>
        <v>#N/A</v>
      </c>
      <c r="G12" s="314" t="e">
        <f>VLOOKUP($C12,Data!$A$12:$AA$211,19,FALSE)</f>
        <v>#N/A</v>
      </c>
      <c r="H12" s="315" t="e">
        <f>VLOOKUP($C12,Data!$A$12:$AA$211,20,FALSE)</f>
        <v>#N/A</v>
      </c>
      <c r="I12" s="316" t="e">
        <f t="shared" si="2"/>
        <v>#N/A</v>
      </c>
      <c r="J12" s="317" t="e">
        <f>ABS(VLOOKUP($C12,Data!$A$12:$AA$211,26,FALSE))/IF(D12=123,3,1)</f>
        <v>#N/A</v>
      </c>
      <c r="K12" s="318" t="e">
        <f>VLOOKUP($C12,Data!$A$12:$AA$211,23,FALSE)</f>
        <v>#N/A</v>
      </c>
      <c r="L12" s="318" t="e">
        <f>VLOOKUP($C12,Data!$A$12:$AA$211,24,FALSE)</f>
        <v>#N/A</v>
      </c>
      <c r="M12" s="313" t="e">
        <f>VLOOKUP($C12,Data!$A$12:$AA$211,25,FALSE)</f>
        <v>#N/A</v>
      </c>
      <c r="N12" s="312" t="e">
        <f>VLOOKUP($C12,Data!$A$12:$R$211,18,FALSE)</f>
        <v>#N/A</v>
      </c>
      <c r="P12" s="65" t="e">
        <f>IF(Q12="Watts",COS(RADIANS(VLOOKUP($C12,Data!$A$12:$AA$211,21,FALSE))),SIN(RADIANS(VLOOKUP($C12,Data!$A$12:$AA$211,21,FALSE))))</f>
        <v>#N/A</v>
      </c>
      <c r="Q12" s="313" t="e">
        <f>VLOOKUP($C12,Data!$A$12:$AA$211,13,FALSE)</f>
        <v>#N/A</v>
      </c>
      <c r="R12" s="65" t="e">
        <f>IF(SIGN(VLOOKUP($C12,Data!$A$12:$AA$211,21,FALSE))=1,"lead","lag")</f>
        <v>#N/A</v>
      </c>
      <c r="S12">
        <v>1</v>
      </c>
      <c r="X12" s="21"/>
    </row>
    <row r="13" spans="1:27" ht="14.45" customHeight="1" x14ac:dyDescent="0.2">
      <c r="B13" s="54"/>
      <c r="C13" s="54"/>
      <c r="D13" s="71" t="e">
        <f>VLOOKUP($C13,Data!$A$12:$AA$211,16,FALSE)</f>
        <v>#N/A</v>
      </c>
      <c r="E13" s="71" t="e">
        <f t="shared" si="0"/>
        <v>#N/A</v>
      </c>
      <c r="F13" s="71" t="e">
        <f t="shared" si="1"/>
        <v>#N/A</v>
      </c>
      <c r="G13" s="314" t="e">
        <f>VLOOKUP($C13,Data!$A$12:$AA$211,19,FALSE)</f>
        <v>#N/A</v>
      </c>
      <c r="H13" s="315" t="e">
        <f>VLOOKUP($C13,Data!$A$12:$AA$211,20,FALSE)</f>
        <v>#N/A</v>
      </c>
      <c r="I13" s="316" t="e">
        <f t="shared" si="2"/>
        <v>#N/A</v>
      </c>
      <c r="J13" s="317" t="e">
        <f>ABS(VLOOKUP($C13,Data!$A$12:$AA$211,26,FALSE))/IF(D13=123,3,1)</f>
        <v>#N/A</v>
      </c>
      <c r="K13" s="318" t="e">
        <f>VLOOKUP($C13,Data!$A$12:$AA$211,23,FALSE)</f>
        <v>#N/A</v>
      </c>
      <c r="L13" s="318" t="e">
        <f>VLOOKUP($C13,Data!$A$12:$AA$211,24,FALSE)</f>
        <v>#N/A</v>
      </c>
      <c r="M13" s="313" t="e">
        <f>VLOOKUP($C13,Data!$A$12:$AA$211,25,FALSE)</f>
        <v>#N/A</v>
      </c>
      <c r="N13" s="312" t="e">
        <f>VLOOKUP($C13,Data!$A$12:$R$211,18,FALSE)</f>
        <v>#N/A</v>
      </c>
      <c r="P13" s="65" t="e">
        <f>IF(Q13="Watts",COS(RADIANS(VLOOKUP($C13,Data!$A$12:$AA$211,21,FALSE))),SIN(RADIANS(VLOOKUP($C13,Data!$A$12:$AA$211,21,FALSE))))</f>
        <v>#N/A</v>
      </c>
      <c r="Q13" s="313" t="e">
        <f>VLOOKUP($C13,Data!$A$12:$AA$211,13,FALSE)</f>
        <v>#N/A</v>
      </c>
      <c r="R13" s="65" t="e">
        <f>IF(SIGN(VLOOKUP($C13,Data!$A$12:$AA$211,21,FALSE))=1,"lead","lag")</f>
        <v>#N/A</v>
      </c>
      <c r="S13">
        <v>1</v>
      </c>
      <c r="W13" s="21" t="s">
        <v>556</v>
      </c>
      <c r="X13" s="21"/>
      <c r="Y13" s="21" t="s">
        <v>557</v>
      </c>
      <c r="Z13" s="21" t="s">
        <v>558</v>
      </c>
      <c r="AA13" s="21" t="s">
        <v>559</v>
      </c>
    </row>
    <row r="14" spans="1:27" ht="14.45" customHeight="1" x14ac:dyDescent="0.2">
      <c r="B14" s="54"/>
      <c r="C14" s="54"/>
      <c r="D14" s="71" t="e">
        <f>VLOOKUP($C14,Data!$A$12:$AA$211,16,FALSE)</f>
        <v>#N/A</v>
      </c>
      <c r="E14" s="71" t="e">
        <f t="shared" si="0"/>
        <v>#N/A</v>
      </c>
      <c r="F14" s="71" t="e">
        <f t="shared" si="1"/>
        <v>#N/A</v>
      </c>
      <c r="G14" s="314" t="e">
        <f>VLOOKUP($C14,Data!$A$12:$AA$211,19,FALSE)</f>
        <v>#N/A</v>
      </c>
      <c r="H14" s="315" t="e">
        <f>VLOOKUP($C14,Data!$A$12:$AA$211,20,FALSE)</f>
        <v>#N/A</v>
      </c>
      <c r="I14" s="316" t="e">
        <f t="shared" si="2"/>
        <v>#N/A</v>
      </c>
      <c r="J14" s="317" t="e">
        <f>ABS(VLOOKUP($C14,Data!$A$12:$AA$211,26,FALSE))/IF(D14=123,3,1)</f>
        <v>#N/A</v>
      </c>
      <c r="K14" s="318" t="e">
        <f>VLOOKUP($C14,Data!$A$12:$AA$211,23,FALSE)</f>
        <v>#N/A</v>
      </c>
      <c r="L14" s="318" t="e">
        <f>VLOOKUP($C14,Data!$A$12:$AA$211,24,FALSE)</f>
        <v>#N/A</v>
      </c>
      <c r="M14" s="313" t="e">
        <f>VLOOKUP($C14,Data!$A$12:$AA$211,25,FALSE)</f>
        <v>#N/A</v>
      </c>
      <c r="N14" s="312" t="e">
        <f>VLOOKUP($C14,Data!$A$12:$R$211,18,FALSE)</f>
        <v>#N/A</v>
      </c>
      <c r="P14" s="65" t="e">
        <f>IF(Q14="Watts",COS(RADIANS(VLOOKUP($C14,Data!$A$12:$AA$211,21,FALSE))),SIN(RADIANS(VLOOKUP($C14,Data!$A$12:$AA$211,21,FALSE))))</f>
        <v>#N/A</v>
      </c>
      <c r="Q14" s="313" t="e">
        <f>VLOOKUP($C14,Data!$A$12:$AA$211,13,FALSE)</f>
        <v>#N/A</v>
      </c>
      <c r="R14" s="65" t="e">
        <f>IF(SIGN(VLOOKUP($C14,Data!$A$12:$AA$211,21,FALSE))=1,"lead","lag")</f>
        <v>#N/A</v>
      </c>
      <c r="S14">
        <v>1</v>
      </c>
      <c r="X14" s="319">
        <v>38107</v>
      </c>
      <c r="Y14" s="319">
        <v>37375</v>
      </c>
      <c r="Z14" s="319">
        <v>36651</v>
      </c>
      <c r="AA14" s="319">
        <v>35900</v>
      </c>
    </row>
    <row r="15" spans="1:27" ht="14.45" customHeight="1" x14ac:dyDescent="0.2">
      <c r="B15" s="54"/>
      <c r="C15" s="54"/>
      <c r="D15" s="71" t="e">
        <f>VLOOKUP($C15,Data!$A$12:$AA$211,16,FALSE)</f>
        <v>#N/A</v>
      </c>
      <c r="E15" s="71" t="e">
        <f t="shared" si="0"/>
        <v>#N/A</v>
      </c>
      <c r="F15" s="71" t="e">
        <f t="shared" si="1"/>
        <v>#N/A</v>
      </c>
      <c r="G15" s="314" t="e">
        <f>VLOOKUP($C15,Data!$A$12:$AA$211,19,FALSE)</f>
        <v>#N/A</v>
      </c>
      <c r="H15" s="315" t="e">
        <f>VLOOKUP($C15,Data!$A$12:$AA$211,20,FALSE)</f>
        <v>#N/A</v>
      </c>
      <c r="I15" s="316" t="e">
        <f t="shared" si="2"/>
        <v>#N/A</v>
      </c>
      <c r="J15" s="317" t="e">
        <f>ABS(VLOOKUP($C15,Data!$A$12:$AA$211,26,FALSE))/IF(D15=123,3,1)</f>
        <v>#N/A</v>
      </c>
      <c r="K15" s="316" t="e">
        <f>VLOOKUP($C15,Data!$A$12:$AA$211,23,FALSE)</f>
        <v>#N/A</v>
      </c>
      <c r="L15" s="359" t="e">
        <f>VLOOKUP($C15,Data!$A$12:$AA$211,24,FALSE)</f>
        <v>#N/A</v>
      </c>
      <c r="M15" s="313" t="e">
        <f>VLOOKUP($C15,Data!$A$12:$AA$211,25,FALSE)</f>
        <v>#N/A</v>
      </c>
      <c r="N15" s="312" t="e">
        <f>VLOOKUP($C15,Data!$A$12:$R$211,18,FALSE)</f>
        <v>#N/A</v>
      </c>
      <c r="P15" s="65" t="e">
        <f>IF(Q15="Watts",COS(RADIANS(VLOOKUP($C15,Data!$A$12:$AA$211,21,FALSE))),SIN(RADIANS(VLOOKUP($C15,Data!$A$12:$AA$211,21,FALSE))))</f>
        <v>#N/A</v>
      </c>
      <c r="Q15" s="313" t="e">
        <f>VLOOKUP($C15,Data!$A$12:$AA$211,13,FALSE)</f>
        <v>#N/A</v>
      </c>
      <c r="R15" s="65" t="e">
        <f>IF(SIGN(VLOOKUP($C15,Data!$A$12:$AA$211,21,FALSE))=1,"lead","lag")</f>
        <v>#N/A</v>
      </c>
      <c r="S15">
        <v>1</v>
      </c>
      <c r="W15" s="21">
        <v>1</v>
      </c>
      <c r="X15" s="23" t="e">
        <f>K37</f>
        <v>#N/A</v>
      </c>
      <c r="Y15" s="21">
        <v>4.7E-2</v>
      </c>
      <c r="Z15" s="21">
        <v>0.04</v>
      </c>
      <c r="AA15" s="21">
        <v>0.05</v>
      </c>
    </row>
    <row r="16" spans="1:27" ht="14.45" customHeight="1" x14ac:dyDescent="0.2">
      <c r="B16" s="54"/>
      <c r="C16" s="54"/>
      <c r="D16" s="71" t="e">
        <f>VLOOKUP($C16,Data!$A$12:$AA$211,16,FALSE)</f>
        <v>#N/A</v>
      </c>
      <c r="E16" s="71" t="e">
        <f t="shared" si="0"/>
        <v>#N/A</v>
      </c>
      <c r="F16" s="71" t="e">
        <f t="shared" si="1"/>
        <v>#N/A</v>
      </c>
      <c r="G16" s="314" t="e">
        <f>VLOOKUP($C16,Data!$A$12:$AA$211,19,FALSE)</f>
        <v>#N/A</v>
      </c>
      <c r="H16" s="315" t="e">
        <f>VLOOKUP($C16,Data!$A$12:$AA$211,20,FALSE)</f>
        <v>#N/A</v>
      </c>
      <c r="I16" s="316" t="e">
        <f t="shared" si="2"/>
        <v>#N/A</v>
      </c>
      <c r="J16" s="317" t="e">
        <f>ABS(VLOOKUP($C16,Data!$A$12:$AA$211,26,FALSE))/IF(D16=123,3,1)</f>
        <v>#N/A</v>
      </c>
      <c r="K16" s="318" t="e">
        <f>VLOOKUP($C16,Data!$A$12:$AA$211,23,FALSE)</f>
        <v>#N/A</v>
      </c>
      <c r="L16" s="318" t="e">
        <f>VLOOKUP($C16,Data!$A$12:$AA$211,24,FALSE)</f>
        <v>#N/A</v>
      </c>
      <c r="M16" s="313" t="e">
        <f>VLOOKUP($C16,Data!$A$12:$AA$211,25,FALSE)</f>
        <v>#N/A</v>
      </c>
      <c r="N16" s="312" t="e">
        <f>VLOOKUP($C16,Data!$A$12:$R$211,18,FALSE)</f>
        <v>#N/A</v>
      </c>
      <c r="P16" s="65" t="e">
        <f>IF(Q16="Watts",COS(RADIANS(VLOOKUP($C16,Data!$A$12:$AA$211,21,FALSE))),SIN(RADIANS(VLOOKUP($C16,Data!$A$12:$AA$211,21,FALSE))))</f>
        <v>#N/A</v>
      </c>
      <c r="Q16" s="313" t="e">
        <f>VLOOKUP($C16,Data!$A$12:$AA$211,13,FALSE)</f>
        <v>#N/A</v>
      </c>
      <c r="R16" s="65" t="e">
        <f>IF(SIGN(VLOOKUP($C16,Data!$A$12:$AA$211,21,FALSE))=1,"lead","lag")</f>
        <v>#N/A</v>
      </c>
      <c r="S16">
        <v>1</v>
      </c>
      <c r="W16" s="21" t="s">
        <v>560</v>
      </c>
      <c r="X16" s="23" t="e">
        <f>K45</f>
        <v>#N/A</v>
      </c>
      <c r="Y16" s="21">
        <v>1.2999999999999999E-2</v>
      </c>
      <c r="Z16" s="21">
        <v>0.04</v>
      </c>
      <c r="AA16" s="21">
        <v>0.02</v>
      </c>
    </row>
    <row r="17" spans="2:27" ht="14.45" customHeight="1" x14ac:dyDescent="0.2">
      <c r="B17" s="54"/>
      <c r="C17" s="54"/>
      <c r="D17" s="71" t="e">
        <f>VLOOKUP($C17,Data!$A$12:$AA$211,16,FALSE)</f>
        <v>#N/A</v>
      </c>
      <c r="E17" s="71" t="e">
        <f t="shared" si="0"/>
        <v>#N/A</v>
      </c>
      <c r="F17" s="71" t="e">
        <f t="shared" si="1"/>
        <v>#N/A</v>
      </c>
      <c r="G17" s="314" t="e">
        <f>VLOOKUP($C17,Data!$A$12:$AA$211,19,FALSE)</f>
        <v>#N/A</v>
      </c>
      <c r="H17" s="315" t="e">
        <f>VLOOKUP($C17,Data!$A$12:$AA$211,20,FALSE)</f>
        <v>#N/A</v>
      </c>
      <c r="I17" s="316" t="e">
        <f t="shared" si="2"/>
        <v>#N/A</v>
      </c>
      <c r="J17" s="317" t="e">
        <f>ABS(VLOOKUP($C17,Data!$A$12:$AA$211,26,FALSE))/IF(D17=123,3,1)</f>
        <v>#N/A</v>
      </c>
      <c r="K17" s="318" t="e">
        <f>VLOOKUP($C17,Data!$A$12:$AA$211,23,FALSE)</f>
        <v>#N/A</v>
      </c>
      <c r="L17" s="318" t="e">
        <f>VLOOKUP($C17,Data!$A$12:$AA$211,24,FALSE)</f>
        <v>#N/A</v>
      </c>
      <c r="M17" s="313" t="e">
        <f>VLOOKUP($C17,Data!$A$12:$AA$211,25,FALSE)</f>
        <v>#N/A</v>
      </c>
      <c r="N17" s="312" t="e">
        <f>VLOOKUP($C17,Data!$A$12:$R$211,18,FALSE)</f>
        <v>#N/A</v>
      </c>
      <c r="P17" s="65" t="e">
        <f>IF(Q17="Watts",COS(RADIANS(VLOOKUP($C17,Data!$A$12:$AA$211,21,FALSE))),SIN(RADIANS(VLOOKUP($C17,Data!$A$12:$AA$211,21,FALSE))))</f>
        <v>#N/A</v>
      </c>
      <c r="Q17" s="313" t="e">
        <f>VLOOKUP($C17,Data!$A$12:$AA$211,13,FALSE)</f>
        <v>#N/A</v>
      </c>
      <c r="R17" s="65" t="e">
        <f>IF(SIGN(VLOOKUP($C17,Data!$A$12:$AA$211,21,FALSE))=1,"lead","lag")</f>
        <v>#N/A</v>
      </c>
      <c r="S17">
        <v>1</v>
      </c>
      <c r="W17" s="21" t="s">
        <v>561</v>
      </c>
      <c r="X17" s="23" t="e">
        <f>K46</f>
        <v>#N/A</v>
      </c>
      <c r="Y17" s="21">
        <v>9.7000000000000003E-2</v>
      </c>
      <c r="Z17" s="21">
        <v>7.0000000000000007E-2</v>
      </c>
      <c r="AA17" s="21">
        <v>0.08</v>
      </c>
    </row>
    <row r="18" spans="2:27" ht="14.45" customHeight="1" x14ac:dyDescent="0.2">
      <c r="B18" s="54"/>
      <c r="C18" s="54"/>
      <c r="D18" s="71" t="e">
        <f>VLOOKUP($C18,Data!$A$12:$AA$211,16,FALSE)</f>
        <v>#N/A</v>
      </c>
      <c r="E18" s="71" t="e">
        <f t="shared" si="0"/>
        <v>#N/A</v>
      </c>
      <c r="F18" s="71" t="e">
        <f t="shared" si="1"/>
        <v>#N/A</v>
      </c>
      <c r="G18" s="314" t="e">
        <f>VLOOKUP($C18,Data!$A$12:$AA$211,19,FALSE)</f>
        <v>#N/A</v>
      </c>
      <c r="H18" s="315" t="e">
        <f>VLOOKUP($C18,Data!$A$12:$AA$211,20,FALSE)</f>
        <v>#N/A</v>
      </c>
      <c r="I18" s="316" t="e">
        <f t="shared" si="2"/>
        <v>#N/A</v>
      </c>
      <c r="J18" s="317" t="e">
        <f>ABS(VLOOKUP($C18,Data!$A$12:$AA$211,26,FALSE))/IF(D18=123,3,1)</f>
        <v>#N/A</v>
      </c>
      <c r="K18" s="318" t="e">
        <f>VLOOKUP($C18,Data!$A$12:$AA$211,23,FALSE)</f>
        <v>#N/A</v>
      </c>
      <c r="L18" s="318" t="e">
        <f>VLOOKUP($C18,Data!$A$12:$AA$211,24,FALSE)</f>
        <v>#N/A</v>
      </c>
      <c r="M18" s="313" t="e">
        <f>VLOOKUP($C18,Data!$A$12:$AA$211,25,FALSE)</f>
        <v>#N/A</v>
      </c>
      <c r="N18" s="312" t="e">
        <f>VLOOKUP($C18,Data!$A$12:$R$211,18,FALSE)</f>
        <v>#N/A</v>
      </c>
      <c r="P18" s="65" t="e">
        <f>IF(Q18="Watts",COS(RADIANS(VLOOKUP($C18,Data!$A$12:$AA$211,21,FALSE))),SIN(RADIANS(VLOOKUP($C18,Data!$A$12:$AA$211,21,FALSE))))</f>
        <v>#N/A</v>
      </c>
      <c r="Q18" s="313" t="e">
        <f>VLOOKUP($C18,Data!$A$12:$AA$211,13,FALSE)</f>
        <v>#N/A</v>
      </c>
      <c r="R18" s="65" t="e">
        <f>IF(SIGN(VLOOKUP($C18,Data!$A$12:$AA$211,21,FALSE))=1,"lead","lag")</f>
        <v>#N/A</v>
      </c>
      <c r="S18">
        <v>1</v>
      </c>
    </row>
    <row r="19" spans="2:27" ht="14.45" customHeight="1" x14ac:dyDescent="0.2">
      <c r="B19" s="54"/>
      <c r="C19" s="54"/>
      <c r="D19" s="71" t="e">
        <f>VLOOKUP($C19,Data!$A$12:$AA$211,16,FALSE)</f>
        <v>#N/A</v>
      </c>
      <c r="E19" s="71" t="e">
        <f t="shared" si="0"/>
        <v>#N/A</v>
      </c>
      <c r="F19" s="71" t="e">
        <f t="shared" si="1"/>
        <v>#N/A</v>
      </c>
      <c r="G19" s="314" t="e">
        <f>VLOOKUP($C19,Data!$A$12:$AA$211,19,FALSE)</f>
        <v>#N/A</v>
      </c>
      <c r="H19" s="315" t="e">
        <f>VLOOKUP($C19,Data!$A$12:$AA$211,20,FALSE)</f>
        <v>#N/A</v>
      </c>
      <c r="I19" s="316" t="e">
        <f t="shared" si="2"/>
        <v>#N/A</v>
      </c>
      <c r="J19" s="317" t="e">
        <f>ABS(VLOOKUP($C19,Data!$A$12:$AA$211,26,FALSE))/IF(D19=123,3,1)</f>
        <v>#N/A</v>
      </c>
      <c r="K19" s="318" t="e">
        <f>VLOOKUP($C19,Data!$A$12:$AA$211,23,FALSE)</f>
        <v>#N/A</v>
      </c>
      <c r="L19" s="318" t="e">
        <f>VLOOKUP($C19,Data!$A$12:$AA$211,24,FALSE)</f>
        <v>#N/A</v>
      </c>
      <c r="M19" s="313" t="e">
        <f>VLOOKUP($C19,Data!$A$12:$AA$211,25,FALSE)</f>
        <v>#N/A</v>
      </c>
      <c r="N19" s="312" t="e">
        <f>VLOOKUP($C19,Data!$A$12:$R$211,18,FALSE)</f>
        <v>#N/A</v>
      </c>
      <c r="P19" s="65" t="e">
        <f>IF(Q19="Watts",COS(RADIANS(VLOOKUP($C19,Data!$A$12:$AA$211,21,FALSE))),SIN(RADIANS(VLOOKUP($C19,Data!$A$12:$AA$211,21,FALSE))))</f>
        <v>#N/A</v>
      </c>
      <c r="Q19" s="313" t="e">
        <f>VLOOKUP($C19,Data!$A$12:$AA$211,13,FALSE)</f>
        <v>#N/A</v>
      </c>
      <c r="R19" s="65" t="e">
        <f>IF(SIGN(VLOOKUP($C19,Data!$A$12:$AA$211,21,FALSE))=1,"lead","lag")</f>
        <v>#N/A</v>
      </c>
      <c r="S19">
        <v>1</v>
      </c>
    </row>
    <row r="20" spans="2:27" ht="14.45" customHeight="1" x14ac:dyDescent="0.2">
      <c r="B20" s="54"/>
      <c r="C20" s="54"/>
      <c r="D20" s="71" t="e">
        <f>VLOOKUP($C20,Data!$A$12:$AA$211,16,FALSE)</f>
        <v>#N/A</v>
      </c>
      <c r="E20" s="71" t="e">
        <f t="shared" si="0"/>
        <v>#N/A</v>
      </c>
      <c r="F20" s="71" t="e">
        <f t="shared" si="1"/>
        <v>#N/A</v>
      </c>
      <c r="G20" s="314" t="e">
        <f>VLOOKUP($C20,Data!$A$12:$AA$211,19,FALSE)</f>
        <v>#N/A</v>
      </c>
      <c r="H20" s="315" t="e">
        <f>VLOOKUP($C20,Data!$A$12:$AA$211,20,FALSE)</f>
        <v>#N/A</v>
      </c>
      <c r="I20" s="316" t="e">
        <f t="shared" si="2"/>
        <v>#N/A</v>
      </c>
      <c r="J20" s="317" t="e">
        <f>ABS(VLOOKUP($C20,Data!$A$12:$AA$211,26,FALSE))/IF(D20=123,3,1)</f>
        <v>#N/A</v>
      </c>
      <c r="K20" s="318" t="e">
        <f>VLOOKUP($C20,Data!$A$12:$AA$211,23,FALSE)</f>
        <v>#N/A</v>
      </c>
      <c r="L20" s="318" t="e">
        <f>VLOOKUP($C20,Data!$A$12:$AA$211,24,FALSE)</f>
        <v>#N/A</v>
      </c>
      <c r="M20" s="313" t="e">
        <f>VLOOKUP($C20,Data!$A$12:$AA$211,25,FALSE)</f>
        <v>#N/A</v>
      </c>
      <c r="N20" s="312" t="e">
        <f>VLOOKUP($C20,Data!$A$12:$R$211,18,FALSE)</f>
        <v>#N/A</v>
      </c>
      <c r="P20" s="65" t="e">
        <f>IF(Q20="Watts",COS(RADIANS(VLOOKUP($C20,Data!$A$12:$AA$211,21,FALSE))),SIN(RADIANS(VLOOKUP($C20,Data!$A$12:$AA$211,21,FALSE))))</f>
        <v>#N/A</v>
      </c>
      <c r="Q20" s="313" t="e">
        <f>VLOOKUP($C20,Data!$A$12:$AA$211,13,FALSE)</f>
        <v>#N/A</v>
      </c>
      <c r="R20" s="65" t="e">
        <f>IF(SIGN(VLOOKUP($C20,Data!$A$12:$AA$211,21,FALSE))=1,"lead","lag")</f>
        <v>#N/A</v>
      </c>
      <c r="S20">
        <v>1</v>
      </c>
    </row>
    <row r="21" spans="2:27" ht="14.45" customHeight="1" x14ac:dyDescent="0.2">
      <c r="B21" s="54"/>
      <c r="C21" s="54"/>
      <c r="D21" s="71" t="e">
        <f>VLOOKUP($C21,Data!$A$12:$AA$211,16,FALSE)</f>
        <v>#N/A</v>
      </c>
      <c r="E21" s="71" t="e">
        <f t="shared" si="0"/>
        <v>#N/A</v>
      </c>
      <c r="F21" s="71" t="e">
        <f t="shared" si="1"/>
        <v>#N/A</v>
      </c>
      <c r="G21" s="314" t="e">
        <f>VLOOKUP($C21,Data!$A$12:$AA$211,19,FALSE)</f>
        <v>#N/A</v>
      </c>
      <c r="H21" s="315" t="e">
        <f>VLOOKUP($C21,Data!$A$12:$AA$211,20,FALSE)</f>
        <v>#N/A</v>
      </c>
      <c r="I21" s="316" t="e">
        <f t="shared" si="2"/>
        <v>#N/A</v>
      </c>
      <c r="J21" s="317" t="e">
        <f>ABS(VLOOKUP($C21,Data!$A$12:$AA$211,26,FALSE))/IF(D21=123,3,1)</f>
        <v>#N/A</v>
      </c>
      <c r="K21" s="318" t="e">
        <f>VLOOKUP($C21,Data!$A$12:$AA$211,23,FALSE)</f>
        <v>#N/A</v>
      </c>
      <c r="L21" s="318" t="e">
        <f>VLOOKUP($C21,Data!$A$12:$AA$211,24,FALSE)</f>
        <v>#N/A</v>
      </c>
      <c r="M21" s="313" t="e">
        <f>VLOOKUP($C21,Data!$A$12:$AA$211,25,FALSE)</f>
        <v>#N/A</v>
      </c>
      <c r="N21" s="312" t="e">
        <f>VLOOKUP($C21,Data!$A$12:$R$211,18,FALSE)</f>
        <v>#N/A</v>
      </c>
      <c r="P21" s="65" t="e">
        <f>IF(Q21="Watts",COS(RADIANS(VLOOKUP($C21,Data!$A$12:$AA$211,21,FALSE))),SIN(RADIANS(VLOOKUP($C21,Data!$A$12:$AA$211,21,FALSE))))</f>
        <v>#N/A</v>
      </c>
      <c r="Q21" s="313" t="e">
        <f>VLOOKUP($C21,Data!$A$12:$AA$211,13,FALSE)</f>
        <v>#N/A</v>
      </c>
      <c r="R21" s="65" t="e">
        <f>IF(SIGN(VLOOKUP($C21,Data!$A$12:$AA$211,21,FALSE))=1,"lead","lag")</f>
        <v>#N/A</v>
      </c>
      <c r="S21">
        <v>1</v>
      </c>
      <c r="W21" t="s">
        <v>553</v>
      </c>
      <c r="Y21" t="s">
        <v>562</v>
      </c>
    </row>
    <row r="22" spans="2:27" ht="14.45" customHeight="1" x14ac:dyDescent="0.2">
      <c r="B22" s="54"/>
      <c r="C22" s="54"/>
      <c r="D22" s="71" t="e">
        <f>VLOOKUP($C22,Data!$A$12:$AA$211,16,FALSE)</f>
        <v>#N/A</v>
      </c>
      <c r="E22" s="71" t="e">
        <f t="shared" si="0"/>
        <v>#N/A</v>
      </c>
      <c r="F22" s="71" t="e">
        <f t="shared" si="1"/>
        <v>#N/A</v>
      </c>
      <c r="G22" s="314" t="e">
        <f>VLOOKUP($C22,Data!$A$12:$AA$211,19,FALSE)</f>
        <v>#N/A</v>
      </c>
      <c r="H22" s="315" t="e">
        <f>VLOOKUP($C22,Data!$A$12:$AA$211,20,FALSE)</f>
        <v>#N/A</v>
      </c>
      <c r="I22" s="316" t="e">
        <f t="shared" si="2"/>
        <v>#N/A</v>
      </c>
      <c r="J22" s="317" t="e">
        <f>ABS(VLOOKUP($C22,Data!$A$12:$AA$211,26,FALSE))/IF(D22=123,3,1)</f>
        <v>#N/A</v>
      </c>
      <c r="K22" s="318" t="e">
        <f>VLOOKUP($C22,Data!$A$12:$AA$211,23,FALSE)</f>
        <v>#N/A</v>
      </c>
      <c r="L22" s="318" t="e">
        <f>VLOOKUP($C22,Data!$A$12:$AA$211,24,FALSE)</f>
        <v>#N/A</v>
      </c>
      <c r="M22" s="313" t="e">
        <f>VLOOKUP($C22,Data!$A$12:$AA$211,25,FALSE)</f>
        <v>#N/A</v>
      </c>
      <c r="N22" s="312" t="e">
        <f>VLOOKUP($C22,Data!$A$12:$R$211,18,FALSE)</f>
        <v>#N/A</v>
      </c>
      <c r="P22" s="65" t="e">
        <f>IF(Q22="Watts",COS(RADIANS(VLOOKUP($C22,Data!$A$12:$AA$211,21,FALSE))),SIN(RADIANS(VLOOKUP($C22,Data!$A$12:$AA$211,21,FALSE))))</f>
        <v>#N/A</v>
      </c>
      <c r="Q22" s="313" t="e">
        <f>VLOOKUP($C22,Data!$A$12:$AA$211,13,FALSE)</f>
        <v>#N/A</v>
      </c>
      <c r="R22" s="65" t="e">
        <f>IF(SIGN(VLOOKUP($C22,Data!$A$12:$AA$211,21,FALSE))=1,"lead","lag")</f>
        <v>#N/A</v>
      </c>
      <c r="S22">
        <v>1</v>
      </c>
      <c r="W22" t="s">
        <v>555</v>
      </c>
    </row>
    <row r="23" spans="2:27" ht="14.45" customHeight="1" x14ac:dyDescent="0.2">
      <c r="B23" s="54"/>
      <c r="C23" s="54"/>
      <c r="D23" s="71" t="e">
        <f>VLOOKUP($C23,Data!$A$12:$AA$211,16,FALSE)</f>
        <v>#N/A</v>
      </c>
      <c r="E23" s="71" t="e">
        <f t="shared" si="0"/>
        <v>#N/A</v>
      </c>
      <c r="F23" s="71" t="e">
        <f t="shared" si="1"/>
        <v>#N/A</v>
      </c>
      <c r="G23" s="314" t="e">
        <f>VLOOKUP($C23,Data!$A$12:$AA$211,19,FALSE)</f>
        <v>#N/A</v>
      </c>
      <c r="H23" s="315" t="e">
        <f>VLOOKUP($C23,Data!$A$12:$AA$211,20,FALSE)</f>
        <v>#N/A</v>
      </c>
      <c r="I23" s="316" t="e">
        <f t="shared" si="2"/>
        <v>#N/A</v>
      </c>
      <c r="J23" s="317" t="e">
        <f>ABS(VLOOKUP($C23,Data!$A$12:$AA$211,26,FALSE))/IF(D23=123,3,1)</f>
        <v>#N/A</v>
      </c>
      <c r="K23" s="318" t="e">
        <f>VLOOKUP($C23,Data!$A$12:$AA$211,23,FALSE)</f>
        <v>#N/A</v>
      </c>
      <c r="L23" s="318" t="e">
        <f>VLOOKUP($C23,Data!$A$12:$AA$211,24,FALSE)</f>
        <v>#N/A</v>
      </c>
      <c r="M23" s="313" t="e">
        <f>VLOOKUP($C23,Data!$A$12:$AA$211,25,FALSE)</f>
        <v>#N/A</v>
      </c>
      <c r="N23" s="312" t="e">
        <f>VLOOKUP($C23,Data!$A$12:$R$211,18,FALSE)</f>
        <v>#N/A</v>
      </c>
      <c r="P23" s="65" t="e">
        <f>IF(Q23="Watts",COS(RADIANS(VLOOKUP($C23,Data!$A$12:$AA$211,21,FALSE))),SIN(RADIANS(VLOOKUP($C23,Data!$A$12:$AA$211,21,FALSE))))</f>
        <v>#N/A</v>
      </c>
      <c r="Q23" s="313" t="e">
        <f>VLOOKUP($C23,Data!$A$12:$AA$211,13,FALSE)</f>
        <v>#N/A</v>
      </c>
      <c r="R23" s="65" t="e">
        <f>IF(SIGN(VLOOKUP($C23,Data!$A$12:$AA$211,21,FALSE))=1,"lead","lag")</f>
        <v>#N/A</v>
      </c>
      <c r="S23">
        <v>1</v>
      </c>
      <c r="X23" s="319">
        <v>38107</v>
      </c>
      <c r="Y23" s="319">
        <v>37375</v>
      </c>
      <c r="Z23" s="319">
        <v>36651</v>
      </c>
      <c r="AA23" s="319">
        <v>35900</v>
      </c>
    </row>
    <row r="24" spans="2:27" ht="14.45" customHeight="1" x14ac:dyDescent="0.2">
      <c r="B24" s="54"/>
      <c r="C24" s="54"/>
      <c r="D24" s="71" t="e">
        <f>VLOOKUP($C24,Data!$A$12:$AA$211,16,FALSE)</f>
        <v>#N/A</v>
      </c>
      <c r="E24" s="71" t="e">
        <f t="shared" si="0"/>
        <v>#N/A</v>
      </c>
      <c r="F24" s="71" t="e">
        <f t="shared" si="1"/>
        <v>#N/A</v>
      </c>
      <c r="G24" s="314" t="e">
        <f>VLOOKUP($C24,Data!$A$12:$AA$211,19,FALSE)</f>
        <v>#N/A</v>
      </c>
      <c r="H24" s="315" t="e">
        <f>VLOOKUP($C24,Data!$A$12:$AA$211,20,FALSE)</f>
        <v>#N/A</v>
      </c>
      <c r="I24" s="316" t="e">
        <f t="shared" si="2"/>
        <v>#N/A</v>
      </c>
      <c r="J24" s="317" t="e">
        <f>ABS(VLOOKUP($C24,Data!$A$12:$AA$211,26,FALSE))/IF(D24=123,3,1)</f>
        <v>#N/A</v>
      </c>
      <c r="K24" s="318" t="e">
        <f>VLOOKUP($C24,Data!$A$12:$AA$211,23,FALSE)</f>
        <v>#N/A</v>
      </c>
      <c r="L24" s="318" t="e">
        <f>VLOOKUP($C24,Data!$A$12:$AA$211,24,FALSE)</f>
        <v>#N/A</v>
      </c>
      <c r="M24" s="313" t="e">
        <f>VLOOKUP($C24,Data!$A$12:$AA$211,25,FALSE)</f>
        <v>#N/A</v>
      </c>
      <c r="N24" s="312" t="e">
        <f>VLOOKUP($C24,Data!$A$12:$R$211,18,FALSE)</f>
        <v>#N/A</v>
      </c>
      <c r="P24" s="65" t="e">
        <f>IF(Q24="Watts",COS(RADIANS(VLOOKUP($C24,Data!$A$12:$AA$211,21,FALSE))),SIN(RADIANS(VLOOKUP($C24,Data!$A$12:$AA$211,21,FALSE))))</f>
        <v>#N/A</v>
      </c>
      <c r="Q24" s="313" t="e">
        <f>VLOOKUP($C24,Data!$A$12:$AA$211,13,FALSE)</f>
        <v>#N/A</v>
      </c>
      <c r="R24" s="65" t="e">
        <f>IF(SIGN(VLOOKUP($C24,Data!$A$12:$AA$211,21,FALSE))=1,"lead","lag")</f>
        <v>#N/A</v>
      </c>
      <c r="S24">
        <v>1</v>
      </c>
      <c r="W24" s="21">
        <v>1</v>
      </c>
      <c r="X24" s="17" t="e">
        <f>K14</f>
        <v>#N/A</v>
      </c>
      <c r="Y24">
        <v>7.8E-2</v>
      </c>
      <c r="Z24">
        <v>0.08</v>
      </c>
      <c r="AA24">
        <v>0.04</v>
      </c>
    </row>
    <row r="25" spans="2:27" ht="14.45" customHeight="1" x14ac:dyDescent="0.2">
      <c r="B25" s="54"/>
      <c r="C25" s="54"/>
      <c r="D25" s="71" t="e">
        <f>VLOOKUP($C25,Data!$A$12:$AA$211,16,FALSE)</f>
        <v>#N/A</v>
      </c>
      <c r="E25" s="71" t="e">
        <f t="shared" si="0"/>
        <v>#N/A</v>
      </c>
      <c r="F25" s="71" t="e">
        <f t="shared" si="1"/>
        <v>#N/A</v>
      </c>
      <c r="G25" s="314" t="e">
        <f>VLOOKUP($C25,Data!$A$12:$AA$211,19,FALSE)</f>
        <v>#N/A</v>
      </c>
      <c r="H25" s="315" t="e">
        <f>VLOOKUP($C25,Data!$A$12:$AA$211,20,FALSE)</f>
        <v>#N/A</v>
      </c>
      <c r="I25" s="316" t="e">
        <f t="shared" si="2"/>
        <v>#N/A</v>
      </c>
      <c r="J25" s="317" t="e">
        <f>ABS(VLOOKUP($C25,Data!$A$12:$AA$211,26,FALSE))/IF(D25=123,3,1)</f>
        <v>#N/A</v>
      </c>
      <c r="K25" s="318" t="e">
        <f>VLOOKUP($C25,Data!$A$12:$AA$211,23,FALSE)</f>
        <v>#N/A</v>
      </c>
      <c r="L25" s="318" t="e">
        <f>VLOOKUP($C25,Data!$A$12:$AA$211,24,FALSE)</f>
        <v>#N/A</v>
      </c>
      <c r="M25" s="313" t="e">
        <f>VLOOKUP($C25,Data!$A$12:$AA$211,25,FALSE)</f>
        <v>#N/A</v>
      </c>
      <c r="N25" s="312" t="e">
        <f>VLOOKUP($C25,Data!$A$12:$R$211,18,FALSE)</f>
        <v>#N/A</v>
      </c>
      <c r="P25" s="65" t="e">
        <f>IF(Q25="Watts",COS(RADIANS(VLOOKUP($C25,Data!$A$12:$AA$211,21,FALSE))),SIN(RADIANS(VLOOKUP($C25,Data!$A$12:$AA$211,21,FALSE))))</f>
        <v>#N/A</v>
      </c>
      <c r="Q25" s="313" t="e">
        <f>VLOOKUP($C25,Data!$A$12:$AA$211,13,FALSE)</f>
        <v>#N/A</v>
      </c>
      <c r="R25" s="65" t="e">
        <f>IF(SIGN(VLOOKUP($C25,Data!$A$12:$AA$211,21,FALSE))=1,"lead","lag")</f>
        <v>#N/A</v>
      </c>
      <c r="S25">
        <v>1</v>
      </c>
      <c r="W25" s="21" t="s">
        <v>560</v>
      </c>
      <c r="X25" s="17" t="e">
        <f>K15</f>
        <v>#N/A</v>
      </c>
      <c r="Y25">
        <v>0.14299999999999999</v>
      </c>
      <c r="Z25">
        <v>0.1</v>
      </c>
      <c r="AA25">
        <v>0.54</v>
      </c>
    </row>
    <row r="26" spans="2:27" ht="14.45" customHeight="1" x14ac:dyDescent="0.2">
      <c r="B26" s="54"/>
      <c r="C26" s="54"/>
      <c r="D26" s="71" t="e">
        <f>VLOOKUP($C26,Data!$A$12:$AA$211,16,FALSE)</f>
        <v>#N/A</v>
      </c>
      <c r="E26" s="71" t="e">
        <f t="shared" si="0"/>
        <v>#N/A</v>
      </c>
      <c r="F26" s="71" t="e">
        <f t="shared" si="1"/>
        <v>#N/A</v>
      </c>
      <c r="G26" s="314" t="e">
        <f>VLOOKUP($C26,Data!$A$12:$AA$211,19,FALSE)</f>
        <v>#N/A</v>
      </c>
      <c r="H26" s="315" t="e">
        <f>VLOOKUP($C26,Data!$A$12:$AA$211,20,FALSE)</f>
        <v>#N/A</v>
      </c>
      <c r="I26" s="316" t="e">
        <f t="shared" si="2"/>
        <v>#N/A</v>
      </c>
      <c r="J26" s="317" t="e">
        <f>ABS(VLOOKUP($C26,Data!$A$12:$AA$211,26,FALSE))/IF(D26=123,3,1)</f>
        <v>#N/A</v>
      </c>
      <c r="K26" s="318" t="e">
        <f>VLOOKUP($C26,Data!$A$12:$AA$211,23,FALSE)</f>
        <v>#N/A</v>
      </c>
      <c r="L26" s="318" t="e">
        <f>VLOOKUP($C26,Data!$A$12:$AA$211,24,FALSE)</f>
        <v>#N/A</v>
      </c>
      <c r="M26" s="313" t="e">
        <f>VLOOKUP($C26,Data!$A$12:$AA$211,25,FALSE)</f>
        <v>#N/A</v>
      </c>
      <c r="N26" s="312" t="e">
        <f>VLOOKUP($C26,Data!$A$12:$R$211,18,FALSE)</f>
        <v>#N/A</v>
      </c>
      <c r="P26" s="65" t="e">
        <f>IF(Q26="Watts",COS(RADIANS(VLOOKUP($C26,Data!$A$12:$AA$211,21,FALSE))),SIN(RADIANS(VLOOKUP($C26,Data!$A$12:$AA$211,21,FALSE))))</f>
        <v>#N/A</v>
      </c>
      <c r="Q26" s="313" t="e">
        <f>VLOOKUP($C26,Data!$A$12:$AA$211,13,FALSE)</f>
        <v>#N/A</v>
      </c>
      <c r="R26" s="65" t="e">
        <f>IF(SIGN(VLOOKUP($C26,Data!$A$12:$AA$211,21,FALSE))=1,"lead","lag")</f>
        <v>#N/A</v>
      </c>
      <c r="S26">
        <v>1</v>
      </c>
    </row>
    <row r="27" spans="2:27" ht="14.45" customHeight="1" x14ac:dyDescent="0.2">
      <c r="B27" s="54"/>
      <c r="C27" s="54"/>
      <c r="D27" s="71" t="e">
        <f>VLOOKUP($C27,Data!$A$12:$AA$211,16,FALSE)</f>
        <v>#N/A</v>
      </c>
      <c r="E27" s="71" t="e">
        <f t="shared" si="0"/>
        <v>#N/A</v>
      </c>
      <c r="F27" s="71" t="e">
        <f t="shared" si="1"/>
        <v>#N/A</v>
      </c>
      <c r="G27" s="314" t="e">
        <f>VLOOKUP($C27,Data!$A$12:$AA$211,19,FALSE)</f>
        <v>#N/A</v>
      </c>
      <c r="H27" s="315" t="e">
        <f>VLOOKUP($C27,Data!$A$12:$AA$211,20,FALSE)</f>
        <v>#N/A</v>
      </c>
      <c r="I27" s="316" t="e">
        <f t="shared" si="2"/>
        <v>#N/A</v>
      </c>
      <c r="J27" s="317" t="e">
        <f>ABS(VLOOKUP($C27,Data!$A$12:$AA$211,26,FALSE))/IF(D27=123,3,1)</f>
        <v>#N/A</v>
      </c>
      <c r="K27" s="318" t="e">
        <f>VLOOKUP($C27,Data!$A$12:$AA$211,23,FALSE)</f>
        <v>#N/A</v>
      </c>
      <c r="L27" s="318" t="e">
        <f>VLOOKUP($C27,Data!$A$12:$AA$211,24,FALSE)</f>
        <v>#N/A</v>
      </c>
      <c r="M27" s="313" t="e">
        <f>VLOOKUP($C27,Data!$A$12:$AA$211,25,FALSE)</f>
        <v>#N/A</v>
      </c>
      <c r="N27" s="312" t="e">
        <f>VLOOKUP($C27,Data!$A$12:$R$211,18,FALSE)</f>
        <v>#N/A</v>
      </c>
      <c r="P27" s="65" t="e">
        <f>IF(Q27="Watts",COS(RADIANS(VLOOKUP($C27,Data!$A$12:$AA$211,21,FALSE))),SIN(RADIANS(VLOOKUP($C27,Data!$A$12:$AA$211,21,FALSE))))</f>
        <v>#N/A</v>
      </c>
      <c r="Q27" s="313" t="e">
        <f>VLOOKUP($C27,Data!$A$12:$AA$211,13,FALSE)</f>
        <v>#N/A</v>
      </c>
      <c r="R27" s="65" t="e">
        <f>IF(SIGN(VLOOKUP($C27,Data!$A$12:$AA$211,21,FALSE))=1,"lead","lag")</f>
        <v>#N/A</v>
      </c>
      <c r="S27">
        <v>1</v>
      </c>
    </row>
    <row r="28" spans="2:27" ht="14.45" customHeight="1" x14ac:dyDescent="0.2">
      <c r="B28" s="54"/>
      <c r="C28" s="54"/>
      <c r="D28" s="71" t="e">
        <f>VLOOKUP($C28,Data!$A$12:$AA$211,16,FALSE)</f>
        <v>#N/A</v>
      </c>
      <c r="E28" s="71" t="e">
        <f t="shared" si="0"/>
        <v>#N/A</v>
      </c>
      <c r="F28" s="71" t="e">
        <f t="shared" si="1"/>
        <v>#N/A</v>
      </c>
      <c r="G28" s="314" t="e">
        <f>VLOOKUP($C28,Data!$A$12:$AA$211,19,FALSE)</f>
        <v>#N/A</v>
      </c>
      <c r="H28" s="315" t="e">
        <f>VLOOKUP($C28,Data!$A$12:$AA$211,20,FALSE)</f>
        <v>#N/A</v>
      </c>
      <c r="I28" s="316" t="e">
        <f t="shared" si="2"/>
        <v>#N/A</v>
      </c>
      <c r="J28" s="317" t="e">
        <f>ABS(VLOOKUP($C28,Data!$A$12:$AA$211,26,FALSE))/IF(D28=123,3,1)</f>
        <v>#N/A</v>
      </c>
      <c r="K28" s="318" t="e">
        <f>VLOOKUP($C28,Data!$A$12:$AA$211,23,FALSE)</f>
        <v>#N/A</v>
      </c>
      <c r="L28" s="318" t="e">
        <f>VLOOKUP($C28,Data!$A$12:$AA$211,24,FALSE)</f>
        <v>#N/A</v>
      </c>
      <c r="M28" s="313" t="e">
        <f>VLOOKUP($C28,Data!$A$12:$AA$211,25,FALSE)</f>
        <v>#N/A</v>
      </c>
      <c r="N28" s="312" t="e">
        <f>VLOOKUP($C28,Data!$A$12:$R$211,18,FALSE)</f>
        <v>#N/A</v>
      </c>
      <c r="P28" s="65" t="e">
        <f>IF(Q28="Watts",COS(RADIANS(VLOOKUP($C28,Data!$A$12:$AA$211,21,FALSE))),SIN(RADIANS(VLOOKUP($C28,Data!$A$12:$AA$211,21,FALSE))))</f>
        <v>#N/A</v>
      </c>
      <c r="Q28" s="313" t="e">
        <f>VLOOKUP($C28,Data!$A$12:$AA$211,13,FALSE)</f>
        <v>#N/A</v>
      </c>
      <c r="R28" s="65" t="e">
        <f>IF(SIGN(VLOOKUP($C28,Data!$A$12:$AA$211,21,FALSE))=1,"lead","lag")</f>
        <v>#N/A</v>
      </c>
      <c r="S28">
        <v>1</v>
      </c>
    </row>
    <row r="29" spans="2:27" ht="14.45" customHeight="1" x14ac:dyDescent="0.2">
      <c r="B29" s="54"/>
      <c r="C29" s="54"/>
      <c r="D29" s="71" t="e">
        <f>VLOOKUP($C29,Data!$A$12:$AA$211,16,FALSE)</f>
        <v>#N/A</v>
      </c>
      <c r="E29" s="71" t="e">
        <f t="shared" si="0"/>
        <v>#N/A</v>
      </c>
      <c r="F29" s="71" t="e">
        <f t="shared" si="1"/>
        <v>#N/A</v>
      </c>
      <c r="G29" s="314" t="e">
        <f>VLOOKUP($C29,Data!$A$12:$AA$211,19,FALSE)</f>
        <v>#N/A</v>
      </c>
      <c r="H29" s="315" t="e">
        <f>VLOOKUP($C29,Data!$A$12:$AA$211,20,FALSE)</f>
        <v>#N/A</v>
      </c>
      <c r="I29" s="316" t="e">
        <f t="shared" si="2"/>
        <v>#N/A</v>
      </c>
      <c r="J29" s="317" t="e">
        <f>ABS(VLOOKUP($C29,Data!$A$12:$AA$211,26,FALSE))/IF(D29=123,3,1)</f>
        <v>#N/A</v>
      </c>
      <c r="K29" s="318" t="e">
        <f>VLOOKUP($C29,Data!$A$12:$AA$211,23,FALSE)</f>
        <v>#N/A</v>
      </c>
      <c r="L29" s="318" t="e">
        <f>VLOOKUP($C29,Data!$A$12:$AA$211,24,FALSE)</f>
        <v>#N/A</v>
      </c>
      <c r="M29" s="313" t="e">
        <f>VLOOKUP($C29,Data!$A$12:$AA$211,25,FALSE)</f>
        <v>#N/A</v>
      </c>
      <c r="N29" s="312" t="e">
        <f>VLOOKUP($C29,Data!$A$12:$R$211,18,FALSE)</f>
        <v>#N/A</v>
      </c>
      <c r="P29" s="65" t="e">
        <f>IF(Q29="Watts",COS(RADIANS(VLOOKUP($C29,Data!$A$12:$AA$211,21,FALSE))),SIN(RADIANS(VLOOKUP($C29,Data!$A$12:$AA$211,21,FALSE))))</f>
        <v>#N/A</v>
      </c>
      <c r="Q29" s="313" t="e">
        <f>VLOOKUP($C29,Data!$A$12:$AA$211,13,FALSE)</f>
        <v>#N/A</v>
      </c>
      <c r="R29" s="65" t="e">
        <f>IF(SIGN(VLOOKUP($C29,Data!$A$12:$AA$211,21,FALSE))=1,"lead","lag")</f>
        <v>#N/A</v>
      </c>
      <c r="S29">
        <v>1</v>
      </c>
    </row>
    <row r="30" spans="2:27" ht="14.45" customHeight="1" x14ac:dyDescent="0.2">
      <c r="B30" s="54"/>
      <c r="C30" s="54"/>
      <c r="D30" s="71" t="e">
        <f>VLOOKUP($C30,Data!$A$12:$AA$211,16,FALSE)</f>
        <v>#N/A</v>
      </c>
      <c r="E30" s="71" t="e">
        <f t="shared" si="0"/>
        <v>#N/A</v>
      </c>
      <c r="F30" s="71" t="e">
        <f t="shared" si="1"/>
        <v>#N/A</v>
      </c>
      <c r="G30" s="314" t="e">
        <f>VLOOKUP($C30,Data!$A$12:$AA$211,19,FALSE)</f>
        <v>#N/A</v>
      </c>
      <c r="H30" s="315" t="e">
        <f>VLOOKUP($C30,Data!$A$12:$AA$211,20,FALSE)</f>
        <v>#N/A</v>
      </c>
      <c r="I30" s="316" t="e">
        <f t="shared" si="2"/>
        <v>#N/A</v>
      </c>
      <c r="J30" s="317" t="e">
        <f>ABS(VLOOKUP($C30,Data!$A$12:$AA$211,26,FALSE))/IF(D30=123,3,1)</f>
        <v>#N/A</v>
      </c>
      <c r="K30" s="318" t="e">
        <f>VLOOKUP($C30,Data!$A$12:$AA$211,23,FALSE)</f>
        <v>#N/A</v>
      </c>
      <c r="L30" s="318" t="e">
        <f>VLOOKUP($C30,Data!$A$12:$AA$211,24,FALSE)</f>
        <v>#N/A</v>
      </c>
      <c r="M30" s="313" t="e">
        <f>VLOOKUP($C30,Data!$A$12:$AA$211,25,FALSE)</f>
        <v>#N/A</v>
      </c>
      <c r="N30" s="312" t="e">
        <f>VLOOKUP($C30,Data!$A$12:$R$211,18,FALSE)</f>
        <v>#N/A</v>
      </c>
      <c r="P30" s="65" t="e">
        <f>IF(Q30="Watts",COS(RADIANS(VLOOKUP($C30,Data!$A$12:$AA$211,21,FALSE))),SIN(RADIANS(VLOOKUP($C30,Data!$A$12:$AA$211,21,FALSE))))</f>
        <v>#N/A</v>
      </c>
      <c r="Q30" s="313" t="e">
        <f>VLOOKUP($C30,Data!$A$12:$AA$211,13,FALSE)</f>
        <v>#N/A</v>
      </c>
      <c r="R30" s="65" t="e">
        <f>IF(SIGN(VLOOKUP($C30,Data!$A$12:$AA$211,21,FALSE))=1,"lead","lag")</f>
        <v>#N/A</v>
      </c>
      <c r="S30">
        <v>1</v>
      </c>
    </row>
    <row r="31" spans="2:27" ht="14.45" customHeight="1" x14ac:dyDescent="0.2">
      <c r="B31" s="54"/>
      <c r="C31" s="54"/>
      <c r="D31" s="71" t="e">
        <f>VLOOKUP($C31,Data!$A$12:$AA$211,16,FALSE)</f>
        <v>#N/A</v>
      </c>
      <c r="E31" s="71" t="e">
        <f t="shared" si="0"/>
        <v>#N/A</v>
      </c>
      <c r="F31" s="71" t="e">
        <f t="shared" si="1"/>
        <v>#N/A</v>
      </c>
      <c r="G31" s="314" t="e">
        <f>VLOOKUP($C31,Data!$A$12:$AA$211,19,FALSE)</f>
        <v>#N/A</v>
      </c>
      <c r="H31" s="315" t="e">
        <f>VLOOKUP($C31,Data!$A$12:$AA$211,20,FALSE)</f>
        <v>#N/A</v>
      </c>
      <c r="I31" s="316" t="e">
        <f t="shared" si="2"/>
        <v>#N/A</v>
      </c>
      <c r="J31" s="317" t="e">
        <f>ABS(VLOOKUP($C31,Data!$A$12:$AA$211,26,FALSE))/IF(D31=123,3,1)</f>
        <v>#N/A</v>
      </c>
      <c r="K31" s="318" t="e">
        <f>VLOOKUP($C31,Data!$A$12:$AA$211,23,FALSE)</f>
        <v>#N/A</v>
      </c>
      <c r="L31" s="318" t="e">
        <f>VLOOKUP($C31,Data!$A$12:$AA$211,24,FALSE)</f>
        <v>#N/A</v>
      </c>
      <c r="M31" s="313" t="e">
        <f>VLOOKUP($C31,Data!$A$12:$AA$211,25,FALSE)</f>
        <v>#N/A</v>
      </c>
      <c r="N31" s="312" t="e">
        <f>VLOOKUP($C31,Data!$A$12:$R$211,18,FALSE)</f>
        <v>#N/A</v>
      </c>
      <c r="P31" s="65" t="e">
        <f>IF(Q31="Watts",COS(RADIANS(VLOOKUP($C31,Data!$A$12:$AA$211,21,FALSE))),SIN(RADIANS(VLOOKUP($C31,Data!$A$12:$AA$211,21,FALSE))))</f>
        <v>#N/A</v>
      </c>
      <c r="Q31" s="313" t="e">
        <f>VLOOKUP($C31,Data!$A$12:$AA$211,13,FALSE)</f>
        <v>#N/A</v>
      </c>
      <c r="R31" s="65" t="e">
        <f>IF(SIGN(VLOOKUP($C31,Data!$A$12:$AA$211,21,FALSE))=1,"lead","lag")</f>
        <v>#N/A</v>
      </c>
      <c r="S31">
        <v>1</v>
      </c>
    </row>
    <row r="32" spans="2:27" ht="14.45" customHeight="1" x14ac:dyDescent="0.2">
      <c r="B32" s="54"/>
      <c r="C32" s="54"/>
      <c r="D32" s="71" t="e">
        <f>VLOOKUP($C32,Data!$A$12:$AA$211,16,FALSE)</f>
        <v>#N/A</v>
      </c>
      <c r="E32" s="71" t="e">
        <f t="shared" si="0"/>
        <v>#N/A</v>
      </c>
      <c r="F32" s="71" t="e">
        <f t="shared" si="1"/>
        <v>#N/A</v>
      </c>
      <c r="G32" s="314" t="e">
        <f>VLOOKUP($C32,Data!$A$12:$AA$211,19,FALSE)</f>
        <v>#N/A</v>
      </c>
      <c r="H32" s="315" t="e">
        <f>VLOOKUP($C32,Data!$A$12:$AA$211,20,FALSE)</f>
        <v>#N/A</v>
      </c>
      <c r="I32" s="316" t="e">
        <f t="shared" si="2"/>
        <v>#N/A</v>
      </c>
      <c r="J32" s="317" t="e">
        <f>ABS(VLOOKUP($C32,Data!$A$12:$AA$211,26,FALSE))/IF(D32=123,3,1)</f>
        <v>#N/A</v>
      </c>
      <c r="K32" s="318" t="e">
        <f>VLOOKUP($C32,Data!$A$12:$AA$211,23,FALSE)</f>
        <v>#N/A</v>
      </c>
      <c r="L32" s="318" t="e">
        <f>VLOOKUP($C32,Data!$A$12:$AA$211,24,FALSE)</f>
        <v>#N/A</v>
      </c>
      <c r="M32" s="313" t="e">
        <f>VLOOKUP($C32,Data!$A$12:$AA$211,25,FALSE)</f>
        <v>#N/A</v>
      </c>
      <c r="N32" s="312" t="e">
        <f>VLOOKUP($C32,Data!$A$12:$R$211,18,FALSE)</f>
        <v>#N/A</v>
      </c>
      <c r="P32" s="65" t="e">
        <f>IF(Q32="Watts",COS(RADIANS(VLOOKUP($C32,Data!$A$12:$AA$211,21,FALSE))),SIN(RADIANS(VLOOKUP($C32,Data!$A$12:$AA$211,21,FALSE))))</f>
        <v>#N/A</v>
      </c>
      <c r="Q32" s="313" t="e">
        <f>VLOOKUP($C32,Data!$A$12:$AA$211,13,FALSE)</f>
        <v>#N/A</v>
      </c>
      <c r="R32" s="65" t="e">
        <f>IF(SIGN(VLOOKUP($C32,Data!$A$12:$AA$211,21,FALSE))=1,"lead","lag")</f>
        <v>#N/A</v>
      </c>
      <c r="S32">
        <v>1</v>
      </c>
    </row>
    <row r="33" spans="2:19" ht="14.45" customHeight="1" x14ac:dyDescent="0.2">
      <c r="B33" s="54"/>
      <c r="C33" s="54"/>
      <c r="D33" s="71" t="e">
        <f>VLOOKUP($C33,Data!$A$12:$AA$211,16,FALSE)</f>
        <v>#N/A</v>
      </c>
      <c r="E33" s="71" t="e">
        <f t="shared" si="0"/>
        <v>#N/A</v>
      </c>
      <c r="F33" s="71" t="e">
        <f t="shared" si="1"/>
        <v>#N/A</v>
      </c>
      <c r="G33" s="314" t="e">
        <f>VLOOKUP($C33,Data!$A$12:$AA$211,19,FALSE)</f>
        <v>#N/A</v>
      </c>
      <c r="H33" s="315" t="e">
        <f>VLOOKUP($C33,Data!$A$12:$AA$211,20,FALSE)</f>
        <v>#N/A</v>
      </c>
      <c r="I33" s="316" t="e">
        <f t="shared" si="2"/>
        <v>#N/A</v>
      </c>
      <c r="J33" s="317" t="e">
        <f>ABS(VLOOKUP($C33,Data!$A$12:$AA$211,26,FALSE))/IF(D33=123,3,1)</f>
        <v>#N/A</v>
      </c>
      <c r="K33" s="318" t="e">
        <f>VLOOKUP($C33,Data!$A$12:$AA$211,23,FALSE)</f>
        <v>#N/A</v>
      </c>
      <c r="L33" s="318" t="e">
        <f>VLOOKUP($C33,Data!$A$12:$AA$211,24,FALSE)</f>
        <v>#N/A</v>
      </c>
      <c r="M33" s="313" t="e">
        <f>VLOOKUP($C33,Data!$A$12:$AA$211,25,FALSE)</f>
        <v>#N/A</v>
      </c>
      <c r="N33" s="312" t="e">
        <f>VLOOKUP($C33,Data!$A$12:$R$211,18,FALSE)</f>
        <v>#N/A</v>
      </c>
      <c r="P33" s="65" t="e">
        <f>IF(Q33="Watts",COS(RADIANS(VLOOKUP($C33,Data!$A$12:$AA$211,21,FALSE))),SIN(RADIANS(VLOOKUP($C33,Data!$A$12:$AA$211,21,FALSE))))</f>
        <v>#N/A</v>
      </c>
      <c r="Q33" s="313" t="e">
        <f>VLOOKUP($C33,Data!$A$12:$AA$211,13,FALSE)</f>
        <v>#N/A</v>
      </c>
      <c r="R33" s="65" t="e">
        <f>IF(SIGN(VLOOKUP($C33,Data!$A$12:$AA$211,21,FALSE))=1,"lead","lag")</f>
        <v>#N/A</v>
      </c>
      <c r="S33">
        <v>1</v>
      </c>
    </row>
    <row r="34" spans="2:19" ht="14.45" customHeight="1" x14ac:dyDescent="0.2">
      <c r="B34" s="54"/>
      <c r="C34" s="54"/>
      <c r="D34" s="71" t="e">
        <f>VLOOKUP($C34,Data!$A$12:$AA$211,16,FALSE)</f>
        <v>#N/A</v>
      </c>
      <c r="E34" s="71" t="e">
        <f t="shared" si="0"/>
        <v>#N/A</v>
      </c>
      <c r="F34" s="71" t="e">
        <f t="shared" si="1"/>
        <v>#N/A</v>
      </c>
      <c r="G34" s="314" t="e">
        <f>VLOOKUP($C34,Data!$A$12:$AA$211,19,FALSE)</f>
        <v>#N/A</v>
      </c>
      <c r="H34" s="315" t="e">
        <f>VLOOKUP($C34,Data!$A$12:$AA$211,20,FALSE)</f>
        <v>#N/A</v>
      </c>
      <c r="I34" s="316" t="e">
        <f t="shared" si="2"/>
        <v>#N/A</v>
      </c>
      <c r="J34" s="317" t="e">
        <f>ABS(VLOOKUP($C34,Data!$A$12:$AA$211,26,FALSE))/IF(D34=123,3,1)</f>
        <v>#N/A</v>
      </c>
      <c r="K34" s="318" t="e">
        <f>VLOOKUP($C34,Data!$A$12:$AA$211,23,FALSE)</f>
        <v>#N/A</v>
      </c>
      <c r="L34" s="318" t="e">
        <f>VLOOKUP($C34,Data!$A$12:$AA$211,24,FALSE)</f>
        <v>#N/A</v>
      </c>
      <c r="M34" s="313" t="e">
        <f>VLOOKUP($C34,Data!$A$12:$AA$211,25,FALSE)</f>
        <v>#N/A</v>
      </c>
      <c r="N34" s="312" t="e">
        <f>VLOOKUP($C34,Data!$A$12:$R$211,18,FALSE)</f>
        <v>#N/A</v>
      </c>
      <c r="P34" s="65" t="e">
        <f>IF(Q34="Watts",COS(RADIANS(VLOOKUP($C34,Data!$A$12:$AA$211,21,FALSE))),SIN(RADIANS(VLOOKUP($C34,Data!$A$12:$AA$211,21,FALSE))))</f>
        <v>#N/A</v>
      </c>
      <c r="Q34" s="313" t="e">
        <f>VLOOKUP($C34,Data!$A$12:$AA$211,13,FALSE)</f>
        <v>#N/A</v>
      </c>
      <c r="R34" s="65" t="e">
        <f>IF(SIGN(VLOOKUP($C34,Data!$A$12:$AA$211,21,FALSE))=1,"lead","lag")</f>
        <v>#N/A</v>
      </c>
      <c r="S34">
        <v>1</v>
      </c>
    </row>
    <row r="35" spans="2:19" ht="14.45" customHeight="1" x14ac:dyDescent="0.2">
      <c r="B35" s="54"/>
      <c r="C35" s="54"/>
      <c r="D35" s="71" t="e">
        <f>VLOOKUP($C35,Data!$A$12:$AA$211,16,FALSE)</f>
        <v>#N/A</v>
      </c>
      <c r="E35" s="71" t="e">
        <f t="shared" si="0"/>
        <v>#N/A</v>
      </c>
      <c r="F35" s="71" t="e">
        <f t="shared" si="1"/>
        <v>#N/A</v>
      </c>
      <c r="G35" s="314" t="e">
        <f>VLOOKUP($C35,Data!$A$12:$AA$211,19,FALSE)</f>
        <v>#N/A</v>
      </c>
      <c r="H35" s="315" t="e">
        <f>VLOOKUP($C35,Data!$A$12:$AA$211,20,FALSE)</f>
        <v>#N/A</v>
      </c>
      <c r="I35" s="316" t="e">
        <f t="shared" si="2"/>
        <v>#N/A</v>
      </c>
      <c r="J35" s="317" t="e">
        <f>ABS(VLOOKUP($C35,Data!$A$12:$AA$211,26,FALSE))/IF(D35=123,3,1)</f>
        <v>#N/A</v>
      </c>
      <c r="K35" s="318" t="e">
        <f>VLOOKUP($C35,Data!$A$12:$AA$211,23,FALSE)</f>
        <v>#N/A</v>
      </c>
      <c r="L35" s="318" t="e">
        <f>VLOOKUP($C35,Data!$A$12:$AA$211,24,FALSE)</f>
        <v>#N/A</v>
      </c>
      <c r="M35" s="313" t="e">
        <f>VLOOKUP($C35,Data!$A$12:$AA$211,25,FALSE)</f>
        <v>#N/A</v>
      </c>
      <c r="N35" s="312" t="e">
        <f>VLOOKUP($C35,Data!$A$12:$R$211,18,FALSE)</f>
        <v>#N/A</v>
      </c>
      <c r="P35" s="65" t="e">
        <f>IF(Q35="Watts",COS(RADIANS(VLOOKUP($C35,Data!$A$12:$AA$211,21,FALSE))),SIN(RADIANS(VLOOKUP($C35,Data!$A$12:$AA$211,21,FALSE))))</f>
        <v>#N/A</v>
      </c>
      <c r="Q35" s="313" t="e">
        <f>VLOOKUP($C35,Data!$A$12:$AA$211,13,FALSE)</f>
        <v>#N/A</v>
      </c>
      <c r="R35" s="65" t="e">
        <f>IF(SIGN(VLOOKUP($C35,Data!$A$12:$AA$211,21,FALSE))=1,"lead","lag")</f>
        <v>#N/A</v>
      </c>
      <c r="S35">
        <v>1</v>
      </c>
    </row>
    <row r="36" spans="2:19" ht="14.45" customHeight="1" x14ac:dyDescent="0.2">
      <c r="B36" s="54"/>
      <c r="C36" s="54"/>
      <c r="D36" s="71" t="e">
        <f>VLOOKUP($C36,Data!$A$12:$AA$211,16,FALSE)</f>
        <v>#N/A</v>
      </c>
      <c r="E36" s="71" t="e">
        <f t="shared" si="0"/>
        <v>#N/A</v>
      </c>
      <c r="F36" s="71" t="e">
        <f t="shared" si="1"/>
        <v>#N/A</v>
      </c>
      <c r="G36" s="314" t="e">
        <f>VLOOKUP($C36,Data!$A$12:$AA$211,19,FALSE)</f>
        <v>#N/A</v>
      </c>
      <c r="H36" s="315" t="e">
        <f>VLOOKUP($C36,Data!$A$12:$AA$211,20,FALSE)</f>
        <v>#N/A</v>
      </c>
      <c r="I36" s="316" t="e">
        <f t="shared" si="2"/>
        <v>#N/A</v>
      </c>
      <c r="J36" s="317" t="e">
        <f>ABS(VLOOKUP($C36,Data!$A$12:$AA$211,26,FALSE))/IF(D36=123,3,1)</f>
        <v>#N/A</v>
      </c>
      <c r="K36" s="318" t="e">
        <f>VLOOKUP($C36,Data!$A$12:$AA$211,23,FALSE)</f>
        <v>#N/A</v>
      </c>
      <c r="L36" s="318" t="e">
        <f>VLOOKUP($C36,Data!$A$12:$AA$211,24,FALSE)</f>
        <v>#N/A</v>
      </c>
      <c r="M36" s="313" t="e">
        <f>VLOOKUP($C36,Data!$A$12:$AA$211,25,FALSE)</f>
        <v>#N/A</v>
      </c>
      <c r="N36" s="312" t="e">
        <f>VLOOKUP($C36,Data!$A$12:$R$211,18,FALSE)</f>
        <v>#N/A</v>
      </c>
      <c r="P36" s="65" t="e">
        <f>IF(Q36="Watts",COS(RADIANS(VLOOKUP($C36,Data!$A$12:$AA$211,21,FALSE))),SIN(RADIANS(VLOOKUP($C36,Data!$A$12:$AA$211,21,FALSE))))</f>
        <v>#N/A</v>
      </c>
      <c r="Q36" s="313" t="e">
        <f>VLOOKUP($C36,Data!$A$12:$AA$211,13,FALSE)</f>
        <v>#N/A</v>
      </c>
      <c r="R36" s="65" t="e">
        <f>IF(SIGN(VLOOKUP($C36,Data!$A$12:$AA$211,21,FALSE))=1,"lead","lag")</f>
        <v>#N/A</v>
      </c>
      <c r="S36">
        <v>1</v>
      </c>
    </row>
    <row r="37" spans="2:19" ht="14.45" customHeight="1" x14ac:dyDescent="0.2">
      <c r="B37" s="54"/>
      <c r="C37" s="54"/>
      <c r="D37" s="71" t="e">
        <f>VLOOKUP($C37,Data!$A$12:$AA$211,16,FALSE)</f>
        <v>#N/A</v>
      </c>
      <c r="E37" s="71" t="e">
        <f t="shared" si="0"/>
        <v>#N/A</v>
      </c>
      <c r="F37" s="71" t="e">
        <f t="shared" si="1"/>
        <v>#N/A</v>
      </c>
      <c r="G37" s="314" t="e">
        <f>VLOOKUP($C37,Data!$A$12:$AA$211,19,FALSE)</f>
        <v>#N/A</v>
      </c>
      <c r="H37" s="315" t="e">
        <f>VLOOKUP($C37,Data!$A$12:$AA$211,20,FALSE)</f>
        <v>#N/A</v>
      </c>
      <c r="I37" s="316" t="e">
        <f t="shared" si="2"/>
        <v>#N/A</v>
      </c>
      <c r="J37" s="317" t="e">
        <f>ABS(VLOOKUP($C37,Data!$A$12:$AA$211,26,FALSE))/IF(D37=123,3,1)</f>
        <v>#N/A</v>
      </c>
      <c r="K37" s="318" t="e">
        <f>VLOOKUP($C37,Data!$A$12:$AA$211,23,FALSE)</f>
        <v>#N/A</v>
      </c>
      <c r="L37" s="318" t="e">
        <f>VLOOKUP($C37,Data!$A$12:$AA$211,24,FALSE)</f>
        <v>#N/A</v>
      </c>
      <c r="M37" s="313" t="e">
        <f>VLOOKUP($C37,Data!$A$12:$AA$211,25,FALSE)</f>
        <v>#N/A</v>
      </c>
      <c r="N37" s="312" t="e">
        <f>VLOOKUP($C37,Data!$A$12:$R$211,18,FALSE)</f>
        <v>#N/A</v>
      </c>
      <c r="P37" s="65" t="e">
        <f>IF(Q37="Watts",COS(RADIANS(VLOOKUP($C37,Data!$A$12:$AA$211,21,FALSE))),SIN(RADIANS(VLOOKUP($C37,Data!$A$12:$AA$211,21,FALSE))))</f>
        <v>#N/A</v>
      </c>
      <c r="Q37" s="313" t="e">
        <f>VLOOKUP($C37,Data!$A$12:$AA$211,13,FALSE)</f>
        <v>#N/A</v>
      </c>
      <c r="R37" s="65" t="e">
        <f>IF(SIGN(VLOOKUP($C37,Data!$A$12:$AA$211,21,FALSE))=1,"lead","lag")</f>
        <v>#N/A</v>
      </c>
      <c r="S37">
        <v>1</v>
      </c>
    </row>
    <row r="38" spans="2:19" ht="14.45" customHeight="1" x14ac:dyDescent="0.2">
      <c r="B38" s="54"/>
      <c r="C38" s="54"/>
      <c r="D38" s="71" t="e">
        <f>VLOOKUP($C38,Data!$A$12:$AA$211,16,FALSE)</f>
        <v>#N/A</v>
      </c>
      <c r="E38" s="71" t="e">
        <f t="shared" si="0"/>
        <v>#N/A</v>
      </c>
      <c r="F38" s="71" t="e">
        <f t="shared" si="1"/>
        <v>#N/A</v>
      </c>
      <c r="G38" s="314" t="e">
        <f>VLOOKUP($C38,Data!$A$12:$AA$211,19,FALSE)</f>
        <v>#N/A</v>
      </c>
      <c r="H38" s="315" t="e">
        <f>VLOOKUP($C38,Data!$A$12:$AA$211,20,FALSE)</f>
        <v>#N/A</v>
      </c>
      <c r="I38" s="316" t="e">
        <f t="shared" si="2"/>
        <v>#N/A</v>
      </c>
      <c r="J38" s="317" t="e">
        <f>ABS(VLOOKUP($C38,Data!$A$12:$AA$211,26,FALSE))/IF(D38=123,3,1)</f>
        <v>#N/A</v>
      </c>
      <c r="K38" s="318" t="e">
        <f>VLOOKUP($C38,Data!$A$12:$AA$211,23,FALSE)</f>
        <v>#N/A</v>
      </c>
      <c r="L38" s="318" t="e">
        <f>VLOOKUP($C38,Data!$A$12:$AA$211,24,FALSE)</f>
        <v>#N/A</v>
      </c>
      <c r="M38" s="313" t="e">
        <f>VLOOKUP($C38,Data!$A$12:$AA$211,25,FALSE)</f>
        <v>#N/A</v>
      </c>
      <c r="N38" s="312" t="e">
        <f>VLOOKUP($C38,Data!$A$12:$R$211,18,FALSE)</f>
        <v>#N/A</v>
      </c>
      <c r="P38" s="65" t="e">
        <f>IF(Q38="Watts",COS(RADIANS(VLOOKUP($C38,Data!$A$12:$AA$211,21,FALSE))),SIN(RADIANS(VLOOKUP($C38,Data!$A$12:$AA$211,21,FALSE))))</f>
        <v>#N/A</v>
      </c>
      <c r="Q38" s="313" t="e">
        <f>VLOOKUP($C38,Data!$A$12:$AA$211,13,FALSE)</f>
        <v>#N/A</v>
      </c>
      <c r="R38" s="65" t="e">
        <f>IF(SIGN(VLOOKUP($C38,Data!$A$12:$AA$211,21,FALSE))=1,"lead","lag")</f>
        <v>#N/A</v>
      </c>
      <c r="S38">
        <v>1</v>
      </c>
    </row>
    <row r="39" spans="2:19" ht="14.45" customHeight="1" x14ac:dyDescent="0.2">
      <c r="B39" s="54"/>
      <c r="C39" s="54"/>
      <c r="D39" s="71" t="e">
        <f>VLOOKUP($C39,Data!$A$12:$AA$211,16,FALSE)</f>
        <v>#N/A</v>
      </c>
      <c r="E39" s="71" t="e">
        <f t="shared" si="0"/>
        <v>#N/A</v>
      </c>
      <c r="F39" s="71" t="e">
        <f t="shared" si="1"/>
        <v>#N/A</v>
      </c>
      <c r="G39" s="314" t="e">
        <f>VLOOKUP($C39,Data!$A$12:$AA$211,19,FALSE)</f>
        <v>#N/A</v>
      </c>
      <c r="H39" s="315" t="e">
        <f>VLOOKUP($C39,Data!$A$12:$AA$211,20,FALSE)</f>
        <v>#N/A</v>
      </c>
      <c r="I39" s="316" t="e">
        <f t="shared" si="2"/>
        <v>#N/A</v>
      </c>
      <c r="J39" s="317" t="e">
        <f>ABS(VLOOKUP($C39,Data!$A$12:$AA$211,26,FALSE))/IF(D39=123,3,1)</f>
        <v>#N/A</v>
      </c>
      <c r="K39" s="318" t="e">
        <f>VLOOKUP($C39,Data!$A$12:$AA$211,23,FALSE)</f>
        <v>#N/A</v>
      </c>
      <c r="L39" s="318" t="e">
        <f>VLOOKUP($C39,Data!$A$12:$AA$211,24,FALSE)</f>
        <v>#N/A</v>
      </c>
      <c r="M39" s="313" t="e">
        <f>VLOOKUP($C39,Data!$A$12:$AA$211,25,FALSE)</f>
        <v>#N/A</v>
      </c>
      <c r="N39" s="312" t="e">
        <f>VLOOKUP($C39,Data!$A$12:$R$211,18,FALSE)</f>
        <v>#N/A</v>
      </c>
      <c r="P39" s="65" t="e">
        <f>IF(Q39="Watts",COS(RADIANS(VLOOKUP($C39,Data!$A$12:$AA$211,21,FALSE))),SIN(RADIANS(VLOOKUP($C39,Data!$A$12:$AA$211,21,FALSE))))</f>
        <v>#N/A</v>
      </c>
      <c r="Q39" s="313" t="e">
        <f>VLOOKUP($C39,Data!$A$12:$AA$211,13,FALSE)</f>
        <v>#N/A</v>
      </c>
      <c r="R39" s="65" t="e">
        <f>IF(SIGN(VLOOKUP($C39,Data!$A$12:$AA$211,21,FALSE))=1,"lead","lag")</f>
        <v>#N/A</v>
      </c>
      <c r="S39">
        <v>1</v>
      </c>
    </row>
    <row r="40" spans="2:19" ht="14.45" customHeight="1" x14ac:dyDescent="0.2">
      <c r="B40" s="54"/>
      <c r="C40" s="54"/>
      <c r="D40" s="71" t="e">
        <f>VLOOKUP($C40,Data!$A$12:$AA$211,16,FALSE)</f>
        <v>#N/A</v>
      </c>
      <c r="E40" s="71" t="e">
        <f t="shared" si="0"/>
        <v>#N/A</v>
      </c>
      <c r="F40" s="71" t="e">
        <f t="shared" si="1"/>
        <v>#N/A</v>
      </c>
      <c r="G40" s="314" t="e">
        <f>VLOOKUP($C40,Data!$A$12:$AA$211,19,FALSE)</f>
        <v>#N/A</v>
      </c>
      <c r="H40" s="315" t="e">
        <f>VLOOKUP($C40,Data!$A$12:$AA$211,20,FALSE)</f>
        <v>#N/A</v>
      </c>
      <c r="I40" s="316" t="e">
        <f t="shared" si="2"/>
        <v>#N/A</v>
      </c>
      <c r="J40" s="317" t="e">
        <f>ABS(VLOOKUP($C40,Data!$A$12:$AA$211,26,FALSE))/IF(D40=123,3,1)</f>
        <v>#N/A</v>
      </c>
      <c r="K40" s="318" t="e">
        <f>VLOOKUP($C40,Data!$A$12:$AA$211,23,FALSE)</f>
        <v>#N/A</v>
      </c>
      <c r="L40" s="318" t="e">
        <f>VLOOKUP($C40,Data!$A$12:$AA$211,24,FALSE)</f>
        <v>#N/A</v>
      </c>
      <c r="M40" s="313" t="e">
        <f>VLOOKUP($C40,Data!$A$12:$AA$211,25,FALSE)</f>
        <v>#N/A</v>
      </c>
      <c r="N40" s="312" t="e">
        <f>VLOOKUP($C40,Data!$A$12:$R$211,18,FALSE)</f>
        <v>#N/A</v>
      </c>
      <c r="P40" s="65" t="e">
        <f>IF(Q40="Watts",COS(RADIANS(VLOOKUP($C40,Data!$A$12:$AA$211,21,FALSE))),SIN(RADIANS(VLOOKUP($C40,Data!$A$12:$AA$211,21,FALSE))))</f>
        <v>#N/A</v>
      </c>
      <c r="Q40" s="313" t="e">
        <f>VLOOKUP($C40,Data!$A$12:$AA$211,13,FALSE)</f>
        <v>#N/A</v>
      </c>
      <c r="R40" s="65" t="e">
        <f>IF(SIGN(VLOOKUP($C40,Data!$A$12:$AA$211,21,FALSE))=1,"lead","lag")</f>
        <v>#N/A</v>
      </c>
      <c r="S40">
        <v>1</v>
      </c>
    </row>
    <row r="41" spans="2:19" ht="14.45" customHeight="1" x14ac:dyDescent="0.2">
      <c r="B41" s="54"/>
      <c r="C41" s="54"/>
      <c r="D41" s="71" t="e">
        <f>VLOOKUP($C41,Data!$A$12:$AA$211,16,FALSE)</f>
        <v>#N/A</v>
      </c>
      <c r="E41" s="71" t="e">
        <f t="shared" si="0"/>
        <v>#N/A</v>
      </c>
      <c r="F41" s="71" t="e">
        <f t="shared" si="1"/>
        <v>#N/A</v>
      </c>
      <c r="G41" s="314" t="e">
        <f>VLOOKUP($C41,Data!$A$12:$AA$211,19,FALSE)</f>
        <v>#N/A</v>
      </c>
      <c r="H41" s="315" t="e">
        <f>VLOOKUP($C41,Data!$A$12:$AA$211,20,FALSE)</f>
        <v>#N/A</v>
      </c>
      <c r="I41" s="316" t="e">
        <f t="shared" si="2"/>
        <v>#N/A</v>
      </c>
      <c r="J41" s="317" t="e">
        <f>ABS(VLOOKUP($C41,Data!$A$12:$AA$211,26,FALSE))/IF(D41=123,3,1)</f>
        <v>#N/A</v>
      </c>
      <c r="K41" s="318" t="e">
        <f>VLOOKUP($C41,Data!$A$12:$AA$211,23,FALSE)</f>
        <v>#N/A</v>
      </c>
      <c r="L41" s="318" t="e">
        <f>VLOOKUP($C41,Data!$A$12:$AA$211,24,FALSE)</f>
        <v>#N/A</v>
      </c>
      <c r="M41" s="313" t="e">
        <f>VLOOKUP($C41,Data!$A$12:$AA$211,25,FALSE)</f>
        <v>#N/A</v>
      </c>
      <c r="N41" s="312" t="e">
        <f>VLOOKUP($C41,Data!$A$12:$R$211,18,FALSE)</f>
        <v>#N/A</v>
      </c>
      <c r="P41" s="65" t="e">
        <f>IF(Q41="Watts",COS(RADIANS(VLOOKUP($C41,Data!$A$12:$AA$211,21,FALSE))),SIN(RADIANS(VLOOKUP($C41,Data!$A$12:$AA$211,21,FALSE))))</f>
        <v>#N/A</v>
      </c>
      <c r="Q41" s="313" t="e">
        <f>VLOOKUP($C41,Data!$A$12:$AA$211,13,FALSE)</f>
        <v>#N/A</v>
      </c>
      <c r="R41" s="65" t="e">
        <f>IF(SIGN(VLOOKUP($C41,Data!$A$12:$AA$211,21,FALSE))=1,"lead","lag")</f>
        <v>#N/A</v>
      </c>
      <c r="S41">
        <v>1</v>
      </c>
    </row>
    <row r="42" spans="2:19" ht="14.45" customHeight="1" x14ac:dyDescent="0.2">
      <c r="B42" s="54"/>
      <c r="C42" s="54"/>
      <c r="D42" s="71" t="e">
        <f>VLOOKUP($C42,Data!$A$12:$AA$211,16,FALSE)</f>
        <v>#N/A</v>
      </c>
      <c r="E42" s="71" t="e">
        <f t="shared" si="0"/>
        <v>#N/A</v>
      </c>
      <c r="F42" s="71" t="e">
        <f t="shared" si="1"/>
        <v>#N/A</v>
      </c>
      <c r="G42" s="314" t="e">
        <f>VLOOKUP($C42,Data!$A$12:$AA$211,19,FALSE)</f>
        <v>#N/A</v>
      </c>
      <c r="H42" s="315" t="e">
        <f>VLOOKUP($C42,Data!$A$12:$AA$211,20,FALSE)</f>
        <v>#N/A</v>
      </c>
      <c r="I42" s="316" t="e">
        <f t="shared" si="2"/>
        <v>#N/A</v>
      </c>
      <c r="J42" s="317" t="e">
        <f>ABS(VLOOKUP($C42,Data!$A$12:$AA$211,26,FALSE))/IF(D42=123,3,1)</f>
        <v>#N/A</v>
      </c>
      <c r="K42" s="318" t="e">
        <f>VLOOKUP($C42,Data!$A$12:$AA$211,23,FALSE)</f>
        <v>#N/A</v>
      </c>
      <c r="L42" s="318" t="e">
        <f>VLOOKUP($C42,Data!$A$12:$AA$211,24,FALSE)</f>
        <v>#N/A</v>
      </c>
      <c r="M42" s="313" t="e">
        <f>VLOOKUP($C42,Data!$A$12:$AA$211,25,FALSE)</f>
        <v>#N/A</v>
      </c>
      <c r="N42" s="312" t="e">
        <f>VLOOKUP($C42,Data!$A$12:$R$211,18,FALSE)</f>
        <v>#N/A</v>
      </c>
      <c r="P42" s="65" t="e">
        <f>IF(Q42="Watts",COS(RADIANS(VLOOKUP($C42,Data!$A$12:$AA$211,21,FALSE))),SIN(RADIANS(VLOOKUP($C42,Data!$A$12:$AA$211,21,FALSE))))</f>
        <v>#N/A</v>
      </c>
      <c r="Q42" s="313" t="e">
        <f>VLOOKUP($C42,Data!$A$12:$AA$211,13,FALSE)</f>
        <v>#N/A</v>
      </c>
      <c r="R42" s="65" t="e">
        <f>IF(SIGN(VLOOKUP($C42,Data!$A$12:$AA$211,21,FALSE))=1,"lead","lag")</f>
        <v>#N/A</v>
      </c>
      <c r="S42">
        <v>1</v>
      </c>
    </row>
    <row r="43" spans="2:19" ht="14.45" customHeight="1" x14ac:dyDescent="0.2">
      <c r="B43" s="54"/>
      <c r="C43" s="54"/>
      <c r="D43" s="71" t="e">
        <f>VLOOKUP($C43,Data!$A$12:$AA$211,16,FALSE)</f>
        <v>#N/A</v>
      </c>
      <c r="E43" s="71" t="e">
        <f t="shared" si="0"/>
        <v>#N/A</v>
      </c>
      <c r="F43" s="71" t="e">
        <f t="shared" si="1"/>
        <v>#N/A</v>
      </c>
      <c r="G43" s="314" t="e">
        <f>VLOOKUP($C43,Data!$A$12:$AA$211,19,FALSE)</f>
        <v>#N/A</v>
      </c>
      <c r="H43" s="315" t="e">
        <f>VLOOKUP($C43,Data!$A$12:$AA$211,20,FALSE)</f>
        <v>#N/A</v>
      </c>
      <c r="I43" s="316" t="e">
        <f t="shared" si="2"/>
        <v>#N/A</v>
      </c>
      <c r="J43" s="317" t="e">
        <f>ABS(VLOOKUP($C43,Data!$A$12:$AA$211,26,FALSE))/IF(D43=123,3,1)</f>
        <v>#N/A</v>
      </c>
      <c r="K43" s="318" t="e">
        <f>VLOOKUP($C43,Data!$A$12:$AA$211,23,FALSE)</f>
        <v>#N/A</v>
      </c>
      <c r="L43" s="318" t="e">
        <f>VLOOKUP($C43,Data!$A$12:$AA$211,24,FALSE)</f>
        <v>#N/A</v>
      </c>
      <c r="M43" s="313" t="e">
        <f>VLOOKUP($C43,Data!$A$12:$AA$211,25,FALSE)</f>
        <v>#N/A</v>
      </c>
      <c r="N43" s="312" t="e">
        <f>VLOOKUP($C43,Data!$A$12:$R$211,18,FALSE)</f>
        <v>#N/A</v>
      </c>
      <c r="P43" s="65" t="e">
        <f>IF(Q43="Watts",COS(RADIANS(VLOOKUP($C43,Data!$A$12:$AA$211,21,FALSE))),SIN(RADIANS(VLOOKUP($C43,Data!$A$12:$AA$211,21,FALSE))))</f>
        <v>#N/A</v>
      </c>
      <c r="Q43" s="313" t="e">
        <f>VLOOKUP($C43,Data!$A$12:$AA$211,13,FALSE)</f>
        <v>#N/A</v>
      </c>
      <c r="R43" s="65" t="e">
        <f>IF(SIGN(VLOOKUP($C43,Data!$A$12:$AA$211,21,FALSE))=1,"lead","lag")</f>
        <v>#N/A</v>
      </c>
      <c r="S43">
        <v>1</v>
      </c>
    </row>
    <row r="44" spans="2:19" ht="14.45" customHeight="1" x14ac:dyDescent="0.2">
      <c r="B44" s="54"/>
      <c r="C44" s="54"/>
      <c r="D44" s="71" t="e">
        <f>VLOOKUP($C44,Data!$A$12:$AA$211,16,FALSE)</f>
        <v>#N/A</v>
      </c>
      <c r="E44" s="71" t="e">
        <f t="shared" si="0"/>
        <v>#N/A</v>
      </c>
      <c r="F44" s="71" t="e">
        <f t="shared" si="1"/>
        <v>#N/A</v>
      </c>
      <c r="G44" s="314" t="e">
        <f>VLOOKUP($C44,Data!$A$12:$AA$211,19,FALSE)</f>
        <v>#N/A</v>
      </c>
      <c r="H44" s="315" t="e">
        <f>VLOOKUP($C44,Data!$A$12:$AA$211,20,FALSE)</f>
        <v>#N/A</v>
      </c>
      <c r="I44" s="316" t="e">
        <f t="shared" si="2"/>
        <v>#N/A</v>
      </c>
      <c r="J44" s="317" t="e">
        <f>ABS(VLOOKUP($C44,Data!$A$12:$AA$211,26,FALSE))/IF(D44=123,3,1)</f>
        <v>#N/A</v>
      </c>
      <c r="K44" s="318" t="e">
        <f>VLOOKUP($C44,Data!$A$12:$AA$211,23,FALSE)</f>
        <v>#N/A</v>
      </c>
      <c r="L44" s="318" t="e">
        <f>VLOOKUP($C44,Data!$A$12:$AA$211,24,FALSE)</f>
        <v>#N/A</v>
      </c>
      <c r="M44" s="313" t="e">
        <f>VLOOKUP($C44,Data!$A$12:$AA$211,25,FALSE)</f>
        <v>#N/A</v>
      </c>
      <c r="N44" s="312" t="e">
        <f>VLOOKUP($C44,Data!$A$12:$R$211,18,FALSE)</f>
        <v>#N/A</v>
      </c>
      <c r="P44" s="65" t="e">
        <f>IF(Q44="Watts",COS(RADIANS(VLOOKUP($C44,Data!$A$12:$AA$211,21,FALSE))),SIN(RADIANS(VLOOKUP($C44,Data!$A$12:$AA$211,21,FALSE))))</f>
        <v>#N/A</v>
      </c>
      <c r="Q44" s="313" t="e">
        <f>VLOOKUP($C44,Data!$A$12:$AA$211,13,FALSE)</f>
        <v>#N/A</v>
      </c>
      <c r="R44" s="65" t="e">
        <f>IF(SIGN(VLOOKUP($C44,Data!$A$12:$AA$211,21,FALSE))=1,"lead","lag")</f>
        <v>#N/A</v>
      </c>
      <c r="S44">
        <v>1</v>
      </c>
    </row>
    <row r="45" spans="2:19" ht="14.45" customHeight="1" x14ac:dyDescent="0.2">
      <c r="B45" s="54"/>
      <c r="C45" s="54"/>
      <c r="D45" s="71" t="e">
        <f>VLOOKUP($C45,Data!$A$12:$AA$211,16,FALSE)</f>
        <v>#N/A</v>
      </c>
      <c r="E45" s="71" t="e">
        <f t="shared" si="0"/>
        <v>#N/A</v>
      </c>
      <c r="F45" s="71" t="e">
        <f t="shared" si="1"/>
        <v>#N/A</v>
      </c>
      <c r="G45" s="314" t="e">
        <f>VLOOKUP($C45,Data!$A$12:$AA$211,19,FALSE)</f>
        <v>#N/A</v>
      </c>
      <c r="H45" s="315" t="e">
        <f>VLOOKUP($C45,Data!$A$12:$AA$211,20,FALSE)</f>
        <v>#N/A</v>
      </c>
      <c r="I45" s="316" t="e">
        <f t="shared" si="2"/>
        <v>#N/A</v>
      </c>
      <c r="J45" s="317" t="e">
        <f>ABS(VLOOKUP($C45,Data!$A$12:$AA$211,26,FALSE))/IF(D45=123,3,1)</f>
        <v>#N/A</v>
      </c>
      <c r="K45" s="318" t="e">
        <f>VLOOKUP($C45,Data!$A$12:$AA$211,23,FALSE)</f>
        <v>#N/A</v>
      </c>
      <c r="L45" s="318" t="e">
        <f>VLOOKUP($C45,Data!$A$12:$AA$211,24,FALSE)</f>
        <v>#N/A</v>
      </c>
      <c r="M45" s="313" t="e">
        <f>VLOOKUP($C45,Data!$A$12:$AA$211,25,FALSE)</f>
        <v>#N/A</v>
      </c>
      <c r="N45" s="312" t="e">
        <f>VLOOKUP($C45,Data!$A$12:$R$211,18,FALSE)</f>
        <v>#N/A</v>
      </c>
      <c r="P45" s="65" t="e">
        <f>IF(Q45="Watts",COS(RADIANS(VLOOKUP($C45,Data!$A$12:$AA$211,21,FALSE))),SIN(RADIANS(VLOOKUP($C45,Data!$A$12:$AA$211,21,FALSE))))</f>
        <v>#N/A</v>
      </c>
      <c r="Q45" s="313" t="e">
        <f>VLOOKUP($C45,Data!$A$12:$AA$211,13,FALSE)</f>
        <v>#N/A</v>
      </c>
      <c r="R45" s="65" t="e">
        <f>IF(SIGN(VLOOKUP($C45,Data!$A$12:$AA$211,21,FALSE))=1,"lead","lag")</f>
        <v>#N/A</v>
      </c>
      <c r="S45">
        <v>1</v>
      </c>
    </row>
    <row r="46" spans="2:19" ht="14.45" customHeight="1" x14ac:dyDescent="0.2">
      <c r="B46" s="54"/>
      <c r="C46" s="54"/>
      <c r="D46" s="71" t="e">
        <f>VLOOKUP($C46,Data!$A$12:$AA$211,16,FALSE)</f>
        <v>#N/A</v>
      </c>
      <c r="E46" s="71" t="e">
        <f t="shared" si="0"/>
        <v>#N/A</v>
      </c>
      <c r="F46" s="71" t="e">
        <f t="shared" si="1"/>
        <v>#N/A</v>
      </c>
      <c r="G46" s="314" t="e">
        <f>VLOOKUP($C46,Data!$A$12:$AA$211,19,FALSE)</f>
        <v>#N/A</v>
      </c>
      <c r="H46" s="315" t="e">
        <f>VLOOKUP($C46,Data!$A$12:$AA$211,20,FALSE)</f>
        <v>#N/A</v>
      </c>
      <c r="I46" s="316" t="e">
        <f t="shared" si="2"/>
        <v>#N/A</v>
      </c>
      <c r="J46" s="317" t="e">
        <f>ABS(VLOOKUP($C46,Data!$A$12:$AA$211,26,FALSE))/IF(D46=123,3,1)</f>
        <v>#N/A</v>
      </c>
      <c r="K46" s="318" t="e">
        <f>VLOOKUP($C46,Data!$A$12:$AA$211,23,FALSE)</f>
        <v>#N/A</v>
      </c>
      <c r="L46" s="318" t="e">
        <f>VLOOKUP($C46,Data!$A$12:$AA$211,24,FALSE)</f>
        <v>#N/A</v>
      </c>
      <c r="M46" s="313" t="e">
        <f>VLOOKUP($C46,Data!$A$12:$AA$211,25,FALSE)</f>
        <v>#N/A</v>
      </c>
      <c r="N46" s="312" t="e">
        <f>VLOOKUP($C46,Data!$A$12:$R$211,18,FALSE)</f>
        <v>#N/A</v>
      </c>
      <c r="P46" s="65" t="e">
        <f>IF(Q46="Watts",COS(RADIANS(VLOOKUP($C46,Data!$A$12:$AA$211,21,FALSE))),SIN(RADIANS(VLOOKUP($C46,Data!$A$12:$AA$211,21,FALSE))))</f>
        <v>#N/A</v>
      </c>
      <c r="Q46" s="313" t="e">
        <f>VLOOKUP($C46,Data!$A$12:$AA$211,13,FALSE)</f>
        <v>#N/A</v>
      </c>
      <c r="R46" s="65" t="e">
        <f>IF(SIGN(VLOOKUP($C46,Data!$A$12:$AA$211,21,FALSE))=1,"lead","lag")</f>
        <v>#N/A</v>
      </c>
      <c r="S46">
        <v>1</v>
      </c>
    </row>
    <row r="47" spans="2:19" ht="14.45" customHeight="1" x14ac:dyDescent="0.2">
      <c r="B47" s="54"/>
      <c r="C47" s="54"/>
      <c r="D47" s="71" t="e">
        <f>VLOOKUP($C47,Data!$A$12:$AA$211,16,FALSE)</f>
        <v>#N/A</v>
      </c>
      <c r="E47" s="71" t="e">
        <f t="shared" si="0"/>
        <v>#N/A</v>
      </c>
      <c r="F47" s="71" t="e">
        <f t="shared" si="1"/>
        <v>#N/A</v>
      </c>
      <c r="G47" s="314" t="e">
        <f>VLOOKUP($C47,Data!$A$12:$AA$211,19,FALSE)</f>
        <v>#N/A</v>
      </c>
      <c r="H47" s="315" t="e">
        <f>VLOOKUP($C47,Data!$A$12:$AA$211,20,FALSE)</f>
        <v>#N/A</v>
      </c>
      <c r="I47" s="316" t="e">
        <f t="shared" si="2"/>
        <v>#N/A</v>
      </c>
      <c r="J47" s="317" t="e">
        <f>ABS(VLOOKUP($C47,Data!$A$12:$AA$211,26,FALSE))/IF(D47=123,3,1)</f>
        <v>#N/A</v>
      </c>
      <c r="K47" s="318" t="e">
        <f>VLOOKUP($C47,Data!$A$12:$AA$211,23,FALSE)</f>
        <v>#N/A</v>
      </c>
      <c r="L47" s="318" t="e">
        <f>VLOOKUP($C47,Data!$A$12:$AA$211,24,FALSE)</f>
        <v>#N/A</v>
      </c>
      <c r="M47" s="313" t="e">
        <f>VLOOKUP($C47,Data!$A$12:$AA$211,25,FALSE)</f>
        <v>#N/A</v>
      </c>
      <c r="N47" s="312" t="e">
        <f>VLOOKUP($C47,Data!$A$12:$R$211,18,FALSE)</f>
        <v>#N/A</v>
      </c>
      <c r="P47" s="65" t="e">
        <f>IF(Q47="Watts",COS(RADIANS(VLOOKUP($C47,Data!$A$12:$AA$211,21,FALSE))),SIN(RADIANS(VLOOKUP($C47,Data!$A$12:$AA$211,21,FALSE))))</f>
        <v>#N/A</v>
      </c>
      <c r="Q47" s="313" t="e">
        <f>VLOOKUP($C47,Data!$A$12:$AA$211,13,FALSE)</f>
        <v>#N/A</v>
      </c>
      <c r="R47" s="65" t="e">
        <f>IF(SIGN(VLOOKUP($C47,Data!$A$12:$AA$211,21,FALSE))=1,"lead","lag")</f>
        <v>#N/A</v>
      </c>
      <c r="S47">
        <v>1</v>
      </c>
    </row>
    <row r="48" spans="2:19" ht="14.45" customHeight="1" x14ac:dyDescent="0.2">
      <c r="B48" s="54"/>
      <c r="C48" s="54"/>
      <c r="D48" s="71" t="e">
        <f>VLOOKUP($C48,Data!$A$12:$AA$211,16,FALSE)</f>
        <v>#N/A</v>
      </c>
      <c r="E48" s="71" t="e">
        <f t="shared" si="0"/>
        <v>#N/A</v>
      </c>
      <c r="F48" s="71" t="e">
        <f t="shared" si="1"/>
        <v>#N/A</v>
      </c>
      <c r="G48" s="314" t="e">
        <f>VLOOKUP($C48,Data!$A$12:$AA$211,19,FALSE)</f>
        <v>#N/A</v>
      </c>
      <c r="H48" s="315" t="e">
        <f>VLOOKUP($C48,Data!$A$12:$AA$211,20,FALSE)</f>
        <v>#N/A</v>
      </c>
      <c r="I48" s="316" t="e">
        <f t="shared" si="2"/>
        <v>#N/A</v>
      </c>
      <c r="J48" s="317" t="e">
        <f>ABS(VLOOKUP($C48,Data!$A$12:$AA$211,26,FALSE))/IF(D48=123,3,1)</f>
        <v>#N/A</v>
      </c>
      <c r="K48" s="318" t="e">
        <f>VLOOKUP($C48,Data!$A$12:$AA$211,23,FALSE)</f>
        <v>#N/A</v>
      </c>
      <c r="L48" s="318" t="e">
        <f>VLOOKUP($C48,Data!$A$12:$AA$211,24,FALSE)</f>
        <v>#N/A</v>
      </c>
      <c r="M48" s="313" t="e">
        <f>VLOOKUP($C48,Data!$A$12:$AA$211,25,FALSE)</f>
        <v>#N/A</v>
      </c>
      <c r="N48" s="312" t="e">
        <f>VLOOKUP($C48,Data!$A$12:$R$211,18,FALSE)</f>
        <v>#N/A</v>
      </c>
      <c r="P48" s="65" t="e">
        <f>IF(Q48="Watts",COS(RADIANS(VLOOKUP($C48,Data!$A$12:$AA$211,21,FALSE))),SIN(RADIANS(VLOOKUP($C48,Data!$A$12:$AA$211,21,FALSE))))</f>
        <v>#N/A</v>
      </c>
      <c r="Q48" s="313" t="e">
        <f>VLOOKUP($C48,Data!$A$12:$AA$211,13,FALSE)</f>
        <v>#N/A</v>
      </c>
      <c r="R48" s="65" t="e">
        <f>IF(SIGN(VLOOKUP($C48,Data!$A$12:$AA$211,21,FALSE))=1,"lead","lag")</f>
        <v>#N/A</v>
      </c>
      <c r="S48">
        <v>1</v>
      </c>
    </row>
    <row r="49" spans="2:33" ht="14.45" customHeight="1" x14ac:dyDescent="0.2">
      <c r="B49" s="54"/>
      <c r="C49" s="54"/>
      <c r="D49" s="71" t="e">
        <f>VLOOKUP($C49,Data!$A$12:$AA$211,16,FALSE)</f>
        <v>#N/A</v>
      </c>
      <c r="E49" s="71" t="e">
        <f t="shared" si="0"/>
        <v>#N/A</v>
      </c>
      <c r="F49" s="71" t="e">
        <f t="shared" si="1"/>
        <v>#N/A</v>
      </c>
      <c r="G49" s="314" t="e">
        <f>VLOOKUP($C49,Data!$A$12:$AA$211,19,FALSE)</f>
        <v>#N/A</v>
      </c>
      <c r="H49" s="315" t="e">
        <f>VLOOKUP($C49,Data!$A$12:$AA$211,20,FALSE)</f>
        <v>#N/A</v>
      </c>
      <c r="I49" s="316" t="e">
        <f t="shared" si="2"/>
        <v>#N/A</v>
      </c>
      <c r="J49" s="317" t="e">
        <f>ABS(VLOOKUP($C49,Data!$A$12:$AA$211,26,FALSE))/IF(D49=123,3,1)</f>
        <v>#N/A</v>
      </c>
      <c r="K49" s="318" t="e">
        <f>VLOOKUP($C49,Data!$A$12:$AA$211,23,FALSE)</f>
        <v>#N/A</v>
      </c>
      <c r="L49" s="318" t="e">
        <f>VLOOKUP($C49,Data!$A$12:$AA$211,24,FALSE)</f>
        <v>#N/A</v>
      </c>
      <c r="M49" s="313" t="e">
        <f>VLOOKUP($C49,Data!$A$12:$AA$211,25,FALSE)</f>
        <v>#N/A</v>
      </c>
      <c r="N49" s="312" t="e">
        <f>VLOOKUP($C49,Data!$A$12:$R$211,18,FALSE)</f>
        <v>#N/A</v>
      </c>
      <c r="P49" s="65" t="e">
        <f>IF(Q49="Watts",COS(RADIANS(VLOOKUP($C49,Data!$A$12:$AA$211,21,FALSE))),SIN(RADIANS(VLOOKUP($C49,Data!$A$12:$AA$211,21,FALSE))))</f>
        <v>#N/A</v>
      </c>
      <c r="Q49" s="313" t="e">
        <f>VLOOKUP($C49,Data!$A$12:$AA$211,13,FALSE)</f>
        <v>#N/A</v>
      </c>
      <c r="R49" s="65" t="e">
        <f>IF(SIGN(VLOOKUP($C49,Data!$A$12:$AA$211,21,FALSE))=1,"lead","lag")</f>
        <v>#N/A</v>
      </c>
      <c r="S49">
        <v>1</v>
      </c>
    </row>
    <row r="50" spans="2:33" ht="14.45" customHeight="1" x14ac:dyDescent="0.2">
      <c r="B50" s="54"/>
      <c r="C50" s="54"/>
      <c r="D50" s="71" t="e">
        <f>VLOOKUP($C50,Data!$A$12:$AA$211,16,FALSE)</f>
        <v>#N/A</v>
      </c>
      <c r="E50" s="71" t="e">
        <f t="shared" si="0"/>
        <v>#N/A</v>
      </c>
      <c r="F50" s="71" t="e">
        <f t="shared" si="1"/>
        <v>#N/A</v>
      </c>
      <c r="G50" s="314" t="e">
        <f>VLOOKUP($C50,Data!$A$12:$AA$211,19,FALSE)</f>
        <v>#N/A</v>
      </c>
      <c r="H50" s="315" t="e">
        <f>VLOOKUP($C50,Data!$A$12:$AA$211,20,FALSE)</f>
        <v>#N/A</v>
      </c>
      <c r="I50" s="316" t="e">
        <f t="shared" si="2"/>
        <v>#N/A</v>
      </c>
      <c r="J50" s="317" t="e">
        <f>ABS(VLOOKUP($C50,Data!$A$12:$AA$211,26,FALSE))/IF(D50=123,3,1)</f>
        <v>#N/A</v>
      </c>
      <c r="K50" s="318" t="e">
        <f>VLOOKUP($C50,Data!$A$12:$AA$211,23,FALSE)</f>
        <v>#N/A</v>
      </c>
      <c r="L50" s="318" t="e">
        <f>VLOOKUP($C50,Data!$A$12:$AA$211,24,FALSE)</f>
        <v>#N/A</v>
      </c>
      <c r="M50" s="313" t="e">
        <f>VLOOKUP($C50,Data!$A$12:$AA$211,25,FALSE)</f>
        <v>#N/A</v>
      </c>
      <c r="N50" s="312" t="e">
        <f>VLOOKUP($C50,Data!$A$12:$R$211,18,FALSE)</f>
        <v>#N/A</v>
      </c>
      <c r="P50" s="65" t="e">
        <f>IF(Q50="Watts",COS(RADIANS(VLOOKUP($C50,Data!$A$12:$AA$211,21,FALSE))),SIN(RADIANS(VLOOKUP($C50,Data!$A$12:$AA$211,21,FALSE))))</f>
        <v>#N/A</v>
      </c>
      <c r="Q50" s="313" t="e">
        <f>VLOOKUP($C50,Data!$A$12:$AA$211,13,FALSE)</f>
        <v>#N/A</v>
      </c>
      <c r="R50" s="65" t="e">
        <f>IF(SIGN(VLOOKUP($C50,Data!$A$12:$AA$211,21,FALSE))=1,"lead","lag")</f>
        <v>#N/A</v>
      </c>
      <c r="S50">
        <v>1</v>
      </c>
    </row>
    <row r="51" spans="2:33" ht="14.45" customHeight="1" x14ac:dyDescent="0.2">
      <c r="B51" s="54"/>
      <c r="C51" s="54"/>
      <c r="D51" s="71" t="e">
        <f>VLOOKUP($C51,Data!$A$12:$AA$211,16,FALSE)</f>
        <v>#N/A</v>
      </c>
      <c r="E51" s="71" t="e">
        <f t="shared" si="0"/>
        <v>#N/A</v>
      </c>
      <c r="F51" s="71" t="e">
        <f t="shared" si="1"/>
        <v>#N/A</v>
      </c>
      <c r="G51" s="314" t="e">
        <f>VLOOKUP($C51,Data!$A$12:$AA$211,19,FALSE)</f>
        <v>#N/A</v>
      </c>
      <c r="H51" s="315" t="e">
        <f>VLOOKUP($C51,Data!$A$12:$AA$211,20,FALSE)</f>
        <v>#N/A</v>
      </c>
      <c r="I51" s="316" t="e">
        <f t="shared" si="2"/>
        <v>#N/A</v>
      </c>
      <c r="J51" s="317" t="e">
        <f>ABS(VLOOKUP($C51,Data!$A$12:$AA$211,26,FALSE))/IF(D51=123,3,1)</f>
        <v>#N/A</v>
      </c>
      <c r="K51" s="318" t="e">
        <f>VLOOKUP($C51,Data!$A$12:$AA$211,23,FALSE)</f>
        <v>#N/A</v>
      </c>
      <c r="L51" s="318" t="e">
        <f>VLOOKUP($C51,Data!$A$12:$AA$211,24,FALSE)</f>
        <v>#N/A</v>
      </c>
      <c r="M51" s="313" t="e">
        <f>VLOOKUP($C51,Data!$A$12:$AA$211,25,FALSE)</f>
        <v>#N/A</v>
      </c>
      <c r="N51" s="312" t="e">
        <f>VLOOKUP($C51,Data!$A$12:$R$211,18,FALSE)</f>
        <v>#N/A</v>
      </c>
      <c r="P51" s="65" t="e">
        <f>IF(Q51="Watts",COS(RADIANS(VLOOKUP($C51,Data!$A$12:$AA$211,21,FALSE))),SIN(RADIANS(VLOOKUP($C51,Data!$A$12:$AA$211,21,FALSE))))</f>
        <v>#N/A</v>
      </c>
      <c r="Q51" s="313" t="e">
        <f>VLOOKUP($C51,Data!$A$12:$AA$211,13,FALSE)</f>
        <v>#N/A</v>
      </c>
      <c r="R51" s="65" t="e">
        <f>IF(SIGN(VLOOKUP($C51,Data!$A$12:$AA$211,21,FALSE))=1,"lead","lag")</f>
        <v>#N/A</v>
      </c>
      <c r="S51">
        <v>1</v>
      </c>
    </row>
    <row r="52" spans="2:33" ht="14.45" customHeight="1" x14ac:dyDescent="0.2">
      <c r="B52" s="54"/>
      <c r="C52" s="54"/>
      <c r="D52" s="71" t="e">
        <f>VLOOKUP($C52,Data!$A$12:$AA$211,16,FALSE)</f>
        <v>#N/A</v>
      </c>
      <c r="E52" s="71" t="e">
        <f t="shared" si="0"/>
        <v>#N/A</v>
      </c>
      <c r="F52" s="71" t="e">
        <f t="shared" si="1"/>
        <v>#N/A</v>
      </c>
      <c r="G52" s="314" t="e">
        <f>VLOOKUP($C52,Data!$A$12:$AA$211,19,FALSE)</f>
        <v>#N/A</v>
      </c>
      <c r="H52" s="315" t="e">
        <f>VLOOKUP($C52,Data!$A$12:$AA$211,20,FALSE)</f>
        <v>#N/A</v>
      </c>
      <c r="I52" s="316" t="e">
        <f t="shared" si="2"/>
        <v>#N/A</v>
      </c>
      <c r="J52" s="317" t="e">
        <f>ABS(VLOOKUP($C52,Data!$A$12:$AA$211,26,FALSE))/IF(D52=123,3,1)</f>
        <v>#N/A</v>
      </c>
      <c r="K52" s="318" t="e">
        <f>VLOOKUP($C52,Data!$A$12:$AA$211,23,FALSE)</f>
        <v>#N/A</v>
      </c>
      <c r="L52" s="318" t="e">
        <f>VLOOKUP($C52,Data!$A$12:$AA$211,24,FALSE)</f>
        <v>#N/A</v>
      </c>
      <c r="M52" s="313" t="e">
        <f>VLOOKUP($C52,Data!$A$12:$AA$211,25,FALSE)</f>
        <v>#N/A</v>
      </c>
      <c r="N52" s="312" t="e">
        <f>VLOOKUP($C52,Data!$A$12:$R$211,18,FALSE)</f>
        <v>#N/A</v>
      </c>
      <c r="P52" s="65" t="e">
        <f>IF(Q52="Watts",COS(RADIANS(VLOOKUP($C52,Data!$A$12:$AA$211,21,FALSE))),SIN(RADIANS(VLOOKUP($C52,Data!$A$12:$AA$211,21,FALSE))))</f>
        <v>#N/A</v>
      </c>
      <c r="Q52" s="313" t="e">
        <f>VLOOKUP($C52,Data!$A$12:$AA$211,13,FALSE)</f>
        <v>#N/A</v>
      </c>
      <c r="R52" s="65" t="e">
        <f>IF(SIGN(VLOOKUP($C52,Data!$A$12:$AA$211,21,FALSE))=1,"lead","lag")</f>
        <v>#N/A</v>
      </c>
      <c r="S52">
        <v>1</v>
      </c>
    </row>
    <row r="53" spans="2:33" ht="14.45" customHeight="1" x14ac:dyDescent="0.2">
      <c r="B53" s="54"/>
      <c r="C53" s="54"/>
      <c r="D53" s="71" t="e">
        <f>VLOOKUP($C53,Data!$A$12:$AA$211,16,FALSE)</f>
        <v>#N/A</v>
      </c>
      <c r="E53" s="71" t="e">
        <f t="shared" si="0"/>
        <v>#N/A</v>
      </c>
      <c r="F53" s="71" t="e">
        <f t="shared" si="1"/>
        <v>#N/A</v>
      </c>
      <c r="G53" s="314" t="e">
        <f>VLOOKUP($C53,Data!$A$12:$AA$211,19,FALSE)</f>
        <v>#N/A</v>
      </c>
      <c r="H53" s="315" t="e">
        <f>VLOOKUP($C53,Data!$A$12:$AA$211,20,FALSE)</f>
        <v>#N/A</v>
      </c>
      <c r="I53" s="316" t="e">
        <f t="shared" si="2"/>
        <v>#N/A</v>
      </c>
      <c r="J53" s="317" t="e">
        <f>ABS(VLOOKUP($C53,Data!$A$12:$AA$211,26,FALSE))/IF(D53=123,3,1)</f>
        <v>#N/A</v>
      </c>
      <c r="K53" s="318" t="e">
        <f>VLOOKUP($C53,Data!$A$12:$AA$211,23,FALSE)</f>
        <v>#N/A</v>
      </c>
      <c r="L53" s="318" t="e">
        <f>VLOOKUP($C53,Data!$A$12:$AA$211,24,FALSE)</f>
        <v>#N/A</v>
      </c>
      <c r="M53" s="313" t="e">
        <f>VLOOKUP($C53,Data!$A$12:$AA$211,25,FALSE)</f>
        <v>#N/A</v>
      </c>
      <c r="N53" s="312" t="e">
        <f>VLOOKUP($C53,Data!$A$12:$R$211,18,FALSE)</f>
        <v>#N/A</v>
      </c>
      <c r="P53" s="65" t="e">
        <f>IF(Q53="Watts",COS(RADIANS(VLOOKUP($C53,Data!$A$12:$AA$211,21,FALSE))),SIN(RADIANS(VLOOKUP($C53,Data!$A$12:$AA$211,21,FALSE))))</f>
        <v>#N/A</v>
      </c>
      <c r="Q53" s="313" t="e">
        <f>VLOOKUP($C53,Data!$A$12:$AA$211,13,FALSE)</f>
        <v>#N/A</v>
      </c>
      <c r="R53" s="65" t="e">
        <f>IF(SIGN(VLOOKUP($C53,Data!$A$12:$AA$211,21,FALSE))=1,"lead","lag")</f>
        <v>#N/A</v>
      </c>
      <c r="S53">
        <v>1</v>
      </c>
    </row>
    <row r="54" spans="2:33" ht="14.45" customHeight="1" x14ac:dyDescent="0.2">
      <c r="B54" s="54"/>
      <c r="C54" s="54"/>
      <c r="D54" s="71" t="e">
        <f>VLOOKUP($C54,Data!$A$12:$AA$211,16,FALSE)</f>
        <v>#N/A</v>
      </c>
      <c r="E54" s="71" t="e">
        <f t="shared" si="0"/>
        <v>#N/A</v>
      </c>
      <c r="F54" s="71" t="e">
        <f t="shared" si="1"/>
        <v>#N/A</v>
      </c>
      <c r="G54" s="314" t="e">
        <f>VLOOKUP($C54,Data!$A$12:$AA$211,19,FALSE)</f>
        <v>#N/A</v>
      </c>
      <c r="H54" s="315" t="e">
        <f>VLOOKUP($C54,Data!$A$12:$AA$211,20,FALSE)</f>
        <v>#N/A</v>
      </c>
      <c r="I54" s="316" t="e">
        <f t="shared" si="2"/>
        <v>#N/A</v>
      </c>
      <c r="J54" s="315" t="e">
        <f>ABS(VLOOKUP($C54,Data!$A$12:$AA$211,26,FALSE))/IF(D54=123,3,1)</f>
        <v>#N/A</v>
      </c>
      <c r="K54" s="318" t="e">
        <f>VLOOKUP($C54,Data!$A$12:$AA$211,23,FALSE)</f>
        <v>#N/A</v>
      </c>
      <c r="L54" s="318" t="e">
        <f>VLOOKUP($C54,Data!$A$12:$AA$211,24,FALSE)</f>
        <v>#N/A</v>
      </c>
      <c r="M54" s="313" t="e">
        <f>VLOOKUP($C54,Data!$A$12:$AA$211,25,FALSE)</f>
        <v>#N/A</v>
      </c>
      <c r="N54" s="312" t="e">
        <f>VLOOKUP($C54,Data!$A$12:$R$211,18,FALSE)</f>
        <v>#N/A</v>
      </c>
      <c r="P54" s="65" t="e">
        <f>IF(Q54="Watts",COS(RADIANS(VLOOKUP($C54,Data!$A$12:$AA$211,21,FALSE))),SIN(RADIANS(VLOOKUP($C54,Data!$A$12:$AA$211,21,FALSE))))</f>
        <v>#N/A</v>
      </c>
      <c r="Q54" s="313" t="e">
        <f>VLOOKUP($C54,Data!$A$12:$AA$211,13,FALSE)</f>
        <v>#N/A</v>
      </c>
      <c r="R54" s="65" t="e">
        <f>IF(SIGN(VLOOKUP($C54,Data!$A$12:$AA$211,21,FALSE))=1,"lead","lag")</f>
        <v>#N/A</v>
      </c>
      <c r="S54">
        <v>1</v>
      </c>
    </row>
    <row r="55" spans="2:33" ht="14.45" customHeight="1" x14ac:dyDescent="0.2">
      <c r="B55" s="54"/>
      <c r="C55" s="54"/>
      <c r="D55" s="71" t="e">
        <f>VLOOKUP($C55,Data!$A$12:$AA$211,16,FALSE)</f>
        <v>#N/A</v>
      </c>
      <c r="E55" s="71" t="e">
        <f t="shared" si="0"/>
        <v>#N/A</v>
      </c>
      <c r="F55" s="71" t="e">
        <f t="shared" si="1"/>
        <v>#N/A</v>
      </c>
      <c r="G55" s="314" t="e">
        <f>VLOOKUP($C55,Data!$A$12:$AA$211,19,FALSE)</f>
        <v>#N/A</v>
      </c>
      <c r="H55" s="315" t="e">
        <f>VLOOKUP($C55,Data!$A$12:$AA$211,20,FALSE)</f>
        <v>#N/A</v>
      </c>
      <c r="I55" s="316" t="e">
        <f t="shared" si="2"/>
        <v>#N/A</v>
      </c>
      <c r="J55" s="315" t="e">
        <f>ABS(VLOOKUP($C55,Data!$A$12:$AA$211,26,FALSE))/IF(D55=123,3,1)</f>
        <v>#N/A</v>
      </c>
      <c r="K55" s="318" t="e">
        <f>VLOOKUP($C55,Data!$A$12:$AA$211,23,FALSE)</f>
        <v>#N/A</v>
      </c>
      <c r="L55" s="318" t="e">
        <f>VLOOKUP($C55,Data!$A$12:$AA$211,24,FALSE)</f>
        <v>#N/A</v>
      </c>
      <c r="M55" s="313" t="e">
        <f>VLOOKUP($C55,Data!$A$12:$AA$211,25,FALSE)</f>
        <v>#N/A</v>
      </c>
      <c r="N55" s="312" t="e">
        <f>VLOOKUP($C55,Data!$A$12:$R$211,18,FALSE)</f>
        <v>#N/A</v>
      </c>
      <c r="P55" s="65" t="e">
        <f>IF(Q55="Watts",COS(RADIANS(VLOOKUP($C55,Data!$A$12:$AA$211,21,FALSE))),SIN(RADIANS(VLOOKUP($C55,Data!$A$12:$AA$211,21,FALSE))))</f>
        <v>#N/A</v>
      </c>
      <c r="Q55" s="313" t="e">
        <f>VLOOKUP($C55,Data!$A$12:$AA$211,13,FALSE)</f>
        <v>#N/A</v>
      </c>
      <c r="R55" s="65" t="e">
        <f>IF(SIGN(VLOOKUP($C55,Data!$A$12:$AA$211,21,FALSE))=1,"lead","lag")</f>
        <v>#N/A</v>
      </c>
      <c r="S55">
        <v>1</v>
      </c>
    </row>
    <row r="56" spans="2:33" ht="14.45" customHeight="1" x14ac:dyDescent="0.2">
      <c r="B56" s="54"/>
      <c r="C56" s="54"/>
      <c r="D56" s="71" t="e">
        <f>VLOOKUP($C56,Data!$A$12:$AA$211,16,FALSE)</f>
        <v>#N/A</v>
      </c>
      <c r="E56" s="71" t="e">
        <f t="shared" si="0"/>
        <v>#N/A</v>
      </c>
      <c r="F56" s="71" t="e">
        <f t="shared" si="1"/>
        <v>#N/A</v>
      </c>
      <c r="G56" s="314" t="e">
        <f>VLOOKUP($C56,Data!$A$12:$AA$211,19,FALSE)</f>
        <v>#N/A</v>
      </c>
      <c r="H56" s="315" t="e">
        <f>VLOOKUP($C56,Data!$A$12:$AA$211,20,FALSE)</f>
        <v>#N/A</v>
      </c>
      <c r="I56" s="316" t="e">
        <f t="shared" si="2"/>
        <v>#N/A</v>
      </c>
      <c r="J56" s="315" t="e">
        <f>ABS(VLOOKUP($C56,Data!$A$12:$AA$211,26,FALSE))/IF(D56=123,3,1)</f>
        <v>#N/A</v>
      </c>
      <c r="K56" s="318" t="e">
        <f>VLOOKUP($C56,Data!$A$12:$AA$211,23,FALSE)</f>
        <v>#N/A</v>
      </c>
      <c r="L56" s="318" t="e">
        <f>VLOOKUP($C56,Data!$A$12:$AA$211,24,FALSE)</f>
        <v>#N/A</v>
      </c>
      <c r="M56" s="313" t="e">
        <f>VLOOKUP($C56,Data!$A$12:$AA$211,25,FALSE)</f>
        <v>#N/A</v>
      </c>
      <c r="N56" s="312" t="e">
        <f>VLOOKUP($C56,Data!$A$12:$R$211,18,FALSE)</f>
        <v>#N/A</v>
      </c>
      <c r="P56" s="65" t="e">
        <f>IF(Q56="Watts",COS(RADIANS(VLOOKUP($C56,Data!$A$12:$AA$211,21,FALSE))),SIN(RADIANS(VLOOKUP($C56,Data!$A$12:$AA$211,21,FALSE))))</f>
        <v>#N/A</v>
      </c>
      <c r="Q56" s="313" t="e">
        <f>VLOOKUP($C56,Data!$A$12:$AA$211,13,FALSE)</f>
        <v>#N/A</v>
      </c>
      <c r="R56" s="65" t="e">
        <f>IF(SIGN(VLOOKUP($C56,Data!$A$12:$AA$211,21,FALSE))=1,"lead","lag")</f>
        <v>#N/A</v>
      </c>
      <c r="S56">
        <v>1</v>
      </c>
    </row>
    <row r="57" spans="2:33" x14ac:dyDescent="0.2">
      <c r="C57" s="54"/>
      <c r="D57" s="72"/>
      <c r="E57" s="72"/>
      <c r="F57" s="72"/>
      <c r="G57" s="320"/>
      <c r="H57" s="321"/>
      <c r="I57" s="320"/>
      <c r="J57" s="322"/>
      <c r="K57" s="323"/>
      <c r="L57" s="323"/>
      <c r="M57" s="324"/>
      <c r="N57" s="7"/>
      <c r="P57" s="65"/>
      <c r="Q57" s="313"/>
      <c r="R57" s="65"/>
    </row>
    <row r="58" spans="2:33" x14ac:dyDescent="0.2">
      <c r="C58" s="54"/>
      <c r="D58" s="68"/>
      <c r="E58" s="68"/>
      <c r="F58" s="68"/>
      <c r="G58" s="65"/>
      <c r="H58" s="315"/>
      <c r="I58" s="65"/>
      <c r="J58" s="325"/>
      <c r="K58" s="317"/>
      <c r="L58" s="317"/>
      <c r="M58" s="65"/>
      <c r="N58" s="7"/>
      <c r="P58" s="65"/>
      <c r="Q58" s="313"/>
      <c r="R58" s="65"/>
    </row>
    <row r="59" spans="2:33" x14ac:dyDescent="0.2">
      <c r="C59" s="54"/>
      <c r="D59" s="68"/>
      <c r="E59" s="68"/>
      <c r="F59" s="68"/>
      <c r="G59" s="65"/>
      <c r="H59" s="315"/>
      <c r="I59" s="65"/>
      <c r="J59" s="325"/>
      <c r="K59" s="317"/>
      <c r="L59" s="317"/>
      <c r="M59" s="65"/>
      <c r="N59" s="7"/>
      <c r="P59" s="65"/>
      <c r="Q59" s="313"/>
      <c r="R59" s="65"/>
    </row>
    <row r="60" spans="2:33" x14ac:dyDescent="0.2">
      <c r="C60" s="20"/>
      <c r="D60" s="20" t="s">
        <v>419</v>
      </c>
      <c r="E60" s="20"/>
      <c r="F60" s="20"/>
      <c r="N60" s="7"/>
      <c r="P60" s="65"/>
      <c r="Q60" s="313"/>
      <c r="R60" s="65"/>
    </row>
    <row r="61" spans="2:33" x14ac:dyDescent="0.2">
      <c r="C61" s="20"/>
      <c r="D61" s="75"/>
      <c r="E61" s="899" t="s">
        <v>413</v>
      </c>
      <c r="F61" s="900"/>
      <c r="G61" s="76"/>
      <c r="H61" s="77"/>
      <c r="I61" s="76"/>
      <c r="J61" s="76"/>
      <c r="K61" s="76"/>
      <c r="L61" s="76"/>
      <c r="M61" s="78"/>
      <c r="N61" s="7"/>
      <c r="P61" s="65"/>
      <c r="Q61" s="313"/>
      <c r="R61" s="65"/>
    </row>
    <row r="62" spans="2:33" ht="51" x14ac:dyDescent="0.2">
      <c r="C62" s="54"/>
      <c r="D62" s="326" t="s">
        <v>414</v>
      </c>
      <c r="E62" s="327" t="s">
        <v>415</v>
      </c>
      <c r="F62" s="327" t="s">
        <v>416</v>
      </c>
      <c r="G62" s="83" t="s">
        <v>417</v>
      </c>
      <c r="H62" s="328" t="s">
        <v>418</v>
      </c>
      <c r="I62" s="83" t="s">
        <v>426</v>
      </c>
      <c r="J62" s="329" t="s">
        <v>278</v>
      </c>
      <c r="K62" s="83" t="s">
        <v>279</v>
      </c>
      <c r="L62" s="330" t="s">
        <v>280</v>
      </c>
      <c r="M62" s="331" t="s">
        <v>281</v>
      </c>
      <c r="N62" s="7"/>
      <c r="P62" s="65"/>
      <c r="Q62" s="313"/>
      <c r="R62" s="65"/>
      <c r="AE62" s="87" t="s">
        <v>422</v>
      </c>
    </row>
    <row r="63" spans="2:33" x14ac:dyDescent="0.2">
      <c r="C63" s="54"/>
      <c r="D63" s="70" t="e">
        <f>VLOOKUP($C63,Data!$A$12:$AA$211,16,FALSE)</f>
        <v>#N/A</v>
      </c>
      <c r="E63" s="70" t="e">
        <f t="shared" ref="E63:E79" si="3">LEFT(N63,FIND(",",N63)-1)</f>
        <v>#N/A</v>
      </c>
      <c r="F63" s="70" t="e">
        <f t="shared" ref="F63:F79" si="4">MID(N63,FIND(",",N63)+1,7)</f>
        <v>#N/A</v>
      </c>
      <c r="G63" s="306" t="e">
        <f>VLOOKUP($C63,Data!$A$12:$AA$211,19,FALSE)</f>
        <v>#N/A</v>
      </c>
      <c r="H63" s="307" t="e">
        <f>VLOOKUP($C63,Data!$A$12:$AA$211,20,FALSE)</f>
        <v>#N/A</v>
      </c>
      <c r="I63" s="308" t="e">
        <f t="shared" ref="I63:I79" si="5">IF(P63&gt;0.95,"1",ROUND(P63,S63)&amp;" "&amp;R63)</f>
        <v>#N/A</v>
      </c>
      <c r="J63" s="307" t="e">
        <f>ABS(VLOOKUP($C63,Data!$A$12:$AA$211,26,FALSE))/IF(D63=123,3,1)</f>
        <v>#N/A</v>
      </c>
      <c r="K63" s="310" t="e">
        <f>VLOOKUP($C63,Data!$A$12:$AA$211,23,FALSE)</f>
        <v>#N/A</v>
      </c>
      <c r="L63" s="356" t="e">
        <f>VLOOKUP($C63,Data!$A$12:$AA$211,24,FALSE)</f>
        <v>#N/A</v>
      </c>
      <c r="M63" s="311" t="e">
        <f>VLOOKUP($C63,Data!$A$12:$AA$211,25,FALSE)</f>
        <v>#N/A</v>
      </c>
      <c r="N63" s="312" t="e">
        <f>VLOOKUP($C63,Data!$A$12:$R$211,18,FALSE)</f>
        <v>#N/A</v>
      </c>
      <c r="P63" s="65" t="e">
        <f>IF(Q63="Watts",COS(RADIANS(VLOOKUP($C63,Data!$A$12:$AA$211,21,FALSE))),SIN(RADIANS(VLOOKUP($C63,Data!$A$12:$AA$211,21,FALSE))))</f>
        <v>#N/A</v>
      </c>
      <c r="Q63" s="313" t="e">
        <f>VLOOKUP($C63,Data!$A$12:$AA$211,13,FALSE)</f>
        <v>#N/A</v>
      </c>
      <c r="R63" s="65" t="e">
        <f>IF(SIGN(VLOOKUP($C63,Data!$A$12:$AA$211,21,FALSE))=1,"lead","lag")</f>
        <v>#N/A</v>
      </c>
      <c r="S63">
        <v>1</v>
      </c>
      <c r="T63" s="49"/>
      <c r="U63" s="22" t="s">
        <v>421</v>
      </c>
      <c r="V63" s="21" t="s">
        <v>420</v>
      </c>
      <c r="W63" s="87" t="s">
        <v>422</v>
      </c>
      <c r="AA63" s="22">
        <f t="shared" ref="AA63:AD64" si="6">D159</f>
        <v>0</v>
      </c>
      <c r="AB63" s="17">
        <f t="shared" si="6"/>
        <v>0</v>
      </c>
      <c r="AC63" s="17">
        <f t="shared" si="6"/>
        <v>0</v>
      </c>
      <c r="AD63" s="23">
        <f t="shared" si="6"/>
        <v>0</v>
      </c>
      <c r="AE63" s="23">
        <f>I159</f>
        <v>0</v>
      </c>
      <c r="AF63" s="17">
        <f>L159</f>
        <v>0</v>
      </c>
      <c r="AG63" s="17">
        <f>M159</f>
        <v>0</v>
      </c>
    </row>
    <row r="64" spans="2:33" x14ac:dyDescent="0.2">
      <c r="C64" s="54"/>
      <c r="D64" s="71" t="e">
        <f>VLOOKUP($C64,Data!$A$12:$AA$211,16,FALSE)</f>
        <v>#N/A</v>
      </c>
      <c r="E64" s="71" t="e">
        <f t="shared" si="3"/>
        <v>#N/A</v>
      </c>
      <c r="F64" s="71" t="e">
        <f t="shared" si="4"/>
        <v>#N/A</v>
      </c>
      <c r="G64" s="314" t="e">
        <f>VLOOKUP($C64,Data!$A$12:$AA$211,19,FALSE)</f>
        <v>#N/A</v>
      </c>
      <c r="H64" s="315" t="e">
        <f>VLOOKUP($C64,Data!$A$12:$AA$211,20,FALSE)</f>
        <v>#N/A</v>
      </c>
      <c r="I64" s="316" t="e">
        <f t="shared" si="5"/>
        <v>#N/A</v>
      </c>
      <c r="J64" s="315" t="e">
        <f>ABS(VLOOKUP($C64,Data!$A$12:$AA$211,26,FALSE))/IF(D64=123,3,1)</f>
        <v>#N/A</v>
      </c>
      <c r="K64" s="318" t="e">
        <f>VLOOKUP($C64,Data!$A$12:$AA$211,23,FALSE)</f>
        <v>#N/A</v>
      </c>
      <c r="L64" s="357" t="e">
        <f>VLOOKUP($C64,Data!$A$12:$AA$211,24,FALSE)</f>
        <v>#N/A</v>
      </c>
      <c r="M64" s="313" t="e">
        <f>VLOOKUP($C64,Data!$A$12:$AA$211,25,FALSE)</f>
        <v>#N/A</v>
      </c>
      <c r="N64" s="312" t="e">
        <f>VLOOKUP($C64,Data!$A$12:$R$211,18,FALSE)</f>
        <v>#N/A</v>
      </c>
      <c r="P64" s="65" t="e">
        <f>IF(Q64="Watts",COS(RADIANS(VLOOKUP($C64,Data!$A$12:$AA$211,21,FALSE))),SIN(RADIANS(VLOOKUP($C64,Data!$A$12:$AA$211,21,FALSE))))</f>
        <v>#N/A</v>
      </c>
      <c r="Q64" s="313" t="e">
        <f>VLOOKUP($C64,Data!$A$12:$AA$211,13,FALSE)</f>
        <v>#N/A</v>
      </c>
      <c r="R64" s="65" t="e">
        <f>IF(SIGN(VLOOKUP($C64,Data!$A$12:$AA$211,21,FALSE))=1,"lead","lag")</f>
        <v>#N/A</v>
      </c>
      <c r="S64">
        <v>1</v>
      </c>
      <c r="T64" s="17">
        <f t="shared" ref="T64:V65" si="7">E153</f>
        <v>0</v>
      </c>
      <c r="U64" s="17">
        <f t="shared" si="7"/>
        <v>0</v>
      </c>
      <c r="V64" s="23">
        <f t="shared" si="7"/>
        <v>0</v>
      </c>
      <c r="W64" s="17">
        <f>I153</f>
        <v>0</v>
      </c>
      <c r="X64" s="17">
        <f>L153</f>
        <v>0</v>
      </c>
      <c r="Y64" s="17">
        <f>M153</f>
        <v>0</v>
      </c>
      <c r="AA64" s="22">
        <f t="shared" si="6"/>
        <v>0</v>
      </c>
      <c r="AB64" s="17">
        <f t="shared" si="6"/>
        <v>0</v>
      </c>
      <c r="AC64" s="17">
        <f t="shared" si="6"/>
        <v>0</v>
      </c>
      <c r="AD64" s="23">
        <f t="shared" si="6"/>
        <v>0</v>
      </c>
      <c r="AE64" s="23">
        <f>I160</f>
        <v>0</v>
      </c>
      <c r="AF64" s="17">
        <f>L160</f>
        <v>0</v>
      </c>
      <c r="AG64" s="17">
        <f>M160</f>
        <v>0</v>
      </c>
    </row>
    <row r="65" spans="3:33" x14ac:dyDescent="0.2">
      <c r="C65" s="54"/>
      <c r="D65" s="71" t="e">
        <f>VLOOKUP($C65,Data!$A$12:$AA$211,16,FALSE)</f>
        <v>#N/A</v>
      </c>
      <c r="E65" s="71" t="e">
        <f t="shared" si="3"/>
        <v>#N/A</v>
      </c>
      <c r="F65" s="71" t="e">
        <f t="shared" si="4"/>
        <v>#N/A</v>
      </c>
      <c r="G65" s="314" t="e">
        <f>VLOOKUP($C65,Data!$A$12:$AA$211,19,FALSE)</f>
        <v>#N/A</v>
      </c>
      <c r="H65" s="315" t="e">
        <f>VLOOKUP($C65,Data!$A$12:$AA$211,20,FALSE)</f>
        <v>#N/A</v>
      </c>
      <c r="I65" s="316" t="e">
        <f t="shared" si="5"/>
        <v>#N/A</v>
      </c>
      <c r="J65" s="315" t="e">
        <f>ABS(VLOOKUP($C65,Data!$A$12:$AA$211,26,FALSE))/IF(D65=123,3,1)</f>
        <v>#N/A</v>
      </c>
      <c r="K65" s="318" t="e">
        <f>VLOOKUP($C65,Data!$A$12:$AA$211,23,FALSE)</f>
        <v>#N/A</v>
      </c>
      <c r="L65" s="318" t="e">
        <f>VLOOKUP($C65,Data!$A$12:$AA$211,24,FALSE)</f>
        <v>#N/A</v>
      </c>
      <c r="M65" s="313" t="e">
        <f>VLOOKUP($C65,Data!$A$12:$AA$211,25,FALSE)</f>
        <v>#N/A</v>
      </c>
      <c r="N65" s="312" t="e">
        <f>VLOOKUP($C65,Data!$A$12:$R$211,18,FALSE)</f>
        <v>#N/A</v>
      </c>
      <c r="P65" s="65" t="e">
        <f>IF(Q65="Watts",COS(RADIANS(VLOOKUP($C65,Data!$A$12:$AA$211,21,FALSE))),SIN(RADIANS(VLOOKUP($C65,Data!$A$12:$AA$211,21,FALSE))))</f>
        <v>#N/A</v>
      </c>
      <c r="Q65" s="313" t="e">
        <f>VLOOKUP($C65,Data!$A$12:$AA$211,13,FALSE)</f>
        <v>#N/A</v>
      </c>
      <c r="R65" s="65" t="e">
        <f>IF(SIGN(VLOOKUP($C65,Data!$A$12:$AA$211,21,FALSE))=1,"lead","lag")</f>
        <v>#N/A</v>
      </c>
      <c r="S65">
        <v>1</v>
      </c>
      <c r="T65" s="17">
        <f t="shared" si="7"/>
        <v>0</v>
      </c>
      <c r="U65" s="17">
        <f t="shared" si="7"/>
        <v>0</v>
      </c>
      <c r="V65" s="23">
        <f t="shared" si="7"/>
        <v>0</v>
      </c>
      <c r="W65" s="17">
        <f>I154</f>
        <v>0</v>
      </c>
      <c r="X65" s="17">
        <f>L154</f>
        <v>0</v>
      </c>
      <c r="Y65" s="17">
        <f>M154</f>
        <v>0</v>
      </c>
      <c r="AA65" s="22">
        <f t="shared" ref="AA65:AD66" si="8">D198</f>
        <v>0</v>
      </c>
      <c r="AB65" s="17">
        <f t="shared" si="8"/>
        <v>0</v>
      </c>
      <c r="AC65" s="17">
        <f t="shared" si="8"/>
        <v>0</v>
      </c>
      <c r="AD65" s="23">
        <f t="shared" si="8"/>
        <v>0</v>
      </c>
      <c r="AE65" s="23">
        <f>I198</f>
        <v>0</v>
      </c>
      <c r="AF65" s="17">
        <f>L198</f>
        <v>0</v>
      </c>
      <c r="AG65" s="17">
        <f>M198</f>
        <v>0</v>
      </c>
    </row>
    <row r="66" spans="3:33" x14ac:dyDescent="0.2">
      <c r="C66" s="54"/>
      <c r="D66" s="71" t="e">
        <f>VLOOKUP($C66,Data!$A$12:$AA$211,16,FALSE)</f>
        <v>#N/A</v>
      </c>
      <c r="E66" s="71" t="e">
        <f t="shared" si="3"/>
        <v>#N/A</v>
      </c>
      <c r="F66" s="71" t="e">
        <f t="shared" si="4"/>
        <v>#N/A</v>
      </c>
      <c r="G66" s="314" t="e">
        <f>VLOOKUP($C66,Data!$A$12:$AA$211,19,FALSE)</f>
        <v>#N/A</v>
      </c>
      <c r="H66" s="315" t="e">
        <f>VLOOKUP($C66,Data!$A$12:$AA$211,20,FALSE)</f>
        <v>#N/A</v>
      </c>
      <c r="I66" s="316" t="e">
        <f t="shared" si="5"/>
        <v>#N/A</v>
      </c>
      <c r="J66" s="315" t="e">
        <f>ABS(VLOOKUP($C66,Data!$A$12:$AA$211,26,FALSE))/IF(D66=123,3,1)</f>
        <v>#N/A</v>
      </c>
      <c r="K66" s="318" t="e">
        <f>VLOOKUP($C66,Data!$A$12:$AA$211,23,FALSE)</f>
        <v>#N/A</v>
      </c>
      <c r="L66" s="318" t="e">
        <f>VLOOKUP($C66,Data!$A$12:$AA$211,24,FALSE)</f>
        <v>#N/A</v>
      </c>
      <c r="M66" s="313" t="e">
        <f>VLOOKUP($C66,Data!$A$12:$AA$211,25,FALSE)</f>
        <v>#N/A</v>
      </c>
      <c r="N66" s="312" t="e">
        <f>VLOOKUP($C66,Data!$A$12:$R$211,18,FALSE)</f>
        <v>#N/A</v>
      </c>
      <c r="P66" s="65" t="e">
        <f>IF(Q66="Watts",COS(RADIANS(VLOOKUP($C66,Data!$A$12:$AA$211,21,FALSE))),SIN(RADIANS(VLOOKUP($C66,Data!$A$12:$AA$211,21,FALSE))))</f>
        <v>#N/A</v>
      </c>
      <c r="Q66" s="313" t="e">
        <f>VLOOKUP($C66,Data!$A$12:$AA$211,13,FALSE)</f>
        <v>#N/A</v>
      </c>
      <c r="R66" s="65" t="e">
        <f>IF(SIGN(VLOOKUP($C66,Data!$A$12:$AA$211,21,FALSE))=1,"lead","lag")</f>
        <v>#N/A</v>
      </c>
      <c r="S66">
        <v>1</v>
      </c>
      <c r="T66" s="17">
        <f t="shared" ref="T66:V67" si="9">E229</f>
        <v>0</v>
      </c>
      <c r="U66" s="17">
        <f t="shared" si="9"/>
        <v>0</v>
      </c>
      <c r="V66" s="23">
        <f t="shared" si="9"/>
        <v>0</v>
      </c>
      <c r="W66" s="17">
        <f>I229</f>
        <v>0</v>
      </c>
      <c r="X66" s="17">
        <f>L229</f>
        <v>0</v>
      </c>
      <c r="Y66" s="17">
        <f>M229</f>
        <v>0</v>
      </c>
      <c r="AA66" s="22">
        <f t="shared" si="8"/>
        <v>0</v>
      </c>
      <c r="AB66" s="17">
        <f t="shared" si="8"/>
        <v>0</v>
      </c>
      <c r="AC66" s="17">
        <f t="shared" si="8"/>
        <v>0</v>
      </c>
      <c r="AD66" s="23">
        <f t="shared" si="8"/>
        <v>0</v>
      </c>
      <c r="AE66" s="23">
        <f>I199</f>
        <v>0</v>
      </c>
      <c r="AF66" s="17">
        <f>L199</f>
        <v>0</v>
      </c>
      <c r="AG66" s="17">
        <f>M199</f>
        <v>0</v>
      </c>
    </row>
    <row r="67" spans="3:33" x14ac:dyDescent="0.2">
      <c r="C67" s="54"/>
      <c r="D67" s="71" t="e">
        <f>VLOOKUP($C67,Data!$A$12:$AA$211,16,FALSE)</f>
        <v>#N/A</v>
      </c>
      <c r="E67" s="71" t="e">
        <f t="shared" si="3"/>
        <v>#N/A</v>
      </c>
      <c r="F67" s="71" t="e">
        <f t="shared" si="4"/>
        <v>#N/A</v>
      </c>
      <c r="G67" s="314" t="e">
        <f>VLOOKUP($C67,Data!$A$12:$AA$211,19,FALSE)</f>
        <v>#N/A</v>
      </c>
      <c r="H67" s="315" t="e">
        <f>VLOOKUP($C67,Data!$A$12:$AA$211,20,FALSE)</f>
        <v>#N/A</v>
      </c>
      <c r="I67" s="316" t="e">
        <f t="shared" si="5"/>
        <v>#N/A</v>
      </c>
      <c r="J67" s="315" t="e">
        <f>ABS(VLOOKUP($C67,Data!$A$12:$AA$211,26,FALSE))/IF(D67=123,3,1)</f>
        <v>#N/A</v>
      </c>
      <c r="K67" s="318" t="e">
        <f>VLOOKUP($C67,Data!$A$12:$AA$211,23,FALSE)</f>
        <v>#N/A</v>
      </c>
      <c r="L67" s="318" t="e">
        <f>VLOOKUP($C67,Data!$A$12:$AA$211,24,FALSE)</f>
        <v>#N/A</v>
      </c>
      <c r="M67" s="313" t="e">
        <f>VLOOKUP($C67,Data!$A$12:$AA$211,25,FALSE)</f>
        <v>#N/A</v>
      </c>
      <c r="N67" s="312" t="e">
        <f>VLOOKUP($C67,Data!$A$12:$R$211,18,FALSE)</f>
        <v>#N/A</v>
      </c>
      <c r="P67" s="65" t="e">
        <f>IF(Q67="Watts",COS(RADIANS(VLOOKUP($C67,Data!$A$12:$AA$211,21,FALSE))),SIN(RADIANS(VLOOKUP($C67,Data!$A$12:$AA$211,21,FALSE))))</f>
        <v>#N/A</v>
      </c>
      <c r="Q67" s="313" t="e">
        <f>VLOOKUP($C67,Data!$A$12:$AA$211,13,FALSE)</f>
        <v>#N/A</v>
      </c>
      <c r="R67" s="65" t="e">
        <f>IF(SIGN(VLOOKUP($C67,Data!$A$12:$AA$211,21,FALSE))=1,"lead","lag")</f>
        <v>#N/A</v>
      </c>
      <c r="S67">
        <v>1</v>
      </c>
      <c r="T67" s="17">
        <f t="shared" si="9"/>
        <v>0</v>
      </c>
      <c r="U67" s="17">
        <f t="shared" si="9"/>
        <v>0</v>
      </c>
      <c r="V67" s="23">
        <f t="shared" si="9"/>
        <v>0</v>
      </c>
      <c r="W67" s="17">
        <f>I230</f>
        <v>0</v>
      </c>
      <c r="X67" s="17">
        <f>L230</f>
        <v>0</v>
      </c>
      <c r="Y67" s="17">
        <f>M230</f>
        <v>0</v>
      </c>
      <c r="AA67" s="22">
        <f t="shared" ref="AA67:AD68" si="10">D248</f>
        <v>0</v>
      </c>
      <c r="AB67" s="17">
        <f t="shared" si="10"/>
        <v>0</v>
      </c>
      <c r="AC67" s="17">
        <f t="shared" si="10"/>
        <v>0</v>
      </c>
      <c r="AD67" s="23">
        <f t="shared" si="10"/>
        <v>0</v>
      </c>
      <c r="AE67" s="23">
        <f>I248</f>
        <v>0</v>
      </c>
      <c r="AF67" s="17">
        <f>L248</f>
        <v>0</v>
      </c>
      <c r="AG67" s="17">
        <f>M248</f>
        <v>0</v>
      </c>
    </row>
    <row r="68" spans="3:33" x14ac:dyDescent="0.2">
      <c r="C68" s="54"/>
      <c r="D68" s="71" t="e">
        <f>VLOOKUP($C68,Data!$A$12:$AA$211,16,FALSE)</f>
        <v>#N/A</v>
      </c>
      <c r="E68" s="71" t="e">
        <f t="shared" si="3"/>
        <v>#N/A</v>
      </c>
      <c r="F68" s="71" t="e">
        <f t="shared" si="4"/>
        <v>#N/A</v>
      </c>
      <c r="G68" s="314" t="e">
        <f>VLOOKUP($C68,Data!$A$12:$AA$211,19,FALSE)</f>
        <v>#N/A</v>
      </c>
      <c r="H68" s="315" t="e">
        <f>VLOOKUP($C68,Data!$A$12:$AA$211,20,FALSE)</f>
        <v>#N/A</v>
      </c>
      <c r="I68" s="316" t="e">
        <f t="shared" si="5"/>
        <v>#N/A</v>
      </c>
      <c r="J68" s="315" t="e">
        <f>ABS(VLOOKUP($C68,Data!$A$12:$AA$211,26,FALSE))/IF(D68=123,3,1)</f>
        <v>#N/A</v>
      </c>
      <c r="K68" s="318" t="e">
        <f>VLOOKUP($C68,Data!$A$12:$AA$211,23,FALSE)</f>
        <v>#N/A</v>
      </c>
      <c r="L68" s="318" t="e">
        <f>VLOOKUP($C68,Data!$A$12:$AA$211,24,FALSE)</f>
        <v>#N/A</v>
      </c>
      <c r="M68" s="313" t="e">
        <f>VLOOKUP($C68,Data!$A$12:$AA$211,25,FALSE)</f>
        <v>#N/A</v>
      </c>
      <c r="N68" s="312" t="e">
        <f>VLOOKUP($C68,Data!$A$12:$R$211,18,FALSE)</f>
        <v>#N/A</v>
      </c>
      <c r="P68" s="65" t="e">
        <f>IF(Q68="Watts",COS(RADIANS(VLOOKUP($C68,Data!$A$12:$AA$211,21,FALSE))),SIN(RADIANS(VLOOKUP($C68,Data!$A$12:$AA$211,21,FALSE))))</f>
        <v>#N/A</v>
      </c>
      <c r="Q68" s="313" t="e">
        <f>VLOOKUP($C68,Data!$A$12:$AA$211,13,FALSE)</f>
        <v>#N/A</v>
      </c>
      <c r="R68" s="65" t="e">
        <f>IF(SIGN(VLOOKUP($C68,Data!$A$12:$AA$211,21,FALSE))=1,"lead","lag")</f>
        <v>#N/A</v>
      </c>
      <c r="S68">
        <v>1</v>
      </c>
      <c r="T68" s="49"/>
      <c r="U68" s="48"/>
      <c r="V68" s="23"/>
      <c r="W68" s="47"/>
      <c r="AA68" s="22">
        <f t="shared" si="10"/>
        <v>0</v>
      </c>
      <c r="AB68" s="17">
        <f t="shared" si="10"/>
        <v>0</v>
      </c>
      <c r="AC68" s="17">
        <f t="shared" si="10"/>
        <v>0</v>
      </c>
      <c r="AD68" s="23">
        <f t="shared" si="10"/>
        <v>0</v>
      </c>
      <c r="AE68" s="23">
        <f>I249</f>
        <v>0</v>
      </c>
      <c r="AF68" s="17">
        <f>L249</f>
        <v>0</v>
      </c>
      <c r="AG68" s="17">
        <f>M249</f>
        <v>0</v>
      </c>
    </row>
    <row r="69" spans="3:33" x14ac:dyDescent="0.2">
      <c r="C69" s="54"/>
      <c r="D69" s="71" t="e">
        <f>VLOOKUP($C69,Data!$A$12:$AA$211,16,FALSE)</f>
        <v>#N/A</v>
      </c>
      <c r="E69" s="71" t="e">
        <f t="shared" si="3"/>
        <v>#N/A</v>
      </c>
      <c r="F69" s="71" t="e">
        <f t="shared" si="4"/>
        <v>#N/A</v>
      </c>
      <c r="G69" s="314" t="e">
        <f>VLOOKUP($C69,Data!$A$12:$AA$211,19,FALSE)</f>
        <v>#N/A</v>
      </c>
      <c r="H69" s="315" t="e">
        <f>VLOOKUP($C69,Data!$A$12:$AA$211,20,FALSE)</f>
        <v>#N/A</v>
      </c>
      <c r="I69" s="316" t="e">
        <f t="shared" si="5"/>
        <v>#N/A</v>
      </c>
      <c r="J69" s="315" t="e">
        <f>ABS(VLOOKUP($C69,Data!$A$12:$AA$211,26,FALSE))/IF(D69=123,3,1)</f>
        <v>#N/A</v>
      </c>
      <c r="K69" s="318" t="e">
        <f>VLOOKUP($C69,Data!$A$12:$AA$211,23,FALSE)</f>
        <v>#N/A</v>
      </c>
      <c r="L69" s="318" t="e">
        <f>VLOOKUP($C69,Data!$A$12:$AA$211,24,FALSE)</f>
        <v>#N/A</v>
      </c>
      <c r="M69" s="313" t="e">
        <f>VLOOKUP($C69,Data!$A$12:$AA$211,25,FALSE)</f>
        <v>#N/A</v>
      </c>
      <c r="N69" s="312" t="e">
        <f>VLOOKUP($C69,Data!$A$12:$R$211,18,FALSE)</f>
        <v>#N/A</v>
      </c>
      <c r="P69" s="65" t="e">
        <f>IF(Q69="Watts",COS(RADIANS(VLOOKUP($C69,Data!$A$12:$AA$211,21,FALSE))),SIN(RADIANS(VLOOKUP($C69,Data!$A$12:$AA$211,21,FALSE))))</f>
        <v>#N/A</v>
      </c>
      <c r="Q69" s="313" t="e">
        <f>VLOOKUP($C69,Data!$A$12:$AA$211,13,FALSE)</f>
        <v>#N/A</v>
      </c>
      <c r="R69" s="65" t="e">
        <f>IF(SIGN(VLOOKUP($C69,Data!$A$12:$AA$211,21,FALSE))=1,"lead","lag")</f>
        <v>#N/A</v>
      </c>
      <c r="S69">
        <v>1</v>
      </c>
      <c r="T69" s="49"/>
      <c r="U69" s="48"/>
      <c r="V69" s="23"/>
      <c r="W69" s="47"/>
      <c r="AA69" s="22">
        <f t="shared" ref="AA69:AD70" si="11">D294</f>
        <v>0</v>
      </c>
      <c r="AB69" s="17">
        <f t="shared" si="11"/>
        <v>0</v>
      </c>
      <c r="AC69" s="17">
        <f t="shared" si="11"/>
        <v>0</v>
      </c>
      <c r="AD69" s="23">
        <f t="shared" si="11"/>
        <v>0</v>
      </c>
      <c r="AE69" s="23">
        <f>I294</f>
        <v>0</v>
      </c>
      <c r="AF69" s="17">
        <f>L294</f>
        <v>0</v>
      </c>
      <c r="AG69" s="17">
        <f>M294</f>
        <v>0</v>
      </c>
    </row>
    <row r="70" spans="3:33" x14ac:dyDescent="0.2">
      <c r="C70" s="54"/>
      <c r="D70" s="71" t="e">
        <f>VLOOKUP($C70,Data!$A$12:$AA$211,16,FALSE)</f>
        <v>#N/A</v>
      </c>
      <c r="E70" s="71" t="e">
        <f t="shared" si="3"/>
        <v>#N/A</v>
      </c>
      <c r="F70" s="71" t="e">
        <f t="shared" si="4"/>
        <v>#N/A</v>
      </c>
      <c r="G70" s="314" t="e">
        <f>VLOOKUP($C70,Data!$A$12:$AA$211,19,FALSE)</f>
        <v>#N/A</v>
      </c>
      <c r="H70" s="315" t="e">
        <f>VLOOKUP($C70,Data!$A$12:$AA$211,20,FALSE)</f>
        <v>#N/A</v>
      </c>
      <c r="I70" s="316" t="e">
        <f t="shared" si="5"/>
        <v>#N/A</v>
      </c>
      <c r="J70" s="315" t="e">
        <f>ABS(VLOOKUP($C70,Data!$A$12:$AA$211,26,FALSE))/IF(D70=123,3,1)</f>
        <v>#N/A</v>
      </c>
      <c r="K70" s="318" t="e">
        <f>VLOOKUP($C70,Data!$A$12:$AA$211,23,FALSE)</f>
        <v>#N/A</v>
      </c>
      <c r="L70" s="318" t="e">
        <f>VLOOKUP($C70,Data!$A$12:$AA$211,24,FALSE)</f>
        <v>#N/A</v>
      </c>
      <c r="M70" s="313" t="e">
        <f>VLOOKUP($C70,Data!$A$12:$AA$211,25,FALSE)</f>
        <v>#N/A</v>
      </c>
      <c r="N70" s="312" t="e">
        <f>VLOOKUP($C70,Data!$A$12:$R$211,18,FALSE)</f>
        <v>#N/A</v>
      </c>
      <c r="P70" s="65" t="e">
        <f>IF(Q70="Watts",COS(RADIANS(VLOOKUP($C70,Data!$A$12:$AA$211,21,FALSE))),SIN(RADIANS(VLOOKUP($C70,Data!$A$12:$AA$211,21,FALSE))))</f>
        <v>#N/A</v>
      </c>
      <c r="Q70" s="313" t="e">
        <f>VLOOKUP($C70,Data!$A$12:$AA$211,13,FALSE)</f>
        <v>#N/A</v>
      </c>
      <c r="R70" s="65" t="e">
        <f>IF(SIGN(VLOOKUP($C70,Data!$A$12:$AA$211,21,FALSE))=1,"lead","lag")</f>
        <v>#N/A</v>
      </c>
      <c r="S70">
        <v>1</v>
      </c>
      <c r="T70" s="49"/>
      <c r="U70" s="22" t="s">
        <v>421</v>
      </c>
      <c r="V70" s="21" t="s">
        <v>420</v>
      </c>
      <c r="W70" s="87" t="s">
        <v>423</v>
      </c>
      <c r="AA70" s="22">
        <f t="shared" si="11"/>
        <v>0</v>
      </c>
      <c r="AB70" s="17">
        <f t="shared" si="11"/>
        <v>0</v>
      </c>
      <c r="AC70" s="17">
        <f t="shared" si="11"/>
        <v>0</v>
      </c>
      <c r="AD70" s="23">
        <f t="shared" si="11"/>
        <v>0</v>
      </c>
      <c r="AE70" s="23">
        <f>I295</f>
        <v>0</v>
      </c>
      <c r="AF70" s="17">
        <f>L295</f>
        <v>0</v>
      </c>
      <c r="AG70" s="17">
        <f>M295</f>
        <v>0</v>
      </c>
    </row>
    <row r="71" spans="3:33" x14ac:dyDescent="0.2">
      <c r="C71" s="54"/>
      <c r="D71" s="71" t="e">
        <f>VLOOKUP($C71,Data!$A$12:$AA$211,16,FALSE)</f>
        <v>#N/A</v>
      </c>
      <c r="E71" s="71" t="e">
        <f t="shared" si="3"/>
        <v>#N/A</v>
      </c>
      <c r="F71" s="71" t="e">
        <f t="shared" si="4"/>
        <v>#N/A</v>
      </c>
      <c r="G71" s="314" t="e">
        <f>VLOOKUP($C71,Data!$A$12:$AA$211,19,FALSE)</f>
        <v>#N/A</v>
      </c>
      <c r="H71" s="315" t="e">
        <f>VLOOKUP($C71,Data!$A$12:$AA$211,20,FALSE)</f>
        <v>#N/A</v>
      </c>
      <c r="I71" s="316" t="e">
        <f t="shared" si="5"/>
        <v>#N/A</v>
      </c>
      <c r="J71" s="315" t="e">
        <f>ABS(VLOOKUP($C71,Data!$A$12:$AA$211,26,FALSE))/IF(D71=123,3,1)</f>
        <v>#N/A</v>
      </c>
      <c r="K71" s="318" t="e">
        <f>VLOOKUP($C71,Data!$A$12:$AA$211,23,FALSE)</f>
        <v>#N/A</v>
      </c>
      <c r="L71" s="318" t="e">
        <f>VLOOKUP($C71,Data!$A$12:$AA$211,24,FALSE)</f>
        <v>#N/A</v>
      </c>
      <c r="M71" s="313" t="e">
        <f>VLOOKUP($C71,Data!$A$12:$AA$211,25,FALSE)</f>
        <v>#N/A</v>
      </c>
      <c r="N71" s="312" t="e">
        <f>VLOOKUP($C71,Data!$A$12:$R$211,18,FALSE)</f>
        <v>#N/A</v>
      </c>
      <c r="P71" s="65" t="e">
        <f>IF(Q71="Watts",COS(RADIANS(VLOOKUP($C71,Data!$A$12:$AA$211,21,FALSE))),SIN(RADIANS(VLOOKUP($C71,Data!$A$12:$AA$211,21,FALSE))))</f>
        <v>#N/A</v>
      </c>
      <c r="Q71" s="313" t="e">
        <f>VLOOKUP($C71,Data!$A$12:$AA$211,13,FALSE)</f>
        <v>#N/A</v>
      </c>
      <c r="R71" s="65" t="e">
        <f>IF(SIGN(VLOOKUP($C71,Data!$A$12:$AA$211,21,FALSE))=1,"lead","lag")</f>
        <v>#N/A</v>
      </c>
      <c r="S71">
        <v>1</v>
      </c>
      <c r="T71" s="17">
        <f t="shared" ref="T71:V72" si="12">E151</f>
        <v>0</v>
      </c>
      <c r="U71" s="17">
        <f t="shared" si="12"/>
        <v>0</v>
      </c>
      <c r="V71" s="23">
        <f t="shared" si="12"/>
        <v>0</v>
      </c>
      <c r="W71" s="17">
        <f>I151</f>
        <v>0</v>
      </c>
      <c r="X71" s="17">
        <f>L151</f>
        <v>0</v>
      </c>
      <c r="Y71" s="17">
        <f>M151</f>
        <v>0</v>
      </c>
      <c r="AE71" s="87" t="s">
        <v>423</v>
      </c>
    </row>
    <row r="72" spans="3:33" x14ac:dyDescent="0.2">
      <c r="C72" s="54"/>
      <c r="D72" s="71" t="e">
        <f>VLOOKUP($C72,Data!$A$12:$AA$211,16,FALSE)</f>
        <v>#N/A</v>
      </c>
      <c r="E72" s="71" t="e">
        <f t="shared" si="3"/>
        <v>#N/A</v>
      </c>
      <c r="F72" s="71" t="e">
        <f t="shared" si="4"/>
        <v>#N/A</v>
      </c>
      <c r="G72" s="314" t="e">
        <f>VLOOKUP($C72,Data!$A$12:$AA$211,19,FALSE)</f>
        <v>#N/A</v>
      </c>
      <c r="H72" s="315" t="e">
        <f>VLOOKUP($C72,Data!$A$12:$AA$211,20,FALSE)</f>
        <v>#N/A</v>
      </c>
      <c r="I72" s="316" t="e">
        <f t="shared" si="5"/>
        <v>#N/A</v>
      </c>
      <c r="J72" s="315" t="e">
        <f>ABS(VLOOKUP($C72,Data!$A$12:$AA$211,26,FALSE))/IF(D72=123,3,1)</f>
        <v>#N/A</v>
      </c>
      <c r="K72" s="318" t="e">
        <f>VLOOKUP($C72,Data!$A$12:$AA$211,23,FALSE)</f>
        <v>#N/A</v>
      </c>
      <c r="L72" s="318" t="e">
        <f>VLOOKUP($C72,Data!$A$12:$AA$211,24,FALSE)</f>
        <v>#N/A</v>
      </c>
      <c r="M72" s="313" t="e">
        <f>VLOOKUP($C72,Data!$A$12:$AA$211,25,FALSE)</f>
        <v>#N/A</v>
      </c>
      <c r="N72" s="312" t="e">
        <f>VLOOKUP($C72,Data!$A$12:$R$211,18,FALSE)</f>
        <v>#N/A</v>
      </c>
      <c r="P72" s="65" t="e">
        <f>IF(Q72="Watts",COS(RADIANS(VLOOKUP($C72,Data!$A$12:$AA$211,21,FALSE))),SIN(RADIANS(VLOOKUP($C72,Data!$A$12:$AA$211,21,FALSE))))</f>
        <v>#N/A</v>
      </c>
      <c r="Q72" s="313" t="e">
        <f>VLOOKUP($C72,Data!$A$12:$AA$211,13,FALSE)</f>
        <v>#N/A</v>
      </c>
      <c r="R72" s="65" t="e">
        <f>IF(SIGN(VLOOKUP($C72,Data!$A$12:$AA$211,21,FALSE))=1,"lead","lag")</f>
        <v>#N/A</v>
      </c>
      <c r="S72">
        <v>1</v>
      </c>
      <c r="T72" s="17">
        <f t="shared" si="12"/>
        <v>0</v>
      </c>
      <c r="U72" s="17">
        <f t="shared" si="12"/>
        <v>0</v>
      </c>
      <c r="V72" s="23">
        <f t="shared" si="12"/>
        <v>0</v>
      </c>
      <c r="W72" s="17">
        <f>I152</f>
        <v>0</v>
      </c>
      <c r="X72" s="17">
        <f>L152</f>
        <v>0</v>
      </c>
      <c r="Y72" s="17">
        <f>M152</f>
        <v>0</v>
      </c>
      <c r="AA72" s="22">
        <f t="shared" ref="AA72:AD73" si="13">D157</f>
        <v>0</v>
      </c>
      <c r="AB72" s="17">
        <f t="shared" si="13"/>
        <v>0</v>
      </c>
      <c r="AC72" s="17">
        <f t="shared" si="13"/>
        <v>0</v>
      </c>
      <c r="AD72" s="23">
        <f t="shared" si="13"/>
        <v>0</v>
      </c>
      <c r="AE72" s="23">
        <f>I157</f>
        <v>0</v>
      </c>
      <c r="AF72" s="17">
        <f>L157</f>
        <v>0</v>
      </c>
      <c r="AG72" s="17">
        <f>M157</f>
        <v>0</v>
      </c>
    </row>
    <row r="73" spans="3:33" x14ac:dyDescent="0.2">
      <c r="C73" s="54"/>
      <c r="D73" s="71" t="e">
        <f>VLOOKUP($C73,Data!$A$12:$AA$211,16,FALSE)</f>
        <v>#N/A</v>
      </c>
      <c r="E73" s="71" t="e">
        <f t="shared" si="3"/>
        <v>#N/A</v>
      </c>
      <c r="F73" s="71" t="e">
        <f t="shared" si="4"/>
        <v>#N/A</v>
      </c>
      <c r="G73" s="314" t="e">
        <f>VLOOKUP($C73,Data!$A$12:$AA$211,19,FALSE)</f>
        <v>#N/A</v>
      </c>
      <c r="H73" s="315" t="e">
        <f>VLOOKUP($C73,Data!$A$12:$AA$211,20,FALSE)</f>
        <v>#N/A</v>
      </c>
      <c r="I73" s="316" t="e">
        <f t="shared" si="5"/>
        <v>#N/A</v>
      </c>
      <c r="J73" s="315" t="e">
        <f>ABS(VLOOKUP($C73,Data!$A$12:$AA$211,26,FALSE))/IF(D73=123,3,1)</f>
        <v>#N/A</v>
      </c>
      <c r="K73" s="318" t="e">
        <f>VLOOKUP($C73,Data!$A$12:$AA$211,23,FALSE)</f>
        <v>#N/A</v>
      </c>
      <c r="L73" s="318" t="e">
        <f>VLOOKUP($C73,Data!$A$12:$AA$211,24,FALSE)</f>
        <v>#N/A</v>
      </c>
      <c r="M73" s="313" t="e">
        <f>VLOOKUP($C73,Data!$A$12:$AA$211,25,FALSE)</f>
        <v>#N/A</v>
      </c>
      <c r="N73" s="312" t="e">
        <f>VLOOKUP($C73,Data!$A$12:$R$211,18,FALSE)</f>
        <v>#N/A</v>
      </c>
      <c r="P73" s="65" t="e">
        <f>IF(Q73="Watts",COS(RADIANS(VLOOKUP($C73,Data!$A$12:$AA$211,21,FALSE))),SIN(RADIANS(VLOOKUP($C73,Data!$A$12:$AA$211,21,FALSE))))</f>
        <v>#N/A</v>
      </c>
      <c r="Q73" s="313" t="e">
        <f>VLOOKUP($C73,Data!$A$12:$AA$211,13,FALSE)</f>
        <v>#N/A</v>
      </c>
      <c r="R73" s="65" t="e">
        <f>IF(SIGN(VLOOKUP($C73,Data!$A$12:$AA$211,21,FALSE))=1,"lead","lag")</f>
        <v>#N/A</v>
      </c>
      <c r="S73">
        <v>1</v>
      </c>
      <c r="T73" s="17">
        <f t="shared" ref="T73:V74" si="14">E188</f>
        <v>0</v>
      </c>
      <c r="U73" s="17">
        <f t="shared" si="14"/>
        <v>0</v>
      </c>
      <c r="V73" s="23">
        <f t="shared" si="14"/>
        <v>0</v>
      </c>
      <c r="W73" s="17">
        <f>I188</f>
        <v>0</v>
      </c>
      <c r="X73" s="17">
        <f>L188</f>
        <v>0</v>
      </c>
      <c r="Y73" s="17">
        <f>M188</f>
        <v>0</v>
      </c>
      <c r="AA73" s="22">
        <f t="shared" si="13"/>
        <v>0</v>
      </c>
      <c r="AB73" s="17">
        <f t="shared" si="13"/>
        <v>0</v>
      </c>
      <c r="AC73" s="17">
        <f t="shared" si="13"/>
        <v>0</v>
      </c>
      <c r="AD73" s="23">
        <f t="shared" si="13"/>
        <v>0</v>
      </c>
      <c r="AE73" s="23">
        <f>I158</f>
        <v>0</v>
      </c>
      <c r="AF73" s="17">
        <f>L158</f>
        <v>0</v>
      </c>
      <c r="AG73" s="17">
        <f>M158</f>
        <v>0</v>
      </c>
    </row>
    <row r="74" spans="3:33" x14ac:dyDescent="0.2">
      <c r="C74" s="54"/>
      <c r="D74" s="71" t="e">
        <f>VLOOKUP($C74,Data!$A$12:$AA$211,16,FALSE)</f>
        <v>#N/A</v>
      </c>
      <c r="E74" s="71" t="e">
        <f t="shared" si="3"/>
        <v>#N/A</v>
      </c>
      <c r="F74" s="71" t="e">
        <f t="shared" si="4"/>
        <v>#N/A</v>
      </c>
      <c r="G74" s="314" t="e">
        <f>VLOOKUP($C74,Data!$A$12:$AA$211,19,FALSE)</f>
        <v>#N/A</v>
      </c>
      <c r="H74" s="315" t="e">
        <f>VLOOKUP($C74,Data!$A$12:$AA$211,20,FALSE)</f>
        <v>#N/A</v>
      </c>
      <c r="I74" s="316" t="e">
        <f t="shared" si="5"/>
        <v>#N/A</v>
      </c>
      <c r="J74" s="315" t="e">
        <f>ABS(VLOOKUP($C74,Data!$A$12:$AA$211,26,FALSE))/IF(D74=123,3,1)</f>
        <v>#N/A</v>
      </c>
      <c r="K74" s="318" t="e">
        <f>VLOOKUP($C74,Data!$A$12:$AA$211,23,FALSE)</f>
        <v>#N/A</v>
      </c>
      <c r="L74" s="318" t="e">
        <f>VLOOKUP($C74,Data!$A$12:$AA$211,24,FALSE)</f>
        <v>#N/A</v>
      </c>
      <c r="M74" s="313" t="e">
        <f>VLOOKUP($C74,Data!$A$12:$AA$211,25,FALSE)</f>
        <v>#N/A</v>
      </c>
      <c r="N74" s="312" t="e">
        <f>VLOOKUP($C74,Data!$A$12:$R$211,18,FALSE)</f>
        <v>#N/A</v>
      </c>
      <c r="P74" s="65" t="e">
        <f>IF(Q74="Watts",COS(RADIANS(VLOOKUP($C74,Data!$A$12:$AA$211,21,FALSE))),SIN(RADIANS(VLOOKUP($C74,Data!$A$12:$AA$211,21,FALSE))))</f>
        <v>#N/A</v>
      </c>
      <c r="Q74" s="313" t="e">
        <f>VLOOKUP($C74,Data!$A$12:$AA$211,13,FALSE)</f>
        <v>#N/A</v>
      </c>
      <c r="R74" s="65" t="e">
        <f>IF(SIGN(VLOOKUP($C74,Data!$A$12:$AA$211,21,FALSE))=1,"lead","lag")</f>
        <v>#N/A</v>
      </c>
      <c r="S74">
        <v>1</v>
      </c>
      <c r="T74" s="17">
        <f t="shared" si="14"/>
        <v>0</v>
      </c>
      <c r="U74" s="17">
        <f t="shared" si="14"/>
        <v>0</v>
      </c>
      <c r="V74" s="23">
        <f t="shared" si="14"/>
        <v>0</v>
      </c>
      <c r="W74" s="17">
        <f>I189</f>
        <v>0</v>
      </c>
      <c r="X74" s="17">
        <f>L189</f>
        <v>0</v>
      </c>
      <c r="Y74" s="17">
        <f>M189</f>
        <v>0</v>
      </c>
      <c r="AA74" s="22">
        <f t="shared" ref="AA74:AD75" si="15">D196</f>
        <v>0</v>
      </c>
      <c r="AB74" s="17">
        <f t="shared" si="15"/>
        <v>0</v>
      </c>
      <c r="AC74" s="17">
        <f t="shared" si="15"/>
        <v>0</v>
      </c>
      <c r="AD74" s="23">
        <f t="shared" si="15"/>
        <v>0</v>
      </c>
      <c r="AE74" s="23">
        <f>I196</f>
        <v>0</v>
      </c>
      <c r="AF74" s="17">
        <f>L196</f>
        <v>0</v>
      </c>
      <c r="AG74" s="17">
        <f>M196</f>
        <v>0</v>
      </c>
    </row>
    <row r="75" spans="3:33" x14ac:dyDescent="0.2">
      <c r="C75" s="54"/>
      <c r="D75" s="71" t="e">
        <f>VLOOKUP($C75,Data!$A$12:$AA$211,16,FALSE)</f>
        <v>#N/A</v>
      </c>
      <c r="E75" s="71" t="e">
        <f t="shared" si="3"/>
        <v>#N/A</v>
      </c>
      <c r="F75" s="71" t="e">
        <f t="shared" si="4"/>
        <v>#N/A</v>
      </c>
      <c r="G75" s="314" t="e">
        <f>VLOOKUP($C75,Data!$A$12:$AA$211,19,FALSE)</f>
        <v>#N/A</v>
      </c>
      <c r="H75" s="315" t="e">
        <f>VLOOKUP($C75,Data!$A$12:$AA$211,20,FALSE)</f>
        <v>#N/A</v>
      </c>
      <c r="I75" s="316" t="e">
        <f t="shared" si="5"/>
        <v>#N/A</v>
      </c>
      <c r="J75" s="315" t="e">
        <f>ABS(VLOOKUP($C75,Data!$A$12:$AA$211,26,FALSE))/IF(D75=123,3,1)</f>
        <v>#N/A</v>
      </c>
      <c r="K75" s="318" t="e">
        <f>VLOOKUP($C75,Data!$A$12:$AA$211,23,FALSE)</f>
        <v>#N/A</v>
      </c>
      <c r="L75" s="318" t="e">
        <f>VLOOKUP($C75,Data!$A$12:$AA$211,24,FALSE)</f>
        <v>#N/A</v>
      </c>
      <c r="M75" s="313" t="e">
        <f>VLOOKUP($C75,Data!$A$12:$AA$211,25,FALSE)</f>
        <v>#N/A</v>
      </c>
      <c r="N75" s="312" t="e">
        <f>VLOOKUP($C75,Data!$A$12:$R$211,18,FALSE)</f>
        <v>#N/A</v>
      </c>
      <c r="P75" s="65" t="e">
        <f>IF(Q75="Watts",COS(RADIANS(VLOOKUP($C75,Data!$A$12:$AA$211,21,FALSE))),SIN(RADIANS(VLOOKUP($C75,Data!$A$12:$AA$211,21,FALSE))))</f>
        <v>#N/A</v>
      </c>
      <c r="Q75" s="313" t="e">
        <f>VLOOKUP($C75,Data!$A$12:$AA$211,13,FALSE)</f>
        <v>#N/A</v>
      </c>
      <c r="R75" s="65" t="e">
        <f>IF(SIGN(VLOOKUP($C75,Data!$A$12:$AA$211,21,FALSE))=1,"lead","lag")</f>
        <v>#N/A</v>
      </c>
      <c r="S75">
        <v>1</v>
      </c>
      <c r="T75" s="17">
        <f t="shared" ref="T75:V76" si="16">E227</f>
        <v>0</v>
      </c>
      <c r="U75" s="17">
        <f t="shared" si="16"/>
        <v>0</v>
      </c>
      <c r="V75" s="23">
        <f t="shared" si="16"/>
        <v>0</v>
      </c>
      <c r="W75" s="17">
        <f>I227</f>
        <v>0</v>
      </c>
      <c r="X75" s="17">
        <f>L227</f>
        <v>0</v>
      </c>
      <c r="Y75" s="17">
        <f>M227</f>
        <v>0</v>
      </c>
      <c r="AA75" s="22">
        <f t="shared" si="15"/>
        <v>0</v>
      </c>
      <c r="AB75" s="17">
        <f t="shared" si="15"/>
        <v>0</v>
      </c>
      <c r="AC75" s="17">
        <f t="shared" si="15"/>
        <v>0</v>
      </c>
      <c r="AD75" s="23">
        <f t="shared" si="15"/>
        <v>0</v>
      </c>
      <c r="AE75" s="23">
        <f>I197</f>
        <v>0</v>
      </c>
      <c r="AF75" s="17">
        <f>L197</f>
        <v>0</v>
      </c>
      <c r="AG75" s="17">
        <f>M197</f>
        <v>0</v>
      </c>
    </row>
    <row r="76" spans="3:33" x14ac:dyDescent="0.2">
      <c r="C76" s="54"/>
      <c r="D76" s="71" t="e">
        <f>VLOOKUP($C76,Data!$A$12:$AA$211,16,FALSE)</f>
        <v>#N/A</v>
      </c>
      <c r="E76" s="71" t="e">
        <f t="shared" si="3"/>
        <v>#N/A</v>
      </c>
      <c r="F76" s="71" t="e">
        <f t="shared" si="4"/>
        <v>#N/A</v>
      </c>
      <c r="G76" s="314" t="e">
        <f>VLOOKUP($C76,Data!$A$12:$AA$211,19,FALSE)</f>
        <v>#N/A</v>
      </c>
      <c r="H76" s="315" t="e">
        <f>VLOOKUP($C76,Data!$A$12:$AA$211,20,FALSE)</f>
        <v>#N/A</v>
      </c>
      <c r="I76" s="316" t="e">
        <f t="shared" si="5"/>
        <v>#N/A</v>
      </c>
      <c r="J76" s="315" t="e">
        <f>ABS(VLOOKUP($C76,Data!$A$12:$AA$211,26,FALSE))/IF(D76=123,3,1)</f>
        <v>#N/A</v>
      </c>
      <c r="K76" s="318" t="e">
        <f>VLOOKUP($C76,Data!$A$12:$AA$211,23,FALSE)</f>
        <v>#N/A</v>
      </c>
      <c r="L76" s="318" t="e">
        <f>VLOOKUP($C76,Data!$A$12:$AA$211,24,FALSE)</f>
        <v>#N/A</v>
      </c>
      <c r="M76" s="313" t="e">
        <f>VLOOKUP($C76,Data!$A$12:$AA$211,25,FALSE)</f>
        <v>#N/A</v>
      </c>
      <c r="N76" s="312" t="e">
        <f>VLOOKUP($C76,Data!$A$12:$R$211,18,FALSE)</f>
        <v>#N/A</v>
      </c>
      <c r="P76" s="65" t="e">
        <f>IF(Q76="Watts",COS(RADIANS(VLOOKUP($C76,Data!$A$12:$AA$211,21,FALSE))),SIN(RADIANS(VLOOKUP($C76,Data!$A$12:$AA$211,21,FALSE))))</f>
        <v>#N/A</v>
      </c>
      <c r="Q76" s="313" t="e">
        <f>VLOOKUP($C76,Data!$A$12:$AA$211,13,FALSE)</f>
        <v>#N/A</v>
      </c>
      <c r="R76" s="65" t="e">
        <f>IF(SIGN(VLOOKUP($C76,Data!$A$12:$AA$211,21,FALSE))=1,"lead","lag")</f>
        <v>#N/A</v>
      </c>
      <c r="S76">
        <v>1</v>
      </c>
      <c r="T76" s="17">
        <f t="shared" si="16"/>
        <v>0</v>
      </c>
      <c r="U76" s="17">
        <f t="shared" si="16"/>
        <v>0</v>
      </c>
      <c r="V76" s="23">
        <f t="shared" si="16"/>
        <v>0</v>
      </c>
      <c r="W76" s="17">
        <f>I228</f>
        <v>0</v>
      </c>
      <c r="X76" s="17">
        <f>L228</f>
        <v>0</v>
      </c>
      <c r="Y76" s="17">
        <f>M228</f>
        <v>0</v>
      </c>
      <c r="AA76" s="22">
        <f>D246</f>
        <v>0</v>
      </c>
      <c r="AB76" s="17">
        <f>E246</f>
        <v>0</v>
      </c>
      <c r="AC76" s="17">
        <f>F246</f>
        <v>0</v>
      </c>
      <c r="AD76" s="23">
        <f>G246</f>
        <v>0</v>
      </c>
      <c r="AE76" s="23">
        <f>I246</f>
        <v>0</v>
      </c>
      <c r="AF76" s="17">
        <f>L246</f>
        <v>0</v>
      </c>
      <c r="AG76" s="17">
        <f>M246</f>
        <v>0</v>
      </c>
    </row>
    <row r="77" spans="3:33" x14ac:dyDescent="0.2">
      <c r="C77" s="54"/>
      <c r="D77" s="71" t="e">
        <f>VLOOKUP($C77,Data!$A$12:$AA$211,16,FALSE)</f>
        <v>#N/A</v>
      </c>
      <c r="E77" s="71" t="e">
        <f t="shared" si="3"/>
        <v>#N/A</v>
      </c>
      <c r="F77" s="71" t="e">
        <f t="shared" si="4"/>
        <v>#N/A</v>
      </c>
      <c r="G77" s="314" t="e">
        <f>VLOOKUP($C77,Data!$A$12:$AA$211,19,FALSE)</f>
        <v>#N/A</v>
      </c>
      <c r="H77" s="315" t="e">
        <f>VLOOKUP($C77,Data!$A$12:$AA$211,20,FALSE)</f>
        <v>#N/A</v>
      </c>
      <c r="I77" s="316" t="e">
        <f t="shared" si="5"/>
        <v>#N/A</v>
      </c>
      <c r="J77" s="65" t="e">
        <f>ABS(VLOOKUP($C77,Data!$A$12:$AA$211,26,FALSE))/IF(D77=123,3,1)</f>
        <v>#N/A</v>
      </c>
      <c r="K77" s="318" t="e">
        <f>VLOOKUP($C77,Data!$A$12:$AA$211,23,FALSE)</f>
        <v>#N/A</v>
      </c>
      <c r="L77" s="318" t="e">
        <f>VLOOKUP($C77,Data!$A$12:$AA$211,24,FALSE)</f>
        <v>#N/A</v>
      </c>
      <c r="M77" s="313" t="e">
        <f>VLOOKUP($C77,Data!$A$12:$AA$211,25,FALSE)</f>
        <v>#N/A</v>
      </c>
      <c r="N77" s="312" t="e">
        <f>VLOOKUP($C77,Data!$A$12:$R$211,18,FALSE)</f>
        <v>#N/A</v>
      </c>
      <c r="O77" s="68"/>
      <c r="P77" s="65" t="e">
        <f>IF(Q77="Watts",COS(RADIANS(VLOOKUP($C77,Data!$A$12:$AA$211,21,FALSE))),SIN(RADIANS(VLOOKUP($C77,Data!$A$12:$AA$211,21,FALSE))))</f>
        <v>#N/A</v>
      </c>
      <c r="Q77" s="313" t="e">
        <f>VLOOKUP($C77,Data!$A$12:$AA$211,13,FALSE)</f>
        <v>#N/A</v>
      </c>
      <c r="R77" s="65" t="e">
        <f>IF(SIGN(VLOOKUP($C77,Data!$A$12:$AA$211,21,FALSE))=1,"lead","lag")</f>
        <v>#N/A</v>
      </c>
      <c r="S77">
        <v>1</v>
      </c>
      <c r="T77" s="49"/>
      <c r="U77" s="22" t="s">
        <v>421</v>
      </c>
      <c r="V77" s="21" t="s">
        <v>420</v>
      </c>
      <c r="W77" s="87" t="s">
        <v>424</v>
      </c>
      <c r="AA77" s="22">
        <f>D293</f>
        <v>0</v>
      </c>
      <c r="AB77" s="17">
        <f>E293</f>
        <v>0</v>
      </c>
      <c r="AC77" s="17">
        <f>F293</f>
        <v>0</v>
      </c>
      <c r="AD77" s="23">
        <f>G293</f>
        <v>0</v>
      </c>
      <c r="AE77" s="23">
        <f>I293</f>
        <v>0</v>
      </c>
      <c r="AF77" s="17">
        <f>L293</f>
        <v>0</v>
      </c>
      <c r="AG77" s="17">
        <f>M293</f>
        <v>0</v>
      </c>
    </row>
    <row r="78" spans="3:33" x14ac:dyDescent="0.2">
      <c r="C78" s="54"/>
      <c r="D78" s="71" t="e">
        <f>VLOOKUP($C78,Data!$A$12:$AA$211,16,FALSE)</f>
        <v>#N/A</v>
      </c>
      <c r="E78" s="71" t="e">
        <f t="shared" si="3"/>
        <v>#N/A</v>
      </c>
      <c r="F78" s="71" t="e">
        <f t="shared" si="4"/>
        <v>#N/A</v>
      </c>
      <c r="G78" s="314" t="e">
        <f>VLOOKUP($C78,Data!$A$12:$AA$211,19,FALSE)</f>
        <v>#N/A</v>
      </c>
      <c r="H78" s="315" t="e">
        <f>VLOOKUP($C78,Data!$A$12:$AA$211,20,FALSE)</f>
        <v>#N/A</v>
      </c>
      <c r="I78" s="316" t="e">
        <f t="shared" si="5"/>
        <v>#N/A</v>
      </c>
      <c r="J78" s="65" t="e">
        <f>ABS(VLOOKUP($C78,Data!$A$12:$AA$211,26,FALSE))/IF(D78=123,3,1)</f>
        <v>#N/A</v>
      </c>
      <c r="K78" s="318" t="e">
        <f>VLOOKUP($C78,Data!$A$12:$AA$211,23,FALSE)</f>
        <v>#N/A</v>
      </c>
      <c r="L78" s="318" t="e">
        <f>VLOOKUP($C78,Data!$A$12:$AA$211,24,FALSE)</f>
        <v>#N/A</v>
      </c>
      <c r="M78" s="313" t="e">
        <f>VLOOKUP($C78,Data!$A$12:$AA$211,25,FALSE)</f>
        <v>#N/A</v>
      </c>
      <c r="N78" s="312" t="e">
        <f>VLOOKUP($C78,Data!$A$12:$R$211,18,FALSE)</f>
        <v>#N/A</v>
      </c>
      <c r="O78" s="68"/>
      <c r="P78" s="65" t="e">
        <f>IF(Q78="Watts",COS(RADIANS(VLOOKUP($C78,Data!$A$12:$AA$211,21,FALSE))),SIN(RADIANS(VLOOKUP($C78,Data!$A$12:$AA$211,21,FALSE))))</f>
        <v>#N/A</v>
      </c>
      <c r="Q78" s="313" t="e">
        <f>VLOOKUP($C78,Data!$A$12:$AA$211,13,FALSE)</f>
        <v>#N/A</v>
      </c>
      <c r="R78" s="65" t="e">
        <f>IF(SIGN(VLOOKUP($C78,Data!$A$12:$AA$211,21,FALSE))=1,"lead","lag")</f>
        <v>#N/A</v>
      </c>
      <c r="S78">
        <v>1</v>
      </c>
      <c r="T78" s="17">
        <f t="shared" ref="T78:V79" si="17">E182</f>
        <v>0</v>
      </c>
      <c r="U78" s="17">
        <f t="shared" si="17"/>
        <v>0</v>
      </c>
      <c r="V78" s="23">
        <f t="shared" si="17"/>
        <v>0</v>
      </c>
      <c r="W78" s="17">
        <f>I182</f>
        <v>0</v>
      </c>
      <c r="X78" s="17">
        <f>L182</f>
        <v>0</v>
      </c>
      <c r="Y78" s="17">
        <f>M182</f>
        <v>0</v>
      </c>
      <c r="AE78" s="87" t="s">
        <v>424</v>
      </c>
    </row>
    <row r="79" spans="3:33" x14ac:dyDescent="0.2">
      <c r="C79" s="54"/>
      <c r="D79" s="71" t="e">
        <f>VLOOKUP($C79,Data!$A$12:$AA$211,16,FALSE)</f>
        <v>#N/A</v>
      </c>
      <c r="E79" s="71" t="e">
        <f t="shared" si="3"/>
        <v>#N/A</v>
      </c>
      <c r="F79" s="71" t="e">
        <f t="shared" si="4"/>
        <v>#N/A</v>
      </c>
      <c r="G79" s="314" t="e">
        <f>VLOOKUP($C79,Data!$A$12:$AA$211,19,FALSE)</f>
        <v>#N/A</v>
      </c>
      <c r="H79" s="315" t="e">
        <f>VLOOKUP($C79,Data!$A$12:$AA$211,20,FALSE)</f>
        <v>#N/A</v>
      </c>
      <c r="I79" s="316" t="e">
        <f t="shared" si="5"/>
        <v>#N/A</v>
      </c>
      <c r="J79" s="65" t="e">
        <f>ABS(VLOOKUP($C79,Data!$A$12:$AA$211,26,FALSE))/IF(D79=123,3,1)</f>
        <v>#N/A</v>
      </c>
      <c r="K79" s="318" t="e">
        <f>VLOOKUP($C79,Data!$A$12:$AA$211,23,FALSE)</f>
        <v>#N/A</v>
      </c>
      <c r="L79" s="318" t="e">
        <f>VLOOKUP($C79,Data!$A$12:$AA$211,24,FALSE)</f>
        <v>#N/A</v>
      </c>
      <c r="M79" s="313" t="e">
        <f>VLOOKUP($C79,Data!$A$12:$AA$211,25,FALSE)</f>
        <v>#N/A</v>
      </c>
      <c r="N79" s="312" t="e">
        <f>VLOOKUP($C79,Data!$A$12:$R$211,18,FALSE)</f>
        <v>#N/A</v>
      </c>
      <c r="O79" s="68"/>
      <c r="P79" s="65" t="e">
        <f>IF(Q79="Watts",COS(RADIANS(VLOOKUP($C79,Data!$A$12:$AA$211,21,FALSE))),SIN(RADIANS(VLOOKUP($C79,Data!$A$12:$AA$211,21,FALSE))))</f>
        <v>#N/A</v>
      </c>
      <c r="Q79" s="313" t="e">
        <f>VLOOKUP($C79,Data!$A$12:$AA$211,13,FALSE)</f>
        <v>#N/A</v>
      </c>
      <c r="R79" s="65" t="e">
        <f>IF(SIGN(VLOOKUP($C79,Data!$A$12:$AA$211,21,FALSE))=1,"lead","lag")</f>
        <v>#N/A</v>
      </c>
      <c r="S79">
        <v>1</v>
      </c>
      <c r="T79" s="17">
        <f t="shared" si="17"/>
        <v>0</v>
      </c>
      <c r="U79" s="17">
        <f t="shared" si="17"/>
        <v>0</v>
      </c>
      <c r="V79" s="23">
        <f t="shared" si="17"/>
        <v>0</v>
      </c>
      <c r="W79" s="17">
        <f>I183</f>
        <v>0</v>
      </c>
      <c r="X79" s="17">
        <f>L183</f>
        <v>0</v>
      </c>
      <c r="Y79" s="17">
        <f>M183</f>
        <v>0</v>
      </c>
      <c r="AA79" s="22">
        <f t="shared" ref="AA79:AD80" si="18">D190</f>
        <v>0</v>
      </c>
      <c r="AB79" s="17">
        <f t="shared" si="18"/>
        <v>0</v>
      </c>
      <c r="AC79" s="17">
        <f t="shared" si="18"/>
        <v>0</v>
      </c>
      <c r="AD79" s="23">
        <f t="shared" si="18"/>
        <v>0</v>
      </c>
      <c r="AE79" s="23">
        <f>I190</f>
        <v>0</v>
      </c>
      <c r="AF79" s="17">
        <f>L190</f>
        <v>0</v>
      </c>
      <c r="AG79" s="17">
        <f>M190</f>
        <v>0</v>
      </c>
    </row>
    <row r="80" spans="3:33" x14ac:dyDescent="0.2">
      <c r="C80" s="54"/>
      <c r="D80" s="73"/>
      <c r="E80" s="73"/>
      <c r="F80" s="73"/>
      <c r="G80" s="320"/>
      <c r="H80" s="321"/>
      <c r="I80" s="320"/>
      <c r="J80" s="332"/>
      <c r="K80" s="323"/>
      <c r="L80" s="323"/>
      <c r="M80" s="324"/>
      <c r="N80" s="7"/>
      <c r="O80" s="68"/>
      <c r="P80" s="65"/>
      <c r="Q80" s="313"/>
      <c r="R80" s="65"/>
      <c r="T80" s="17">
        <f t="shared" ref="T80:V81" si="19">E282</f>
        <v>0</v>
      </c>
      <c r="U80" s="17">
        <f t="shared" si="19"/>
        <v>0</v>
      </c>
      <c r="V80" s="23">
        <f t="shared" si="19"/>
        <v>0</v>
      </c>
      <c r="W80" s="17">
        <f>I282</f>
        <v>0</v>
      </c>
      <c r="X80" s="17">
        <f>L282</f>
        <v>0</v>
      </c>
      <c r="Y80" s="17">
        <f>M282</f>
        <v>0</v>
      </c>
      <c r="AA80" s="22">
        <f t="shared" si="18"/>
        <v>0</v>
      </c>
      <c r="AB80" s="17">
        <f t="shared" si="18"/>
        <v>0</v>
      </c>
      <c r="AC80" s="17">
        <f t="shared" si="18"/>
        <v>0</v>
      </c>
      <c r="AD80" s="23">
        <f t="shared" si="18"/>
        <v>0</v>
      </c>
      <c r="AE80" s="23">
        <f>I191</f>
        <v>0</v>
      </c>
      <c r="AF80" s="17">
        <f>L191</f>
        <v>0</v>
      </c>
      <c r="AG80" s="17">
        <f>M191</f>
        <v>0</v>
      </c>
    </row>
    <row r="81" spans="3:33" x14ac:dyDescent="0.2">
      <c r="C81" s="54"/>
      <c r="D81" s="65"/>
      <c r="E81" s="65"/>
      <c r="F81" s="65"/>
      <c r="G81" s="65"/>
      <c r="H81" s="315"/>
      <c r="I81" s="65"/>
      <c r="J81" s="325"/>
      <c r="K81" s="317"/>
      <c r="L81" s="317"/>
      <c r="M81" s="65"/>
      <c r="N81" s="7"/>
      <c r="O81" s="68"/>
      <c r="P81" s="65"/>
      <c r="Q81" s="313"/>
      <c r="R81" s="65"/>
      <c r="T81" s="17">
        <f t="shared" si="19"/>
        <v>0</v>
      </c>
      <c r="U81" s="17">
        <f t="shared" si="19"/>
        <v>0</v>
      </c>
      <c r="V81" s="23">
        <f t="shared" si="19"/>
        <v>0</v>
      </c>
      <c r="W81" s="17">
        <f>I283</f>
        <v>0</v>
      </c>
      <c r="X81" s="17">
        <f>L283</f>
        <v>0</v>
      </c>
      <c r="Y81" s="17">
        <f>M283</f>
        <v>0</v>
      </c>
      <c r="AA81" s="22">
        <f>D233</f>
        <v>0</v>
      </c>
      <c r="AB81" s="17">
        <f>E233</f>
        <v>0</v>
      </c>
      <c r="AC81" s="17">
        <f>F233</f>
        <v>0</v>
      </c>
      <c r="AD81" s="23">
        <f>G233</f>
        <v>0</v>
      </c>
      <c r="AE81" s="23">
        <f>I233</f>
        <v>0</v>
      </c>
      <c r="AF81" s="17">
        <f>L233</f>
        <v>0</v>
      </c>
      <c r="AG81" s="17">
        <f>M233</f>
        <v>0</v>
      </c>
    </row>
    <row r="82" spans="3:33" x14ac:dyDescent="0.2">
      <c r="C82" s="54"/>
      <c r="D82" s="65"/>
      <c r="E82" s="65"/>
      <c r="F82" s="65"/>
      <c r="G82" s="65"/>
      <c r="H82" s="315"/>
      <c r="I82" s="65"/>
      <c r="J82" s="325"/>
      <c r="K82" s="317"/>
      <c r="L82" s="317"/>
      <c r="M82" s="65"/>
      <c r="N82" s="7"/>
      <c r="O82" s="68"/>
      <c r="P82" s="65"/>
      <c r="Q82" s="313"/>
      <c r="R82" s="65"/>
      <c r="T82" s="17"/>
      <c r="U82" s="17"/>
      <c r="V82" s="23"/>
      <c r="W82" s="17"/>
      <c r="X82" s="17"/>
      <c r="Y82" s="17"/>
      <c r="AA82" s="22"/>
      <c r="AB82" s="17"/>
      <c r="AC82" s="17"/>
      <c r="AD82" s="23"/>
      <c r="AE82" s="23"/>
      <c r="AF82" s="17"/>
      <c r="AG82" s="17"/>
    </row>
    <row r="83" spans="3:33" x14ac:dyDescent="0.2">
      <c r="C83" s="54"/>
      <c r="D83" s="65"/>
      <c r="E83" s="65"/>
      <c r="F83" s="65"/>
      <c r="G83" s="65"/>
      <c r="H83" s="315"/>
      <c r="I83" s="65"/>
      <c r="J83" s="325"/>
      <c r="K83" s="317"/>
      <c r="L83" s="317"/>
      <c r="M83" s="65"/>
      <c r="N83" s="7"/>
      <c r="O83" s="68"/>
      <c r="P83" s="65"/>
      <c r="Q83" s="313"/>
      <c r="R83" s="65"/>
      <c r="T83" s="17"/>
      <c r="U83" s="17"/>
      <c r="AA83" s="22"/>
      <c r="AB83" s="17"/>
      <c r="AC83" s="17"/>
      <c r="AD83" s="23"/>
      <c r="AE83" s="23"/>
      <c r="AF83" s="17"/>
      <c r="AG83" s="17"/>
    </row>
    <row r="84" spans="3:33" x14ac:dyDescent="0.2">
      <c r="C84" s="20"/>
      <c r="D84" s="20" t="s">
        <v>563</v>
      </c>
      <c r="E84" s="20"/>
      <c r="F84" s="20"/>
      <c r="N84" s="7"/>
      <c r="O84" s="68"/>
      <c r="P84" s="65"/>
      <c r="Q84" s="313"/>
      <c r="R84" s="65"/>
      <c r="T84" s="17"/>
      <c r="U84" s="17"/>
      <c r="AA84" s="22"/>
      <c r="AB84" s="17"/>
      <c r="AC84" s="17"/>
      <c r="AD84" s="23"/>
      <c r="AE84" s="23"/>
      <c r="AF84" s="17"/>
      <c r="AG84" s="17"/>
    </row>
    <row r="85" spans="3:33" x14ac:dyDescent="0.2">
      <c r="C85" s="20"/>
      <c r="D85" s="75"/>
      <c r="E85" s="899" t="s">
        <v>413</v>
      </c>
      <c r="F85" s="900"/>
      <c r="G85" s="76"/>
      <c r="H85" s="77"/>
      <c r="I85" s="76"/>
      <c r="J85" s="76"/>
      <c r="K85" s="76"/>
      <c r="L85" s="76"/>
      <c r="M85" s="78"/>
      <c r="N85" s="7"/>
      <c r="O85" s="68"/>
      <c r="P85" s="65"/>
      <c r="Q85" s="313"/>
      <c r="R85" s="65"/>
      <c r="T85" s="17"/>
      <c r="U85" s="17"/>
      <c r="AA85" s="22"/>
      <c r="AB85" s="17"/>
      <c r="AC85" s="17"/>
      <c r="AD85" s="23"/>
      <c r="AE85" s="23"/>
      <c r="AF85" s="17"/>
      <c r="AG85" s="17"/>
    </row>
    <row r="86" spans="3:33" ht="51" x14ac:dyDescent="0.2">
      <c r="C86" s="54"/>
      <c r="D86" s="326" t="s">
        <v>414</v>
      </c>
      <c r="E86" s="327" t="s">
        <v>415</v>
      </c>
      <c r="F86" s="327" t="s">
        <v>416</v>
      </c>
      <c r="G86" s="83" t="s">
        <v>417</v>
      </c>
      <c r="H86" s="328" t="s">
        <v>418</v>
      </c>
      <c r="I86" s="83" t="s">
        <v>426</v>
      </c>
      <c r="J86" s="329" t="s">
        <v>278</v>
      </c>
      <c r="K86" s="83" t="s">
        <v>279</v>
      </c>
      <c r="L86" s="330" t="s">
        <v>280</v>
      </c>
      <c r="M86" s="331" t="s">
        <v>281</v>
      </c>
      <c r="N86" s="7"/>
      <c r="O86" s="68"/>
      <c r="P86" s="65"/>
      <c r="Q86" s="313"/>
      <c r="R86" s="65"/>
      <c r="T86" s="17"/>
      <c r="U86" s="17"/>
      <c r="AA86" s="22"/>
      <c r="AB86" s="17"/>
      <c r="AC86" s="17"/>
      <c r="AD86" s="23"/>
      <c r="AE86" s="23"/>
      <c r="AF86" s="17"/>
      <c r="AG86" s="17"/>
    </row>
    <row r="87" spans="3:33" x14ac:dyDescent="0.2">
      <c r="C87" s="54"/>
      <c r="D87" s="70" t="e">
        <f>VLOOKUP($C87,Data!$A$12:$AA$211,16,FALSE)</f>
        <v>#N/A</v>
      </c>
      <c r="E87" s="70" t="e">
        <f t="shared" ref="E87:E107" si="20">LEFT(N87,FIND(",",N87)-1)</f>
        <v>#N/A</v>
      </c>
      <c r="F87" s="70" t="e">
        <f t="shared" ref="F87:F107" si="21">MID(N87,FIND(",",N87)+1,7)</f>
        <v>#N/A</v>
      </c>
      <c r="G87" s="306" t="e">
        <f>VLOOKUP($C87,Data!$A$12:$AA$211,19,FALSE)</f>
        <v>#N/A</v>
      </c>
      <c r="H87" s="307" t="e">
        <f>VLOOKUP($C87,Data!$A$12:$AA$211,20,FALSE)</f>
        <v>#N/A</v>
      </c>
      <c r="I87" s="308" t="e">
        <f t="shared" ref="I87:I107" si="22">IF(P87&gt;0.95,"1",ROUND(P87,S87)&amp;" "&amp;R87)</f>
        <v>#N/A</v>
      </c>
      <c r="J87" s="307" t="e">
        <f>ABS(VLOOKUP($C87,Data!$A$12:$AA$211,26,FALSE))/IF(D87=123,3,1)</f>
        <v>#N/A</v>
      </c>
      <c r="K87" s="310" t="e">
        <f>VLOOKUP($C87,Data!$A$12:$AA$211,23,FALSE)</f>
        <v>#N/A</v>
      </c>
      <c r="L87" s="310" t="e">
        <f>VLOOKUP($C87,Data!$A$12:$AA$211,24,FALSE)</f>
        <v>#N/A</v>
      </c>
      <c r="M87" s="311" t="e">
        <f>VLOOKUP($C87,Data!$A$12:$AA$211,25,FALSE)</f>
        <v>#N/A</v>
      </c>
      <c r="N87" s="312" t="e">
        <f>VLOOKUP($C87,Data!$A$12:$R$211,18,FALSE)</f>
        <v>#N/A</v>
      </c>
      <c r="O87" s="68"/>
      <c r="P87" s="65" t="e">
        <f>IF(Q87="Watts",COS(RADIANS(VLOOKUP($C87,Data!$A$12:$AA$211,21,FALSE))),SIN(RADIANS(VLOOKUP($C87,Data!$A$12:$AA$211,21,FALSE))))</f>
        <v>#N/A</v>
      </c>
      <c r="Q87" s="313" t="e">
        <f>VLOOKUP($C87,Data!$A$12:$AA$211,13,FALSE)</f>
        <v>#N/A</v>
      </c>
      <c r="R87" s="65" t="e">
        <f>IF(SIGN(VLOOKUP($C87,Data!$A$12:$AA$211,21,FALSE))=1,"lead","lag")</f>
        <v>#N/A</v>
      </c>
      <c r="S87">
        <v>1</v>
      </c>
      <c r="T87" s="17"/>
      <c r="U87" s="17"/>
      <c r="AA87" s="22"/>
      <c r="AB87" s="17"/>
      <c r="AC87" s="17"/>
      <c r="AD87" s="23"/>
      <c r="AE87" s="23"/>
      <c r="AF87" s="17"/>
      <c r="AG87" s="17"/>
    </row>
    <row r="88" spans="3:33" x14ac:dyDescent="0.2">
      <c r="C88" s="54"/>
      <c r="D88" s="71" t="e">
        <f>VLOOKUP($C88,Data!$A$12:$AA$211,16,FALSE)</f>
        <v>#N/A</v>
      </c>
      <c r="E88" s="71" t="e">
        <f t="shared" si="20"/>
        <v>#N/A</v>
      </c>
      <c r="F88" s="71" t="e">
        <f t="shared" si="21"/>
        <v>#N/A</v>
      </c>
      <c r="G88" s="314" t="e">
        <f>VLOOKUP($C88,Data!$A$12:$AA$211,19,FALSE)</f>
        <v>#N/A</v>
      </c>
      <c r="H88" s="315" t="e">
        <f>VLOOKUP($C88,Data!$A$12:$AA$211,20,FALSE)</f>
        <v>#N/A</v>
      </c>
      <c r="I88" s="316" t="e">
        <f t="shared" si="22"/>
        <v>#N/A</v>
      </c>
      <c r="J88" s="315" t="e">
        <f>ABS(VLOOKUP($C88,Data!$A$12:$AA$211,26,FALSE))/IF(D88=123,3,1)</f>
        <v>#N/A</v>
      </c>
      <c r="K88" s="318" t="e">
        <f>VLOOKUP($C88,Data!$A$12:$AA$211,23,FALSE)</f>
        <v>#N/A</v>
      </c>
      <c r="L88" s="318" t="e">
        <f>VLOOKUP($C88,Data!$A$12:$AA$211,24,FALSE)</f>
        <v>#N/A</v>
      </c>
      <c r="M88" s="313" t="e">
        <f>VLOOKUP($C88,Data!$A$12:$AA$211,25,FALSE)</f>
        <v>#N/A</v>
      </c>
      <c r="N88" s="312" t="e">
        <f>VLOOKUP($C88,Data!$A$12:$R$211,18,FALSE)</f>
        <v>#N/A</v>
      </c>
      <c r="O88" s="68"/>
      <c r="P88" s="65" t="e">
        <f>IF(Q88="Watts",COS(RADIANS(VLOOKUP($C88,Data!$A$12:$AA$211,21,FALSE))),SIN(RADIANS(VLOOKUP($C88,Data!$A$12:$AA$211,21,FALSE))))</f>
        <v>#N/A</v>
      </c>
      <c r="Q88" s="313" t="e">
        <f>VLOOKUP($C88,Data!$A$12:$AA$211,13,FALSE)</f>
        <v>#N/A</v>
      </c>
      <c r="R88" s="65" t="e">
        <f>IF(SIGN(VLOOKUP($C88,Data!$A$12:$AA$211,21,FALSE))=1,"lead","lag")</f>
        <v>#N/A</v>
      </c>
      <c r="S88">
        <v>1</v>
      </c>
      <c r="T88" s="17"/>
      <c r="U88" s="17"/>
      <c r="AA88" s="22"/>
      <c r="AB88" s="17"/>
      <c r="AC88" s="17"/>
      <c r="AD88" s="23"/>
      <c r="AE88" s="23"/>
      <c r="AF88" s="17"/>
      <c r="AG88" s="17"/>
    </row>
    <row r="89" spans="3:33" x14ac:dyDescent="0.2">
      <c r="C89" s="54"/>
      <c r="D89" s="71" t="e">
        <f>VLOOKUP($C89,Data!$A$12:$AA$211,16,FALSE)</f>
        <v>#N/A</v>
      </c>
      <c r="E89" s="71" t="e">
        <f t="shared" si="20"/>
        <v>#N/A</v>
      </c>
      <c r="F89" s="71" t="e">
        <f t="shared" si="21"/>
        <v>#N/A</v>
      </c>
      <c r="G89" s="314" t="e">
        <f>VLOOKUP($C89,Data!$A$12:$AA$211,19,FALSE)</f>
        <v>#N/A</v>
      </c>
      <c r="H89" s="315" t="e">
        <f>VLOOKUP($C89,Data!$A$12:$AA$211,20,FALSE)</f>
        <v>#N/A</v>
      </c>
      <c r="I89" s="316" t="e">
        <f t="shared" si="22"/>
        <v>#N/A</v>
      </c>
      <c r="J89" s="315" t="e">
        <f>ABS(VLOOKUP($C89,Data!$A$12:$AA$211,26,FALSE))/IF(D89=123,3,1)</f>
        <v>#N/A</v>
      </c>
      <c r="K89" s="318" t="e">
        <f>VLOOKUP($C89,Data!$A$12:$AA$211,23,FALSE)</f>
        <v>#N/A</v>
      </c>
      <c r="L89" s="318" t="e">
        <f>VLOOKUP($C89,Data!$A$12:$AA$211,24,FALSE)</f>
        <v>#N/A</v>
      </c>
      <c r="M89" s="313" t="e">
        <f>VLOOKUP($C89,Data!$A$12:$AA$211,25,FALSE)</f>
        <v>#N/A</v>
      </c>
      <c r="N89" s="312" t="e">
        <f>VLOOKUP($C89,Data!$A$12:$R$211,18,FALSE)</f>
        <v>#N/A</v>
      </c>
      <c r="O89" s="68"/>
      <c r="P89" s="65" t="e">
        <f>IF(Q89="Watts",COS(RADIANS(VLOOKUP($C89,Data!$A$12:$AA$211,21,FALSE))),SIN(RADIANS(VLOOKUP($C89,Data!$A$12:$AA$211,21,FALSE))))</f>
        <v>#N/A</v>
      </c>
      <c r="Q89" s="313" t="e">
        <f>VLOOKUP($C89,Data!$A$12:$AA$211,13,FALSE)</f>
        <v>#N/A</v>
      </c>
      <c r="R89" s="65" t="e">
        <f>IF(SIGN(VLOOKUP($C89,Data!$A$12:$AA$211,21,FALSE))=1,"lead","lag")</f>
        <v>#N/A</v>
      </c>
      <c r="S89">
        <v>1</v>
      </c>
      <c r="T89" s="17"/>
      <c r="U89" s="17"/>
      <c r="AA89" s="22"/>
      <c r="AB89" s="17"/>
      <c r="AC89" s="17"/>
      <c r="AD89" s="23"/>
      <c r="AE89" s="23"/>
      <c r="AF89" s="17"/>
      <c r="AG89" s="17"/>
    </row>
    <row r="90" spans="3:33" x14ac:dyDescent="0.2">
      <c r="C90" s="54"/>
      <c r="D90" s="71" t="e">
        <f>VLOOKUP($C90,Data!$A$12:$AA$211,16,FALSE)</f>
        <v>#N/A</v>
      </c>
      <c r="E90" s="71" t="e">
        <f t="shared" si="20"/>
        <v>#N/A</v>
      </c>
      <c r="F90" s="71" t="e">
        <f t="shared" si="21"/>
        <v>#N/A</v>
      </c>
      <c r="G90" s="314" t="e">
        <f>VLOOKUP($C90,Data!$A$12:$AA$211,19,FALSE)</f>
        <v>#N/A</v>
      </c>
      <c r="H90" s="315" t="e">
        <f>VLOOKUP($C90,Data!$A$12:$AA$211,20,FALSE)</f>
        <v>#N/A</v>
      </c>
      <c r="I90" s="316" t="e">
        <f t="shared" si="22"/>
        <v>#N/A</v>
      </c>
      <c r="J90" s="315" t="e">
        <f>ABS(VLOOKUP($C90,Data!$A$12:$AA$211,26,FALSE))/IF(D90=123,3,1)</f>
        <v>#N/A</v>
      </c>
      <c r="K90" s="318" t="e">
        <f>VLOOKUP($C90,Data!$A$12:$AA$211,23,FALSE)</f>
        <v>#N/A</v>
      </c>
      <c r="L90" s="318" t="e">
        <f>VLOOKUP($C90,Data!$A$12:$AA$211,24,FALSE)</f>
        <v>#N/A</v>
      </c>
      <c r="M90" s="313" t="e">
        <f>VLOOKUP($C90,Data!$A$12:$AA$211,25,FALSE)</f>
        <v>#N/A</v>
      </c>
      <c r="N90" s="312" t="e">
        <f>VLOOKUP($C90,Data!$A$12:$R$211,18,FALSE)</f>
        <v>#N/A</v>
      </c>
      <c r="O90" s="68"/>
      <c r="P90" s="65" t="e">
        <f>IF(Q90="Watts",COS(RADIANS(VLOOKUP($C90,Data!$A$12:$AA$211,21,FALSE))),SIN(RADIANS(VLOOKUP($C90,Data!$A$12:$AA$211,21,FALSE))))</f>
        <v>#N/A</v>
      </c>
      <c r="Q90" s="313" t="e">
        <f>VLOOKUP($C90,Data!$A$12:$AA$211,13,FALSE)</f>
        <v>#N/A</v>
      </c>
      <c r="R90" s="65" t="e">
        <f>IF(SIGN(VLOOKUP($C90,Data!$A$12:$AA$211,21,FALSE))=1,"lead","lag")</f>
        <v>#N/A</v>
      </c>
      <c r="S90">
        <v>1</v>
      </c>
      <c r="T90" s="17"/>
      <c r="U90" s="17"/>
      <c r="AA90" s="22"/>
      <c r="AB90" s="17"/>
      <c r="AC90" s="17"/>
      <c r="AD90" s="23"/>
      <c r="AE90" s="23"/>
      <c r="AF90" s="17"/>
      <c r="AG90" s="17"/>
    </row>
    <row r="91" spans="3:33" x14ac:dyDescent="0.2">
      <c r="C91" s="54"/>
      <c r="D91" s="71" t="e">
        <f>VLOOKUP($C91,Data!$A$12:$AA$211,16,FALSE)</f>
        <v>#N/A</v>
      </c>
      <c r="E91" s="71" t="e">
        <f t="shared" si="20"/>
        <v>#N/A</v>
      </c>
      <c r="F91" s="71" t="e">
        <f t="shared" si="21"/>
        <v>#N/A</v>
      </c>
      <c r="G91" s="314" t="e">
        <f>VLOOKUP($C91,Data!$A$12:$AA$211,19,FALSE)</f>
        <v>#N/A</v>
      </c>
      <c r="H91" s="315" t="e">
        <f>VLOOKUP($C91,Data!$A$12:$AA$211,20,FALSE)</f>
        <v>#N/A</v>
      </c>
      <c r="I91" s="316" t="e">
        <f t="shared" si="22"/>
        <v>#N/A</v>
      </c>
      <c r="J91" s="315" t="e">
        <f>ABS(VLOOKUP($C91,Data!$A$12:$AA$211,26,FALSE))/IF(D91=123,3,1)</f>
        <v>#N/A</v>
      </c>
      <c r="K91" s="318" t="e">
        <f>VLOOKUP($C91,Data!$A$12:$AA$211,23,FALSE)</f>
        <v>#N/A</v>
      </c>
      <c r="L91" s="318" t="e">
        <f>VLOOKUP($C91,Data!$A$12:$AA$211,24,FALSE)</f>
        <v>#N/A</v>
      </c>
      <c r="M91" s="313" t="e">
        <f>VLOOKUP($C91,Data!$A$12:$AA$211,25,FALSE)</f>
        <v>#N/A</v>
      </c>
      <c r="N91" s="312" t="e">
        <f>VLOOKUP($C91,Data!$A$12:$R$211,18,FALSE)</f>
        <v>#N/A</v>
      </c>
      <c r="O91" s="68"/>
      <c r="P91" s="65" t="e">
        <f>IF(Q91="Watts",COS(RADIANS(VLOOKUP($C91,Data!$A$12:$AA$211,21,FALSE))),SIN(RADIANS(VLOOKUP($C91,Data!$A$12:$AA$211,21,FALSE))))</f>
        <v>#N/A</v>
      </c>
      <c r="Q91" s="313" t="e">
        <f>VLOOKUP($C91,Data!$A$12:$AA$211,13,FALSE)</f>
        <v>#N/A</v>
      </c>
      <c r="R91" s="65" t="e">
        <f>IF(SIGN(VLOOKUP($C91,Data!$A$12:$AA$211,21,FALSE))=1,"lead","lag")</f>
        <v>#N/A</v>
      </c>
      <c r="S91">
        <v>1</v>
      </c>
      <c r="T91" s="17"/>
      <c r="U91" s="17"/>
      <c r="AA91" s="22"/>
      <c r="AB91" s="17"/>
      <c r="AC91" s="17"/>
      <c r="AD91" s="23"/>
      <c r="AE91" s="23"/>
      <c r="AF91" s="17"/>
      <c r="AG91" s="17"/>
    </row>
    <row r="92" spans="3:33" x14ac:dyDescent="0.2">
      <c r="C92" s="54"/>
      <c r="D92" s="71" t="e">
        <f>VLOOKUP($C92,Data!$A$12:$AA$211,16,FALSE)</f>
        <v>#N/A</v>
      </c>
      <c r="E92" s="71" t="e">
        <f t="shared" si="20"/>
        <v>#N/A</v>
      </c>
      <c r="F92" s="71" t="e">
        <f t="shared" si="21"/>
        <v>#N/A</v>
      </c>
      <c r="G92" s="314" t="e">
        <f>VLOOKUP($C92,Data!$A$12:$AA$211,19,FALSE)</f>
        <v>#N/A</v>
      </c>
      <c r="H92" s="315" t="e">
        <f>VLOOKUP($C92,Data!$A$12:$AA$211,20,FALSE)</f>
        <v>#N/A</v>
      </c>
      <c r="I92" s="316" t="e">
        <f t="shared" si="22"/>
        <v>#N/A</v>
      </c>
      <c r="J92" s="315" t="e">
        <f>ABS(VLOOKUP($C92,Data!$A$12:$AA$211,26,FALSE))/IF(D92=123,3,1)</f>
        <v>#N/A</v>
      </c>
      <c r="K92" s="318" t="e">
        <f>VLOOKUP($C92,Data!$A$12:$AA$211,23,FALSE)</f>
        <v>#N/A</v>
      </c>
      <c r="L92" s="318" t="e">
        <f>VLOOKUP($C92,Data!$A$12:$AA$211,24,FALSE)</f>
        <v>#N/A</v>
      </c>
      <c r="M92" s="313" t="e">
        <f>VLOOKUP($C92,Data!$A$12:$AA$211,25,FALSE)</f>
        <v>#N/A</v>
      </c>
      <c r="N92" s="312" t="e">
        <f>VLOOKUP($C92,Data!$A$12:$R$211,18,FALSE)</f>
        <v>#N/A</v>
      </c>
      <c r="O92" s="68"/>
      <c r="P92" s="65" t="e">
        <f>IF(Q92="Watts",COS(RADIANS(VLOOKUP($C92,Data!$A$12:$AA$211,21,FALSE))),SIN(RADIANS(VLOOKUP($C92,Data!$A$12:$AA$211,21,FALSE))))</f>
        <v>#N/A</v>
      </c>
      <c r="Q92" s="313" t="e">
        <f>VLOOKUP($C92,Data!$A$12:$AA$211,13,FALSE)</f>
        <v>#N/A</v>
      </c>
      <c r="R92" s="65" t="e">
        <f>IF(SIGN(VLOOKUP($C92,Data!$A$12:$AA$211,21,FALSE))=1,"lead","lag")</f>
        <v>#N/A</v>
      </c>
      <c r="S92">
        <v>1</v>
      </c>
      <c r="T92" s="17"/>
      <c r="U92" s="17"/>
      <c r="AA92" s="22"/>
      <c r="AB92" s="17"/>
      <c r="AC92" s="17"/>
      <c r="AD92" s="23"/>
      <c r="AE92" s="23"/>
      <c r="AF92" s="17"/>
      <c r="AG92" s="17"/>
    </row>
    <row r="93" spans="3:33" x14ac:dyDescent="0.2">
      <c r="C93" s="54"/>
      <c r="D93" s="71" t="e">
        <f>VLOOKUP($C93,Data!$A$12:$AA$211,16,FALSE)</f>
        <v>#N/A</v>
      </c>
      <c r="E93" s="71" t="e">
        <f t="shared" si="20"/>
        <v>#N/A</v>
      </c>
      <c r="F93" s="71" t="e">
        <f t="shared" si="21"/>
        <v>#N/A</v>
      </c>
      <c r="G93" s="314" t="e">
        <f>VLOOKUP($C93,Data!$A$12:$AA$211,19,FALSE)</f>
        <v>#N/A</v>
      </c>
      <c r="H93" s="315" t="e">
        <f>VLOOKUP($C93,Data!$A$12:$AA$211,20,FALSE)</f>
        <v>#N/A</v>
      </c>
      <c r="I93" s="316" t="e">
        <f t="shared" si="22"/>
        <v>#N/A</v>
      </c>
      <c r="J93" s="315" t="e">
        <f>ABS(VLOOKUP($C93,Data!$A$12:$AA$211,26,FALSE))/IF(D93=123,3,1)</f>
        <v>#N/A</v>
      </c>
      <c r="K93" s="318" t="e">
        <f>VLOOKUP($C93,Data!$A$12:$AA$211,23,FALSE)</f>
        <v>#N/A</v>
      </c>
      <c r="L93" s="318" t="e">
        <f>VLOOKUP($C93,Data!$A$12:$AA$211,24,FALSE)</f>
        <v>#N/A</v>
      </c>
      <c r="M93" s="313" t="e">
        <f>VLOOKUP($C93,Data!$A$12:$AA$211,25,FALSE)</f>
        <v>#N/A</v>
      </c>
      <c r="N93" s="312" t="e">
        <f>VLOOKUP($C93,Data!$A$12:$R$211,18,FALSE)</f>
        <v>#N/A</v>
      </c>
      <c r="O93" s="68"/>
      <c r="P93" s="65" t="e">
        <f>IF(Q93="Watts",COS(RADIANS(VLOOKUP($C93,Data!$A$12:$AA$211,21,FALSE))),SIN(RADIANS(VLOOKUP($C93,Data!$A$12:$AA$211,21,FALSE))))</f>
        <v>#N/A</v>
      </c>
      <c r="Q93" s="313" t="e">
        <f>VLOOKUP($C93,Data!$A$12:$AA$211,13,FALSE)</f>
        <v>#N/A</v>
      </c>
      <c r="R93" s="65" t="e">
        <f>IF(SIGN(VLOOKUP($C93,Data!$A$12:$AA$211,21,FALSE))=1,"lead","lag")</f>
        <v>#N/A</v>
      </c>
      <c r="S93">
        <v>1</v>
      </c>
      <c r="T93" s="17"/>
      <c r="U93" s="17"/>
      <c r="AA93" s="22"/>
      <c r="AB93" s="17"/>
      <c r="AC93" s="17"/>
      <c r="AD93" s="23"/>
      <c r="AE93" s="23"/>
      <c r="AF93" s="17"/>
      <c r="AG93" s="17"/>
    </row>
    <row r="94" spans="3:33" x14ac:dyDescent="0.2">
      <c r="C94" s="54"/>
      <c r="D94" s="71" t="e">
        <f>VLOOKUP($C94,Data!$A$12:$AA$211,16,FALSE)</f>
        <v>#N/A</v>
      </c>
      <c r="E94" s="71" t="e">
        <f t="shared" si="20"/>
        <v>#N/A</v>
      </c>
      <c r="F94" s="71" t="e">
        <f t="shared" si="21"/>
        <v>#N/A</v>
      </c>
      <c r="G94" s="314" t="e">
        <f>VLOOKUP($C94,Data!$A$12:$AA$211,19,FALSE)</f>
        <v>#N/A</v>
      </c>
      <c r="H94" s="315" t="e">
        <f>VLOOKUP($C94,Data!$A$12:$AA$211,20,FALSE)</f>
        <v>#N/A</v>
      </c>
      <c r="I94" s="316" t="e">
        <f t="shared" si="22"/>
        <v>#N/A</v>
      </c>
      <c r="J94" s="315" t="e">
        <f>ABS(VLOOKUP($C94,Data!$A$12:$AA$211,26,FALSE))/IF(D94=123,3,1)</f>
        <v>#N/A</v>
      </c>
      <c r="K94" s="318" t="e">
        <f>VLOOKUP($C94,Data!$A$12:$AA$211,23,FALSE)</f>
        <v>#N/A</v>
      </c>
      <c r="L94" s="318" t="e">
        <f>VLOOKUP($C94,Data!$A$12:$AA$211,24,FALSE)</f>
        <v>#N/A</v>
      </c>
      <c r="M94" s="313" t="e">
        <f>VLOOKUP($C94,Data!$A$12:$AA$211,25,FALSE)</f>
        <v>#N/A</v>
      </c>
      <c r="N94" s="312" t="e">
        <f>VLOOKUP($C94,Data!$A$12:$R$211,18,FALSE)</f>
        <v>#N/A</v>
      </c>
      <c r="O94" s="68"/>
      <c r="P94" s="65" t="e">
        <f>IF(Q94="Watts",COS(RADIANS(VLOOKUP($C94,Data!$A$12:$AA$211,21,FALSE))),SIN(RADIANS(VLOOKUP($C94,Data!$A$12:$AA$211,21,FALSE))))</f>
        <v>#N/A</v>
      </c>
      <c r="Q94" s="313" t="e">
        <f>VLOOKUP($C94,Data!$A$12:$AA$211,13,FALSE)</f>
        <v>#N/A</v>
      </c>
      <c r="R94" s="65" t="e">
        <f>IF(SIGN(VLOOKUP($C94,Data!$A$12:$AA$211,21,FALSE))=1,"lead","lag")</f>
        <v>#N/A</v>
      </c>
      <c r="S94">
        <v>1</v>
      </c>
      <c r="T94" s="17"/>
      <c r="U94" s="17"/>
      <c r="AA94" s="22"/>
      <c r="AB94" s="17"/>
      <c r="AC94" s="17"/>
      <c r="AD94" s="23"/>
      <c r="AE94" s="23"/>
      <c r="AF94" s="17"/>
      <c r="AG94" s="17"/>
    </row>
    <row r="95" spans="3:33" x14ac:dyDescent="0.2">
      <c r="C95" s="54"/>
      <c r="D95" s="71" t="e">
        <f>VLOOKUP($C95,Data!$A$12:$AA$211,16,FALSE)</f>
        <v>#N/A</v>
      </c>
      <c r="E95" s="71" t="e">
        <f t="shared" si="20"/>
        <v>#N/A</v>
      </c>
      <c r="F95" s="71" t="e">
        <f t="shared" si="21"/>
        <v>#N/A</v>
      </c>
      <c r="G95" s="314" t="e">
        <f>VLOOKUP($C95,Data!$A$12:$AA$211,19,FALSE)</f>
        <v>#N/A</v>
      </c>
      <c r="H95" s="315" t="e">
        <f>VLOOKUP($C95,Data!$A$12:$AA$211,20,FALSE)</f>
        <v>#N/A</v>
      </c>
      <c r="I95" s="316" t="e">
        <f t="shared" si="22"/>
        <v>#N/A</v>
      </c>
      <c r="J95" s="315" t="e">
        <f>ABS(VLOOKUP($C95,Data!$A$12:$AA$211,26,FALSE))/IF(D95=123,3,1)</f>
        <v>#N/A</v>
      </c>
      <c r="K95" s="318" t="e">
        <f>VLOOKUP($C95,Data!$A$12:$AA$211,23,FALSE)</f>
        <v>#N/A</v>
      </c>
      <c r="L95" s="318" t="e">
        <f>VLOOKUP($C95,Data!$A$12:$AA$211,24,FALSE)</f>
        <v>#N/A</v>
      </c>
      <c r="M95" s="313" t="e">
        <f>VLOOKUP($C95,Data!$A$12:$AA$211,25,FALSE)</f>
        <v>#N/A</v>
      </c>
      <c r="N95" s="312" t="e">
        <f>VLOOKUP($C95,Data!$A$12:$R$211,18,FALSE)</f>
        <v>#N/A</v>
      </c>
      <c r="O95" s="68"/>
      <c r="P95" s="65" t="e">
        <f>IF(Q95="Watts",COS(RADIANS(VLOOKUP($C95,Data!$A$12:$AA$211,21,FALSE))),SIN(RADIANS(VLOOKUP($C95,Data!$A$12:$AA$211,21,FALSE))))</f>
        <v>#N/A</v>
      </c>
      <c r="Q95" s="313" t="e">
        <f>VLOOKUP($C95,Data!$A$12:$AA$211,13,FALSE)</f>
        <v>#N/A</v>
      </c>
      <c r="R95" s="65" t="e">
        <f>IF(SIGN(VLOOKUP($C95,Data!$A$12:$AA$211,21,FALSE))=1,"lead","lag")</f>
        <v>#N/A</v>
      </c>
      <c r="S95">
        <v>1</v>
      </c>
      <c r="T95" s="17"/>
      <c r="U95" s="17"/>
      <c r="AA95" s="22"/>
      <c r="AB95" s="17"/>
      <c r="AC95" s="17"/>
      <c r="AD95" s="23"/>
      <c r="AE95" s="23"/>
      <c r="AF95" s="17"/>
      <c r="AG95" s="17"/>
    </row>
    <row r="96" spans="3:33" x14ac:dyDescent="0.2">
      <c r="C96" s="54"/>
      <c r="D96" s="71" t="e">
        <f>VLOOKUP($C96,Data!$A$12:$AA$211,16,FALSE)</f>
        <v>#N/A</v>
      </c>
      <c r="E96" s="71" t="e">
        <f t="shared" si="20"/>
        <v>#N/A</v>
      </c>
      <c r="F96" s="71" t="e">
        <f t="shared" si="21"/>
        <v>#N/A</v>
      </c>
      <c r="G96" s="314" t="e">
        <f>VLOOKUP($C96,Data!$A$12:$AA$211,19,FALSE)</f>
        <v>#N/A</v>
      </c>
      <c r="H96" s="315" t="e">
        <f>VLOOKUP($C96,Data!$A$12:$AA$211,20,FALSE)</f>
        <v>#N/A</v>
      </c>
      <c r="I96" s="316" t="e">
        <f t="shared" si="22"/>
        <v>#N/A</v>
      </c>
      <c r="J96" s="315" t="e">
        <f>ABS(VLOOKUP($C96,Data!$A$12:$AA$211,26,FALSE))/IF(D96=123,3,1)</f>
        <v>#N/A</v>
      </c>
      <c r="K96" s="318" t="e">
        <f>VLOOKUP($C96,Data!$A$12:$AA$211,23,FALSE)</f>
        <v>#N/A</v>
      </c>
      <c r="L96" s="318" t="e">
        <f>VLOOKUP($C96,Data!$A$12:$AA$211,24,FALSE)</f>
        <v>#N/A</v>
      </c>
      <c r="M96" s="313" t="e">
        <f>VLOOKUP($C96,Data!$A$12:$AA$211,25,FALSE)</f>
        <v>#N/A</v>
      </c>
      <c r="N96" s="312" t="e">
        <f>VLOOKUP($C96,Data!$A$12:$R$211,18,FALSE)</f>
        <v>#N/A</v>
      </c>
      <c r="O96" s="68"/>
      <c r="P96" s="65" t="e">
        <f>IF(Q96="Watts",COS(RADIANS(VLOOKUP($C96,Data!$A$12:$AA$211,21,FALSE))),SIN(RADIANS(VLOOKUP($C96,Data!$A$12:$AA$211,21,FALSE))))</f>
        <v>#N/A</v>
      </c>
      <c r="Q96" s="313" t="e">
        <f>VLOOKUP($C96,Data!$A$12:$AA$211,13,FALSE)</f>
        <v>#N/A</v>
      </c>
      <c r="R96" s="65" t="e">
        <f>IF(SIGN(VLOOKUP($C96,Data!$A$12:$AA$211,21,FALSE))=1,"lead","lag")</f>
        <v>#N/A</v>
      </c>
      <c r="S96">
        <v>1</v>
      </c>
      <c r="T96" s="17"/>
      <c r="U96" s="17"/>
      <c r="AA96" s="22"/>
      <c r="AB96" s="17"/>
      <c r="AC96" s="17"/>
      <c r="AD96" s="23"/>
      <c r="AE96" s="23"/>
      <c r="AF96" s="17"/>
      <c r="AG96" s="17"/>
    </row>
    <row r="97" spans="3:33" x14ac:dyDescent="0.2">
      <c r="C97" s="54"/>
      <c r="D97" s="71" t="e">
        <f>VLOOKUP($C97,Data!$A$12:$AA$211,16,FALSE)</f>
        <v>#N/A</v>
      </c>
      <c r="E97" s="71" t="e">
        <f t="shared" si="20"/>
        <v>#N/A</v>
      </c>
      <c r="F97" s="71" t="e">
        <f t="shared" si="21"/>
        <v>#N/A</v>
      </c>
      <c r="G97" s="314" t="e">
        <f>VLOOKUP($C97,Data!$A$12:$AA$211,19,FALSE)</f>
        <v>#N/A</v>
      </c>
      <c r="H97" s="315" t="e">
        <f>VLOOKUP($C97,Data!$A$12:$AA$211,20,FALSE)</f>
        <v>#N/A</v>
      </c>
      <c r="I97" s="316" t="e">
        <f t="shared" si="22"/>
        <v>#N/A</v>
      </c>
      <c r="J97" s="315" t="e">
        <f>ABS(VLOOKUP($C97,Data!$A$12:$AA$211,26,FALSE))/IF(D97=123,3,1)</f>
        <v>#N/A</v>
      </c>
      <c r="K97" s="318" t="e">
        <f>VLOOKUP($C97,Data!$A$12:$AA$211,23,FALSE)</f>
        <v>#N/A</v>
      </c>
      <c r="L97" s="318" t="e">
        <f>VLOOKUP($C97,Data!$A$12:$AA$211,24,FALSE)</f>
        <v>#N/A</v>
      </c>
      <c r="M97" s="313" t="e">
        <f>VLOOKUP($C97,Data!$A$12:$AA$211,25,FALSE)</f>
        <v>#N/A</v>
      </c>
      <c r="N97" s="312" t="e">
        <f>VLOOKUP($C97,Data!$A$12:$R$211,18,FALSE)</f>
        <v>#N/A</v>
      </c>
      <c r="O97" s="68"/>
      <c r="P97" s="65" t="e">
        <f>IF(Q97="Watts",COS(RADIANS(VLOOKUP($C97,Data!$A$12:$AA$211,21,FALSE))),SIN(RADIANS(VLOOKUP($C97,Data!$A$12:$AA$211,21,FALSE))))</f>
        <v>#N/A</v>
      </c>
      <c r="Q97" s="313" t="e">
        <f>VLOOKUP($C97,Data!$A$12:$AA$211,13,FALSE)</f>
        <v>#N/A</v>
      </c>
      <c r="R97" s="65" t="e">
        <f>IF(SIGN(VLOOKUP($C97,Data!$A$12:$AA$211,21,FALSE))=1,"lead","lag")</f>
        <v>#N/A</v>
      </c>
      <c r="S97">
        <v>1</v>
      </c>
      <c r="T97" s="17"/>
      <c r="U97" s="17"/>
      <c r="AA97" s="22"/>
      <c r="AB97" s="17"/>
      <c r="AC97" s="17"/>
      <c r="AD97" s="23"/>
      <c r="AE97" s="23"/>
      <c r="AF97" s="17"/>
      <c r="AG97" s="17"/>
    </row>
    <row r="98" spans="3:33" x14ac:dyDescent="0.2">
      <c r="C98" s="54"/>
      <c r="D98" s="71" t="e">
        <f>VLOOKUP($C98,Data!$A$12:$AA$211,16,FALSE)</f>
        <v>#N/A</v>
      </c>
      <c r="E98" s="71" t="e">
        <f t="shared" si="20"/>
        <v>#N/A</v>
      </c>
      <c r="F98" s="71" t="e">
        <f t="shared" si="21"/>
        <v>#N/A</v>
      </c>
      <c r="G98" s="314" t="e">
        <f>VLOOKUP($C98,Data!$A$12:$AA$211,19,FALSE)</f>
        <v>#N/A</v>
      </c>
      <c r="H98" s="315" t="e">
        <f>VLOOKUP($C98,Data!$A$12:$AA$211,20,FALSE)</f>
        <v>#N/A</v>
      </c>
      <c r="I98" s="316" t="e">
        <f t="shared" si="22"/>
        <v>#N/A</v>
      </c>
      <c r="J98" s="315" t="e">
        <f>ABS(VLOOKUP($C98,Data!$A$12:$AA$211,26,FALSE))/IF(D98=123,3,1)</f>
        <v>#N/A</v>
      </c>
      <c r="K98" s="318" t="e">
        <f>VLOOKUP($C98,Data!$A$12:$AA$211,23,FALSE)</f>
        <v>#N/A</v>
      </c>
      <c r="L98" s="318" t="e">
        <f>VLOOKUP($C98,Data!$A$12:$AA$211,24,FALSE)</f>
        <v>#N/A</v>
      </c>
      <c r="M98" s="313" t="e">
        <f>VLOOKUP($C98,Data!$A$12:$AA$211,25,FALSE)</f>
        <v>#N/A</v>
      </c>
      <c r="N98" s="312" t="e">
        <f>VLOOKUP($C98,Data!$A$12:$R$211,18,FALSE)</f>
        <v>#N/A</v>
      </c>
      <c r="O98" s="68"/>
      <c r="P98" s="65" t="e">
        <f>IF(Q98="Watts",COS(RADIANS(VLOOKUP($C98,Data!$A$12:$AA$211,21,FALSE))),SIN(RADIANS(VLOOKUP($C98,Data!$A$12:$AA$211,21,FALSE))))</f>
        <v>#N/A</v>
      </c>
      <c r="Q98" s="313" t="e">
        <f>VLOOKUP($C98,Data!$A$12:$AA$211,13,FALSE)</f>
        <v>#N/A</v>
      </c>
      <c r="R98" s="65" t="e">
        <f>IF(SIGN(VLOOKUP($C98,Data!$A$12:$AA$211,21,FALSE))=1,"lead","lag")</f>
        <v>#N/A</v>
      </c>
      <c r="S98">
        <v>1</v>
      </c>
      <c r="T98" s="17"/>
      <c r="U98" s="17"/>
      <c r="AA98" s="22"/>
      <c r="AB98" s="17"/>
      <c r="AC98" s="17"/>
      <c r="AD98" s="23"/>
      <c r="AE98" s="23"/>
      <c r="AF98" s="17"/>
      <c r="AG98" s="17"/>
    </row>
    <row r="99" spans="3:33" x14ac:dyDescent="0.2">
      <c r="C99" s="54"/>
      <c r="D99" s="71" t="e">
        <f>VLOOKUP($C99,Data!$A$12:$AA$211,16,FALSE)</f>
        <v>#N/A</v>
      </c>
      <c r="E99" s="71" t="e">
        <f t="shared" si="20"/>
        <v>#N/A</v>
      </c>
      <c r="F99" s="71" t="e">
        <f t="shared" si="21"/>
        <v>#N/A</v>
      </c>
      <c r="G99" s="314" t="e">
        <f>VLOOKUP($C99,Data!$A$12:$AA$211,19,FALSE)</f>
        <v>#N/A</v>
      </c>
      <c r="H99" s="315" t="e">
        <f>VLOOKUP($C99,Data!$A$12:$AA$211,20,FALSE)</f>
        <v>#N/A</v>
      </c>
      <c r="I99" s="316" t="e">
        <f t="shared" si="22"/>
        <v>#N/A</v>
      </c>
      <c r="J99" s="317" t="e">
        <f>ABS(VLOOKUP($C99,Data!$A$12:$AA$211,26,FALSE))/IF(D99=123,3,1)</f>
        <v>#N/A</v>
      </c>
      <c r="K99" s="318" t="e">
        <f>VLOOKUP($C99,Data!$A$12:$AA$211,23,FALSE)</f>
        <v>#N/A</v>
      </c>
      <c r="L99" s="318" t="e">
        <f>VLOOKUP($C99,Data!$A$12:$AA$211,24,FALSE)</f>
        <v>#N/A</v>
      </c>
      <c r="M99" s="313" t="e">
        <f>VLOOKUP($C99,Data!$A$12:$AA$211,25,FALSE)</f>
        <v>#N/A</v>
      </c>
      <c r="N99" s="312" t="e">
        <f>VLOOKUP($C99,Data!$A$12:$R$211,18,FALSE)</f>
        <v>#N/A</v>
      </c>
      <c r="O99" s="68"/>
      <c r="P99" s="65" t="e">
        <f>IF(Q99="Watts",COS(RADIANS(VLOOKUP($C99,Data!$A$12:$AA$211,21,FALSE))),SIN(RADIANS(VLOOKUP($C99,Data!$A$12:$AA$211,21,FALSE))))</f>
        <v>#N/A</v>
      </c>
      <c r="Q99" s="313" t="e">
        <f>VLOOKUP($C99,Data!$A$12:$AA$211,13,FALSE)</f>
        <v>#N/A</v>
      </c>
      <c r="R99" s="65" t="e">
        <f>IF(SIGN(VLOOKUP($C99,Data!$A$12:$AA$211,21,FALSE))=1,"lead","lag")</f>
        <v>#N/A</v>
      </c>
      <c r="S99">
        <v>1</v>
      </c>
      <c r="T99" s="17"/>
      <c r="U99" s="17"/>
      <c r="AA99" s="22"/>
      <c r="AB99" s="17"/>
      <c r="AC99" s="17"/>
      <c r="AD99" s="23"/>
      <c r="AE99" s="23"/>
      <c r="AF99" s="17"/>
      <c r="AG99" s="17"/>
    </row>
    <row r="100" spans="3:33" x14ac:dyDescent="0.2">
      <c r="C100" s="54"/>
      <c r="D100" s="71" t="e">
        <f>VLOOKUP($C100,Data!$A$12:$AA$211,16,FALSE)</f>
        <v>#N/A</v>
      </c>
      <c r="E100" s="71" t="e">
        <f t="shared" si="20"/>
        <v>#N/A</v>
      </c>
      <c r="F100" s="71" t="e">
        <f t="shared" si="21"/>
        <v>#N/A</v>
      </c>
      <c r="G100" s="314" t="e">
        <f>VLOOKUP($C100,Data!$A$12:$AA$211,19,FALSE)</f>
        <v>#N/A</v>
      </c>
      <c r="H100" s="315" t="e">
        <f>VLOOKUP($C100,Data!$A$12:$AA$211,20,FALSE)</f>
        <v>#N/A</v>
      </c>
      <c r="I100" s="316" t="e">
        <f t="shared" si="22"/>
        <v>#N/A</v>
      </c>
      <c r="J100" s="317" t="e">
        <f>ABS(VLOOKUP($C100,Data!$A$12:$AA$211,26,FALSE))/IF(D100=123,3,1)</f>
        <v>#N/A</v>
      </c>
      <c r="K100" s="318" t="e">
        <f>VLOOKUP($C100,Data!$A$12:$AA$211,23,FALSE)</f>
        <v>#N/A</v>
      </c>
      <c r="L100" s="318" t="e">
        <f>VLOOKUP($C100,Data!$A$12:$AA$211,24,FALSE)</f>
        <v>#N/A</v>
      </c>
      <c r="M100" s="313" t="e">
        <f>VLOOKUP($C100,Data!$A$12:$AA$211,25,FALSE)</f>
        <v>#N/A</v>
      </c>
      <c r="N100" s="312" t="e">
        <f>VLOOKUP($C100,Data!$A$12:$R$211,18,FALSE)</f>
        <v>#N/A</v>
      </c>
      <c r="O100" s="68"/>
      <c r="P100" s="65" t="e">
        <f>IF(Q100="Watts",COS(RADIANS(VLOOKUP($C100,Data!$A$12:$AA$211,21,FALSE))),SIN(RADIANS(VLOOKUP($C100,Data!$A$12:$AA$211,21,FALSE))))</f>
        <v>#N/A</v>
      </c>
      <c r="Q100" s="313" t="e">
        <f>VLOOKUP($C100,Data!$A$12:$AA$211,13,FALSE)</f>
        <v>#N/A</v>
      </c>
      <c r="R100" s="65" t="e">
        <f>IF(SIGN(VLOOKUP($C100,Data!$A$12:$AA$211,21,FALSE))=1,"lead","lag")</f>
        <v>#N/A</v>
      </c>
      <c r="S100">
        <v>1</v>
      </c>
      <c r="T100" s="17"/>
      <c r="U100" s="17"/>
      <c r="AA100" s="22"/>
      <c r="AB100" s="17"/>
      <c r="AC100" s="17"/>
      <c r="AD100" s="23"/>
      <c r="AE100" s="23"/>
      <c r="AF100" s="17"/>
      <c r="AG100" s="17"/>
    </row>
    <row r="101" spans="3:33" x14ac:dyDescent="0.2">
      <c r="C101" s="54"/>
      <c r="D101" s="71" t="e">
        <f>VLOOKUP($C101,Data!$A$12:$AA$211,16,FALSE)</f>
        <v>#N/A</v>
      </c>
      <c r="E101" s="71" t="e">
        <f t="shared" si="20"/>
        <v>#N/A</v>
      </c>
      <c r="F101" s="71" t="e">
        <f t="shared" si="21"/>
        <v>#N/A</v>
      </c>
      <c r="G101" s="314" t="e">
        <f>VLOOKUP($C101,Data!$A$12:$AA$211,19,FALSE)</f>
        <v>#N/A</v>
      </c>
      <c r="H101" s="315" t="e">
        <f>VLOOKUP($C101,Data!$A$12:$AA$211,20,FALSE)</f>
        <v>#N/A</v>
      </c>
      <c r="I101" s="316" t="e">
        <f t="shared" si="22"/>
        <v>#N/A</v>
      </c>
      <c r="J101" s="317" t="e">
        <f>ABS(VLOOKUP($C101,Data!$A$12:$AA$211,26,FALSE))/IF(D101=123,3,1)</f>
        <v>#N/A</v>
      </c>
      <c r="K101" s="318" t="e">
        <f>VLOOKUP($C101,Data!$A$12:$AA$211,23,FALSE)</f>
        <v>#N/A</v>
      </c>
      <c r="L101" s="318" t="e">
        <f>VLOOKUP($C101,Data!$A$12:$AA$211,24,FALSE)</f>
        <v>#N/A</v>
      </c>
      <c r="M101" s="313" t="e">
        <f>VLOOKUP($C101,Data!$A$12:$AA$211,25,FALSE)</f>
        <v>#N/A</v>
      </c>
      <c r="N101" s="312" t="e">
        <f>VLOOKUP($C101,Data!$A$12:$R$211,18,FALSE)</f>
        <v>#N/A</v>
      </c>
      <c r="O101" s="68"/>
      <c r="P101" s="65" t="e">
        <f>IF(Q101="Watts",COS(RADIANS(VLOOKUP($C101,Data!$A$12:$AA$211,21,FALSE))),SIN(RADIANS(VLOOKUP($C101,Data!$A$12:$AA$211,21,FALSE))))</f>
        <v>#N/A</v>
      </c>
      <c r="Q101" s="313" t="e">
        <f>VLOOKUP($C101,Data!$A$12:$AA$211,13,FALSE)</f>
        <v>#N/A</v>
      </c>
      <c r="R101" s="65" t="e">
        <f>IF(SIGN(VLOOKUP($C101,Data!$A$12:$AA$211,21,FALSE))=1,"lead","lag")</f>
        <v>#N/A</v>
      </c>
      <c r="S101">
        <v>1</v>
      </c>
      <c r="T101" s="17"/>
      <c r="U101" s="17"/>
      <c r="AA101" s="22"/>
      <c r="AB101" s="17"/>
      <c r="AC101" s="17"/>
      <c r="AD101" s="23"/>
      <c r="AE101" s="23"/>
      <c r="AF101" s="17"/>
      <c r="AG101" s="17"/>
    </row>
    <row r="102" spans="3:33" x14ac:dyDescent="0.2">
      <c r="C102" s="54"/>
      <c r="D102" s="71" t="e">
        <f>VLOOKUP($C102,Data!$A$12:$AA$211,16,FALSE)</f>
        <v>#N/A</v>
      </c>
      <c r="E102" s="71" t="e">
        <f t="shared" si="20"/>
        <v>#N/A</v>
      </c>
      <c r="F102" s="71" t="e">
        <f t="shared" si="21"/>
        <v>#N/A</v>
      </c>
      <c r="G102" s="314" t="e">
        <f>VLOOKUP($C102,Data!$A$12:$AA$211,19,FALSE)</f>
        <v>#N/A</v>
      </c>
      <c r="H102" s="315" t="e">
        <f>VLOOKUP($C102,Data!$A$12:$AA$211,20,FALSE)</f>
        <v>#N/A</v>
      </c>
      <c r="I102" s="316" t="e">
        <f t="shared" si="22"/>
        <v>#N/A</v>
      </c>
      <c r="J102" s="317" t="e">
        <f>ABS(VLOOKUP($C102,Data!$A$12:$AA$211,26,FALSE))/IF(D102=123,3,1)</f>
        <v>#N/A</v>
      </c>
      <c r="K102" s="318" t="e">
        <f>VLOOKUP($C102,Data!$A$12:$AA$211,23,FALSE)</f>
        <v>#N/A</v>
      </c>
      <c r="L102" s="318" t="e">
        <f>VLOOKUP($C102,Data!$A$12:$AA$211,24,FALSE)</f>
        <v>#N/A</v>
      </c>
      <c r="M102" s="313" t="e">
        <f>VLOOKUP($C102,Data!$A$12:$AA$211,25,FALSE)</f>
        <v>#N/A</v>
      </c>
      <c r="N102" s="312" t="e">
        <f>VLOOKUP($C102,Data!$A$12:$R$211,18,FALSE)</f>
        <v>#N/A</v>
      </c>
      <c r="O102" s="68"/>
      <c r="P102" s="65" t="e">
        <f>IF(Q102="Watts",COS(RADIANS(VLOOKUP($C102,Data!$A$12:$AA$211,21,FALSE))),SIN(RADIANS(VLOOKUP($C102,Data!$A$12:$AA$211,21,FALSE))))</f>
        <v>#N/A</v>
      </c>
      <c r="Q102" s="313" t="e">
        <f>VLOOKUP($C102,Data!$A$12:$AA$211,13,FALSE)</f>
        <v>#N/A</v>
      </c>
      <c r="R102" s="65" t="e">
        <f>IF(SIGN(VLOOKUP($C102,Data!$A$12:$AA$211,21,FALSE))=1,"lead","lag")</f>
        <v>#N/A</v>
      </c>
      <c r="S102">
        <v>1</v>
      </c>
      <c r="T102" s="17"/>
      <c r="U102" s="17"/>
      <c r="AA102" s="22"/>
      <c r="AB102" s="17"/>
      <c r="AC102" s="17"/>
      <c r="AD102" s="23"/>
      <c r="AE102" s="23"/>
      <c r="AF102" s="17"/>
      <c r="AG102" s="17"/>
    </row>
    <row r="103" spans="3:33" x14ac:dyDescent="0.2">
      <c r="C103" s="54"/>
      <c r="D103" s="71" t="e">
        <f>VLOOKUP($C103,Data!$A$12:$AA$211,16,FALSE)</f>
        <v>#N/A</v>
      </c>
      <c r="E103" s="71" t="e">
        <f t="shared" si="20"/>
        <v>#N/A</v>
      </c>
      <c r="F103" s="71" t="e">
        <f t="shared" si="21"/>
        <v>#N/A</v>
      </c>
      <c r="G103" s="314" t="e">
        <f>VLOOKUP($C103,Data!$A$12:$AA$211,19,FALSE)</f>
        <v>#N/A</v>
      </c>
      <c r="H103" s="315" t="e">
        <f>VLOOKUP($C103,Data!$A$12:$AA$211,20,FALSE)</f>
        <v>#N/A</v>
      </c>
      <c r="I103" s="316" t="e">
        <f t="shared" si="22"/>
        <v>#N/A</v>
      </c>
      <c r="J103" s="317" t="e">
        <f>ABS(VLOOKUP($C103,Data!$A$12:$AA$211,26,FALSE))/IF(D103=123,3,1)</f>
        <v>#N/A</v>
      </c>
      <c r="K103" s="318" t="e">
        <f>VLOOKUP($C103,Data!$A$12:$AA$211,23,FALSE)</f>
        <v>#N/A</v>
      </c>
      <c r="L103" s="318" t="e">
        <f>VLOOKUP($C103,Data!$A$12:$AA$211,24,FALSE)</f>
        <v>#N/A</v>
      </c>
      <c r="M103" s="313" t="e">
        <f>VLOOKUP($C103,Data!$A$12:$AA$211,25,FALSE)</f>
        <v>#N/A</v>
      </c>
      <c r="N103" s="312" t="e">
        <f>VLOOKUP($C103,Data!$A$12:$R$211,18,FALSE)</f>
        <v>#N/A</v>
      </c>
      <c r="O103" s="68"/>
      <c r="P103" s="65" t="e">
        <f>IF(Q103="Watts",COS(RADIANS(VLOOKUP($C103,Data!$A$12:$AA$211,21,FALSE))),SIN(RADIANS(VLOOKUP($C103,Data!$A$12:$AA$211,21,FALSE))))</f>
        <v>#N/A</v>
      </c>
      <c r="Q103" s="313" t="e">
        <f>VLOOKUP($C103,Data!$A$12:$AA$211,13,FALSE)</f>
        <v>#N/A</v>
      </c>
      <c r="R103" s="65" t="e">
        <f>IF(SIGN(VLOOKUP($C103,Data!$A$12:$AA$211,21,FALSE))=1,"lead","lag")</f>
        <v>#N/A</v>
      </c>
      <c r="S103">
        <v>1</v>
      </c>
      <c r="T103" s="17"/>
      <c r="U103" s="17"/>
      <c r="AA103" s="22"/>
      <c r="AB103" s="17"/>
      <c r="AC103" s="17"/>
      <c r="AD103" s="23"/>
      <c r="AE103" s="23"/>
      <c r="AF103" s="17"/>
      <c r="AG103" s="17"/>
    </row>
    <row r="104" spans="3:33" x14ac:dyDescent="0.2">
      <c r="C104" s="54"/>
      <c r="D104" s="71" t="e">
        <f>VLOOKUP($C104,Data!$A$12:$AA$211,16,FALSE)</f>
        <v>#N/A</v>
      </c>
      <c r="E104" s="71" t="e">
        <f t="shared" si="20"/>
        <v>#N/A</v>
      </c>
      <c r="F104" s="71" t="e">
        <f t="shared" si="21"/>
        <v>#N/A</v>
      </c>
      <c r="G104" s="314" t="e">
        <f>VLOOKUP($C104,Data!$A$12:$AA$211,19,FALSE)</f>
        <v>#N/A</v>
      </c>
      <c r="H104" s="315" t="e">
        <f>VLOOKUP($C104,Data!$A$12:$AA$211,20,FALSE)</f>
        <v>#N/A</v>
      </c>
      <c r="I104" s="316" t="e">
        <f t="shared" si="22"/>
        <v>#N/A</v>
      </c>
      <c r="J104" s="317" t="e">
        <f>ABS(VLOOKUP($C104,Data!$A$12:$AA$211,26,FALSE))/IF(D104=123,3,1)</f>
        <v>#N/A</v>
      </c>
      <c r="K104" s="318" t="e">
        <f>VLOOKUP($C104,Data!$A$12:$AA$211,23,FALSE)</f>
        <v>#N/A</v>
      </c>
      <c r="L104" s="318" t="e">
        <f>VLOOKUP($C104,Data!$A$12:$AA$211,24,FALSE)</f>
        <v>#N/A</v>
      </c>
      <c r="M104" s="313" t="e">
        <f>VLOOKUP($C104,Data!$A$12:$AA$211,25,FALSE)</f>
        <v>#N/A</v>
      </c>
      <c r="N104" s="312" t="e">
        <f>VLOOKUP($C104,Data!$A$12:$R$211,18,FALSE)</f>
        <v>#N/A</v>
      </c>
      <c r="O104" s="68"/>
      <c r="P104" s="65" t="e">
        <f>IF(Q104="Watts",COS(RADIANS(VLOOKUP($C104,Data!$A$12:$AA$211,21,FALSE))),SIN(RADIANS(VLOOKUP($C104,Data!$A$12:$AA$211,21,FALSE))))</f>
        <v>#N/A</v>
      </c>
      <c r="Q104" s="313" t="e">
        <f>VLOOKUP($C104,Data!$A$12:$AA$211,13,FALSE)</f>
        <v>#N/A</v>
      </c>
      <c r="R104" s="65" t="e">
        <f>IF(SIGN(VLOOKUP($C104,Data!$A$12:$AA$211,21,FALSE))=1,"lead","lag")</f>
        <v>#N/A</v>
      </c>
      <c r="S104">
        <v>1</v>
      </c>
      <c r="T104" s="17"/>
      <c r="U104" s="17"/>
      <c r="AA104" s="22"/>
      <c r="AB104" s="17"/>
      <c r="AC104" s="17"/>
      <c r="AD104" s="23"/>
      <c r="AE104" s="23"/>
      <c r="AF104" s="17"/>
      <c r="AG104" s="17"/>
    </row>
    <row r="105" spans="3:33" x14ac:dyDescent="0.2">
      <c r="C105" s="54"/>
      <c r="D105" s="71" t="e">
        <f>VLOOKUP($C105,Data!$A$12:$AA$211,16,FALSE)</f>
        <v>#N/A</v>
      </c>
      <c r="E105" s="71" t="e">
        <f t="shared" si="20"/>
        <v>#N/A</v>
      </c>
      <c r="F105" s="71" t="e">
        <f t="shared" si="21"/>
        <v>#N/A</v>
      </c>
      <c r="G105" s="314" t="e">
        <f>VLOOKUP($C105,Data!$A$12:$AA$211,19,FALSE)</f>
        <v>#N/A</v>
      </c>
      <c r="H105" s="315" t="e">
        <f>VLOOKUP($C105,Data!$A$12:$AA$211,20,FALSE)</f>
        <v>#N/A</v>
      </c>
      <c r="I105" s="316" t="e">
        <f t="shared" si="22"/>
        <v>#N/A</v>
      </c>
      <c r="J105" s="317" t="e">
        <f>ABS(VLOOKUP($C105,Data!$A$12:$AA$211,26,FALSE))/IF(D105=123,3,1)</f>
        <v>#N/A</v>
      </c>
      <c r="K105" s="318" t="e">
        <f>VLOOKUP($C105,Data!$A$12:$AA$211,23,FALSE)</f>
        <v>#N/A</v>
      </c>
      <c r="L105" s="318" t="e">
        <f>VLOOKUP($C105,Data!$A$12:$AA$211,24,FALSE)</f>
        <v>#N/A</v>
      </c>
      <c r="M105" s="313" t="e">
        <f>VLOOKUP($C105,Data!$A$12:$AA$211,25,FALSE)</f>
        <v>#N/A</v>
      </c>
      <c r="N105" s="312" t="e">
        <f>VLOOKUP($C105,Data!$A$12:$R$211,18,FALSE)</f>
        <v>#N/A</v>
      </c>
      <c r="O105" s="68"/>
      <c r="P105" s="65" t="e">
        <f>IF(Q105="Watts",COS(RADIANS(VLOOKUP($C105,Data!$A$12:$AA$211,21,FALSE))),SIN(RADIANS(VLOOKUP($C105,Data!$A$12:$AA$211,21,FALSE))))</f>
        <v>#N/A</v>
      </c>
      <c r="Q105" s="313" t="e">
        <f>VLOOKUP($C105,Data!$A$12:$AA$211,13,FALSE)</f>
        <v>#N/A</v>
      </c>
      <c r="R105" s="65" t="e">
        <f>IF(SIGN(VLOOKUP($C105,Data!$A$12:$AA$211,21,FALSE))=1,"lead","lag")</f>
        <v>#N/A</v>
      </c>
      <c r="S105">
        <v>1</v>
      </c>
      <c r="T105" s="17"/>
      <c r="U105" s="17"/>
      <c r="AA105" s="22"/>
      <c r="AB105" s="17"/>
      <c r="AC105" s="17"/>
      <c r="AD105" s="23"/>
      <c r="AE105" s="23"/>
      <c r="AF105" s="17"/>
      <c r="AG105" s="17"/>
    </row>
    <row r="106" spans="3:33" x14ac:dyDescent="0.2">
      <c r="C106" s="54"/>
      <c r="D106" s="71" t="e">
        <f>VLOOKUP($C106,Data!$A$12:$AA$211,16,FALSE)</f>
        <v>#N/A</v>
      </c>
      <c r="E106" s="71" t="e">
        <f t="shared" si="20"/>
        <v>#N/A</v>
      </c>
      <c r="F106" s="71" t="e">
        <f t="shared" si="21"/>
        <v>#N/A</v>
      </c>
      <c r="G106" s="314" t="e">
        <f>VLOOKUP($C106,Data!$A$12:$AA$211,19,FALSE)</f>
        <v>#N/A</v>
      </c>
      <c r="H106" s="315" t="e">
        <f>VLOOKUP($C106,Data!$A$12:$AA$211,20,FALSE)</f>
        <v>#N/A</v>
      </c>
      <c r="I106" s="316" t="e">
        <f t="shared" si="22"/>
        <v>#N/A</v>
      </c>
      <c r="J106" s="317" t="e">
        <f>ABS(VLOOKUP($C106,Data!$A$12:$AA$211,26,FALSE))/IF(D106=123,3,1)</f>
        <v>#N/A</v>
      </c>
      <c r="K106" s="318" t="e">
        <f>VLOOKUP($C106,Data!$A$12:$AA$211,23,FALSE)</f>
        <v>#N/A</v>
      </c>
      <c r="L106" s="318" t="e">
        <f>VLOOKUP($C106,Data!$A$12:$AA$211,24,FALSE)</f>
        <v>#N/A</v>
      </c>
      <c r="M106" s="313" t="e">
        <f>VLOOKUP($C106,Data!$A$12:$AA$211,25,FALSE)</f>
        <v>#N/A</v>
      </c>
      <c r="N106" s="312" t="e">
        <f>VLOOKUP($C106,Data!$A$12:$R$211,18,FALSE)</f>
        <v>#N/A</v>
      </c>
      <c r="O106" s="68"/>
      <c r="P106" s="65" t="e">
        <f>IF(Q106="Watts",COS(RADIANS(VLOOKUP($C106,Data!$A$12:$AA$211,21,FALSE))),SIN(RADIANS(VLOOKUP($C106,Data!$A$12:$AA$211,21,FALSE))))</f>
        <v>#N/A</v>
      </c>
      <c r="Q106" s="313" t="e">
        <f>VLOOKUP($C106,Data!$A$12:$AA$211,13,FALSE)</f>
        <v>#N/A</v>
      </c>
      <c r="R106" s="65" t="e">
        <f>IF(SIGN(VLOOKUP($C106,Data!$A$12:$AA$211,21,FALSE))=1,"lead","lag")</f>
        <v>#N/A</v>
      </c>
      <c r="S106">
        <v>1</v>
      </c>
      <c r="T106" s="17"/>
      <c r="U106" s="17"/>
      <c r="AA106" s="22"/>
      <c r="AB106" s="17"/>
      <c r="AC106" s="17"/>
      <c r="AD106" s="23"/>
      <c r="AE106" s="23"/>
      <c r="AF106" s="17"/>
      <c r="AG106" s="17"/>
    </row>
    <row r="107" spans="3:33" x14ac:dyDescent="0.2">
      <c r="C107" s="54"/>
      <c r="D107" s="71" t="e">
        <f>VLOOKUP($C107,Data!$A$12:$AA$211,16,FALSE)</f>
        <v>#N/A</v>
      </c>
      <c r="E107" s="71" t="e">
        <f t="shared" si="20"/>
        <v>#N/A</v>
      </c>
      <c r="F107" s="71" t="e">
        <f t="shared" si="21"/>
        <v>#N/A</v>
      </c>
      <c r="G107" s="314" t="e">
        <f>VLOOKUP($C107,Data!$A$12:$AA$211,19,FALSE)</f>
        <v>#N/A</v>
      </c>
      <c r="H107" s="315" t="e">
        <f>VLOOKUP($C107,Data!$A$12:$AA$211,20,FALSE)</f>
        <v>#N/A</v>
      </c>
      <c r="I107" s="316" t="e">
        <f t="shared" si="22"/>
        <v>#N/A</v>
      </c>
      <c r="J107" s="317" t="e">
        <f>ABS(VLOOKUP($C107,Data!$A$12:$AA$211,26,FALSE))/IF(D107=123,3,1)</f>
        <v>#N/A</v>
      </c>
      <c r="K107" s="318" t="e">
        <f>VLOOKUP($C107,Data!$A$12:$AA$211,23,FALSE)</f>
        <v>#N/A</v>
      </c>
      <c r="L107" s="318" t="e">
        <f>VLOOKUP($C107,Data!$A$12:$AA$211,24,FALSE)</f>
        <v>#N/A</v>
      </c>
      <c r="M107" s="313" t="e">
        <f>VLOOKUP($C107,Data!$A$12:$AA$211,25,FALSE)</f>
        <v>#N/A</v>
      </c>
      <c r="N107" s="312" t="e">
        <f>VLOOKUP($C107,Data!$A$12:$R$211,18,FALSE)</f>
        <v>#N/A</v>
      </c>
      <c r="O107" s="68"/>
      <c r="P107" s="65" t="e">
        <f>IF(Q107="Watts",COS(RADIANS(VLOOKUP($C107,Data!$A$12:$AA$211,21,FALSE))),SIN(RADIANS(VLOOKUP($C107,Data!$A$12:$AA$211,21,FALSE))))</f>
        <v>#N/A</v>
      </c>
      <c r="Q107" s="313" t="e">
        <f>VLOOKUP($C107,Data!$A$12:$AA$211,13,FALSE)</f>
        <v>#N/A</v>
      </c>
      <c r="R107" s="65" t="e">
        <f>IF(SIGN(VLOOKUP($C107,Data!$A$12:$AA$211,21,FALSE))=1,"lead","lag")</f>
        <v>#N/A</v>
      </c>
      <c r="S107">
        <v>1</v>
      </c>
      <c r="T107" s="17"/>
      <c r="U107" s="17"/>
      <c r="AA107" s="22"/>
      <c r="AB107" s="17"/>
      <c r="AC107" s="17"/>
      <c r="AD107" s="23"/>
      <c r="AE107" s="23"/>
      <c r="AF107" s="17"/>
      <c r="AG107" s="17"/>
    </row>
    <row r="108" spans="3:33" x14ac:dyDescent="0.2">
      <c r="C108" s="54"/>
      <c r="D108" s="71" t="e">
        <f>VLOOKUP($C108,Data!$A$12:$AA$211,16,FALSE)</f>
        <v>#N/A</v>
      </c>
      <c r="E108" s="71" t="e">
        <f>LEFT(N108,FIND(",",N108)-1)</f>
        <v>#N/A</v>
      </c>
      <c r="F108" s="71" t="e">
        <f>MID(N108,FIND(",",N108)+1,7)</f>
        <v>#N/A</v>
      </c>
      <c r="G108" s="314" t="e">
        <f>VLOOKUP($C108,Data!$A$12:$AA$211,19,FALSE)</f>
        <v>#N/A</v>
      </c>
      <c r="H108" s="315" t="e">
        <f>VLOOKUP($C108,Data!$A$12:$AA$211,20,FALSE)</f>
        <v>#N/A</v>
      </c>
      <c r="I108" s="316" t="e">
        <f>IF(P108&gt;0.95,"1",ROUND(P108,S108)&amp;" "&amp;R108)</f>
        <v>#N/A</v>
      </c>
      <c r="J108" s="317" t="e">
        <f>ABS(VLOOKUP($C108,Data!$A$12:$AA$211,26,FALSE))/IF(D108=123,3,1)</f>
        <v>#N/A</v>
      </c>
      <c r="K108" s="318" t="e">
        <f>VLOOKUP($C108,Data!$A$12:$AA$211,23,FALSE)</f>
        <v>#N/A</v>
      </c>
      <c r="L108" s="318" t="e">
        <f>VLOOKUP($C108,Data!$A$12:$AA$211,24,FALSE)</f>
        <v>#N/A</v>
      </c>
      <c r="M108" s="313" t="e">
        <f>VLOOKUP($C108,Data!$A$12:$AA$211,25,FALSE)</f>
        <v>#N/A</v>
      </c>
      <c r="N108" s="312" t="e">
        <f>VLOOKUP($C108,Data!$A$12:$R$211,18,FALSE)</f>
        <v>#N/A</v>
      </c>
      <c r="O108" s="68"/>
      <c r="P108" s="65" t="e">
        <f>IF(Q108="Watts",COS(RADIANS(VLOOKUP($C108,Data!$A$12:$AA$211,21,FALSE))),SIN(RADIANS(VLOOKUP($C108,Data!$A$12:$AA$211,21,FALSE))))</f>
        <v>#N/A</v>
      </c>
      <c r="Q108" s="313" t="e">
        <f>VLOOKUP($C108,Data!$A$12:$AA$211,13,FALSE)</f>
        <v>#N/A</v>
      </c>
      <c r="R108" s="65" t="e">
        <f>IF(SIGN(VLOOKUP($C108,Data!$A$12:$AA$211,21,FALSE))=1,"lead","lag")</f>
        <v>#N/A</v>
      </c>
      <c r="S108">
        <v>1</v>
      </c>
      <c r="T108" s="17"/>
      <c r="U108" s="17"/>
      <c r="AA108" s="22"/>
      <c r="AB108" s="17"/>
      <c r="AC108" s="17"/>
      <c r="AD108" s="23"/>
      <c r="AE108" s="23"/>
      <c r="AF108" s="17"/>
      <c r="AG108" s="17"/>
    </row>
    <row r="109" spans="3:33" x14ac:dyDescent="0.2">
      <c r="C109" s="54"/>
      <c r="D109" s="73"/>
      <c r="E109" s="73"/>
      <c r="F109" s="73"/>
      <c r="G109" s="320"/>
      <c r="H109" s="321"/>
      <c r="I109" s="320"/>
      <c r="J109" s="332"/>
      <c r="K109" s="323"/>
      <c r="L109" s="323"/>
      <c r="M109" s="324"/>
      <c r="N109" s="7"/>
      <c r="O109" s="68"/>
      <c r="P109" s="65"/>
      <c r="Q109" s="313"/>
      <c r="R109" s="65"/>
      <c r="T109" s="17"/>
      <c r="U109" s="17"/>
      <c r="AA109" s="22"/>
      <c r="AB109" s="17"/>
      <c r="AC109" s="17"/>
      <c r="AD109" s="23"/>
      <c r="AE109" s="23"/>
      <c r="AF109" s="17"/>
      <c r="AG109" s="17"/>
    </row>
    <row r="110" spans="3:33" x14ac:dyDescent="0.2">
      <c r="C110" s="54"/>
      <c r="D110" s="65"/>
      <c r="E110" s="65"/>
      <c r="F110" s="65"/>
      <c r="G110" s="65"/>
      <c r="H110" s="315"/>
      <c r="I110" s="65"/>
      <c r="J110" s="325"/>
      <c r="K110" s="317"/>
      <c r="L110" s="317"/>
      <c r="M110" s="65"/>
      <c r="N110" s="7"/>
      <c r="O110" s="68"/>
      <c r="P110" s="65"/>
      <c r="Q110" s="313"/>
      <c r="R110" s="65"/>
      <c r="T110" s="17"/>
      <c r="U110" s="17"/>
      <c r="AA110" s="22"/>
      <c r="AB110" s="17"/>
      <c r="AC110" s="17"/>
      <c r="AD110" s="23"/>
      <c r="AE110" s="23"/>
      <c r="AF110" s="17"/>
      <c r="AG110" s="17"/>
    </row>
    <row r="111" spans="3:33" x14ac:dyDescent="0.2">
      <c r="C111" s="54"/>
      <c r="D111" s="65"/>
      <c r="E111" s="65"/>
      <c r="F111" s="65"/>
      <c r="G111" s="65"/>
      <c r="H111" s="315"/>
      <c r="I111" s="65"/>
      <c r="J111" s="325"/>
      <c r="K111" s="317"/>
      <c r="L111" s="317"/>
      <c r="M111" s="65"/>
      <c r="N111" s="7"/>
      <c r="O111" s="68"/>
      <c r="P111" s="65"/>
      <c r="Q111" s="313"/>
      <c r="R111" s="65"/>
      <c r="T111" s="17"/>
      <c r="U111" s="17"/>
      <c r="AA111" s="22"/>
      <c r="AB111" s="17"/>
      <c r="AC111" s="17"/>
      <c r="AD111" s="23"/>
      <c r="AE111" s="23"/>
      <c r="AF111" s="17"/>
      <c r="AG111" s="17"/>
    </row>
    <row r="112" spans="3:33" x14ac:dyDescent="0.2">
      <c r="C112" s="54"/>
      <c r="D112" s="69" t="s">
        <v>564</v>
      </c>
      <c r="E112" s="65"/>
      <c r="F112" s="65"/>
      <c r="G112" s="65"/>
      <c r="H112" s="315"/>
      <c r="I112" s="65"/>
      <c r="J112" s="325"/>
      <c r="K112" s="317"/>
      <c r="L112" s="317"/>
      <c r="M112" s="65"/>
      <c r="N112" s="7"/>
      <c r="O112" s="68"/>
      <c r="P112" s="65"/>
      <c r="Q112" s="313"/>
      <c r="R112" s="65"/>
      <c r="T112" s="17"/>
      <c r="U112" s="17"/>
      <c r="AA112" s="22"/>
      <c r="AB112" s="17"/>
      <c r="AC112" s="17"/>
      <c r="AD112" s="23"/>
      <c r="AE112" s="23"/>
      <c r="AF112" s="17"/>
      <c r="AG112" s="17"/>
    </row>
    <row r="113" spans="3:33" x14ac:dyDescent="0.2">
      <c r="C113" s="54"/>
      <c r="D113" s="75"/>
      <c r="E113" s="899" t="s">
        <v>413</v>
      </c>
      <c r="F113" s="900"/>
      <c r="G113" s="76"/>
      <c r="H113" s="77"/>
      <c r="I113" s="76"/>
      <c r="J113" s="76"/>
      <c r="K113" s="76"/>
      <c r="L113" s="76"/>
      <c r="M113" s="78"/>
      <c r="N113" s="7"/>
      <c r="O113" s="68"/>
      <c r="P113" s="65"/>
      <c r="Q113" s="313"/>
      <c r="R113" s="65"/>
      <c r="T113" s="17"/>
      <c r="U113" s="17"/>
      <c r="AA113" s="22"/>
      <c r="AB113" s="17"/>
      <c r="AC113" s="17"/>
      <c r="AD113" s="23"/>
      <c r="AE113" s="23"/>
      <c r="AF113" s="17"/>
      <c r="AG113" s="17"/>
    </row>
    <row r="114" spans="3:33" ht="51" x14ac:dyDescent="0.2">
      <c r="C114" s="54"/>
      <c r="D114" s="326" t="s">
        <v>414</v>
      </c>
      <c r="E114" s="327" t="s">
        <v>415</v>
      </c>
      <c r="F114" s="327" t="s">
        <v>416</v>
      </c>
      <c r="G114" s="83" t="s">
        <v>417</v>
      </c>
      <c r="H114" s="328" t="s">
        <v>418</v>
      </c>
      <c r="I114" s="83" t="s">
        <v>426</v>
      </c>
      <c r="J114" s="329" t="s">
        <v>278</v>
      </c>
      <c r="K114" s="83" t="s">
        <v>279</v>
      </c>
      <c r="L114" s="330" t="s">
        <v>280</v>
      </c>
      <c r="M114" s="331" t="s">
        <v>281</v>
      </c>
      <c r="N114" s="7"/>
      <c r="O114" s="68"/>
      <c r="P114" s="65"/>
      <c r="Q114" s="313"/>
      <c r="R114" s="65"/>
      <c r="T114" s="17"/>
      <c r="U114" s="17"/>
      <c r="AA114" s="22"/>
      <c r="AB114" s="17"/>
      <c r="AC114" s="17"/>
      <c r="AD114" s="23"/>
      <c r="AE114" s="23"/>
      <c r="AF114" s="17"/>
      <c r="AG114" s="17"/>
    </row>
    <row r="115" spans="3:33" x14ac:dyDescent="0.2">
      <c r="C115" s="54"/>
      <c r="D115" s="70" t="e">
        <f>VLOOKUP($C115,Data!$A$12:$AA$211,16,FALSE)</f>
        <v>#N/A</v>
      </c>
      <c r="E115" s="70" t="e">
        <f t="shared" ref="E115:E120" si="23">LEFT(N115,FIND(",",N115)-1)</f>
        <v>#N/A</v>
      </c>
      <c r="F115" s="70" t="e">
        <f t="shared" ref="F115:F120" si="24">MID(N115,FIND(",",N115)+1,7)</f>
        <v>#N/A</v>
      </c>
      <c r="G115" s="306" t="e">
        <f>VLOOKUP($C115,Data!$A$12:$AA$211,19,FALSE)</f>
        <v>#N/A</v>
      </c>
      <c r="H115" s="307" t="e">
        <f>VLOOKUP($C115,Data!$A$12:$AA$211,20,FALSE)</f>
        <v>#N/A</v>
      </c>
      <c r="I115" s="308" t="e">
        <f t="shared" ref="I115:I120" si="25">IF(P115&gt;0.95,"1",ROUND(P115,S115)&amp;" "&amp;R115)</f>
        <v>#N/A</v>
      </c>
      <c r="J115" s="307" t="e">
        <f>ABS(VLOOKUP($C115,Data!$A$12:$AA$211,26,FALSE))/IF(D115=123,3,1)</f>
        <v>#N/A</v>
      </c>
      <c r="K115" s="310" t="e">
        <f>VLOOKUP($C115,Data!$A$12:$AA$211,23,FALSE)</f>
        <v>#N/A</v>
      </c>
      <c r="L115" s="310" t="e">
        <f>VLOOKUP($C115,Data!$A$12:$AA$211,24,FALSE)</f>
        <v>#N/A</v>
      </c>
      <c r="M115" s="311" t="e">
        <f>VLOOKUP($C115,Data!$A$12:$AA$211,25,FALSE)</f>
        <v>#N/A</v>
      </c>
      <c r="N115" s="312" t="e">
        <f>VLOOKUP($C115,Data!$A$12:$R$211,18,FALSE)</f>
        <v>#N/A</v>
      </c>
      <c r="O115" s="68"/>
      <c r="P115" s="65" t="e">
        <f>IF(Q115="Watts",COS(RADIANS(VLOOKUP($C115,Data!$A$12:$AA$211,21,FALSE))),SIN(RADIANS(VLOOKUP($C115,Data!$A$12:$AA$211,21,FALSE))))</f>
        <v>#N/A</v>
      </c>
      <c r="Q115" s="313" t="e">
        <f>VLOOKUP($C115,Data!$A$12:$AA$211,13,FALSE)</f>
        <v>#N/A</v>
      </c>
      <c r="R115" s="65" t="e">
        <f>IF(SIGN(VLOOKUP($C115,Data!$A$12:$AA$211,21,FALSE))=1,"lead","lag")</f>
        <v>#N/A</v>
      </c>
      <c r="S115">
        <v>1</v>
      </c>
      <c r="T115" s="17"/>
      <c r="U115" s="17"/>
      <c r="AA115" s="22"/>
      <c r="AB115" s="17"/>
      <c r="AC115" s="17"/>
      <c r="AD115" s="23"/>
      <c r="AE115" s="23"/>
      <c r="AF115" s="17"/>
      <c r="AG115" s="17"/>
    </row>
    <row r="116" spans="3:33" x14ac:dyDescent="0.2">
      <c r="C116" s="54"/>
      <c r="D116" s="71" t="e">
        <f>VLOOKUP($C116,Data!$A$12:$AA$211,16,FALSE)</f>
        <v>#N/A</v>
      </c>
      <c r="E116" s="71" t="e">
        <f t="shared" si="23"/>
        <v>#N/A</v>
      </c>
      <c r="F116" s="71" t="e">
        <f t="shared" si="24"/>
        <v>#N/A</v>
      </c>
      <c r="G116" s="314" t="e">
        <f>VLOOKUP($C116,Data!$A$12:$AA$211,19,FALSE)</f>
        <v>#N/A</v>
      </c>
      <c r="H116" s="315" t="e">
        <f>VLOOKUP($C116,Data!$A$12:$AA$211,20,FALSE)</f>
        <v>#N/A</v>
      </c>
      <c r="I116" s="316" t="e">
        <f t="shared" si="25"/>
        <v>#N/A</v>
      </c>
      <c r="J116" s="315" t="e">
        <f>ABS(VLOOKUP($C116,Data!$A$12:$AA$211,26,FALSE))/IF(D116=123,3,1)</f>
        <v>#N/A</v>
      </c>
      <c r="K116" s="318" t="e">
        <f>VLOOKUP($C116,Data!$A$12:$AA$211,23,FALSE)</f>
        <v>#N/A</v>
      </c>
      <c r="L116" s="318" t="e">
        <f>VLOOKUP($C116,Data!$A$12:$AA$211,24,FALSE)</f>
        <v>#N/A</v>
      </c>
      <c r="M116" s="313" t="e">
        <f>VLOOKUP($C116,Data!$A$12:$AA$211,25,FALSE)</f>
        <v>#N/A</v>
      </c>
      <c r="N116" s="312" t="e">
        <f>VLOOKUP($C116,Data!$A$12:$R$211,18,FALSE)</f>
        <v>#N/A</v>
      </c>
      <c r="O116" s="68"/>
      <c r="P116" s="65" t="e">
        <f>IF(Q116="Watts",COS(RADIANS(VLOOKUP($C116,Data!$A$12:$AA$211,21,FALSE))),SIN(RADIANS(VLOOKUP($C116,Data!$A$12:$AA$211,21,FALSE))))</f>
        <v>#N/A</v>
      </c>
      <c r="Q116" s="313" t="e">
        <f>VLOOKUP($C116,Data!$A$12:$AA$211,13,FALSE)</f>
        <v>#N/A</v>
      </c>
      <c r="R116" s="65" t="e">
        <f>IF(SIGN(VLOOKUP($C116,Data!$A$12:$AA$211,21,FALSE))=1,"lead","lag")</f>
        <v>#N/A</v>
      </c>
      <c r="S116">
        <v>1</v>
      </c>
      <c r="T116" s="17"/>
      <c r="U116" s="17"/>
      <c r="AA116" s="22"/>
      <c r="AB116" s="17"/>
      <c r="AC116" s="17"/>
      <c r="AD116" s="23"/>
      <c r="AE116" s="23"/>
      <c r="AF116" s="17"/>
      <c r="AG116" s="17"/>
    </row>
    <row r="117" spans="3:33" x14ac:dyDescent="0.2">
      <c r="C117" s="54"/>
      <c r="D117" s="71" t="e">
        <f>VLOOKUP($C117,Data!$A$12:$AA$211,16,FALSE)</f>
        <v>#N/A</v>
      </c>
      <c r="E117" s="71" t="e">
        <f t="shared" si="23"/>
        <v>#N/A</v>
      </c>
      <c r="F117" s="71" t="e">
        <f t="shared" si="24"/>
        <v>#N/A</v>
      </c>
      <c r="G117" s="314" t="e">
        <f>VLOOKUP($C117,Data!$A$12:$AA$211,19,FALSE)</f>
        <v>#N/A</v>
      </c>
      <c r="H117" s="315" t="e">
        <f>VLOOKUP($C117,Data!$A$12:$AA$211,20,FALSE)</f>
        <v>#N/A</v>
      </c>
      <c r="I117" s="316" t="e">
        <f t="shared" si="25"/>
        <v>#N/A</v>
      </c>
      <c r="J117" s="317" t="e">
        <f>ABS(VLOOKUP($C117,Data!$A$12:$AA$211,26,FALSE))/IF(D117=123,3,1)</f>
        <v>#N/A</v>
      </c>
      <c r="K117" s="318" t="e">
        <f>VLOOKUP($C117,Data!$A$12:$AA$211,23,FALSE)</f>
        <v>#N/A</v>
      </c>
      <c r="L117" s="318" t="e">
        <f>VLOOKUP($C117,Data!$A$12:$AA$211,24,FALSE)</f>
        <v>#N/A</v>
      </c>
      <c r="M117" s="313" t="e">
        <f>VLOOKUP($C117,Data!$A$12:$AA$211,25,FALSE)</f>
        <v>#N/A</v>
      </c>
      <c r="N117" s="312" t="e">
        <f>VLOOKUP($C117,Data!$A$12:$R$211,18,FALSE)</f>
        <v>#N/A</v>
      </c>
      <c r="O117" s="68"/>
      <c r="P117" s="65" t="e">
        <f>IF(Q117="Watts",COS(RADIANS(VLOOKUP($C117,Data!$A$12:$AA$211,21,FALSE))),SIN(RADIANS(VLOOKUP($C117,Data!$A$12:$AA$211,21,FALSE))))</f>
        <v>#N/A</v>
      </c>
      <c r="Q117" s="313" t="e">
        <f>VLOOKUP($C117,Data!$A$12:$AA$211,13,FALSE)</f>
        <v>#N/A</v>
      </c>
      <c r="R117" s="65" t="e">
        <f>IF(SIGN(VLOOKUP($C117,Data!$A$12:$AA$211,21,FALSE))=1,"lead","lag")</f>
        <v>#N/A</v>
      </c>
      <c r="S117">
        <v>1</v>
      </c>
      <c r="T117" s="17"/>
      <c r="U117" s="17"/>
      <c r="AA117" s="22"/>
      <c r="AB117" s="17"/>
      <c r="AC117" s="17"/>
      <c r="AD117" s="23"/>
      <c r="AE117" s="23"/>
      <c r="AF117" s="17"/>
      <c r="AG117" s="17"/>
    </row>
    <row r="118" spans="3:33" x14ac:dyDescent="0.2">
      <c r="C118" s="54"/>
      <c r="D118" s="71" t="e">
        <f>VLOOKUP($C118,Data!$A$12:$AA$211,16,FALSE)</f>
        <v>#N/A</v>
      </c>
      <c r="E118" s="71" t="e">
        <f t="shared" si="23"/>
        <v>#N/A</v>
      </c>
      <c r="F118" s="71" t="e">
        <f t="shared" si="24"/>
        <v>#N/A</v>
      </c>
      <c r="G118" s="314" t="e">
        <f>VLOOKUP($C118,Data!$A$12:$AA$211,19,FALSE)</f>
        <v>#N/A</v>
      </c>
      <c r="H118" s="315" t="e">
        <f>VLOOKUP($C118,Data!$A$12:$AA$211,20,FALSE)</f>
        <v>#N/A</v>
      </c>
      <c r="I118" s="316" t="e">
        <f t="shared" si="25"/>
        <v>#N/A</v>
      </c>
      <c r="J118" s="333" t="e">
        <f>ABS(VLOOKUP($C118,Data!$A$12:$AA$211,26,FALSE))/IF(D118=123,3,1)</f>
        <v>#N/A</v>
      </c>
      <c r="K118" s="318" t="e">
        <f>VLOOKUP($C118,Data!$A$12:$AA$211,23,FALSE)</f>
        <v>#N/A</v>
      </c>
      <c r="L118" s="318" t="e">
        <f>VLOOKUP($C118,Data!$A$12:$AA$211,24,FALSE)</f>
        <v>#N/A</v>
      </c>
      <c r="M118" s="313" t="e">
        <f>VLOOKUP($C118,Data!$A$12:$AA$211,25,FALSE)</f>
        <v>#N/A</v>
      </c>
      <c r="N118" s="312" t="e">
        <f>VLOOKUP($C118,Data!$A$12:$R$211,18,FALSE)</f>
        <v>#N/A</v>
      </c>
      <c r="O118" s="68"/>
      <c r="P118" s="65" t="e">
        <f>IF(Q118="Watts",COS(RADIANS(VLOOKUP($C118,Data!$A$12:$AA$211,21,FALSE))),SIN(RADIANS(VLOOKUP($C118,Data!$A$12:$AA$211,21,FALSE))))</f>
        <v>#N/A</v>
      </c>
      <c r="Q118" s="313" t="e">
        <f>VLOOKUP($C118,Data!$A$12:$AA$211,13,FALSE)</f>
        <v>#N/A</v>
      </c>
      <c r="R118" s="65" t="e">
        <f>IF(SIGN(VLOOKUP($C118,Data!$A$12:$AA$211,21,FALSE))=1,"lead","lag")</f>
        <v>#N/A</v>
      </c>
      <c r="S118">
        <v>1</v>
      </c>
      <c r="T118" s="17"/>
      <c r="U118" s="17"/>
      <c r="AA118" s="22"/>
      <c r="AB118" s="17"/>
      <c r="AC118" s="17"/>
      <c r="AD118" s="23"/>
      <c r="AE118" s="23"/>
      <c r="AF118" s="17"/>
      <c r="AG118" s="17"/>
    </row>
    <row r="119" spans="3:33" x14ac:dyDescent="0.2">
      <c r="C119" s="54"/>
      <c r="D119" s="71" t="e">
        <f>VLOOKUP($C119,Data!$A$12:$AA$211,16,FALSE)</f>
        <v>#N/A</v>
      </c>
      <c r="E119" s="71" t="e">
        <f t="shared" si="23"/>
        <v>#N/A</v>
      </c>
      <c r="F119" s="71" t="e">
        <f t="shared" si="24"/>
        <v>#N/A</v>
      </c>
      <c r="G119" s="314" t="e">
        <f>VLOOKUP($C119,Data!$A$12:$AA$211,19,FALSE)</f>
        <v>#N/A</v>
      </c>
      <c r="H119" s="315" t="e">
        <f>VLOOKUP($C119,Data!$A$12:$AA$211,20,FALSE)</f>
        <v>#N/A</v>
      </c>
      <c r="I119" s="316" t="e">
        <f t="shared" si="25"/>
        <v>#N/A</v>
      </c>
      <c r="J119" s="334" t="e">
        <f>ABS(VLOOKUP($C119,Data!$A$12:$AA$211,26,FALSE))/IF(D119=123,3,1)</f>
        <v>#N/A</v>
      </c>
      <c r="K119" s="318" t="e">
        <f>VLOOKUP($C119,Data!$A$12:$AA$211,23,FALSE)</f>
        <v>#N/A</v>
      </c>
      <c r="L119" s="318" t="e">
        <f>VLOOKUP($C119,Data!$A$12:$AA$211,24,FALSE)</f>
        <v>#N/A</v>
      </c>
      <c r="M119" s="313" t="e">
        <f>VLOOKUP($C119,Data!$A$12:$AA$211,25,FALSE)</f>
        <v>#N/A</v>
      </c>
      <c r="N119" s="312" t="e">
        <f>VLOOKUP($C119,Data!$A$12:$R$211,18,FALSE)</f>
        <v>#N/A</v>
      </c>
      <c r="O119" s="68"/>
      <c r="P119" s="65" t="e">
        <f>IF(Q119="Watts",COS(RADIANS(VLOOKUP($C119,Data!$A$12:$AA$211,21,FALSE))),SIN(RADIANS(VLOOKUP($C119,Data!$A$12:$AA$211,21,FALSE))))</f>
        <v>#N/A</v>
      </c>
      <c r="Q119" s="313" t="e">
        <f>VLOOKUP($C119,Data!$A$12:$AA$211,13,FALSE)</f>
        <v>#N/A</v>
      </c>
      <c r="R119" s="65" t="e">
        <f>IF(SIGN(VLOOKUP($C119,Data!$A$12:$AA$211,21,FALSE))=1,"lead","lag")</f>
        <v>#N/A</v>
      </c>
      <c r="S119">
        <v>1</v>
      </c>
      <c r="T119" s="17"/>
      <c r="U119" s="17"/>
      <c r="AA119" s="22"/>
      <c r="AB119" s="17"/>
      <c r="AC119" s="17"/>
      <c r="AD119" s="23"/>
      <c r="AE119" s="23"/>
      <c r="AF119" s="17"/>
      <c r="AG119" s="17"/>
    </row>
    <row r="120" spans="3:33" x14ac:dyDescent="0.2">
      <c r="C120" s="54"/>
      <c r="D120" s="71" t="e">
        <f>VLOOKUP($C120,Data!$A$12:$AA$211,16,FALSE)</f>
        <v>#N/A</v>
      </c>
      <c r="E120" s="71" t="e">
        <f t="shared" si="23"/>
        <v>#N/A</v>
      </c>
      <c r="F120" s="71" t="e">
        <f t="shared" si="24"/>
        <v>#N/A</v>
      </c>
      <c r="G120" s="314" t="e">
        <f>VLOOKUP($C120,Data!$A$12:$AA$211,19,FALSE)</f>
        <v>#N/A</v>
      </c>
      <c r="H120" s="315" t="e">
        <f>VLOOKUP($C120,Data!$A$12:$AA$211,20,FALSE)</f>
        <v>#N/A</v>
      </c>
      <c r="I120" s="316" t="e">
        <f t="shared" si="25"/>
        <v>#N/A</v>
      </c>
      <c r="J120" s="334" t="e">
        <f>ABS(VLOOKUP($C120,Data!$A$12:$AA$211,26,FALSE))/IF(D120=123,3,1)</f>
        <v>#N/A</v>
      </c>
      <c r="K120" s="318" t="e">
        <f>VLOOKUP($C120,Data!$A$12:$AA$211,23,FALSE)</f>
        <v>#N/A</v>
      </c>
      <c r="L120" s="318" t="e">
        <f>VLOOKUP($C120,Data!$A$12:$AA$211,24,FALSE)</f>
        <v>#N/A</v>
      </c>
      <c r="M120" s="313" t="e">
        <f>VLOOKUP($C120,Data!$A$12:$AA$211,25,FALSE)</f>
        <v>#N/A</v>
      </c>
      <c r="N120" s="312" t="e">
        <f>VLOOKUP($C120,Data!$A$12:$R$211,18,FALSE)</f>
        <v>#N/A</v>
      </c>
      <c r="O120" s="68"/>
      <c r="P120" s="65" t="e">
        <f>IF(Q120="Watts",COS(RADIANS(VLOOKUP($C120,Data!$A$12:$AA$211,21,FALSE))),SIN(RADIANS(VLOOKUP($C120,Data!$A$12:$AA$211,21,FALSE))))</f>
        <v>#N/A</v>
      </c>
      <c r="Q120" s="313" t="e">
        <f>VLOOKUP($C120,Data!$A$12:$AA$211,13,FALSE)</f>
        <v>#N/A</v>
      </c>
      <c r="R120" s="65" t="e">
        <f>IF(SIGN(VLOOKUP($C120,Data!$A$12:$AA$211,21,FALSE))=1,"lead","lag")</f>
        <v>#N/A</v>
      </c>
      <c r="S120">
        <v>1</v>
      </c>
      <c r="T120" s="17"/>
      <c r="U120" s="17"/>
      <c r="AA120" s="22"/>
      <c r="AB120" s="17"/>
      <c r="AC120" s="17"/>
      <c r="AD120" s="23"/>
      <c r="AE120" s="23"/>
      <c r="AF120" s="17"/>
      <c r="AG120" s="17"/>
    </row>
    <row r="121" spans="3:33" x14ac:dyDescent="0.2">
      <c r="C121" s="54"/>
      <c r="D121" s="73"/>
      <c r="E121" s="73"/>
      <c r="F121" s="73"/>
      <c r="G121" s="320"/>
      <c r="H121" s="321"/>
      <c r="I121" s="320"/>
      <c r="J121" s="332"/>
      <c r="K121" s="323"/>
      <c r="L121" s="323"/>
      <c r="M121" s="324"/>
      <c r="N121" s="7"/>
      <c r="O121" s="68"/>
      <c r="P121" s="65"/>
      <c r="Q121" s="313"/>
      <c r="R121" s="65"/>
      <c r="T121" s="17"/>
      <c r="U121" s="17"/>
      <c r="AA121" s="22"/>
      <c r="AB121" s="17"/>
      <c r="AC121" s="17"/>
      <c r="AD121" s="23"/>
      <c r="AE121" s="23"/>
      <c r="AF121" s="17"/>
      <c r="AG121" s="17"/>
    </row>
    <row r="122" spans="3:33" x14ac:dyDescent="0.2">
      <c r="C122" s="54"/>
      <c r="D122" s="65"/>
      <c r="E122" s="65"/>
      <c r="F122" s="65"/>
      <c r="G122" s="65"/>
      <c r="H122" s="315"/>
      <c r="I122" s="65"/>
      <c r="J122" s="325"/>
      <c r="K122" s="317"/>
      <c r="L122" s="317"/>
      <c r="M122" s="65"/>
      <c r="N122" s="7"/>
      <c r="O122" s="68"/>
      <c r="P122" s="65"/>
      <c r="Q122" s="313"/>
      <c r="R122" s="65"/>
      <c r="T122" s="17"/>
      <c r="U122" s="17"/>
      <c r="AA122" s="22"/>
      <c r="AB122" s="17"/>
      <c r="AC122" s="17"/>
      <c r="AD122" s="23"/>
      <c r="AE122" s="23"/>
      <c r="AF122" s="17"/>
      <c r="AG122" s="17"/>
    </row>
    <row r="123" spans="3:33" x14ac:dyDescent="0.2">
      <c r="C123" s="54"/>
      <c r="D123" s="65"/>
      <c r="E123" s="65"/>
      <c r="F123" s="65"/>
      <c r="G123" s="65"/>
      <c r="H123" s="315"/>
      <c r="I123" s="65"/>
      <c r="J123" s="325"/>
      <c r="K123" s="317"/>
      <c r="L123" s="317"/>
      <c r="M123" s="65"/>
      <c r="N123" s="7"/>
      <c r="O123" s="68"/>
      <c r="P123" s="65"/>
      <c r="Q123" s="313"/>
      <c r="R123" s="65"/>
      <c r="T123" s="17"/>
      <c r="U123" s="17"/>
      <c r="AA123" s="22"/>
      <c r="AB123" s="17"/>
      <c r="AC123" s="17"/>
      <c r="AD123" s="23"/>
      <c r="AE123" s="23"/>
      <c r="AF123" s="17"/>
      <c r="AG123" s="17"/>
    </row>
    <row r="124" spans="3:33" x14ac:dyDescent="0.2">
      <c r="C124" s="54"/>
      <c r="D124" s="65"/>
      <c r="E124" s="65"/>
      <c r="F124" s="65"/>
      <c r="G124" s="65"/>
      <c r="H124" s="315"/>
      <c r="I124" s="65"/>
      <c r="J124" s="325"/>
      <c r="K124" s="317"/>
      <c r="L124" s="317"/>
      <c r="M124" s="65"/>
      <c r="N124" s="7"/>
      <c r="O124" s="68"/>
      <c r="P124" s="65"/>
      <c r="Q124" s="313"/>
      <c r="R124" s="65"/>
      <c r="T124" s="17"/>
      <c r="U124" s="17"/>
      <c r="AA124" s="22"/>
      <c r="AB124" s="17"/>
      <c r="AC124" s="17"/>
      <c r="AD124" s="23"/>
      <c r="AE124" s="23"/>
      <c r="AF124" s="17"/>
      <c r="AG124" s="17"/>
    </row>
    <row r="125" spans="3:33" x14ac:dyDescent="0.2">
      <c r="C125" s="54"/>
      <c r="D125" s="69" t="s">
        <v>565</v>
      </c>
      <c r="E125" s="65"/>
      <c r="F125" s="65"/>
      <c r="G125" s="65"/>
      <c r="H125" s="315"/>
      <c r="I125" s="65"/>
      <c r="J125" s="325"/>
      <c r="K125" s="317"/>
      <c r="L125" s="317"/>
      <c r="M125" s="65"/>
      <c r="N125" s="7"/>
      <c r="O125" s="68"/>
      <c r="P125" s="65"/>
      <c r="Q125" s="313"/>
      <c r="R125" s="65"/>
      <c r="T125" s="17"/>
      <c r="U125" s="17"/>
      <c r="AA125" s="22"/>
      <c r="AB125" s="17"/>
      <c r="AC125" s="17"/>
      <c r="AD125" s="23"/>
      <c r="AE125" s="23"/>
      <c r="AF125" s="17"/>
      <c r="AG125" s="17"/>
    </row>
    <row r="126" spans="3:33" x14ac:dyDescent="0.2">
      <c r="C126" s="54"/>
      <c r="D126" s="75"/>
      <c r="E126" s="899" t="s">
        <v>413</v>
      </c>
      <c r="F126" s="900"/>
      <c r="G126" s="76"/>
      <c r="H126" s="77"/>
      <c r="I126" s="76"/>
      <c r="J126" s="76"/>
      <c r="K126" s="76"/>
      <c r="L126" s="76"/>
      <c r="M126" s="78"/>
      <c r="N126" s="7"/>
      <c r="O126" s="68"/>
      <c r="P126" s="65"/>
      <c r="Q126" s="313"/>
      <c r="R126" s="65"/>
      <c r="T126" s="17"/>
      <c r="U126" s="17"/>
      <c r="AA126" s="22"/>
      <c r="AB126" s="17"/>
      <c r="AC126" s="17"/>
      <c r="AD126" s="23"/>
      <c r="AE126" s="23"/>
      <c r="AF126" s="17"/>
      <c r="AG126" s="17"/>
    </row>
    <row r="127" spans="3:33" ht="51" x14ac:dyDescent="0.2">
      <c r="C127" s="54"/>
      <c r="D127" s="326" t="s">
        <v>414</v>
      </c>
      <c r="E127" s="327" t="s">
        <v>415</v>
      </c>
      <c r="F127" s="327" t="s">
        <v>416</v>
      </c>
      <c r="G127" s="83" t="s">
        <v>417</v>
      </c>
      <c r="H127" s="328" t="s">
        <v>418</v>
      </c>
      <c r="I127" s="83" t="s">
        <v>425</v>
      </c>
      <c r="J127" s="329" t="s">
        <v>566</v>
      </c>
      <c r="K127" s="83" t="s">
        <v>279</v>
      </c>
      <c r="L127" s="330" t="s">
        <v>280</v>
      </c>
      <c r="M127" s="331" t="s">
        <v>281</v>
      </c>
      <c r="N127" s="7"/>
      <c r="O127" s="68"/>
      <c r="P127" s="65"/>
      <c r="Q127" s="313"/>
      <c r="R127" s="65"/>
      <c r="T127" s="17"/>
      <c r="U127" s="17"/>
      <c r="AA127" s="22"/>
      <c r="AB127" s="17"/>
      <c r="AC127" s="17"/>
      <c r="AD127" s="23"/>
      <c r="AE127" s="23"/>
      <c r="AF127" s="17"/>
      <c r="AG127" s="17"/>
    </row>
    <row r="128" spans="3:33" x14ac:dyDescent="0.2">
      <c r="C128" s="54"/>
      <c r="D128" s="70" t="e">
        <f>VLOOKUP($C128,Data!$A$12:$AA$211,16,FALSE)</f>
        <v>#N/A</v>
      </c>
      <c r="E128" s="70" t="e">
        <f t="shared" ref="E128:E143" si="26">LEFT(N128,FIND(",",N128)-1)</f>
        <v>#N/A</v>
      </c>
      <c r="F128" s="70" t="e">
        <f t="shared" ref="F128:F143" si="27">MID(N128,FIND(",",N128)+1,7)</f>
        <v>#N/A</v>
      </c>
      <c r="G128" s="306" t="e">
        <f>VLOOKUP($C128,Data!$A$12:$AA$211,19,FALSE)</f>
        <v>#N/A</v>
      </c>
      <c r="H128" s="307" t="e">
        <f>VLOOKUP($C128,Data!$A$12:$AA$211,20,FALSE)</f>
        <v>#N/A</v>
      </c>
      <c r="I128" s="308" t="e">
        <f t="shared" ref="I128:I143" si="28">IF(P128&gt;0.95,"1",ROUND(P128,S128)&amp;" "&amp;R128)</f>
        <v>#N/A</v>
      </c>
      <c r="J128" s="307" t="e">
        <f>ABS(VLOOKUP($C128,Data!$A$12:$AA$211,26,FALSE))/IF(D128=123,3,1)</f>
        <v>#N/A</v>
      </c>
      <c r="K128" s="310" t="e">
        <f>VLOOKUP($C128,Data!$A$12:$AA$211,23,FALSE)</f>
        <v>#N/A</v>
      </c>
      <c r="L128" s="310" t="e">
        <f>VLOOKUP($C128,Data!$A$12:$AA$211,24,FALSE)</f>
        <v>#N/A</v>
      </c>
      <c r="M128" s="311" t="e">
        <f>VLOOKUP($C128,Data!$A$12:$AA$211,25,FALSE)</f>
        <v>#N/A</v>
      </c>
      <c r="N128" s="312" t="e">
        <f>VLOOKUP($C128,Data!$A$12:$R$211,18,FALSE)</f>
        <v>#N/A</v>
      </c>
      <c r="O128" s="68"/>
      <c r="P128" s="65" t="e">
        <f>IF(Q128="Watts",COS(RADIANS(VLOOKUP($C128,Data!$A$12:$AA$211,21,FALSE))),SIN(RADIANS(VLOOKUP($C128,Data!$A$12:$AA$211,21,FALSE))))</f>
        <v>#N/A</v>
      </c>
      <c r="Q128" s="313" t="e">
        <f>VLOOKUP($C128,Data!$A$12:$AA$211,13,FALSE)</f>
        <v>#N/A</v>
      </c>
      <c r="R128" s="65" t="e">
        <f>IF(SIGN(VLOOKUP($C128,Data!$A$12:$AA$211,21,FALSE))=1,"lead","lag")</f>
        <v>#N/A</v>
      </c>
      <c r="S128">
        <v>1</v>
      </c>
      <c r="T128" s="17"/>
      <c r="U128" s="17"/>
      <c r="AA128" s="22"/>
      <c r="AB128" s="17"/>
      <c r="AC128" s="17"/>
      <c r="AD128" s="23"/>
      <c r="AE128" s="23"/>
      <c r="AF128" s="17"/>
      <c r="AG128" s="17"/>
    </row>
    <row r="129" spans="3:33" x14ac:dyDescent="0.2">
      <c r="C129" s="54"/>
      <c r="D129" s="71" t="e">
        <f>VLOOKUP($C129,Data!$A$12:$AA$211,16,FALSE)</f>
        <v>#N/A</v>
      </c>
      <c r="E129" s="71" t="e">
        <f t="shared" si="26"/>
        <v>#N/A</v>
      </c>
      <c r="F129" s="71" t="e">
        <f t="shared" si="27"/>
        <v>#N/A</v>
      </c>
      <c r="G129" s="314" t="e">
        <f>VLOOKUP($C129,Data!$A$12:$AA$211,19,FALSE)</f>
        <v>#N/A</v>
      </c>
      <c r="H129" s="315" t="e">
        <f>VLOOKUP($C129,Data!$A$12:$AA$211,20,FALSE)</f>
        <v>#N/A</v>
      </c>
      <c r="I129" s="316" t="e">
        <f t="shared" si="28"/>
        <v>#N/A</v>
      </c>
      <c r="J129" s="315" t="e">
        <f>ABS(VLOOKUP($C129,Data!$A$12:$AA$211,26,FALSE))/IF(D129=123,3,1)</f>
        <v>#N/A</v>
      </c>
      <c r="K129" s="316" t="e">
        <f>VLOOKUP($C129,Data!$A$12:$AA$211,23,FALSE)</f>
        <v>#N/A</v>
      </c>
      <c r="L129" s="316" t="e">
        <f>VLOOKUP($C129,Data!$A$12:$AA$211,24,FALSE)</f>
        <v>#N/A</v>
      </c>
      <c r="M129" s="313" t="e">
        <f>VLOOKUP($C129,Data!$A$12:$AA$211,25,FALSE)</f>
        <v>#N/A</v>
      </c>
      <c r="N129" s="312" t="e">
        <f>VLOOKUP($C129,Data!$A$12:$R$211,18,FALSE)</f>
        <v>#N/A</v>
      </c>
      <c r="O129" s="68"/>
      <c r="P129" s="65" t="e">
        <f>IF(Q129="Watts",COS(RADIANS(VLOOKUP($C129,Data!$A$12:$AA$211,21,FALSE))),SIN(RADIANS(VLOOKUP($C129,Data!$A$12:$AA$211,21,FALSE))))</f>
        <v>#N/A</v>
      </c>
      <c r="Q129" s="313" t="e">
        <f>VLOOKUP($C129,Data!$A$12:$AA$211,13,FALSE)</f>
        <v>#N/A</v>
      </c>
      <c r="R129" s="65" t="e">
        <f>IF(SIGN(VLOOKUP($C129,Data!$A$12:$AA$211,21,FALSE))=1,"lead","lag")</f>
        <v>#N/A</v>
      </c>
      <c r="S129">
        <v>1</v>
      </c>
      <c r="T129" s="17"/>
      <c r="U129" s="17"/>
      <c r="AA129" s="22"/>
      <c r="AB129" s="17"/>
      <c r="AC129" s="17"/>
      <c r="AD129" s="23"/>
      <c r="AE129" s="23"/>
      <c r="AF129" s="17"/>
      <c r="AG129" s="17"/>
    </row>
    <row r="130" spans="3:33" x14ac:dyDescent="0.2">
      <c r="C130" s="54"/>
      <c r="D130" s="71" t="e">
        <f>VLOOKUP($C130,Data!$A$12:$AA$211,16,FALSE)</f>
        <v>#N/A</v>
      </c>
      <c r="E130" s="71" t="e">
        <f t="shared" si="26"/>
        <v>#N/A</v>
      </c>
      <c r="F130" s="71" t="e">
        <f t="shared" si="27"/>
        <v>#N/A</v>
      </c>
      <c r="G130" s="314" t="e">
        <f>VLOOKUP($C130,Data!$A$12:$AA$211,19,FALSE)</f>
        <v>#N/A</v>
      </c>
      <c r="H130" s="315" t="e">
        <f>VLOOKUP($C130,Data!$A$12:$AA$211,20,FALSE)</f>
        <v>#N/A</v>
      </c>
      <c r="I130" s="316" t="e">
        <f t="shared" si="28"/>
        <v>#N/A</v>
      </c>
      <c r="J130" s="317" t="e">
        <f>ABS(VLOOKUP($C130,Data!$A$12:$AA$211,26,FALSE))/IF(D130=123,3,1)</f>
        <v>#N/A</v>
      </c>
      <c r="K130" s="318" t="e">
        <f>VLOOKUP($C130,Data!$A$12:$AA$211,23,FALSE)</f>
        <v>#N/A</v>
      </c>
      <c r="L130" s="318" t="e">
        <f>VLOOKUP($C130,Data!$A$12:$AA$211,24,FALSE)</f>
        <v>#N/A</v>
      </c>
      <c r="M130" s="313" t="e">
        <f>VLOOKUP($C130,Data!$A$12:$AA$211,25,FALSE)</f>
        <v>#N/A</v>
      </c>
      <c r="N130" s="312" t="e">
        <f>VLOOKUP($C130,Data!$A$12:$R$211,18,FALSE)</f>
        <v>#N/A</v>
      </c>
      <c r="O130" s="68"/>
      <c r="P130" s="65" t="e">
        <f>IF(Q130="Watts",COS(RADIANS(VLOOKUP($C130,Data!$A$12:$AA$211,21,FALSE))),SIN(RADIANS(VLOOKUP($C130,Data!$A$12:$AA$211,21,FALSE))))</f>
        <v>#N/A</v>
      </c>
      <c r="Q130" s="313" t="e">
        <f>VLOOKUP($C130,Data!$A$12:$AA$211,13,FALSE)</f>
        <v>#N/A</v>
      </c>
      <c r="R130" s="65" t="e">
        <f>IF(SIGN(VLOOKUP($C130,Data!$A$12:$AA$211,21,FALSE))=1,"lead","lag")</f>
        <v>#N/A</v>
      </c>
      <c r="S130">
        <v>1</v>
      </c>
      <c r="T130" s="17"/>
      <c r="U130" s="17"/>
      <c r="AA130" s="22"/>
      <c r="AB130" s="17"/>
      <c r="AC130" s="17"/>
      <c r="AD130" s="23"/>
      <c r="AE130" s="23"/>
      <c r="AF130" s="17"/>
      <c r="AG130" s="17"/>
    </row>
    <row r="131" spans="3:33" x14ac:dyDescent="0.2">
      <c r="C131" s="54"/>
      <c r="D131" s="71" t="e">
        <f>VLOOKUP($C131,Data!$A$12:$AA$211,16,FALSE)</f>
        <v>#N/A</v>
      </c>
      <c r="E131" s="71" t="e">
        <f t="shared" si="26"/>
        <v>#N/A</v>
      </c>
      <c r="F131" s="71" t="e">
        <f t="shared" si="27"/>
        <v>#N/A</v>
      </c>
      <c r="G131" s="314" t="e">
        <f>VLOOKUP($C131,Data!$A$12:$AA$211,19,FALSE)</f>
        <v>#N/A</v>
      </c>
      <c r="H131" s="315" t="e">
        <f>VLOOKUP($C131,Data!$A$12:$AA$211,20,FALSE)</f>
        <v>#N/A</v>
      </c>
      <c r="I131" s="316" t="e">
        <f t="shared" si="28"/>
        <v>#N/A</v>
      </c>
      <c r="J131" s="317" t="e">
        <f>ABS(VLOOKUP($C131,Data!$A$12:$AA$211,26,FALSE))/IF(D131=123,3,1)</f>
        <v>#N/A</v>
      </c>
      <c r="K131" s="316" t="e">
        <f>VLOOKUP($C131,Data!$A$12:$AA$211,23,FALSE)</f>
        <v>#N/A</v>
      </c>
      <c r="L131" s="316" t="e">
        <f>VLOOKUP($C131,Data!$A$12:$AA$211,24,FALSE)</f>
        <v>#N/A</v>
      </c>
      <c r="M131" s="313" t="e">
        <f>VLOOKUP($C131,Data!$A$12:$AA$211,25,FALSE)</f>
        <v>#N/A</v>
      </c>
      <c r="N131" s="312" t="e">
        <f>VLOOKUP($C131,Data!$A$12:$R$211,18,FALSE)</f>
        <v>#N/A</v>
      </c>
      <c r="O131" s="68"/>
      <c r="P131" s="65" t="e">
        <f>IF(Q131="Watts",COS(RADIANS(VLOOKUP($C131,Data!$A$12:$AA$211,21,FALSE))),SIN(RADIANS(VLOOKUP($C131,Data!$A$12:$AA$211,21,FALSE))))</f>
        <v>#N/A</v>
      </c>
      <c r="Q131" s="313" t="e">
        <f>VLOOKUP($C131,Data!$A$12:$AA$211,13,FALSE)</f>
        <v>#N/A</v>
      </c>
      <c r="R131" s="65" t="e">
        <f>IF(SIGN(VLOOKUP($C131,Data!$A$12:$AA$211,21,FALSE))=1,"lead","lag")</f>
        <v>#N/A</v>
      </c>
      <c r="S131">
        <v>1</v>
      </c>
      <c r="T131" s="17"/>
      <c r="U131" s="17"/>
      <c r="AA131" s="22"/>
      <c r="AB131" s="17"/>
      <c r="AC131" s="17"/>
      <c r="AD131" s="23"/>
      <c r="AE131" s="23"/>
      <c r="AF131" s="17"/>
      <c r="AG131" s="17"/>
    </row>
    <row r="132" spans="3:33" x14ac:dyDescent="0.2">
      <c r="C132" s="54"/>
      <c r="D132" s="71" t="e">
        <f>VLOOKUP($C132,Data!$A$12:$AA$211,16,FALSE)</f>
        <v>#N/A</v>
      </c>
      <c r="E132" s="71" t="e">
        <f t="shared" si="26"/>
        <v>#N/A</v>
      </c>
      <c r="F132" s="71" t="e">
        <f t="shared" si="27"/>
        <v>#N/A</v>
      </c>
      <c r="G132" s="314" t="e">
        <f>VLOOKUP($C132,Data!$A$12:$AA$211,19,FALSE)</f>
        <v>#N/A</v>
      </c>
      <c r="H132" s="315" t="e">
        <f>VLOOKUP($C132,Data!$A$12:$AA$211,20,FALSE)</f>
        <v>#N/A</v>
      </c>
      <c r="I132" s="316" t="e">
        <f t="shared" si="28"/>
        <v>#N/A</v>
      </c>
      <c r="J132" s="317" t="e">
        <f>ABS(VLOOKUP($C132,Data!$A$12:$AA$211,26,FALSE))/IF(D132=123,3,1)</f>
        <v>#N/A</v>
      </c>
      <c r="K132" s="316" t="e">
        <f>VLOOKUP($C132,Data!$A$12:$AA$211,23,FALSE)</f>
        <v>#N/A</v>
      </c>
      <c r="L132" s="316" t="e">
        <f>VLOOKUP($C132,Data!$A$12:$AA$211,24,FALSE)</f>
        <v>#N/A</v>
      </c>
      <c r="M132" s="313" t="e">
        <f>VLOOKUP($C132,Data!$A$12:$AA$211,25,FALSE)</f>
        <v>#N/A</v>
      </c>
      <c r="N132" s="312" t="e">
        <f>VLOOKUP($C132,Data!$A$12:$R$211,18,FALSE)</f>
        <v>#N/A</v>
      </c>
      <c r="O132" s="68"/>
      <c r="P132" s="65" t="e">
        <f>IF(Q132="Watts",COS(RADIANS(VLOOKUP($C132,Data!$A$12:$AA$211,21,FALSE))),SIN(RADIANS(VLOOKUP($C132,Data!$A$12:$AA$211,21,FALSE))))</f>
        <v>#N/A</v>
      </c>
      <c r="Q132" s="313" t="e">
        <f>VLOOKUP($C132,Data!$A$12:$AA$211,13,FALSE)</f>
        <v>#N/A</v>
      </c>
      <c r="R132" s="65" t="e">
        <f>IF(SIGN(VLOOKUP($C132,Data!$A$12:$AA$211,21,FALSE))=1,"lead","lag")</f>
        <v>#N/A</v>
      </c>
      <c r="S132">
        <v>1</v>
      </c>
      <c r="T132" s="17"/>
      <c r="U132" s="17"/>
      <c r="AA132" s="22"/>
      <c r="AB132" s="17"/>
      <c r="AC132" s="17"/>
      <c r="AD132" s="23"/>
      <c r="AE132" s="23"/>
      <c r="AF132" s="17"/>
      <c r="AG132" s="17"/>
    </row>
    <row r="133" spans="3:33" x14ac:dyDescent="0.2">
      <c r="C133" s="54"/>
      <c r="D133" s="71" t="e">
        <f>VLOOKUP($C133,Data!$A$12:$AA$211,16,FALSE)</f>
        <v>#N/A</v>
      </c>
      <c r="E133" s="71" t="e">
        <f t="shared" si="26"/>
        <v>#N/A</v>
      </c>
      <c r="F133" s="71" t="e">
        <f t="shared" si="27"/>
        <v>#N/A</v>
      </c>
      <c r="G133" s="314" t="e">
        <f>VLOOKUP($C133,Data!$A$12:$AA$211,19,FALSE)</f>
        <v>#N/A</v>
      </c>
      <c r="H133" s="315" t="e">
        <f>VLOOKUP($C133,Data!$A$12:$AA$211,20,FALSE)</f>
        <v>#N/A</v>
      </c>
      <c r="I133" s="316" t="e">
        <f t="shared" si="28"/>
        <v>#N/A</v>
      </c>
      <c r="J133" s="317" t="e">
        <f>ABS(VLOOKUP($C133,Data!$A$12:$AA$211,26,FALSE))/IF(D133=123,3,1)</f>
        <v>#N/A</v>
      </c>
      <c r="K133" s="318" t="e">
        <f>VLOOKUP($C133,Data!$A$12:$AA$211,23,FALSE)</f>
        <v>#N/A</v>
      </c>
      <c r="L133" s="318" t="e">
        <f>VLOOKUP($C133,Data!$A$12:$AA$211,24,FALSE)</f>
        <v>#N/A</v>
      </c>
      <c r="M133" s="313" t="e">
        <f>VLOOKUP($C133,Data!$A$12:$AA$211,25,FALSE)</f>
        <v>#N/A</v>
      </c>
      <c r="N133" s="312" t="e">
        <f>VLOOKUP($C133,Data!$A$12:$R$211,18,FALSE)</f>
        <v>#N/A</v>
      </c>
      <c r="O133" s="68"/>
      <c r="P133" s="65" t="e">
        <f>IF(Q133="Watts",COS(RADIANS(VLOOKUP($C133,Data!$A$12:$AA$211,21,FALSE))),SIN(RADIANS(VLOOKUP($C133,Data!$A$12:$AA$211,21,FALSE))))</f>
        <v>#N/A</v>
      </c>
      <c r="Q133" s="313" t="e">
        <f>VLOOKUP($C133,Data!$A$12:$AA$211,13,FALSE)</f>
        <v>#N/A</v>
      </c>
      <c r="R133" s="65" t="e">
        <f>IF(SIGN(VLOOKUP($C133,Data!$A$12:$AA$211,21,FALSE))=1,"lead","lag")</f>
        <v>#N/A</v>
      </c>
      <c r="S133">
        <v>1</v>
      </c>
      <c r="T133" s="17"/>
      <c r="U133" s="17"/>
      <c r="AA133" s="22"/>
      <c r="AB133" s="17"/>
      <c r="AC133" s="17"/>
      <c r="AD133" s="23"/>
      <c r="AE133" s="23"/>
      <c r="AF133" s="17"/>
      <c r="AG133" s="17"/>
    </row>
    <row r="134" spans="3:33" x14ac:dyDescent="0.2">
      <c r="C134" s="54"/>
      <c r="D134" s="71" t="e">
        <f>VLOOKUP($C134,Data!$A$12:$AA$211,16,FALSE)</f>
        <v>#N/A</v>
      </c>
      <c r="E134" s="71" t="e">
        <f t="shared" si="26"/>
        <v>#N/A</v>
      </c>
      <c r="F134" s="71" t="e">
        <f t="shared" si="27"/>
        <v>#N/A</v>
      </c>
      <c r="G134" s="314" t="e">
        <f>VLOOKUP($C134,Data!$A$12:$AA$211,19,FALSE)</f>
        <v>#N/A</v>
      </c>
      <c r="H134" s="315" t="e">
        <f>VLOOKUP($C134,Data!$A$12:$AA$211,20,FALSE)</f>
        <v>#N/A</v>
      </c>
      <c r="I134" s="316" t="e">
        <f t="shared" si="28"/>
        <v>#N/A</v>
      </c>
      <c r="J134" s="317" t="e">
        <f>ABS(VLOOKUP($C134,Data!$A$12:$AA$211,26,FALSE))/IF(D134=123,3,1)</f>
        <v>#N/A</v>
      </c>
      <c r="K134" s="318" t="e">
        <f>VLOOKUP($C134,Data!$A$12:$AA$211,23,FALSE)</f>
        <v>#N/A</v>
      </c>
      <c r="L134" s="318" t="e">
        <f>VLOOKUP($C134,Data!$A$12:$AA$211,24,FALSE)</f>
        <v>#N/A</v>
      </c>
      <c r="M134" s="313" t="e">
        <f>VLOOKUP($C134,Data!$A$12:$AA$211,25,FALSE)</f>
        <v>#N/A</v>
      </c>
      <c r="N134" s="312" t="e">
        <f>VLOOKUP($C134,Data!$A$12:$R$211,18,FALSE)</f>
        <v>#N/A</v>
      </c>
      <c r="O134" s="68"/>
      <c r="P134" s="65" t="e">
        <f>IF(Q134="Watts",COS(RADIANS(VLOOKUP($C134,Data!$A$12:$AA$211,21,FALSE))),SIN(RADIANS(VLOOKUP($C134,Data!$A$12:$AA$211,21,FALSE))))</f>
        <v>#N/A</v>
      </c>
      <c r="Q134" s="313" t="e">
        <f>VLOOKUP($C134,Data!$A$12:$AA$211,13,FALSE)</f>
        <v>#N/A</v>
      </c>
      <c r="R134" s="65" t="e">
        <f>IF(SIGN(VLOOKUP($C134,Data!$A$12:$AA$211,21,FALSE))=1,"lead","lag")</f>
        <v>#N/A</v>
      </c>
      <c r="S134">
        <v>1</v>
      </c>
      <c r="T134" s="17"/>
      <c r="U134" s="17"/>
      <c r="AA134" s="22"/>
      <c r="AB134" s="17"/>
      <c r="AC134" s="17"/>
      <c r="AD134" s="23"/>
      <c r="AE134" s="23"/>
      <c r="AF134" s="17"/>
      <c r="AG134" s="17"/>
    </row>
    <row r="135" spans="3:33" x14ac:dyDescent="0.2">
      <c r="C135" s="54"/>
      <c r="D135" s="71" t="e">
        <f>VLOOKUP($C135,Data!$A$12:$AA$211,16,FALSE)</f>
        <v>#N/A</v>
      </c>
      <c r="E135" s="71" t="e">
        <f t="shared" si="26"/>
        <v>#N/A</v>
      </c>
      <c r="F135" s="71" t="e">
        <f t="shared" si="27"/>
        <v>#N/A</v>
      </c>
      <c r="G135" s="314" t="e">
        <f>VLOOKUP($C135,Data!$A$12:$AA$211,19,FALSE)</f>
        <v>#N/A</v>
      </c>
      <c r="H135" s="315" t="e">
        <f>VLOOKUP($C135,Data!$A$12:$AA$211,20,FALSE)</f>
        <v>#N/A</v>
      </c>
      <c r="I135" s="316" t="e">
        <f t="shared" si="28"/>
        <v>#N/A</v>
      </c>
      <c r="J135" s="317" t="e">
        <f>ABS(VLOOKUP($C135,Data!$A$12:$AA$211,26,FALSE))/IF(D135=123,3,1)</f>
        <v>#N/A</v>
      </c>
      <c r="K135" s="318" t="e">
        <f>VLOOKUP($C135,Data!$A$12:$AA$211,23,FALSE)</f>
        <v>#N/A</v>
      </c>
      <c r="L135" s="318" t="e">
        <f>VLOOKUP($C135,Data!$A$12:$AA$211,24,FALSE)</f>
        <v>#N/A</v>
      </c>
      <c r="M135" s="313" t="e">
        <f>VLOOKUP($C135,Data!$A$12:$AA$211,25,FALSE)</f>
        <v>#N/A</v>
      </c>
      <c r="N135" s="312" t="e">
        <f>VLOOKUP($C135,Data!$A$12:$R$211,18,FALSE)</f>
        <v>#N/A</v>
      </c>
      <c r="O135" s="68"/>
      <c r="P135" s="65" t="e">
        <f>IF(Q135="Watts",COS(RADIANS(VLOOKUP($C135,Data!$A$12:$AA$211,21,FALSE))),SIN(RADIANS(VLOOKUP($C135,Data!$A$12:$AA$211,21,FALSE))))</f>
        <v>#N/A</v>
      </c>
      <c r="Q135" s="313" t="e">
        <f>VLOOKUP($C135,Data!$A$12:$AA$211,13,FALSE)</f>
        <v>#N/A</v>
      </c>
      <c r="R135" s="65" t="e">
        <f>IF(SIGN(VLOOKUP($C135,Data!$A$12:$AA$211,21,FALSE))=1,"lead","lag")</f>
        <v>#N/A</v>
      </c>
      <c r="S135">
        <v>1</v>
      </c>
      <c r="T135" s="17"/>
      <c r="U135" s="17"/>
      <c r="AA135" s="22"/>
      <c r="AB135" s="17"/>
      <c r="AC135" s="17"/>
      <c r="AD135" s="23"/>
      <c r="AE135" s="23"/>
      <c r="AF135" s="17"/>
      <c r="AG135" s="17"/>
    </row>
    <row r="136" spans="3:33" x14ac:dyDescent="0.2">
      <c r="C136" s="54"/>
      <c r="D136" s="71" t="e">
        <f>VLOOKUP($C136,Data!$A$12:$AA$211,16,FALSE)</f>
        <v>#N/A</v>
      </c>
      <c r="E136" s="71" t="e">
        <f t="shared" si="26"/>
        <v>#N/A</v>
      </c>
      <c r="F136" s="71" t="e">
        <f t="shared" si="27"/>
        <v>#N/A</v>
      </c>
      <c r="G136" s="314" t="e">
        <f>VLOOKUP($C136,Data!$A$12:$AA$211,19,FALSE)</f>
        <v>#N/A</v>
      </c>
      <c r="H136" s="315" t="e">
        <f>VLOOKUP($C136,Data!$A$12:$AA$211,20,FALSE)</f>
        <v>#N/A</v>
      </c>
      <c r="I136" s="316" t="e">
        <f t="shared" si="28"/>
        <v>#N/A</v>
      </c>
      <c r="J136" s="317" t="e">
        <f>ABS(VLOOKUP($C136,Data!$A$12:$AA$211,26,FALSE))/IF(D136=123,3,1)</f>
        <v>#N/A</v>
      </c>
      <c r="K136" s="318" t="e">
        <f>VLOOKUP($C136,Data!$A$12:$AA$211,23,FALSE)</f>
        <v>#N/A</v>
      </c>
      <c r="L136" s="318" t="e">
        <f>VLOOKUP($C136,Data!$A$12:$AA$211,24,FALSE)</f>
        <v>#N/A</v>
      </c>
      <c r="M136" s="313" t="e">
        <f>VLOOKUP($C136,Data!$A$12:$AA$211,25,FALSE)</f>
        <v>#N/A</v>
      </c>
      <c r="N136" s="312" t="e">
        <f>VLOOKUP($C136,Data!$A$12:$R$211,18,FALSE)</f>
        <v>#N/A</v>
      </c>
      <c r="O136" s="68"/>
      <c r="P136" s="65" t="e">
        <f>IF(Q136="Watts",COS(RADIANS(VLOOKUP($C136,Data!$A$12:$AA$211,21,FALSE))),SIN(RADIANS(VLOOKUP($C136,Data!$A$12:$AA$211,21,FALSE))))</f>
        <v>#N/A</v>
      </c>
      <c r="Q136" s="313" t="e">
        <f>VLOOKUP($C136,Data!$A$12:$AA$211,13,FALSE)</f>
        <v>#N/A</v>
      </c>
      <c r="R136" s="65" t="e">
        <f>IF(SIGN(VLOOKUP($C136,Data!$A$12:$AA$211,21,FALSE))=1,"lead","lag")</f>
        <v>#N/A</v>
      </c>
      <c r="S136">
        <v>1</v>
      </c>
      <c r="T136" s="17"/>
      <c r="U136" s="17"/>
      <c r="AA136" s="22"/>
      <c r="AB136" s="17"/>
      <c r="AC136" s="17"/>
      <c r="AD136" s="23"/>
      <c r="AE136" s="23"/>
      <c r="AF136" s="17"/>
      <c r="AG136" s="17"/>
    </row>
    <row r="137" spans="3:33" x14ac:dyDescent="0.2">
      <c r="C137" s="54"/>
      <c r="D137" s="71" t="e">
        <f>VLOOKUP($C137,Data!$A$12:$AA$211,16,FALSE)</f>
        <v>#N/A</v>
      </c>
      <c r="E137" s="71" t="e">
        <f t="shared" si="26"/>
        <v>#N/A</v>
      </c>
      <c r="F137" s="71" t="e">
        <f t="shared" si="27"/>
        <v>#N/A</v>
      </c>
      <c r="G137" s="314" t="e">
        <f>VLOOKUP($C137,Data!$A$12:$AA$211,19,FALSE)</f>
        <v>#N/A</v>
      </c>
      <c r="H137" s="315" t="e">
        <f>VLOOKUP($C137,Data!$A$12:$AA$211,20,FALSE)</f>
        <v>#N/A</v>
      </c>
      <c r="I137" s="316" t="e">
        <f t="shared" si="28"/>
        <v>#N/A</v>
      </c>
      <c r="J137" s="317" t="e">
        <f>ABS(VLOOKUP($C137,Data!$A$12:$AA$211,26,FALSE))/IF(D137=123,3,1)</f>
        <v>#N/A</v>
      </c>
      <c r="K137" s="316" t="e">
        <f>VLOOKUP($C137,Data!$A$12:$AA$211,23,FALSE)</f>
        <v>#N/A</v>
      </c>
      <c r="L137" s="316" t="e">
        <f>VLOOKUP($C137,Data!$A$12:$AA$211,24,FALSE)</f>
        <v>#N/A</v>
      </c>
      <c r="M137" s="313" t="e">
        <f>VLOOKUP($C137,Data!$A$12:$AA$211,25,FALSE)</f>
        <v>#N/A</v>
      </c>
      <c r="N137" s="312" t="e">
        <f>VLOOKUP($C137,Data!$A$12:$R$211,18,FALSE)</f>
        <v>#N/A</v>
      </c>
      <c r="O137" s="68"/>
      <c r="P137" s="65" t="e">
        <f>IF(Q137="Watts",COS(RADIANS(VLOOKUP($C137,Data!$A$12:$AA$211,21,FALSE))),SIN(RADIANS(VLOOKUP($C137,Data!$A$12:$AA$211,21,FALSE))))</f>
        <v>#N/A</v>
      </c>
      <c r="Q137" s="313" t="e">
        <f>VLOOKUP($C137,Data!$A$12:$AA$211,13,FALSE)</f>
        <v>#N/A</v>
      </c>
      <c r="R137" s="65" t="e">
        <f>IF(SIGN(VLOOKUP($C137,Data!$A$12:$AA$211,21,FALSE))=1,"lead","lag")</f>
        <v>#N/A</v>
      </c>
      <c r="S137">
        <v>1</v>
      </c>
      <c r="T137" s="17"/>
      <c r="U137" s="17"/>
      <c r="AA137" s="22"/>
      <c r="AB137" s="17"/>
      <c r="AC137" s="17"/>
      <c r="AD137" s="23"/>
      <c r="AE137" s="23"/>
      <c r="AF137" s="17"/>
      <c r="AG137" s="17"/>
    </row>
    <row r="138" spans="3:33" x14ac:dyDescent="0.2">
      <c r="C138" s="54"/>
      <c r="D138" s="71" t="e">
        <f>VLOOKUP($C138,Data!$A$12:$AA$211,16,FALSE)</f>
        <v>#N/A</v>
      </c>
      <c r="E138" s="71" t="e">
        <f t="shared" si="26"/>
        <v>#N/A</v>
      </c>
      <c r="F138" s="71" t="e">
        <f t="shared" si="27"/>
        <v>#N/A</v>
      </c>
      <c r="G138" s="314" t="e">
        <f>VLOOKUP($C138,Data!$A$12:$AA$211,19,FALSE)</f>
        <v>#N/A</v>
      </c>
      <c r="H138" s="315" t="e">
        <f>VLOOKUP($C138,Data!$A$12:$AA$211,20,FALSE)</f>
        <v>#N/A</v>
      </c>
      <c r="I138" s="316" t="e">
        <f t="shared" si="28"/>
        <v>#N/A</v>
      </c>
      <c r="J138" s="317" t="e">
        <f>ABS(VLOOKUP($C138,Data!$A$12:$AA$211,26,FALSE))/IF(D138=123,3,1)</f>
        <v>#N/A</v>
      </c>
      <c r="K138" s="316" t="e">
        <f>VLOOKUP($C138,Data!$A$12:$AA$211,23,FALSE)</f>
        <v>#N/A</v>
      </c>
      <c r="L138" s="316" t="e">
        <f>VLOOKUP($C138,Data!$A$12:$AA$211,24,FALSE)</f>
        <v>#N/A</v>
      </c>
      <c r="M138" s="313" t="e">
        <f>VLOOKUP($C138,Data!$A$12:$AA$211,25,FALSE)</f>
        <v>#N/A</v>
      </c>
      <c r="N138" s="312" t="e">
        <f>VLOOKUP($C138,Data!$A$12:$R$211,18,FALSE)</f>
        <v>#N/A</v>
      </c>
      <c r="O138" s="68"/>
      <c r="P138" s="65" t="e">
        <f>IF(Q138="Watts",COS(RADIANS(VLOOKUP($C138,Data!$A$12:$AA$211,21,FALSE))),SIN(RADIANS(VLOOKUP($C138,Data!$A$12:$AA$211,21,FALSE))))</f>
        <v>#N/A</v>
      </c>
      <c r="Q138" s="313" t="e">
        <f>VLOOKUP($C138,Data!$A$12:$AA$211,13,FALSE)</f>
        <v>#N/A</v>
      </c>
      <c r="R138" s="65" t="e">
        <f>IF(SIGN(VLOOKUP($C138,Data!$A$12:$AA$211,21,FALSE))=1,"lead","lag")</f>
        <v>#N/A</v>
      </c>
      <c r="S138">
        <v>1</v>
      </c>
      <c r="T138" s="17"/>
      <c r="U138" s="17"/>
      <c r="AA138" s="22"/>
      <c r="AB138" s="17"/>
      <c r="AC138" s="17"/>
      <c r="AD138" s="23"/>
      <c r="AE138" s="23"/>
      <c r="AF138" s="17"/>
      <c r="AG138" s="17"/>
    </row>
    <row r="139" spans="3:33" x14ac:dyDescent="0.2">
      <c r="C139" s="54"/>
      <c r="D139" s="71" t="e">
        <f>VLOOKUP($C139,Data!$A$12:$AA$211,16,FALSE)</f>
        <v>#N/A</v>
      </c>
      <c r="E139" s="71" t="e">
        <f t="shared" si="26"/>
        <v>#N/A</v>
      </c>
      <c r="F139" s="71" t="e">
        <f t="shared" si="27"/>
        <v>#N/A</v>
      </c>
      <c r="G139" s="314" t="e">
        <f>VLOOKUP($C139,Data!$A$12:$AA$211,19,FALSE)</f>
        <v>#N/A</v>
      </c>
      <c r="H139" s="315" t="e">
        <f>VLOOKUP($C139,Data!$A$12:$AA$211,20,FALSE)</f>
        <v>#N/A</v>
      </c>
      <c r="I139" s="316" t="e">
        <f t="shared" si="28"/>
        <v>#N/A</v>
      </c>
      <c r="J139" s="317" t="e">
        <f>ABS(VLOOKUP($C139,Data!$A$12:$AA$211,26,FALSE))/IF(D139=123,3,1)</f>
        <v>#N/A</v>
      </c>
      <c r="K139" s="316" t="e">
        <f>VLOOKUP($C139,Data!$A$12:$AA$211,23,FALSE)</f>
        <v>#N/A</v>
      </c>
      <c r="L139" s="316" t="e">
        <f>VLOOKUP($C139,Data!$A$12:$AA$211,24,FALSE)</f>
        <v>#N/A</v>
      </c>
      <c r="M139" s="313" t="e">
        <f>VLOOKUP($C139,Data!$A$12:$AA$211,25,FALSE)</f>
        <v>#N/A</v>
      </c>
      <c r="N139" s="312" t="e">
        <f>VLOOKUP($C139,Data!$A$12:$R$211,18,FALSE)</f>
        <v>#N/A</v>
      </c>
      <c r="O139" s="68"/>
      <c r="P139" s="65" t="e">
        <f>IF(Q139="Watts",COS(RADIANS(VLOOKUP($C139,Data!$A$12:$AA$211,21,FALSE))),SIN(RADIANS(VLOOKUP($C139,Data!$A$12:$AA$211,21,FALSE))))</f>
        <v>#N/A</v>
      </c>
      <c r="Q139" s="313" t="e">
        <f>VLOOKUP($C139,Data!$A$12:$AA$211,13,FALSE)</f>
        <v>#N/A</v>
      </c>
      <c r="R139" s="65" t="e">
        <f>IF(SIGN(VLOOKUP($C139,Data!$A$12:$AA$211,21,FALSE))=1,"lead","lag")</f>
        <v>#N/A</v>
      </c>
      <c r="S139">
        <v>1</v>
      </c>
      <c r="T139" s="17"/>
      <c r="U139" s="17"/>
      <c r="AA139" s="22"/>
      <c r="AB139" s="17"/>
      <c r="AC139" s="17"/>
      <c r="AD139" s="23"/>
      <c r="AE139" s="23"/>
      <c r="AF139" s="17"/>
      <c r="AG139" s="17"/>
    </row>
    <row r="140" spans="3:33" x14ac:dyDescent="0.2">
      <c r="C140" s="54"/>
      <c r="D140" s="71" t="e">
        <f>VLOOKUP($C140,Data!$A$12:$AA$211,16,FALSE)</f>
        <v>#N/A</v>
      </c>
      <c r="E140" s="71" t="e">
        <f t="shared" si="26"/>
        <v>#N/A</v>
      </c>
      <c r="F140" s="71" t="e">
        <f t="shared" si="27"/>
        <v>#N/A</v>
      </c>
      <c r="G140" s="314" t="e">
        <f>VLOOKUP($C140,Data!$A$12:$AA$211,19,FALSE)</f>
        <v>#N/A</v>
      </c>
      <c r="H140" s="315" t="e">
        <f>VLOOKUP($C140,Data!$A$12:$AA$211,20,FALSE)</f>
        <v>#N/A</v>
      </c>
      <c r="I140" s="316" t="e">
        <f t="shared" si="28"/>
        <v>#N/A</v>
      </c>
      <c r="J140" s="317" t="e">
        <f>ABS(VLOOKUP($C140,Data!$A$12:$AA$211,26,FALSE))/IF(D140=123,3,1)</f>
        <v>#N/A</v>
      </c>
      <c r="K140" s="316" t="e">
        <f>VLOOKUP($C140,Data!$A$12:$AA$211,23,FALSE)</f>
        <v>#N/A</v>
      </c>
      <c r="L140" s="316" t="e">
        <f>VLOOKUP($C140,Data!$A$12:$AA$211,24,FALSE)</f>
        <v>#N/A</v>
      </c>
      <c r="M140" s="313" t="e">
        <f>VLOOKUP($C140,Data!$A$12:$AA$211,25,FALSE)</f>
        <v>#N/A</v>
      </c>
      <c r="N140" s="312" t="e">
        <f>VLOOKUP($C140,Data!$A$12:$R$211,18,FALSE)</f>
        <v>#N/A</v>
      </c>
      <c r="O140" s="68"/>
      <c r="P140" s="65" t="e">
        <f>IF(Q140="Watts",COS(RADIANS(VLOOKUP($C140,Data!$A$12:$AA$211,21,FALSE))),SIN(RADIANS(VLOOKUP($C140,Data!$A$12:$AA$211,21,FALSE))))</f>
        <v>#N/A</v>
      </c>
      <c r="Q140" s="313" t="e">
        <f>VLOOKUP($C140,Data!$A$12:$AA$211,13,FALSE)</f>
        <v>#N/A</v>
      </c>
      <c r="R140" s="65" t="e">
        <f>IF(SIGN(VLOOKUP($C140,Data!$A$12:$AA$211,21,FALSE))=1,"lead","lag")</f>
        <v>#N/A</v>
      </c>
      <c r="S140">
        <v>1</v>
      </c>
      <c r="T140" s="17"/>
      <c r="U140" s="17"/>
      <c r="AA140" s="22"/>
      <c r="AB140" s="17"/>
      <c r="AC140" s="17"/>
      <c r="AD140" s="23"/>
      <c r="AE140" s="23"/>
      <c r="AF140" s="17"/>
      <c r="AG140" s="17"/>
    </row>
    <row r="141" spans="3:33" x14ac:dyDescent="0.2">
      <c r="C141" s="54"/>
      <c r="D141" s="71" t="e">
        <f>VLOOKUP($C141,Data!$A$12:$AA$211,16,FALSE)</f>
        <v>#N/A</v>
      </c>
      <c r="E141" s="71" t="e">
        <f t="shared" si="26"/>
        <v>#N/A</v>
      </c>
      <c r="F141" s="71" t="e">
        <f t="shared" si="27"/>
        <v>#N/A</v>
      </c>
      <c r="G141" s="314" t="e">
        <f>VLOOKUP($C141,Data!$A$12:$AA$211,19,FALSE)</f>
        <v>#N/A</v>
      </c>
      <c r="H141" s="315" t="e">
        <f>VLOOKUP($C141,Data!$A$12:$AA$211,20,FALSE)</f>
        <v>#N/A</v>
      </c>
      <c r="I141" s="316" t="e">
        <f t="shared" si="28"/>
        <v>#N/A</v>
      </c>
      <c r="J141" s="317" t="e">
        <f>ABS(VLOOKUP($C141,Data!$A$12:$AA$211,26,FALSE))/IF(D141=123,3,1)</f>
        <v>#N/A</v>
      </c>
      <c r="K141" s="316" t="e">
        <f>VLOOKUP($C141,Data!$A$12:$AA$211,23,FALSE)</f>
        <v>#N/A</v>
      </c>
      <c r="L141" s="316" t="e">
        <f>VLOOKUP($C141,Data!$A$12:$AA$211,24,FALSE)</f>
        <v>#N/A</v>
      </c>
      <c r="M141" s="313" t="e">
        <f>VLOOKUP($C141,Data!$A$12:$AA$211,25,FALSE)</f>
        <v>#N/A</v>
      </c>
      <c r="N141" s="312" t="e">
        <f>VLOOKUP($C141,Data!$A$12:$R$211,18,FALSE)</f>
        <v>#N/A</v>
      </c>
      <c r="O141" s="68"/>
      <c r="P141" s="65" t="e">
        <f>IF(Q141="Watts",COS(RADIANS(VLOOKUP($C141,Data!$A$12:$AA$211,21,FALSE))),SIN(RADIANS(VLOOKUP($C141,Data!$A$12:$AA$211,21,FALSE))))</f>
        <v>#N/A</v>
      </c>
      <c r="Q141" s="313" t="e">
        <f>VLOOKUP($C141,Data!$A$12:$AA$211,13,FALSE)</f>
        <v>#N/A</v>
      </c>
      <c r="R141" s="65" t="e">
        <f>IF(SIGN(VLOOKUP($C141,Data!$A$12:$AA$211,21,FALSE))=1,"lead","lag")</f>
        <v>#N/A</v>
      </c>
      <c r="S141">
        <v>1</v>
      </c>
      <c r="T141" s="17"/>
      <c r="U141" s="17"/>
      <c r="AA141" s="22"/>
      <c r="AB141" s="17"/>
      <c r="AC141" s="17"/>
      <c r="AD141" s="23"/>
      <c r="AE141" s="23"/>
      <c r="AF141" s="17"/>
      <c r="AG141" s="17"/>
    </row>
    <row r="142" spans="3:33" x14ac:dyDescent="0.2">
      <c r="C142" s="54"/>
      <c r="D142" s="71" t="e">
        <f>VLOOKUP($C142,Data!$A$12:$AA$211,16,FALSE)</f>
        <v>#N/A</v>
      </c>
      <c r="E142" s="71" t="e">
        <f t="shared" si="26"/>
        <v>#N/A</v>
      </c>
      <c r="F142" s="71" t="e">
        <f t="shared" si="27"/>
        <v>#N/A</v>
      </c>
      <c r="G142" s="314" t="e">
        <f>VLOOKUP($C142,Data!$A$12:$AA$211,19,FALSE)</f>
        <v>#N/A</v>
      </c>
      <c r="H142" s="315" t="e">
        <f>VLOOKUP($C142,Data!$A$12:$AA$211,20,FALSE)</f>
        <v>#N/A</v>
      </c>
      <c r="I142" s="316" t="e">
        <f t="shared" si="28"/>
        <v>#N/A</v>
      </c>
      <c r="J142" s="317" t="e">
        <f>ABS(VLOOKUP($C142,Data!$A$12:$AA$211,26,FALSE))/IF(D142=123,3,1)</f>
        <v>#N/A</v>
      </c>
      <c r="K142" s="316" t="e">
        <f>VLOOKUP($C142,Data!$A$12:$AA$211,23,FALSE)</f>
        <v>#N/A</v>
      </c>
      <c r="L142" s="316" t="e">
        <f>VLOOKUP($C142,Data!$A$12:$AA$211,24,FALSE)</f>
        <v>#N/A</v>
      </c>
      <c r="M142" s="313" t="e">
        <f>VLOOKUP($C142,Data!$A$12:$AA$211,25,FALSE)</f>
        <v>#N/A</v>
      </c>
      <c r="N142" s="312" t="e">
        <f>VLOOKUP($C142,Data!$A$12:$R$211,18,FALSE)</f>
        <v>#N/A</v>
      </c>
      <c r="O142" s="68"/>
      <c r="P142" s="65" t="e">
        <f>IF(Q142="Watts",COS(RADIANS(VLOOKUP($C142,Data!$A$12:$AA$211,21,FALSE))),SIN(RADIANS(VLOOKUP($C142,Data!$A$12:$AA$211,21,FALSE))))</f>
        <v>#N/A</v>
      </c>
      <c r="Q142" s="313" t="e">
        <f>VLOOKUP($C142,Data!$A$12:$AA$211,13,FALSE)</f>
        <v>#N/A</v>
      </c>
      <c r="R142" s="65" t="e">
        <f>IF(SIGN(VLOOKUP($C142,Data!$A$12:$AA$211,21,FALSE))=1,"lead","lag")</f>
        <v>#N/A</v>
      </c>
      <c r="S142">
        <v>1</v>
      </c>
      <c r="T142" s="17"/>
      <c r="U142" s="17"/>
      <c r="AA142" s="22"/>
      <c r="AB142" s="17"/>
      <c r="AC142" s="17"/>
      <c r="AD142" s="23"/>
      <c r="AE142" s="23"/>
      <c r="AF142" s="17"/>
      <c r="AG142" s="17"/>
    </row>
    <row r="143" spans="3:33" x14ac:dyDescent="0.2">
      <c r="C143" s="54"/>
      <c r="D143" s="71" t="e">
        <f>VLOOKUP($C143,Data!$A$12:$AA$211,16,FALSE)</f>
        <v>#N/A</v>
      </c>
      <c r="E143" s="71" t="e">
        <f t="shared" si="26"/>
        <v>#N/A</v>
      </c>
      <c r="F143" s="71" t="e">
        <f t="shared" si="27"/>
        <v>#N/A</v>
      </c>
      <c r="G143" s="314" t="e">
        <f>VLOOKUP($C143,Data!$A$12:$AA$211,19,FALSE)</f>
        <v>#N/A</v>
      </c>
      <c r="H143" s="315" t="e">
        <f>VLOOKUP($C143,Data!$A$12:$AA$211,20,FALSE)</f>
        <v>#N/A</v>
      </c>
      <c r="I143" s="316" t="e">
        <f t="shared" si="28"/>
        <v>#N/A</v>
      </c>
      <c r="J143" s="317" t="e">
        <f>ABS(VLOOKUP($C143,Data!$A$12:$AA$211,26,FALSE))/IF(D143=123,3,1)</f>
        <v>#N/A</v>
      </c>
      <c r="K143" s="316" t="e">
        <f>VLOOKUP($C143,Data!$A$12:$AA$211,23,FALSE)</f>
        <v>#N/A</v>
      </c>
      <c r="L143" s="316" t="e">
        <f>VLOOKUP($C143,Data!$A$12:$AA$211,24,FALSE)</f>
        <v>#N/A</v>
      </c>
      <c r="M143" s="313" t="e">
        <f>VLOOKUP($C143,Data!$A$12:$AA$211,25,FALSE)</f>
        <v>#N/A</v>
      </c>
      <c r="N143" s="312" t="e">
        <f>VLOOKUP($C143,Data!$A$12:$R$211,18,FALSE)</f>
        <v>#N/A</v>
      </c>
      <c r="O143" s="68"/>
      <c r="P143" s="65" t="e">
        <f>IF(Q143="Watts",COS(RADIANS(VLOOKUP($C143,Data!$A$12:$AA$211,21,FALSE))),SIN(RADIANS(VLOOKUP($C143,Data!$A$12:$AA$211,21,FALSE))))</f>
        <v>#N/A</v>
      </c>
      <c r="Q143" s="313" t="e">
        <f>VLOOKUP($C143,Data!$A$12:$AA$211,13,FALSE)</f>
        <v>#N/A</v>
      </c>
      <c r="R143" s="65" t="e">
        <f>IF(SIGN(VLOOKUP($C143,Data!$A$12:$AA$211,21,FALSE))=1,"lead","lag")</f>
        <v>#N/A</v>
      </c>
      <c r="S143">
        <v>1</v>
      </c>
      <c r="T143" s="17"/>
      <c r="U143" s="17"/>
      <c r="AA143" s="22"/>
      <c r="AB143" s="17"/>
      <c r="AC143" s="17"/>
      <c r="AD143" s="23"/>
      <c r="AE143" s="23"/>
      <c r="AF143" s="17"/>
      <c r="AG143" s="17"/>
    </row>
    <row r="144" spans="3:33" x14ac:dyDescent="0.2">
      <c r="C144" s="54"/>
      <c r="D144" s="73"/>
      <c r="E144" s="73"/>
      <c r="F144" s="73"/>
      <c r="G144" s="320"/>
      <c r="H144" s="321"/>
      <c r="I144" s="320"/>
      <c r="J144" s="332"/>
      <c r="K144" s="323"/>
      <c r="L144" s="323"/>
      <c r="M144" s="324"/>
      <c r="N144" s="7"/>
      <c r="O144" s="68"/>
      <c r="P144" s="65"/>
      <c r="Q144" s="313"/>
      <c r="AA144" s="22">
        <f>D234</f>
        <v>0</v>
      </c>
      <c r="AB144" s="17">
        <f>E234</f>
        <v>0</v>
      </c>
      <c r="AC144" s="17">
        <f>F234</f>
        <v>0</v>
      </c>
      <c r="AD144" s="23">
        <f>G234</f>
        <v>0</v>
      </c>
      <c r="AE144" s="23">
        <f>I234</f>
        <v>0</v>
      </c>
      <c r="AF144" s="17">
        <f>L234</f>
        <v>0</v>
      </c>
      <c r="AG144" s="17">
        <f>M234</f>
        <v>0</v>
      </c>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sheetData>
  <customSheetViews>
    <customSheetView guid="{1F7EA7B0-7CBB-4C85-991C-384D0AE2B3A5}" scale="75" showGridLines="0" showRuler="0" topLeftCell="D1">
      <selection activeCell="P8" sqref="P8"/>
      <pageMargins left="0.75" right="0.75" top="1" bottom="1" header="0.5" footer="0.5"/>
      <pageSetup paperSize="9" orientation="portrait" r:id="rId1"/>
      <headerFooter alignWithMargins="0">
        <oddHeader>&amp;A</oddHeader>
        <oddFooter>Page &amp;P</oddFooter>
      </headerFooter>
    </customSheetView>
  </customSheetViews>
  <mergeCells count="5">
    <mergeCell ref="E113:F113"/>
    <mergeCell ref="E126:F126"/>
    <mergeCell ref="E5:F5"/>
    <mergeCell ref="E61:F61"/>
    <mergeCell ref="E85:F85"/>
  </mergeCells>
  <phoneticPr fontId="13" type="noConversion"/>
  <printOptions gridLinesSet="0"/>
  <pageMargins left="0.75" right="0.75" top="1" bottom="1" header="0.5" footer="0.5"/>
  <pageSetup paperSize="9" orientation="portrait" r:id="rId2"/>
  <headerFooter alignWithMargins="0">
    <oddHeader>&amp;A</oddHeader>
    <oddFooter>Page &amp;P</oddFooter>
  </headerFooter>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HY4"/>
  <sheetViews>
    <sheetView zoomScale="75" workbookViewId="0">
      <selection activeCell="W17" sqref="W17"/>
    </sheetView>
  </sheetViews>
  <sheetFormatPr defaultRowHeight="12.75" x14ac:dyDescent="0.2"/>
  <cols>
    <col min="38" max="38" width="10.140625" customWidth="1"/>
    <col min="60" max="60" width="9.85546875" customWidth="1"/>
    <col min="167" max="167" width="10.28515625" customWidth="1"/>
  </cols>
  <sheetData>
    <row r="1" spans="1:233" x14ac:dyDescent="0.2">
      <c r="A1" s="301">
        <f>COLUMN()</f>
        <v>1</v>
      </c>
      <c r="B1" s="301">
        <f>COLUMN()</f>
        <v>2</v>
      </c>
      <c r="C1" s="301">
        <f>COLUMN()</f>
        <v>3</v>
      </c>
      <c r="D1" s="301">
        <f>COLUMN()</f>
        <v>4</v>
      </c>
      <c r="E1" s="260">
        <f>COLUMN()</f>
        <v>5</v>
      </c>
      <c r="F1">
        <f>COLUMN()</f>
        <v>6</v>
      </c>
      <c r="G1">
        <f>COLUMN()</f>
        <v>7</v>
      </c>
      <c r="H1">
        <f>COLUMN()</f>
        <v>8</v>
      </c>
      <c r="I1">
        <f>COLUMN()</f>
        <v>9</v>
      </c>
      <c r="J1">
        <f>COLUMN()</f>
        <v>10</v>
      </c>
      <c r="K1">
        <f>COLUMN()</f>
        <v>11</v>
      </c>
      <c r="L1">
        <f>COLUMN()</f>
        <v>12</v>
      </c>
      <c r="M1">
        <f>COLUMN()</f>
        <v>13</v>
      </c>
      <c r="N1">
        <f>COLUMN()</f>
        <v>14</v>
      </c>
      <c r="O1">
        <f>COLUMN()</f>
        <v>15</v>
      </c>
      <c r="P1">
        <f>COLUMN()</f>
        <v>16</v>
      </c>
      <c r="Q1">
        <f>COLUMN()</f>
        <v>17</v>
      </c>
      <c r="R1">
        <f>COLUMN()</f>
        <v>18</v>
      </c>
      <c r="S1">
        <f>COLUMN()</f>
        <v>19</v>
      </c>
      <c r="T1">
        <f>COLUMN()</f>
        <v>20</v>
      </c>
      <c r="U1">
        <f>COLUMN()</f>
        <v>21</v>
      </c>
      <c r="V1">
        <f>COLUMN()</f>
        <v>22</v>
      </c>
      <c r="W1">
        <f>COLUMN()</f>
        <v>23</v>
      </c>
      <c r="X1">
        <f>COLUMN()</f>
        <v>24</v>
      </c>
      <c r="Y1">
        <f>COLUMN()</f>
        <v>25</v>
      </c>
      <c r="Z1">
        <f>COLUMN()</f>
        <v>26</v>
      </c>
      <c r="AA1">
        <f>COLUMN()</f>
        <v>27</v>
      </c>
      <c r="AB1">
        <f>COLUMN()</f>
        <v>28</v>
      </c>
      <c r="AC1">
        <f>COLUMN()</f>
        <v>29</v>
      </c>
      <c r="AD1">
        <f>COLUMN()</f>
        <v>30</v>
      </c>
      <c r="AE1">
        <f>COLUMN()</f>
        <v>31</v>
      </c>
      <c r="AF1">
        <f>COLUMN()</f>
        <v>32</v>
      </c>
      <c r="AG1">
        <f>COLUMN()</f>
        <v>33</v>
      </c>
      <c r="AH1">
        <f>COLUMN()</f>
        <v>34</v>
      </c>
      <c r="AI1">
        <f>COLUMN()</f>
        <v>35</v>
      </c>
      <c r="AJ1">
        <f>COLUMN()</f>
        <v>36</v>
      </c>
      <c r="AK1">
        <f>COLUMN()</f>
        <v>37</v>
      </c>
      <c r="AL1">
        <f>COLUMN()</f>
        <v>38</v>
      </c>
      <c r="AM1">
        <f>COLUMN()</f>
        <v>39</v>
      </c>
      <c r="AN1">
        <f>COLUMN()</f>
        <v>40</v>
      </c>
      <c r="AO1">
        <f>COLUMN()</f>
        <v>41</v>
      </c>
      <c r="AP1">
        <f>COLUMN()</f>
        <v>42</v>
      </c>
      <c r="AQ1">
        <f>COLUMN()</f>
        <v>43</v>
      </c>
      <c r="AR1">
        <f>COLUMN()</f>
        <v>44</v>
      </c>
      <c r="AS1">
        <f>COLUMN()</f>
        <v>45</v>
      </c>
      <c r="AT1">
        <f>COLUMN()</f>
        <v>46</v>
      </c>
      <c r="AU1">
        <f>COLUMN()</f>
        <v>47</v>
      </c>
      <c r="AV1">
        <f>COLUMN()</f>
        <v>48</v>
      </c>
      <c r="AW1">
        <f>COLUMN()</f>
        <v>49</v>
      </c>
      <c r="AX1">
        <f>COLUMN()</f>
        <v>50</v>
      </c>
      <c r="AY1">
        <f>COLUMN()</f>
        <v>51</v>
      </c>
      <c r="AZ1">
        <f>COLUMN()</f>
        <v>52</v>
      </c>
      <c r="BA1">
        <f>COLUMN()</f>
        <v>53</v>
      </c>
      <c r="BB1">
        <f>COLUMN()</f>
        <v>54</v>
      </c>
      <c r="BC1">
        <f>COLUMN()</f>
        <v>55</v>
      </c>
      <c r="BD1">
        <f>COLUMN()</f>
        <v>56</v>
      </c>
      <c r="BE1">
        <f>COLUMN()</f>
        <v>57</v>
      </c>
      <c r="BF1">
        <f>COLUMN()</f>
        <v>58</v>
      </c>
      <c r="BG1">
        <f>COLUMN()</f>
        <v>59</v>
      </c>
      <c r="BH1">
        <f>COLUMN()</f>
        <v>60</v>
      </c>
      <c r="BI1">
        <f>COLUMN()</f>
        <v>61</v>
      </c>
      <c r="BJ1">
        <f>COLUMN()</f>
        <v>62</v>
      </c>
      <c r="BK1">
        <f>COLUMN()</f>
        <v>63</v>
      </c>
      <c r="BL1">
        <f>COLUMN()</f>
        <v>64</v>
      </c>
      <c r="BM1">
        <f>COLUMN()</f>
        <v>65</v>
      </c>
      <c r="BN1">
        <f>COLUMN()</f>
        <v>66</v>
      </c>
      <c r="BO1">
        <f>COLUMN()</f>
        <v>67</v>
      </c>
      <c r="BP1">
        <f>COLUMN()</f>
        <v>68</v>
      </c>
      <c r="BQ1">
        <f>COLUMN()</f>
        <v>69</v>
      </c>
      <c r="BR1">
        <f>COLUMN()</f>
        <v>70</v>
      </c>
      <c r="BS1">
        <f>COLUMN()</f>
        <v>71</v>
      </c>
      <c r="BT1">
        <f>COLUMN()</f>
        <v>72</v>
      </c>
      <c r="BU1">
        <f>COLUMN()</f>
        <v>73</v>
      </c>
      <c r="BV1">
        <f>COLUMN()</f>
        <v>74</v>
      </c>
      <c r="BW1">
        <f>COLUMN()</f>
        <v>75</v>
      </c>
      <c r="BX1">
        <f>COLUMN()</f>
        <v>76</v>
      </c>
      <c r="BY1">
        <f>COLUMN()</f>
        <v>77</v>
      </c>
      <c r="BZ1">
        <f>COLUMN()</f>
        <v>78</v>
      </c>
      <c r="CA1">
        <f>COLUMN()</f>
        <v>79</v>
      </c>
      <c r="CB1">
        <f>COLUMN()</f>
        <v>80</v>
      </c>
      <c r="CC1">
        <f>COLUMN()</f>
        <v>81</v>
      </c>
      <c r="CD1">
        <f>COLUMN()</f>
        <v>82</v>
      </c>
      <c r="CE1">
        <f>COLUMN()</f>
        <v>83</v>
      </c>
      <c r="CF1">
        <f>COLUMN()</f>
        <v>84</v>
      </c>
      <c r="CG1">
        <f>COLUMN()</f>
        <v>85</v>
      </c>
      <c r="CH1">
        <f>COLUMN()</f>
        <v>86</v>
      </c>
      <c r="CI1">
        <f>COLUMN()</f>
        <v>87</v>
      </c>
      <c r="CJ1">
        <f>COLUMN()</f>
        <v>88</v>
      </c>
      <c r="CK1">
        <f>COLUMN()</f>
        <v>89</v>
      </c>
      <c r="CL1">
        <f>COLUMN()</f>
        <v>90</v>
      </c>
      <c r="CM1">
        <f>COLUMN()</f>
        <v>91</v>
      </c>
      <c r="CN1">
        <f>COLUMN()</f>
        <v>92</v>
      </c>
      <c r="CO1">
        <f>COLUMN()</f>
        <v>93</v>
      </c>
      <c r="CP1">
        <f>COLUMN()</f>
        <v>94</v>
      </c>
      <c r="CQ1">
        <f>COLUMN()</f>
        <v>95</v>
      </c>
      <c r="CR1">
        <f>COLUMN()</f>
        <v>96</v>
      </c>
      <c r="CS1">
        <f>COLUMN()</f>
        <v>97</v>
      </c>
      <c r="CT1">
        <f>COLUMN()</f>
        <v>98</v>
      </c>
      <c r="CU1">
        <f>COLUMN()</f>
        <v>99</v>
      </c>
      <c r="CV1">
        <f>COLUMN()</f>
        <v>100</v>
      </c>
      <c r="CW1">
        <f>COLUMN()</f>
        <v>101</v>
      </c>
      <c r="CX1">
        <f>COLUMN()</f>
        <v>102</v>
      </c>
      <c r="CY1">
        <f>COLUMN()</f>
        <v>103</v>
      </c>
      <c r="CZ1">
        <f>COLUMN()</f>
        <v>104</v>
      </c>
      <c r="DA1">
        <f>COLUMN()</f>
        <v>105</v>
      </c>
      <c r="DB1">
        <f>COLUMN()</f>
        <v>106</v>
      </c>
      <c r="DC1">
        <f>COLUMN()</f>
        <v>107</v>
      </c>
      <c r="DD1">
        <f>COLUMN()</f>
        <v>108</v>
      </c>
      <c r="DE1">
        <f>COLUMN()</f>
        <v>109</v>
      </c>
      <c r="DF1">
        <f>COLUMN()</f>
        <v>110</v>
      </c>
      <c r="DG1">
        <f>COLUMN()</f>
        <v>111</v>
      </c>
      <c r="DH1">
        <f>COLUMN()</f>
        <v>112</v>
      </c>
      <c r="DI1">
        <f>COLUMN()</f>
        <v>113</v>
      </c>
      <c r="DJ1">
        <f>COLUMN()</f>
        <v>114</v>
      </c>
      <c r="DK1">
        <f>COLUMN()</f>
        <v>115</v>
      </c>
      <c r="DL1">
        <f>COLUMN()</f>
        <v>116</v>
      </c>
      <c r="DM1">
        <f>COLUMN()</f>
        <v>117</v>
      </c>
      <c r="DN1">
        <f>COLUMN()</f>
        <v>118</v>
      </c>
      <c r="DO1">
        <f>COLUMN()</f>
        <v>119</v>
      </c>
      <c r="DP1">
        <f>COLUMN()</f>
        <v>120</v>
      </c>
      <c r="DQ1">
        <f>COLUMN()</f>
        <v>121</v>
      </c>
      <c r="DR1">
        <f>COLUMN()</f>
        <v>122</v>
      </c>
      <c r="DS1">
        <f>COLUMN()</f>
        <v>123</v>
      </c>
      <c r="DT1">
        <f>COLUMN()</f>
        <v>124</v>
      </c>
      <c r="DU1">
        <f>COLUMN()</f>
        <v>125</v>
      </c>
      <c r="DV1">
        <f>COLUMN()</f>
        <v>126</v>
      </c>
      <c r="DW1">
        <f>COLUMN()</f>
        <v>127</v>
      </c>
      <c r="DX1">
        <f>COLUMN()</f>
        <v>128</v>
      </c>
      <c r="DY1">
        <f>COLUMN()</f>
        <v>129</v>
      </c>
      <c r="DZ1">
        <f>COLUMN()</f>
        <v>130</v>
      </c>
      <c r="EA1">
        <f>COLUMN()</f>
        <v>131</v>
      </c>
      <c r="EB1">
        <f>COLUMN()</f>
        <v>132</v>
      </c>
      <c r="EC1">
        <f>COLUMN()</f>
        <v>133</v>
      </c>
      <c r="ED1">
        <f>COLUMN()</f>
        <v>134</v>
      </c>
      <c r="EE1">
        <f>COLUMN()</f>
        <v>135</v>
      </c>
      <c r="EF1">
        <f>COLUMN()</f>
        <v>136</v>
      </c>
      <c r="EG1">
        <f>COLUMN()</f>
        <v>137</v>
      </c>
      <c r="EH1">
        <f>COLUMN()</f>
        <v>138</v>
      </c>
      <c r="EI1">
        <f>COLUMN()</f>
        <v>139</v>
      </c>
      <c r="EJ1">
        <f>COLUMN()</f>
        <v>140</v>
      </c>
      <c r="EK1">
        <f>COLUMN()</f>
        <v>141</v>
      </c>
      <c r="EL1">
        <f>COLUMN()</f>
        <v>142</v>
      </c>
      <c r="EM1">
        <f>COLUMN()</f>
        <v>143</v>
      </c>
      <c r="EN1">
        <f>COLUMN()</f>
        <v>144</v>
      </c>
      <c r="EO1">
        <f>COLUMN()</f>
        <v>145</v>
      </c>
      <c r="EP1" s="568">
        <f>COLUMN()</f>
        <v>146</v>
      </c>
      <c r="EQ1" s="557">
        <f>COLUMN()</f>
        <v>147</v>
      </c>
      <c r="ER1" s="557">
        <f>COLUMN()</f>
        <v>148</v>
      </c>
      <c r="ES1" s="133">
        <f>COLUMN()</f>
        <v>149</v>
      </c>
      <c r="ET1">
        <f>COLUMN()</f>
        <v>150</v>
      </c>
      <c r="EU1">
        <f>COLUMN()</f>
        <v>151</v>
      </c>
      <c r="EV1">
        <f>COLUMN()</f>
        <v>152</v>
      </c>
      <c r="EW1">
        <f>COLUMN()</f>
        <v>153</v>
      </c>
      <c r="EX1">
        <f>COLUMN()</f>
        <v>154</v>
      </c>
      <c r="EY1" s="573" t="s">
        <v>995</v>
      </c>
      <c r="EZ1" s="573" t="s">
        <v>995</v>
      </c>
      <c r="FA1" s="113">
        <f>COLUMN()</f>
        <v>157</v>
      </c>
      <c r="FB1" s="113">
        <f>COLUMN()</f>
        <v>158</v>
      </c>
      <c r="FC1" s="66">
        <f>COLUMN()</f>
        <v>159</v>
      </c>
      <c r="FD1" s="573" t="s">
        <v>995</v>
      </c>
      <c r="FE1" s="573" t="s">
        <v>995</v>
      </c>
      <c r="FF1" s="67">
        <f>COLUMN()</f>
        <v>162</v>
      </c>
      <c r="FG1" s="67">
        <f>COLUMN()</f>
        <v>163</v>
      </c>
      <c r="FH1" s="220">
        <f>COLUMN()</f>
        <v>164</v>
      </c>
      <c r="FI1">
        <f>COLUMN()</f>
        <v>165</v>
      </c>
      <c r="FJ1">
        <f>COLUMN()</f>
        <v>166</v>
      </c>
      <c r="FK1">
        <f>COLUMN()</f>
        <v>167</v>
      </c>
      <c r="FL1">
        <f>COLUMN()</f>
        <v>168</v>
      </c>
      <c r="FM1">
        <f>COLUMN()</f>
        <v>169</v>
      </c>
      <c r="FN1">
        <f>COLUMN()</f>
        <v>170</v>
      </c>
      <c r="FO1">
        <f>COLUMN()</f>
        <v>171</v>
      </c>
      <c r="FP1">
        <f>COLUMN()</f>
        <v>172</v>
      </c>
      <c r="FQ1">
        <f>COLUMN()</f>
        <v>173</v>
      </c>
      <c r="FR1">
        <f>COLUMN()</f>
        <v>174</v>
      </c>
      <c r="FS1">
        <f>COLUMN()</f>
        <v>175</v>
      </c>
      <c r="FT1" s="6">
        <f>COLUMN()</f>
        <v>176</v>
      </c>
      <c r="FU1" s="6">
        <f>COLUMN()</f>
        <v>177</v>
      </c>
      <c r="FV1" s="6">
        <f>COLUMN()</f>
        <v>178</v>
      </c>
      <c r="FW1" s="6">
        <f>COLUMN()</f>
        <v>179</v>
      </c>
      <c r="FX1" s="6">
        <f>COLUMN()</f>
        <v>180</v>
      </c>
      <c r="FY1" s="6">
        <f>COLUMN()</f>
        <v>181</v>
      </c>
      <c r="FZ1" s="6">
        <f>COLUMN()</f>
        <v>182</v>
      </c>
      <c r="GA1" s="6">
        <f>COLUMN()</f>
        <v>183</v>
      </c>
      <c r="GB1" s="6">
        <f>COLUMN()</f>
        <v>184</v>
      </c>
      <c r="GC1" s="6"/>
      <c r="GD1" s="6"/>
      <c r="GE1" s="6"/>
      <c r="GF1" s="6"/>
      <c r="GG1" s="6"/>
      <c r="GH1" s="6"/>
      <c r="GI1" s="6"/>
      <c r="GJ1" s="6"/>
      <c r="GK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row>
    <row r="2" spans="1:233" x14ac:dyDescent="0.2">
      <c r="A2" s="301"/>
      <c r="B2" s="301"/>
      <c r="C2" s="301"/>
      <c r="D2" s="301"/>
      <c r="E2" s="260"/>
      <c r="EP2" s="568"/>
      <c r="EQ2" s="557"/>
      <c r="ER2" s="557"/>
      <c r="ES2" s="133"/>
      <c r="EY2" s="489"/>
      <c r="EZ2" s="489"/>
      <c r="FA2" s="113"/>
      <c r="FB2" s="113"/>
      <c r="FC2" s="66"/>
      <c r="FD2" s="489"/>
      <c r="FE2" s="489"/>
      <c r="FF2" s="67"/>
      <c r="FG2" s="67"/>
      <c r="FH2" s="220"/>
      <c r="FT2" s="6"/>
      <c r="FU2" s="6"/>
      <c r="FV2" s="6"/>
      <c r="FW2" s="6"/>
      <c r="FX2" s="6"/>
      <c r="FY2" s="6"/>
      <c r="FZ2" s="6"/>
      <c r="GA2" s="6"/>
      <c r="GB2" s="6"/>
      <c r="GC2" s="6"/>
      <c r="GD2" s="6"/>
      <c r="GE2" s="6"/>
      <c r="GF2" s="6"/>
      <c r="GG2" s="6"/>
      <c r="GH2" s="6"/>
      <c r="GI2" s="6"/>
      <c r="GJ2" s="6"/>
      <c r="GK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row>
    <row r="3" spans="1:233" s="559" customFormat="1" ht="57" customHeight="1" thickBot="1" x14ac:dyDescent="0.25">
      <c r="A3" s="556" t="s">
        <v>785</v>
      </c>
      <c r="B3" s="556" t="s">
        <v>963</v>
      </c>
      <c r="C3" s="556" t="s">
        <v>1002</v>
      </c>
      <c r="D3" s="556"/>
      <c r="E3" s="559" t="s">
        <v>789</v>
      </c>
      <c r="F3" s="559" t="s">
        <v>790</v>
      </c>
      <c r="G3" s="559" t="s">
        <v>791</v>
      </c>
      <c r="H3" s="559" t="s">
        <v>792</v>
      </c>
      <c r="I3" s="559" t="s">
        <v>793</v>
      </c>
      <c r="J3" s="559" t="s">
        <v>794</v>
      </c>
      <c r="K3" s="566" t="s">
        <v>1055</v>
      </c>
      <c r="L3" s="559" t="s">
        <v>795</v>
      </c>
      <c r="M3" s="559" t="s">
        <v>796</v>
      </c>
      <c r="N3" s="559" t="s">
        <v>797</v>
      </c>
      <c r="O3" s="559" t="s">
        <v>798</v>
      </c>
      <c r="P3" s="559" t="s">
        <v>799</v>
      </c>
      <c r="Q3" s="559" t="s">
        <v>800</v>
      </c>
      <c r="R3" s="559" t="s">
        <v>801</v>
      </c>
      <c r="S3" s="559" t="s">
        <v>802</v>
      </c>
      <c r="T3" s="559" t="s">
        <v>803</v>
      </c>
      <c r="U3" s="559" t="s">
        <v>804</v>
      </c>
      <c r="V3" s="559" t="s">
        <v>805</v>
      </c>
      <c r="W3" s="669" t="s">
        <v>41</v>
      </c>
      <c r="X3" s="669" t="s">
        <v>42</v>
      </c>
      <c r="Y3" s="669" t="s">
        <v>43</v>
      </c>
      <c r="Z3" s="559" t="s">
        <v>809</v>
      </c>
      <c r="AA3" s="559" t="s">
        <v>810</v>
      </c>
      <c r="AB3" s="559" t="s">
        <v>811</v>
      </c>
      <c r="AC3" s="559" t="s">
        <v>812</v>
      </c>
      <c r="AD3" s="559" t="s">
        <v>813</v>
      </c>
      <c r="AE3" s="559" t="s">
        <v>814</v>
      </c>
      <c r="AF3" s="559" t="s">
        <v>815</v>
      </c>
      <c r="AG3" s="559" t="s">
        <v>816</v>
      </c>
      <c r="AH3" s="559" t="s">
        <v>817</v>
      </c>
      <c r="AI3" s="559" t="s">
        <v>818</v>
      </c>
      <c r="AJ3" s="559" t="s">
        <v>819</v>
      </c>
      <c r="AK3" s="559" t="s">
        <v>820</v>
      </c>
      <c r="AL3" s="559" t="s">
        <v>821</v>
      </c>
      <c r="AM3" s="559" t="s">
        <v>822</v>
      </c>
      <c r="AN3" s="559" t="s">
        <v>823</v>
      </c>
      <c r="AO3" s="559" t="s">
        <v>824</v>
      </c>
      <c r="AP3" s="559" t="s">
        <v>825</v>
      </c>
      <c r="AQ3" s="559" t="s">
        <v>826</v>
      </c>
      <c r="AR3" s="559" t="s">
        <v>827</v>
      </c>
      <c r="AS3" s="559" t="s">
        <v>828</v>
      </c>
      <c r="AT3" s="559" t="s">
        <v>829</v>
      </c>
      <c r="AU3" s="559" t="s">
        <v>830</v>
      </c>
      <c r="AV3" s="559" t="s">
        <v>831</v>
      </c>
      <c r="AW3" s="559" t="s">
        <v>832</v>
      </c>
      <c r="AX3" s="559" t="s">
        <v>833</v>
      </c>
      <c r="AY3" s="559" t="s">
        <v>834</v>
      </c>
      <c r="AZ3" s="559" t="s">
        <v>835</v>
      </c>
      <c r="BA3" s="559" t="s">
        <v>836</v>
      </c>
      <c r="BB3" s="559" t="s">
        <v>837</v>
      </c>
      <c r="BC3" s="559" t="s">
        <v>838</v>
      </c>
      <c r="BD3" s="559" t="s">
        <v>839</v>
      </c>
      <c r="BE3" s="559" t="s">
        <v>840</v>
      </c>
      <c r="BF3" s="559" t="s">
        <v>841</v>
      </c>
      <c r="BG3" s="559" t="s">
        <v>842</v>
      </c>
      <c r="BH3" s="559" t="s">
        <v>843</v>
      </c>
      <c r="BI3" s="559" t="s">
        <v>844</v>
      </c>
      <c r="BJ3" s="559" t="s">
        <v>845</v>
      </c>
      <c r="BK3" s="559" t="s">
        <v>846</v>
      </c>
      <c r="BL3" s="559" t="s">
        <v>847</v>
      </c>
      <c r="BM3" s="559" t="s">
        <v>848</v>
      </c>
      <c r="BN3" s="559" t="s">
        <v>849</v>
      </c>
      <c r="BO3" s="559" t="s">
        <v>850</v>
      </c>
      <c r="BP3" s="559" t="s">
        <v>851</v>
      </c>
      <c r="BQ3" s="559" t="s">
        <v>852</v>
      </c>
      <c r="BR3" s="559" t="s">
        <v>853</v>
      </c>
      <c r="BS3" s="559" t="s">
        <v>854</v>
      </c>
      <c r="BT3" s="559" t="s">
        <v>855</v>
      </c>
      <c r="BU3" s="559" t="s">
        <v>856</v>
      </c>
      <c r="BV3" s="559" t="s">
        <v>857</v>
      </c>
      <c r="BW3" s="559" t="s">
        <v>858</v>
      </c>
      <c r="BX3" s="559" t="s">
        <v>859</v>
      </c>
      <c r="BY3" s="559" t="s">
        <v>860</v>
      </c>
      <c r="BZ3" s="559" t="s">
        <v>861</v>
      </c>
      <c r="CA3" s="559" t="s">
        <v>862</v>
      </c>
      <c r="CB3" s="559" t="s">
        <v>863</v>
      </c>
      <c r="CC3" s="559" t="s">
        <v>864</v>
      </c>
      <c r="CD3" s="559" t="s">
        <v>865</v>
      </c>
      <c r="CE3" s="559" t="s">
        <v>866</v>
      </c>
      <c r="CF3" s="559" t="s">
        <v>867</v>
      </c>
      <c r="CG3" s="559" t="s">
        <v>868</v>
      </c>
      <c r="CH3" s="559" t="s">
        <v>869</v>
      </c>
      <c r="CI3" s="559" t="s">
        <v>870</v>
      </c>
      <c r="CJ3" s="559" t="s">
        <v>871</v>
      </c>
      <c r="CK3" s="559" t="s">
        <v>872</v>
      </c>
      <c r="CL3" s="559" t="s">
        <v>873</v>
      </c>
      <c r="CM3" s="559" t="s">
        <v>874</v>
      </c>
      <c r="CN3" s="559" t="s">
        <v>875</v>
      </c>
      <c r="CO3" s="559" t="s">
        <v>876</v>
      </c>
      <c r="CP3" s="559" t="s">
        <v>877</v>
      </c>
      <c r="CQ3" s="559" t="s">
        <v>878</v>
      </c>
      <c r="CR3" s="559" t="s">
        <v>879</v>
      </c>
      <c r="CS3" s="559" t="s">
        <v>880</v>
      </c>
      <c r="CT3" s="559" t="s">
        <v>881</v>
      </c>
      <c r="CU3" s="559" t="s">
        <v>882</v>
      </c>
      <c r="CV3" s="559" t="s">
        <v>883</v>
      </c>
      <c r="CW3" s="559" t="s">
        <v>884</v>
      </c>
      <c r="CX3" s="559" t="s">
        <v>885</v>
      </c>
      <c r="CY3" s="559" t="s">
        <v>886</v>
      </c>
      <c r="CZ3" s="559" t="s">
        <v>887</v>
      </c>
      <c r="DA3" s="559" t="s">
        <v>888</v>
      </c>
      <c r="DB3" s="559" t="s">
        <v>889</v>
      </c>
      <c r="DC3" s="559" t="s">
        <v>890</v>
      </c>
      <c r="DD3" s="559" t="s">
        <v>891</v>
      </c>
      <c r="DE3" s="559" t="s">
        <v>892</v>
      </c>
      <c r="DF3" s="559" t="s">
        <v>893</v>
      </c>
      <c r="DG3" s="559" t="s">
        <v>894</v>
      </c>
      <c r="DH3" s="559" t="s">
        <v>895</v>
      </c>
      <c r="DI3" s="559" t="s">
        <v>896</v>
      </c>
      <c r="DJ3" s="559" t="s">
        <v>897</v>
      </c>
      <c r="DK3" s="559" t="s">
        <v>898</v>
      </c>
      <c r="DL3" s="559" t="s">
        <v>899</v>
      </c>
      <c r="DM3" s="559" t="s">
        <v>900</v>
      </c>
      <c r="DN3" s="559" t="s">
        <v>901</v>
      </c>
      <c r="DO3" s="559" t="s">
        <v>902</v>
      </c>
      <c r="DP3" s="559" t="s">
        <v>903</v>
      </c>
      <c r="DQ3" s="559" t="s">
        <v>904</v>
      </c>
      <c r="DR3" s="559" t="s">
        <v>905</v>
      </c>
      <c r="DS3" s="559" t="s">
        <v>906</v>
      </c>
      <c r="DT3" s="559" t="s">
        <v>907</v>
      </c>
      <c r="DU3" s="559" t="s">
        <v>908</v>
      </c>
      <c r="DV3" s="559" t="s">
        <v>909</v>
      </c>
      <c r="DW3" s="559" t="s">
        <v>910</v>
      </c>
      <c r="DX3" s="559" t="s">
        <v>911</v>
      </c>
      <c r="DY3" s="559" t="s">
        <v>912</v>
      </c>
      <c r="DZ3" s="559" t="s">
        <v>913</v>
      </c>
      <c r="EA3" s="559" t="s">
        <v>914</v>
      </c>
      <c r="EB3" s="559" t="s">
        <v>915</v>
      </c>
      <c r="EC3" s="559" t="s">
        <v>916</v>
      </c>
      <c r="ED3" s="559" t="s">
        <v>917</v>
      </c>
      <c r="EE3" s="559" t="s">
        <v>918</v>
      </c>
      <c r="EF3" s="559" t="s">
        <v>919</v>
      </c>
      <c r="EG3" s="559" t="s">
        <v>920</v>
      </c>
      <c r="EH3" s="559" t="s">
        <v>921</v>
      </c>
      <c r="EI3" s="559" t="s">
        <v>922</v>
      </c>
      <c r="EJ3" s="559" t="s">
        <v>923</v>
      </c>
      <c r="EK3" s="559" t="s">
        <v>924</v>
      </c>
      <c r="EL3" s="559" t="s">
        <v>925</v>
      </c>
      <c r="EM3" s="559" t="s">
        <v>926</v>
      </c>
      <c r="EN3" s="559" t="s">
        <v>927</v>
      </c>
      <c r="EO3" s="559" t="s">
        <v>928</v>
      </c>
      <c r="EP3" s="561" t="s">
        <v>989</v>
      </c>
      <c r="EQ3" s="561" t="s">
        <v>990</v>
      </c>
      <c r="ER3" s="561" t="s">
        <v>991</v>
      </c>
      <c r="ES3" s="562" t="s">
        <v>937</v>
      </c>
      <c r="ET3" s="566" t="s">
        <v>964</v>
      </c>
      <c r="EU3" s="566" t="s">
        <v>966</v>
      </c>
      <c r="EV3" s="559" t="s">
        <v>992</v>
      </c>
      <c r="EW3" s="559" t="s">
        <v>993</v>
      </c>
      <c r="EX3" s="559" t="s">
        <v>994</v>
      </c>
      <c r="EY3" s="574" t="s">
        <v>959</v>
      </c>
      <c r="EZ3" s="574" t="s">
        <v>960</v>
      </c>
      <c r="FA3" s="563" t="s">
        <v>944</v>
      </c>
      <c r="FB3" s="563" t="s">
        <v>945</v>
      </c>
      <c r="FC3" s="564" t="s">
        <v>946</v>
      </c>
      <c r="FD3" s="575" t="s">
        <v>961</v>
      </c>
      <c r="FE3" s="575" t="s">
        <v>962</v>
      </c>
      <c r="FF3" s="565" t="s">
        <v>949</v>
      </c>
      <c r="FG3" s="565" t="s">
        <v>947</v>
      </c>
      <c r="FH3" s="126" t="s">
        <v>950</v>
      </c>
      <c r="FI3" s="559" t="s">
        <v>951</v>
      </c>
      <c r="FJ3" s="559" t="s">
        <v>952</v>
      </c>
      <c r="FK3" s="669" t="s">
        <v>21</v>
      </c>
      <c r="FL3" s="668" t="s">
        <v>20</v>
      </c>
      <c r="FM3" s="566" t="s">
        <v>953</v>
      </c>
      <c r="FN3" s="566" t="s">
        <v>954</v>
      </c>
      <c r="FO3" s="566" t="s">
        <v>955</v>
      </c>
      <c r="FP3" s="566"/>
      <c r="FQ3" s="566"/>
      <c r="FR3" s="566"/>
      <c r="FS3" s="566"/>
      <c r="FT3" s="566"/>
      <c r="FU3" s="566"/>
      <c r="FV3" s="566"/>
      <c r="FW3" s="566"/>
      <c r="FX3" s="566"/>
      <c r="FY3" s="566"/>
      <c r="FZ3" s="566"/>
      <c r="GA3" s="566"/>
      <c r="GB3" s="566"/>
      <c r="GC3" s="566"/>
      <c r="GD3" s="566"/>
      <c r="GE3" s="566"/>
      <c r="GF3" s="566"/>
      <c r="GG3" s="566"/>
      <c r="GH3" s="566"/>
      <c r="GI3" s="566"/>
      <c r="GJ3" s="566"/>
      <c r="GK3" s="566"/>
      <c r="GQ3" s="566"/>
      <c r="GR3" s="566"/>
      <c r="GS3" s="566"/>
      <c r="GT3" s="566"/>
      <c r="GU3" s="566"/>
      <c r="GV3" s="566"/>
      <c r="GW3" s="566"/>
      <c r="GX3" s="566"/>
      <c r="GY3" s="566"/>
      <c r="GZ3" s="566"/>
      <c r="HA3" s="566"/>
      <c r="HB3" s="566"/>
      <c r="HC3" s="566"/>
      <c r="HD3" s="566"/>
      <c r="HE3" s="566"/>
      <c r="HF3" s="566"/>
      <c r="HG3" s="566"/>
      <c r="HH3" s="566"/>
      <c r="HI3" s="566"/>
      <c r="HJ3" s="566"/>
      <c r="HK3" s="566"/>
      <c r="HL3" s="566"/>
      <c r="HM3" s="566"/>
      <c r="HN3" s="566"/>
      <c r="HO3" s="566"/>
      <c r="HP3" s="566"/>
      <c r="HQ3" s="566"/>
      <c r="HR3" s="566"/>
      <c r="HS3" s="566"/>
      <c r="HT3" s="566"/>
      <c r="HU3" s="566"/>
      <c r="HV3" s="566"/>
      <c r="HW3" s="566"/>
      <c r="HX3" s="566"/>
      <c r="HY3" s="566"/>
    </row>
    <row r="4" spans="1:233" x14ac:dyDescent="0.2">
      <c r="A4" s="301">
        <f>ROW()</f>
        <v>4</v>
      </c>
      <c r="B4" s="576" t="s">
        <v>535</v>
      </c>
      <c r="C4" s="301" t="e">
        <f>IF(AND(ROUND(T4/H4,1)=1,ROUND(U4/I4,1)=1,ROUND(V4/J4,1)=1),123,IF(ROUND(T4/H4,1)=1,1,"whoops"))</f>
        <v>#DIV/0!</v>
      </c>
      <c r="D4" s="301"/>
      <c r="E4" s="421"/>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EP4" s="568">
        <f>IF(B4="watts",AD4,AH4)</f>
        <v>0</v>
      </c>
      <c r="EQ4" s="557" t="e">
        <f>C4&amp;TEXT(MROUND(Q4,0.5),"0.0")&amp;TEXT(ROUND(T4,2),"0.00")&amp;TEXT(ROUND(W4,0),0)&amp;B4</f>
        <v>#DIV/0!</v>
      </c>
      <c r="ER4" s="606" t="e">
        <f>VLOOKUP($EQ4,'TABLE RD31'!$A$5:$S$186,8,FALSE)</f>
        <v>#DIV/0!</v>
      </c>
      <c r="ES4" s="133" t="e">
        <f>EP4*(1-ER4/100)</f>
        <v>#DIV/0!</v>
      </c>
      <c r="ET4" s="6" t="e">
        <f>IF(EQ4&lt;&gt;EQ3,0,ET3+1)</f>
        <v>#DIV/0!</v>
      </c>
      <c r="EU4" s="6" t="e">
        <f>IF(ET5&lt;&gt;ET4+1,TRUE,FALSE)</f>
        <v>#DIV/0!</v>
      </c>
      <c r="EV4" s="9" t="e">
        <f>IF($EU4,VLOOKUP($EQ4,'TABLE RD31'!$A$5:$S$186,9,FALSE),"")</f>
        <v>#DIV/0!</v>
      </c>
      <c r="EW4" s="10" t="e">
        <f>IF($EU4,VLOOKUP($EQ4,'TABLE RD31'!$A$5:$S$186,10,FALSE),"")</f>
        <v>#DIV/0!</v>
      </c>
      <c r="EX4" s="9" t="e">
        <f>IF($EU4,EV4/EW4,"")</f>
        <v>#DIV/0!</v>
      </c>
      <c r="EY4" s="113" t="e">
        <f>IF($EU4,EY$1,"")</f>
        <v>#DIV/0!</v>
      </c>
      <c r="EZ4" s="113" t="e">
        <f>IF($EU4,EZ$1,"")</f>
        <v>#DIV/0!</v>
      </c>
      <c r="FA4" s="298" t="e">
        <f ca="1">IF($EU4,STDEV(INDIRECT("FL"&amp;ROW()-ET4):FL4)/SQRT(FF4+1),"")</f>
        <v>#DIV/0!</v>
      </c>
      <c r="FB4" s="298" t="e">
        <f>IF($EU4,EX4,"")</f>
        <v>#DIV/0!</v>
      </c>
      <c r="FC4" s="66" t="e">
        <f>IF($EU4,rss(EY4:FB4),"")</f>
        <v>#DIV/0!</v>
      </c>
      <c r="FD4" s="67" t="e">
        <f>IF($EU4,FD$1,"")</f>
        <v>#DIV/0!</v>
      </c>
      <c r="FE4" s="67" t="e">
        <f>IF($EU4,FE$1,"")</f>
        <v>#DIV/0!</v>
      </c>
      <c r="FF4" s="569" t="e">
        <f ca="1">IF($EU4,COUNT(INDIRECT("FL"&amp;ROW()-ET4):FL4)-1,"")</f>
        <v>#DIV/0!</v>
      </c>
      <c r="FG4" s="569" t="e">
        <f>IF($EU4,2.35746 / (EW4 - 1.9599999) + 1.099,"")</f>
        <v>#DIV/0!</v>
      </c>
      <c r="FH4" s="364" t="e">
        <f>IF($EU4,DoF_A(EY4:FB4,FD4:FG4),"")</f>
        <v>#DIV/0!</v>
      </c>
      <c r="FI4" s="55" t="e">
        <f>IF($EU4,CoverFactor(FH4),"")</f>
        <v>#DIV/0!</v>
      </c>
      <c r="FJ4" s="9" t="e">
        <f>IF($EU4,FI4*FC4,"")</f>
        <v>#DIV/0!</v>
      </c>
      <c r="FL4" s="567" t="e">
        <f>(IF(B4="watts",AZ4,BD4)/ABS(ES4)-1)*100</f>
        <v>#DIV/0!</v>
      </c>
      <c r="FM4" s="567" t="e">
        <f ca="1">IF($EU4,AVERAGE(INDIRECT("FL"&amp;(ROW()-ET4)):FL4),"")</f>
        <v>#DIV/0!</v>
      </c>
      <c r="FN4" s="6" t="e">
        <f>IF($EU4,O4*(1+FM4/100),"")</f>
        <v>#DIV/0!</v>
      </c>
      <c r="FO4" s="567" t="e">
        <f>IF($EU4,IF(C4=123,AVERAGE(Q4:S4),Q4),"")</f>
        <v>#DIV/0!</v>
      </c>
    </row>
  </sheetData>
  <phoneticPr fontId="13" type="noConversion"/>
  <conditionalFormatting sqref="B4">
    <cfRule type="cellIs" dxfId="6" priority="1" stopIfTrue="1" operator="equal">
      <formula>"watts"</formula>
    </cfRule>
    <cfRule type="cellIs" dxfId="5" priority="2" stopIfTrue="1" operator="equal">
      <formula>"vars"</formula>
    </cfRule>
  </conditionalFormatting>
  <dataValidations count="1">
    <dataValidation type="list" showDropDown="1" showInputMessage="1" showErrorMessage="1" errorTitle="Invalid Measurement" error="The only  measurements that can be made are watts and vars. Please enter either 'watts' or 'vars' in the cell." sqref="B4">
      <formula1>"vars,watts"</formula1>
    </dataValidation>
  </dataValidations>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IH4"/>
  <sheetViews>
    <sheetView zoomScale="75" workbookViewId="0">
      <selection activeCell="P40" sqref="P40"/>
    </sheetView>
  </sheetViews>
  <sheetFormatPr defaultRowHeight="12.75" x14ac:dyDescent="0.2"/>
  <cols>
    <col min="1" max="162" width="9.140625" style="14"/>
    <col min="163" max="164" width="10.42578125" style="14" customWidth="1"/>
    <col min="165" max="169" width="9.140625" style="14"/>
    <col min="170" max="170" width="10.85546875" style="14" customWidth="1"/>
    <col min="171" max="171" width="10.7109375" style="14" customWidth="1"/>
    <col min="172" max="175" width="9.140625" style="14"/>
    <col min="176" max="176" width="10.28515625" style="14" customWidth="1"/>
    <col min="177" max="16384" width="9.140625" style="14"/>
  </cols>
  <sheetData>
    <row r="1" spans="1:242" customFormat="1" x14ac:dyDescent="0.2">
      <c r="A1" s="301">
        <v>1</v>
      </c>
      <c r="B1" s="301">
        <v>2</v>
      </c>
      <c r="C1" s="301">
        <v>3</v>
      </c>
      <c r="D1" s="301">
        <v>4</v>
      </c>
      <c r="E1" s="260">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v>69</v>
      </c>
      <c r="BR1">
        <v>70</v>
      </c>
      <c r="BS1">
        <v>71</v>
      </c>
      <c r="BT1">
        <v>72</v>
      </c>
      <c r="BU1">
        <v>73</v>
      </c>
      <c r="BV1">
        <v>74</v>
      </c>
      <c r="BW1">
        <v>75</v>
      </c>
      <c r="BX1">
        <v>76</v>
      </c>
      <c r="BY1">
        <v>77</v>
      </c>
      <c r="BZ1">
        <v>78</v>
      </c>
      <c r="CA1">
        <v>79</v>
      </c>
      <c r="CB1">
        <v>80</v>
      </c>
      <c r="CC1">
        <v>81</v>
      </c>
      <c r="CD1">
        <v>82</v>
      </c>
      <c r="CE1">
        <v>83</v>
      </c>
      <c r="CF1">
        <v>84</v>
      </c>
      <c r="CG1">
        <v>85</v>
      </c>
      <c r="CH1">
        <v>86</v>
      </c>
      <c r="CI1">
        <v>87</v>
      </c>
      <c r="CJ1">
        <v>88</v>
      </c>
      <c r="CK1">
        <v>89</v>
      </c>
      <c r="CL1">
        <v>90</v>
      </c>
      <c r="CM1">
        <v>91</v>
      </c>
      <c r="CN1">
        <v>92</v>
      </c>
      <c r="CO1">
        <v>93</v>
      </c>
      <c r="CP1">
        <v>94</v>
      </c>
      <c r="CQ1">
        <v>95</v>
      </c>
      <c r="CR1">
        <v>96</v>
      </c>
      <c r="CS1">
        <v>97</v>
      </c>
      <c r="CT1">
        <v>98</v>
      </c>
      <c r="CU1">
        <v>99</v>
      </c>
      <c r="CV1">
        <v>100</v>
      </c>
      <c r="CW1">
        <v>101</v>
      </c>
      <c r="CX1">
        <v>102</v>
      </c>
      <c r="CY1">
        <v>103</v>
      </c>
      <c r="CZ1">
        <v>104</v>
      </c>
      <c r="DA1">
        <v>105</v>
      </c>
      <c r="DB1">
        <v>106</v>
      </c>
      <c r="DC1">
        <v>107</v>
      </c>
      <c r="DD1">
        <v>108</v>
      </c>
      <c r="DE1">
        <v>109</v>
      </c>
      <c r="DF1">
        <v>110</v>
      </c>
      <c r="DG1">
        <v>111</v>
      </c>
      <c r="DH1">
        <v>112</v>
      </c>
      <c r="DI1">
        <v>113</v>
      </c>
      <c r="DJ1">
        <v>114</v>
      </c>
      <c r="DK1">
        <v>115</v>
      </c>
      <c r="DL1">
        <v>116</v>
      </c>
      <c r="DM1">
        <v>117</v>
      </c>
      <c r="DN1">
        <v>118</v>
      </c>
      <c r="DO1">
        <v>119</v>
      </c>
      <c r="DP1">
        <v>120</v>
      </c>
      <c r="DQ1">
        <v>121</v>
      </c>
      <c r="DR1">
        <v>122</v>
      </c>
      <c r="DS1">
        <v>123</v>
      </c>
      <c r="DT1">
        <v>124</v>
      </c>
      <c r="DU1">
        <v>125</v>
      </c>
      <c r="DV1">
        <v>126</v>
      </c>
      <c r="DW1">
        <v>127</v>
      </c>
      <c r="DX1">
        <v>128</v>
      </c>
      <c r="DY1">
        <v>129</v>
      </c>
      <c r="DZ1">
        <v>130</v>
      </c>
      <c r="EA1">
        <v>131</v>
      </c>
      <c r="EB1">
        <v>132</v>
      </c>
      <c r="EC1">
        <v>133</v>
      </c>
      <c r="ED1">
        <v>134</v>
      </c>
      <c r="EE1">
        <v>135</v>
      </c>
      <c r="EF1">
        <v>136</v>
      </c>
      <c r="EG1">
        <v>137</v>
      </c>
      <c r="EH1">
        <v>138</v>
      </c>
      <c r="EI1">
        <v>139</v>
      </c>
      <c r="EJ1">
        <v>140</v>
      </c>
      <c r="EK1">
        <v>141</v>
      </c>
      <c r="EL1">
        <v>142</v>
      </c>
      <c r="EM1">
        <v>143</v>
      </c>
      <c r="EN1">
        <v>144</v>
      </c>
      <c r="EO1">
        <v>145</v>
      </c>
      <c r="EP1" s="568">
        <v>146</v>
      </c>
      <c r="EQ1" s="557">
        <v>147</v>
      </c>
      <c r="ER1" s="557">
        <v>148</v>
      </c>
      <c r="ES1" s="557">
        <v>149</v>
      </c>
      <c r="ET1" s="557">
        <v>150</v>
      </c>
      <c r="EU1" s="557">
        <v>151</v>
      </c>
      <c r="EV1" s="557">
        <v>152</v>
      </c>
      <c r="EW1" s="557">
        <v>153</v>
      </c>
      <c r="EX1" s="133">
        <v>154</v>
      </c>
      <c r="EY1">
        <v>155</v>
      </c>
      <c r="EZ1">
        <v>156</v>
      </c>
      <c r="FA1">
        <v>157</v>
      </c>
      <c r="FB1">
        <v>158</v>
      </c>
      <c r="FC1">
        <v>159</v>
      </c>
      <c r="FD1">
        <v>160</v>
      </c>
      <c r="FE1">
        <v>161</v>
      </c>
      <c r="FF1">
        <v>162</v>
      </c>
      <c r="FG1" s="113">
        <v>163</v>
      </c>
      <c r="FH1" s="113">
        <v>164</v>
      </c>
      <c r="FI1" s="113">
        <v>165</v>
      </c>
      <c r="FJ1" s="113">
        <v>166</v>
      </c>
      <c r="FK1" s="66">
        <v>167</v>
      </c>
      <c r="FL1" s="67">
        <v>168</v>
      </c>
      <c r="FM1" s="67">
        <v>169</v>
      </c>
      <c r="FN1" s="67">
        <v>170</v>
      </c>
      <c r="FO1" s="67">
        <v>171</v>
      </c>
      <c r="FP1" s="67">
        <v>172</v>
      </c>
      <c r="FQ1" s="220">
        <v>173</v>
      </c>
      <c r="FR1">
        <v>174</v>
      </c>
      <c r="FS1">
        <v>175</v>
      </c>
      <c r="FT1">
        <v>176</v>
      </c>
      <c r="FU1">
        <v>177</v>
      </c>
      <c r="FV1">
        <v>178</v>
      </c>
      <c r="FW1">
        <v>179</v>
      </c>
      <c r="FX1">
        <v>180</v>
      </c>
      <c r="FY1">
        <v>181</v>
      </c>
      <c r="FZ1">
        <v>182</v>
      </c>
      <c r="GA1">
        <v>183</v>
      </c>
      <c r="GB1">
        <v>184</v>
      </c>
      <c r="GC1" s="6"/>
      <c r="GD1" s="6"/>
      <c r="GE1" s="6"/>
      <c r="GF1" s="6"/>
      <c r="GG1" s="6"/>
      <c r="GH1" s="6"/>
      <c r="GI1" s="6"/>
      <c r="GJ1" s="6"/>
      <c r="GK1" s="6"/>
      <c r="GL1" s="6"/>
      <c r="GM1" s="6"/>
      <c r="GN1" s="6"/>
      <c r="GO1" s="6"/>
      <c r="GP1" s="6"/>
      <c r="GQ1" s="6"/>
      <c r="GR1" s="6"/>
      <c r="GS1" s="6"/>
      <c r="GT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row>
    <row r="2" spans="1:242" customFormat="1" x14ac:dyDescent="0.2">
      <c r="A2" s="301"/>
      <c r="B2" s="301"/>
      <c r="C2" s="301"/>
      <c r="D2" s="301"/>
      <c r="E2" s="260"/>
      <c r="EP2" s="568"/>
      <c r="EQ2" s="557"/>
      <c r="ER2" s="557"/>
      <c r="ES2" s="557"/>
      <c r="ET2" s="557"/>
      <c r="EU2" s="557"/>
      <c r="EV2" s="557"/>
      <c r="EW2" s="557"/>
      <c r="EX2" s="133"/>
      <c r="FG2" s="573" t="s">
        <v>965</v>
      </c>
      <c r="FH2" s="573" t="s">
        <v>965</v>
      </c>
      <c r="FI2" s="113"/>
      <c r="FJ2" s="113"/>
      <c r="FK2" s="66"/>
      <c r="FL2" s="67"/>
      <c r="FM2" s="67"/>
      <c r="FN2" s="573" t="s">
        <v>965</v>
      </c>
      <c r="FO2" s="573" t="s">
        <v>965</v>
      </c>
      <c r="FP2" s="67"/>
      <c r="FQ2" s="220"/>
      <c r="GC2" s="6"/>
      <c r="GD2" s="6"/>
      <c r="GE2" s="6"/>
      <c r="GF2" s="6"/>
      <c r="GG2" s="6"/>
      <c r="GH2" s="6"/>
      <c r="GI2" s="6"/>
      <c r="GJ2" s="6"/>
      <c r="GK2" s="6"/>
      <c r="GL2" s="6"/>
      <c r="GM2" s="6"/>
      <c r="GN2" s="6"/>
      <c r="GO2" s="6"/>
      <c r="GP2" s="6"/>
      <c r="GQ2" s="6"/>
      <c r="GR2" s="6"/>
      <c r="GS2" s="6"/>
      <c r="GT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row>
    <row r="3" spans="1:242" s="559" customFormat="1" ht="57" customHeight="1" thickBot="1" x14ac:dyDescent="0.25">
      <c r="A3" s="556" t="s">
        <v>785</v>
      </c>
      <c r="B3" s="556" t="s">
        <v>963</v>
      </c>
      <c r="C3" s="556" t="s">
        <v>787</v>
      </c>
      <c r="D3" s="556" t="s">
        <v>788</v>
      </c>
      <c r="E3" s="558" t="s">
        <v>789</v>
      </c>
      <c r="F3" s="559" t="s">
        <v>790</v>
      </c>
      <c r="G3" s="559" t="s">
        <v>791</v>
      </c>
      <c r="H3" s="559" t="s">
        <v>792</v>
      </c>
      <c r="I3" s="559" t="s">
        <v>793</v>
      </c>
      <c r="J3" s="559" t="s">
        <v>794</v>
      </c>
      <c r="K3" s="566" t="s">
        <v>1055</v>
      </c>
      <c r="L3" s="559" t="s">
        <v>795</v>
      </c>
      <c r="M3" s="559" t="s">
        <v>796</v>
      </c>
      <c r="N3" s="559" t="s">
        <v>797</v>
      </c>
      <c r="O3" s="559" t="s">
        <v>798</v>
      </c>
      <c r="P3" s="559" t="s">
        <v>799</v>
      </c>
      <c r="Q3" s="559" t="s">
        <v>800</v>
      </c>
      <c r="R3" s="559" t="s">
        <v>801</v>
      </c>
      <c r="S3" s="559" t="s">
        <v>802</v>
      </c>
      <c r="T3" s="559" t="s">
        <v>803</v>
      </c>
      <c r="U3" s="559" t="s">
        <v>804</v>
      </c>
      <c r="V3" s="559" t="s">
        <v>805</v>
      </c>
      <c r="W3" s="559" t="s">
        <v>806</v>
      </c>
      <c r="X3" s="559" t="s">
        <v>807</v>
      </c>
      <c r="Y3" s="559" t="s">
        <v>808</v>
      </c>
      <c r="Z3" s="559" t="s">
        <v>809</v>
      </c>
      <c r="AA3" s="559" t="s">
        <v>810</v>
      </c>
      <c r="AB3" s="559" t="s">
        <v>811</v>
      </c>
      <c r="AC3" s="559" t="s">
        <v>812</v>
      </c>
      <c r="AD3" s="559" t="s">
        <v>813</v>
      </c>
      <c r="AE3" s="559" t="s">
        <v>814</v>
      </c>
      <c r="AF3" s="559" t="s">
        <v>815</v>
      </c>
      <c r="AG3" s="559" t="s">
        <v>816</v>
      </c>
      <c r="AH3" s="559" t="s">
        <v>817</v>
      </c>
      <c r="AI3" s="559" t="s">
        <v>818</v>
      </c>
      <c r="AJ3" s="559" t="s">
        <v>819</v>
      </c>
      <c r="AK3" s="559" t="s">
        <v>820</v>
      </c>
      <c r="AL3" s="559" t="s">
        <v>821</v>
      </c>
      <c r="AM3" s="559" t="s">
        <v>822</v>
      </c>
      <c r="AN3" s="559" t="s">
        <v>823</v>
      </c>
      <c r="AO3" s="559" t="s">
        <v>824</v>
      </c>
      <c r="AP3" s="559" t="s">
        <v>825</v>
      </c>
      <c r="AQ3" s="559" t="s">
        <v>826</v>
      </c>
      <c r="AR3" s="559" t="s">
        <v>827</v>
      </c>
      <c r="AS3" s="559" t="s">
        <v>828</v>
      </c>
      <c r="AT3" s="559" t="s">
        <v>829</v>
      </c>
      <c r="AU3" s="559" t="s">
        <v>830</v>
      </c>
      <c r="AV3" s="559" t="s">
        <v>831</v>
      </c>
      <c r="AW3" s="559" t="s">
        <v>832</v>
      </c>
      <c r="AX3" s="559" t="s">
        <v>833</v>
      </c>
      <c r="AY3" s="559" t="s">
        <v>834</v>
      </c>
      <c r="AZ3" s="559" t="s">
        <v>835</v>
      </c>
      <c r="BA3" s="559" t="s">
        <v>836</v>
      </c>
      <c r="BB3" s="559" t="s">
        <v>837</v>
      </c>
      <c r="BC3" s="559" t="s">
        <v>838</v>
      </c>
      <c r="BD3" s="559" t="s">
        <v>839</v>
      </c>
      <c r="BE3" s="559" t="s">
        <v>840</v>
      </c>
      <c r="BF3" s="559" t="s">
        <v>841</v>
      </c>
      <c r="BG3" s="559" t="s">
        <v>842</v>
      </c>
      <c r="BH3" s="559" t="s">
        <v>843</v>
      </c>
      <c r="BI3" s="559" t="s">
        <v>844</v>
      </c>
      <c r="BJ3" s="559" t="s">
        <v>845</v>
      </c>
      <c r="BK3" s="559" t="s">
        <v>846</v>
      </c>
      <c r="BL3" s="559" t="s">
        <v>847</v>
      </c>
      <c r="BM3" s="559" t="s">
        <v>848</v>
      </c>
      <c r="BN3" s="559" t="s">
        <v>849</v>
      </c>
      <c r="BO3" s="559" t="s">
        <v>850</v>
      </c>
      <c r="BP3" s="559" t="s">
        <v>851</v>
      </c>
      <c r="BQ3" s="559" t="s">
        <v>852</v>
      </c>
      <c r="BR3" s="559" t="s">
        <v>853</v>
      </c>
      <c r="BS3" s="559" t="s">
        <v>854</v>
      </c>
      <c r="BT3" s="559" t="s">
        <v>855</v>
      </c>
      <c r="BU3" s="559" t="s">
        <v>856</v>
      </c>
      <c r="BV3" s="559" t="s">
        <v>857</v>
      </c>
      <c r="BW3" s="559" t="s">
        <v>858</v>
      </c>
      <c r="BX3" s="559" t="s">
        <v>859</v>
      </c>
      <c r="BY3" s="559" t="s">
        <v>860</v>
      </c>
      <c r="BZ3" s="559" t="s">
        <v>861</v>
      </c>
      <c r="CA3" s="559" t="s">
        <v>862</v>
      </c>
      <c r="CB3" s="559" t="s">
        <v>863</v>
      </c>
      <c r="CC3" s="559" t="s">
        <v>864</v>
      </c>
      <c r="CD3" s="559" t="s">
        <v>865</v>
      </c>
      <c r="CE3" s="559" t="s">
        <v>866</v>
      </c>
      <c r="CF3" s="559" t="s">
        <v>867</v>
      </c>
      <c r="CG3" s="559" t="s">
        <v>868</v>
      </c>
      <c r="CH3" s="559" t="s">
        <v>869</v>
      </c>
      <c r="CI3" s="559" t="s">
        <v>870</v>
      </c>
      <c r="CJ3" s="559" t="s">
        <v>871</v>
      </c>
      <c r="CK3" s="559" t="s">
        <v>872</v>
      </c>
      <c r="CL3" s="559" t="s">
        <v>873</v>
      </c>
      <c r="CM3" s="559" t="s">
        <v>874</v>
      </c>
      <c r="CN3" s="559" t="s">
        <v>875</v>
      </c>
      <c r="CO3" s="559" t="s">
        <v>876</v>
      </c>
      <c r="CP3" s="559" t="s">
        <v>877</v>
      </c>
      <c r="CQ3" s="559" t="s">
        <v>878</v>
      </c>
      <c r="CR3" s="559" t="s">
        <v>879</v>
      </c>
      <c r="CS3" s="559" t="s">
        <v>880</v>
      </c>
      <c r="CT3" s="559" t="s">
        <v>881</v>
      </c>
      <c r="CU3" s="559" t="s">
        <v>882</v>
      </c>
      <c r="CV3" s="559" t="s">
        <v>883</v>
      </c>
      <c r="CW3" s="559" t="s">
        <v>884</v>
      </c>
      <c r="CX3" s="559" t="s">
        <v>885</v>
      </c>
      <c r="CY3" s="559" t="s">
        <v>886</v>
      </c>
      <c r="CZ3" s="559" t="s">
        <v>887</v>
      </c>
      <c r="DA3" s="559" t="s">
        <v>888</v>
      </c>
      <c r="DB3" s="559" t="s">
        <v>889</v>
      </c>
      <c r="DC3" s="559" t="s">
        <v>890</v>
      </c>
      <c r="DD3" s="559" t="s">
        <v>891</v>
      </c>
      <c r="DE3" s="559" t="s">
        <v>892</v>
      </c>
      <c r="DF3" s="559" t="s">
        <v>893</v>
      </c>
      <c r="DG3" s="559" t="s">
        <v>894</v>
      </c>
      <c r="DH3" s="559" t="s">
        <v>895</v>
      </c>
      <c r="DI3" s="559" t="s">
        <v>896</v>
      </c>
      <c r="DJ3" s="559" t="s">
        <v>897</v>
      </c>
      <c r="DK3" s="559" t="s">
        <v>898</v>
      </c>
      <c r="DL3" s="559" t="s">
        <v>899</v>
      </c>
      <c r="DM3" s="559" t="s">
        <v>900</v>
      </c>
      <c r="DN3" s="559" t="s">
        <v>901</v>
      </c>
      <c r="DO3" s="559" t="s">
        <v>902</v>
      </c>
      <c r="DP3" s="559" t="s">
        <v>903</v>
      </c>
      <c r="DQ3" s="559" t="s">
        <v>904</v>
      </c>
      <c r="DR3" s="559" t="s">
        <v>905</v>
      </c>
      <c r="DS3" s="559" t="s">
        <v>906</v>
      </c>
      <c r="DT3" s="559" t="s">
        <v>907</v>
      </c>
      <c r="DU3" s="559" t="s">
        <v>908</v>
      </c>
      <c r="DV3" s="559" t="s">
        <v>909</v>
      </c>
      <c r="DW3" s="559" t="s">
        <v>910</v>
      </c>
      <c r="DX3" s="559" t="s">
        <v>911</v>
      </c>
      <c r="DY3" s="559" t="s">
        <v>912</v>
      </c>
      <c r="DZ3" s="559" t="s">
        <v>913</v>
      </c>
      <c r="EA3" s="559" t="s">
        <v>914</v>
      </c>
      <c r="EB3" s="559" t="s">
        <v>915</v>
      </c>
      <c r="EC3" s="559" t="s">
        <v>916</v>
      </c>
      <c r="ED3" s="559" t="s">
        <v>917</v>
      </c>
      <c r="EE3" s="559" t="s">
        <v>918</v>
      </c>
      <c r="EF3" s="559" t="s">
        <v>919</v>
      </c>
      <c r="EG3" s="559" t="s">
        <v>920</v>
      </c>
      <c r="EH3" s="559" t="s">
        <v>921</v>
      </c>
      <c r="EI3" s="559" t="s">
        <v>922</v>
      </c>
      <c r="EJ3" s="559" t="s">
        <v>923</v>
      </c>
      <c r="EK3" s="559" t="s">
        <v>924</v>
      </c>
      <c r="EL3" s="559" t="s">
        <v>925</v>
      </c>
      <c r="EM3" s="559" t="s">
        <v>926</v>
      </c>
      <c r="EN3" s="559" t="s">
        <v>927</v>
      </c>
      <c r="EO3" s="559" t="s">
        <v>928</v>
      </c>
      <c r="EP3" s="560" t="s">
        <v>929</v>
      </c>
      <c r="EQ3" s="561" t="s">
        <v>930</v>
      </c>
      <c r="ER3" s="561" t="s">
        <v>931</v>
      </c>
      <c r="ES3" s="561" t="s">
        <v>932</v>
      </c>
      <c r="ET3" s="561" t="s">
        <v>933</v>
      </c>
      <c r="EU3" s="561" t="s">
        <v>934</v>
      </c>
      <c r="EV3" s="561" t="s">
        <v>935</v>
      </c>
      <c r="EW3" s="561" t="s">
        <v>936</v>
      </c>
      <c r="EX3" s="562" t="s">
        <v>937</v>
      </c>
      <c r="EY3" s="566" t="s">
        <v>964</v>
      </c>
      <c r="EZ3" s="566" t="s">
        <v>966</v>
      </c>
      <c r="FA3" s="559" t="s">
        <v>938</v>
      </c>
      <c r="FB3" s="559" t="s">
        <v>939</v>
      </c>
      <c r="FC3" s="559" t="s">
        <v>940</v>
      </c>
      <c r="FD3" s="559" t="s">
        <v>941</v>
      </c>
      <c r="FE3" s="559" t="s">
        <v>942</v>
      </c>
      <c r="FF3" s="559" t="s">
        <v>943</v>
      </c>
      <c r="FG3" s="574" t="s">
        <v>959</v>
      </c>
      <c r="FH3" s="574" t="s">
        <v>960</v>
      </c>
      <c r="FI3" s="563" t="s">
        <v>944</v>
      </c>
      <c r="FJ3" s="563" t="s">
        <v>945</v>
      </c>
      <c r="FK3" s="564" t="s">
        <v>946</v>
      </c>
      <c r="FL3" s="565" t="s">
        <v>947</v>
      </c>
      <c r="FM3" s="565" t="s">
        <v>948</v>
      </c>
      <c r="FN3" s="575" t="s">
        <v>961</v>
      </c>
      <c r="FO3" s="575" t="s">
        <v>962</v>
      </c>
      <c r="FP3" s="565" t="s">
        <v>949</v>
      </c>
      <c r="FQ3" s="126" t="s">
        <v>950</v>
      </c>
      <c r="FR3" s="559" t="s">
        <v>951</v>
      </c>
      <c r="FS3" s="559" t="s">
        <v>952</v>
      </c>
      <c r="FT3" s="669" t="s">
        <v>22</v>
      </c>
      <c r="FU3" s="668" t="s">
        <v>20</v>
      </c>
      <c r="FV3" s="566" t="s">
        <v>953</v>
      </c>
      <c r="FW3" s="566" t="s">
        <v>954</v>
      </c>
      <c r="FX3" s="566" t="s">
        <v>955</v>
      </c>
      <c r="FY3" s="566"/>
      <c r="FZ3" s="566"/>
      <c r="GA3" s="566"/>
      <c r="GB3" s="566"/>
      <c r="GC3" s="566"/>
      <c r="GD3" s="566"/>
      <c r="GE3" s="566"/>
      <c r="GF3" s="566"/>
      <c r="GG3" s="566"/>
      <c r="GH3" s="566"/>
      <c r="GI3" s="566"/>
      <c r="GJ3" s="566"/>
      <c r="GK3" s="566"/>
      <c r="GL3" s="566"/>
      <c r="GM3" s="566"/>
      <c r="GN3" s="566"/>
      <c r="GO3" s="566"/>
      <c r="GP3" s="566"/>
      <c r="GQ3" s="566"/>
      <c r="GR3" s="566"/>
      <c r="GS3" s="566"/>
      <c r="GT3" s="566"/>
      <c r="GZ3" s="566"/>
      <c r="HA3" s="566"/>
      <c r="HB3" s="566"/>
      <c r="HC3" s="566"/>
      <c r="HD3" s="566"/>
      <c r="HE3" s="566"/>
      <c r="HF3" s="566"/>
      <c r="HG3" s="566"/>
      <c r="HH3" s="566"/>
      <c r="HI3" s="566"/>
      <c r="HJ3" s="566"/>
      <c r="HK3" s="566"/>
      <c r="HL3" s="566"/>
      <c r="HM3" s="566"/>
      <c r="HN3" s="566"/>
      <c r="HO3" s="566"/>
      <c r="HP3" s="566"/>
      <c r="HQ3" s="566"/>
      <c r="HR3" s="566"/>
      <c r="HS3" s="566"/>
      <c r="HT3" s="566"/>
      <c r="HU3" s="566"/>
      <c r="HV3" s="566"/>
      <c r="HW3" s="566"/>
      <c r="HX3" s="566"/>
      <c r="HY3" s="566"/>
      <c r="HZ3" s="566"/>
      <c r="IA3" s="566"/>
      <c r="IB3" s="566"/>
      <c r="IC3" s="566"/>
      <c r="ID3" s="566"/>
      <c r="IE3" s="566"/>
      <c r="IF3" s="566"/>
      <c r="IG3" s="566"/>
      <c r="IH3" s="566"/>
    </row>
    <row r="4" spans="1:242" customFormat="1" x14ac:dyDescent="0.2">
      <c r="A4" s="301">
        <f>ROW()</f>
        <v>4</v>
      </c>
      <c r="B4" s="576" t="s">
        <v>535</v>
      </c>
      <c r="C4" s="301" t="b">
        <f>IF(K4=ROUND(W4-30,0),TRUE,FALSE)</f>
        <v>0</v>
      </c>
      <c r="D4" s="301" t="b">
        <f>IF(K4=ROUND(Y4+30,0),TRUE,FALSE)</f>
        <v>0</v>
      </c>
      <c r="E4" s="260"/>
      <c r="O4" s="6"/>
      <c r="AZ4" s="6"/>
      <c r="BA4" s="6"/>
      <c r="BB4" s="6"/>
      <c r="BC4" s="6"/>
      <c r="BD4" s="6"/>
      <c r="CD4" s="6"/>
      <c r="CH4" s="6"/>
      <c r="DB4" s="6"/>
      <c r="EP4" s="568">
        <f>IF(C4,IF(B4="watts",AA4,AE4),0)</f>
        <v>0</v>
      </c>
      <c r="EQ4" s="557">
        <f>IF(D4,IF(B4="watts", AC4,AG4),0)</f>
        <v>0</v>
      </c>
      <c r="ER4" s="557" t="str">
        <f>IF(C4,"1"&amp;TEXT(MROUND(CD4,0.5),"0.0")&amp;TEXT(ROUND(CH4,2),"0.00")&amp;TEXT(ROUND(-DB4,0),0)&amp;B4,"Channel Off")</f>
        <v>Channel Off</v>
      </c>
      <c r="ES4" s="557" t="str">
        <f>IF(D4,"3"&amp;TEXT(MROUND(CF4,0.5),"0.0")&amp;TEXT(ROUND(CJ4,2),"0.00")&amp;TEXT(ROUND(-DD4,0),0)&amp;B4,"Channel Off")</f>
        <v>Channel Off</v>
      </c>
      <c r="ET4" s="557" t="e">
        <f>VLOOKUP(ER4,'TABLE RD31'!$A$5:$S$345,7,FALSE)</f>
        <v>#N/A</v>
      </c>
      <c r="EU4" s="557" t="e">
        <f>VLOOKUP(ES4,'TABLE RD31'!$A$5:$S$345,7,FALSE)</f>
        <v>#N/A</v>
      </c>
      <c r="EV4" s="557" t="e">
        <f>EP4*(1-ET4/100)</f>
        <v>#N/A</v>
      </c>
      <c r="EW4" s="557" t="e">
        <f>EQ4*(1-EU4/100)</f>
        <v>#N/A</v>
      </c>
      <c r="EX4" s="133" t="e">
        <f>EV4+EW4</f>
        <v>#N/A</v>
      </c>
      <c r="EY4" s="6">
        <f>IF(ER4&amp;ES4&lt;&gt;ER3&amp;ES3,0,EY3+1)</f>
        <v>0</v>
      </c>
      <c r="EZ4" s="6" t="b">
        <f>IF(EY5&lt;&gt;EY4+1,TRUE,FALSE)</f>
        <v>1</v>
      </c>
      <c r="FA4" t="e">
        <f>IF(EZ4,VLOOKUP(ER4,'TABLE RD31'!$A$5:$S$345,8,FALSE),"")</f>
        <v>#N/A</v>
      </c>
      <c r="FB4" t="e">
        <f>IF(EZ4,VLOOKUP(ES4,'TABLE RD31'!$A$5:$S$345,8,FALSE),"")</f>
        <v>#N/A</v>
      </c>
      <c r="FC4" t="e">
        <f>IF(EZ4,VLOOKUP(ER4,'TABLE RD31'!$A$5:$S$345,9,FALSE),"")</f>
        <v>#N/A</v>
      </c>
      <c r="FD4" t="e">
        <f>IF(EZ4,VLOOKUP(ES4,'TABLE RD31'!$A$5:$S$345,9,FALSE),"")</f>
        <v>#N/A</v>
      </c>
      <c r="FE4" t="e">
        <f>IF(EZ4,FA4/FC4,"")</f>
        <v>#N/A</v>
      </c>
      <c r="FF4" t="e">
        <f>IF(EZ4,FB4/FD4,"")</f>
        <v>#N/A</v>
      </c>
      <c r="FG4" s="113" t="str">
        <f>$FG$2</f>
        <v>xxx</v>
      </c>
      <c r="FH4" s="113" t="str">
        <f>$FH$2</f>
        <v>xxx</v>
      </c>
      <c r="FI4" s="570" t="e">
        <f ca="1">IF(EZ4,STDEV(INDIRECT("FU"&amp;ROW()-EY4):FU4)/SQRT(FP4+1),"")</f>
        <v>#N/A</v>
      </c>
      <c r="FJ4" s="113" t="e">
        <f>IF(EZ4,((EV4*FE4/100)+(EW4*FF4/100))/EX4*100,"")</f>
        <v>#N/A</v>
      </c>
      <c r="FK4" s="66" t="e">
        <f ca="1">IF(EZ4,rss(FG4:FJ4),"")</f>
        <v>#NAME?</v>
      </c>
      <c r="FL4" s="569" t="e">
        <f>IF(EZ4,2.35746 / (FC4 - 1.9599999) + 1.099,"")</f>
        <v>#N/A</v>
      </c>
      <c r="FM4" s="569" t="e">
        <f>IF(EZ4,2.35746 / (FD4 - 1.9599999) + 1.099,"")</f>
        <v>#N/A</v>
      </c>
      <c r="FN4" s="569" t="str">
        <f>$FN$2</f>
        <v>xxx</v>
      </c>
      <c r="FO4" s="569" t="str">
        <f>$FO$2</f>
        <v>xxx</v>
      </c>
      <c r="FP4" s="569">
        <f ca="1">IF(EZ4,COUNT(INDIRECT("FU"&amp;ROW()-EY4):FU4)-1,"")</f>
        <v>-1</v>
      </c>
      <c r="FQ4" s="364" t="e">
        <f ca="1">IF(EZ4,DoF_A(FE4:FI4,FL4:FP4),"")</f>
        <v>#NAME?</v>
      </c>
      <c r="FR4" s="55" t="e">
        <f ca="1">IF(EZ4,CoverFactor(FQ4),"")</f>
        <v>#NAME?</v>
      </c>
      <c r="FS4" s="9" t="e">
        <f ca="1">IF(EZ4,FR4*FK4,"")</f>
        <v>#NAME?</v>
      </c>
      <c r="FT4" s="9"/>
      <c r="FU4" s="567" t="e">
        <f>(IF(B4="watts",AZ4,BD4)/EX4-1)*100</f>
        <v>#N/A</v>
      </c>
      <c r="FV4" s="567" t="e">
        <f ca="1">IF(EZ4,AVERAGE(INDIRECT("FU"&amp;(ROW()-EY4)):FU4),"")</f>
        <v>#N/A</v>
      </c>
      <c r="FW4" s="6" t="e">
        <f ca="1">IF(EZ4,O4*(1+FV4/100),"")</f>
        <v>#N/A</v>
      </c>
      <c r="FX4" s="567" t="e">
        <f>IF(EZ4,AVERAGE(Q4,S4),"")</f>
        <v>#DIV/0!</v>
      </c>
      <c r="FY4" s="567"/>
      <c r="FZ4" s="438"/>
      <c r="GA4" s="567"/>
      <c r="GB4" s="6"/>
      <c r="GC4" s="6"/>
      <c r="GD4" s="6"/>
      <c r="GE4" s="6"/>
      <c r="GF4" s="6"/>
      <c r="GG4" s="6"/>
      <c r="GH4" s="6"/>
      <c r="GI4" s="6"/>
      <c r="GJ4" s="6"/>
      <c r="GK4" s="6"/>
      <c r="GL4" s="6"/>
      <c r="GM4" s="6"/>
      <c r="GN4" s="6"/>
      <c r="GO4" s="6"/>
      <c r="GP4" s="6"/>
      <c r="GQ4" s="6"/>
      <c r="GR4" s="6"/>
      <c r="GS4" s="6"/>
      <c r="GT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row>
  </sheetData>
  <phoneticPr fontId="13" type="noConversion"/>
  <conditionalFormatting sqref="B4">
    <cfRule type="cellIs" dxfId="4" priority="1" stopIfTrue="1" operator="equal">
      <formula>"watts"</formula>
    </cfRule>
    <cfRule type="cellIs" dxfId="3" priority="2" stopIfTrue="1" operator="equal">
      <formula>"vars"</formula>
    </cfRule>
  </conditionalFormatting>
  <dataValidations count="1">
    <dataValidation type="list" showDropDown="1" showInputMessage="1" showErrorMessage="1" errorTitle="Invalid Measurement" error="The only  measurements that can be made are watts and vars. Please enter either 'watts' or 'vars' in the cell." sqref="B4">
      <formula1>"vars,watts"</formula1>
    </dataValidation>
  </dataValidations>
  <pageMargins left="0.75" right="0.75" top="1" bottom="1" header="0.5" footer="0.5"/>
  <pageSetup paperSize="9"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35"/>
  <sheetViews>
    <sheetView topLeftCell="A7" workbookViewId="0">
      <selection activeCell="F13" sqref="F13"/>
    </sheetView>
  </sheetViews>
  <sheetFormatPr defaultRowHeight="12.75" x14ac:dyDescent="0.2"/>
  <cols>
    <col min="9" max="9" width="17.42578125" customWidth="1"/>
    <col min="10" max="10" width="8.140625" customWidth="1"/>
    <col min="15" max="15" width="9.42578125" customWidth="1"/>
  </cols>
  <sheetData>
    <row r="1" spans="1:17" x14ac:dyDescent="0.2">
      <c r="A1" s="20" t="s">
        <v>282</v>
      </c>
    </row>
    <row r="2" spans="1:17" x14ac:dyDescent="0.2">
      <c r="A2" s="20"/>
    </row>
    <row r="4" spans="1:17" x14ac:dyDescent="0.2">
      <c r="A4" s="20" t="s">
        <v>291</v>
      </c>
      <c r="E4" s="901" t="s">
        <v>304</v>
      </c>
      <c r="F4" s="901"/>
      <c r="G4" s="901"/>
      <c r="K4" s="901" t="s">
        <v>305</v>
      </c>
      <c r="L4" s="901"/>
      <c r="M4" s="901"/>
    </row>
    <row r="5" spans="1:17" x14ac:dyDescent="0.2">
      <c r="E5" s="901" t="s">
        <v>303</v>
      </c>
      <c r="F5" s="901"/>
      <c r="G5" s="901"/>
      <c r="K5" t="s">
        <v>283</v>
      </c>
      <c r="L5" t="s">
        <v>300</v>
      </c>
      <c r="M5" t="s">
        <v>284</v>
      </c>
      <c r="N5" t="s">
        <v>292</v>
      </c>
    </row>
    <row r="6" spans="1:17" x14ac:dyDescent="0.2">
      <c r="E6" t="s">
        <v>283</v>
      </c>
      <c r="F6" t="s">
        <v>300</v>
      </c>
      <c r="G6" t="s">
        <v>284</v>
      </c>
      <c r="K6" t="s">
        <v>172</v>
      </c>
      <c r="L6" t="s">
        <v>172</v>
      </c>
      <c r="M6" t="s">
        <v>172</v>
      </c>
      <c r="N6" t="s">
        <v>293</v>
      </c>
      <c r="O6" t="s">
        <v>294</v>
      </c>
    </row>
    <row r="7" spans="1:17" x14ac:dyDescent="0.2">
      <c r="A7" t="s">
        <v>286</v>
      </c>
      <c r="E7">
        <v>0.01</v>
      </c>
      <c r="G7">
        <v>0.02</v>
      </c>
      <c r="I7" t="s">
        <v>288</v>
      </c>
      <c r="J7">
        <v>1</v>
      </c>
      <c r="K7">
        <f>0.5*J7*E7</f>
        <v>5.0000000000000001E-3</v>
      </c>
      <c r="L7">
        <f>K7+0.6*(M7-K7)</f>
        <v>8.0000000000000002E-3</v>
      </c>
      <c r="M7">
        <f>0.5*J7*G7</f>
        <v>0.01</v>
      </c>
      <c r="N7">
        <v>30</v>
      </c>
      <c r="O7" s="10">
        <f>0.5/(N7*0.01)^2</f>
        <v>5.5555555555555554</v>
      </c>
      <c r="Q7" s="10"/>
    </row>
    <row r="8" spans="1:17" x14ac:dyDescent="0.2">
      <c r="A8" t="s">
        <v>285</v>
      </c>
      <c r="E8">
        <v>0.5</v>
      </c>
      <c r="G8">
        <v>0.5</v>
      </c>
      <c r="I8" t="s">
        <v>289</v>
      </c>
      <c r="J8">
        <v>5</v>
      </c>
      <c r="K8">
        <f>0.5*J8*E8/500</f>
        <v>2.5000000000000001E-3</v>
      </c>
      <c r="L8">
        <f>K8+0.6*(M8-K8)</f>
        <v>2.5000000000000001E-3</v>
      </c>
      <c r="M8">
        <f>0.5*J8*G8/500</f>
        <v>2.5000000000000001E-3</v>
      </c>
      <c r="N8">
        <v>50</v>
      </c>
      <c r="O8" s="10">
        <f>0.5/(N8*0.01)^2</f>
        <v>2</v>
      </c>
      <c r="Q8" s="10"/>
    </row>
    <row r="9" spans="1:17" x14ac:dyDescent="0.2">
      <c r="A9" t="s">
        <v>287</v>
      </c>
      <c r="E9">
        <v>0.3</v>
      </c>
      <c r="G9">
        <v>0.4</v>
      </c>
      <c r="I9" t="s">
        <v>298</v>
      </c>
      <c r="J9">
        <v>1E-3</v>
      </c>
      <c r="K9">
        <f>0.5*J9*E9</f>
        <v>1.4999999999999999E-4</v>
      </c>
      <c r="L9">
        <f>K9+0.6*(M9-K9)</f>
        <v>1.7999999999999998E-4</v>
      </c>
      <c r="M9">
        <f>0.5*J9*G9</f>
        <v>2.0000000000000001E-4</v>
      </c>
      <c r="N9">
        <v>30</v>
      </c>
      <c r="O9" s="10">
        <f>0.5/(N9*0.01)^2</f>
        <v>5.5555555555555554</v>
      </c>
      <c r="Q9" s="10"/>
    </row>
    <row r="10" spans="1:17" x14ac:dyDescent="0.2">
      <c r="A10" t="s">
        <v>290</v>
      </c>
      <c r="E10">
        <v>0.1</v>
      </c>
      <c r="G10">
        <v>0.1</v>
      </c>
      <c r="I10" t="s">
        <v>299</v>
      </c>
      <c r="J10">
        <v>1.4E-5</v>
      </c>
      <c r="K10">
        <f>0.5*J10*E10/0.005</f>
        <v>1.4000000000000001E-4</v>
      </c>
      <c r="L10">
        <f>K10+0.6*(M10-K10)</f>
        <v>1.4000000000000001E-4</v>
      </c>
      <c r="M10">
        <f>0.5*J10*G10/0.005</f>
        <v>1.4000000000000001E-4</v>
      </c>
      <c r="N10">
        <v>20</v>
      </c>
      <c r="O10" s="10">
        <f>0.5/(N10*0.01)^2</f>
        <v>12.499999999999998</v>
      </c>
      <c r="Q10" s="10"/>
    </row>
    <row r="11" spans="1:17" ht="13.5" thickBot="1" x14ac:dyDescent="0.25"/>
    <row r="12" spans="1:17" x14ac:dyDescent="0.2">
      <c r="B12" s="42" t="s">
        <v>301</v>
      </c>
      <c r="C12" s="12"/>
      <c r="D12" s="12"/>
      <c r="E12" s="12"/>
      <c r="F12" s="12">
        <v>1</v>
      </c>
      <c r="G12" s="12">
        <v>0.8</v>
      </c>
      <c r="H12" s="43">
        <v>0.5</v>
      </c>
    </row>
    <row r="13" spans="1:17" x14ac:dyDescent="0.2">
      <c r="B13" s="44" t="s">
        <v>295</v>
      </c>
      <c r="C13" s="15"/>
      <c r="D13" s="15"/>
      <c r="E13" s="15"/>
      <c r="F13" s="27" t="e">
        <f ca="1">rss(K7:K10)</f>
        <v>#NAME?</v>
      </c>
      <c r="G13" s="27" t="e">
        <f ca="1">rss(L7:L10)</f>
        <v>#NAME?</v>
      </c>
      <c r="H13" s="50" t="e">
        <f ca="1">rss(M7:M10)</f>
        <v>#NAME?</v>
      </c>
    </row>
    <row r="14" spans="1:17" ht="13.5" thickBot="1" x14ac:dyDescent="0.25">
      <c r="B14" s="45" t="s">
        <v>296</v>
      </c>
      <c r="C14" s="11"/>
      <c r="D14" s="11"/>
      <c r="E14" s="11"/>
      <c r="F14" s="51" t="e">
        <f ca="1">DoF_A(K7:K10,$O7:$O10)</f>
        <v>#NAME?</v>
      </c>
      <c r="G14" s="51" t="e">
        <f ca="1">DoF_A(L7:L10,$O7:$O10)</f>
        <v>#NAME?</v>
      </c>
      <c r="H14" s="52" t="e">
        <f ca="1">DoF_A(M7:M10,$O7:$O10)</f>
        <v>#NAME?</v>
      </c>
    </row>
    <row r="17" spans="1:17" x14ac:dyDescent="0.2">
      <c r="A17" s="20" t="s">
        <v>297</v>
      </c>
      <c r="E17" s="901" t="s">
        <v>304</v>
      </c>
      <c r="F17" s="901"/>
      <c r="G17" s="901"/>
      <c r="K17" s="901" t="s">
        <v>305</v>
      </c>
      <c r="L17" s="901"/>
      <c r="M17" s="901"/>
    </row>
    <row r="18" spans="1:17" x14ac:dyDescent="0.2">
      <c r="E18" s="901" t="s">
        <v>303</v>
      </c>
      <c r="F18" s="901"/>
      <c r="G18" s="901"/>
      <c r="K18" t="s">
        <v>306</v>
      </c>
      <c r="L18" t="s">
        <v>307</v>
      </c>
      <c r="M18" t="s">
        <v>308</v>
      </c>
      <c r="N18" t="s">
        <v>292</v>
      </c>
    </row>
    <row r="19" spans="1:17" x14ac:dyDescent="0.2">
      <c r="E19" t="s">
        <v>306</v>
      </c>
      <c r="F19" t="s">
        <v>307</v>
      </c>
      <c r="G19" t="s">
        <v>308</v>
      </c>
      <c r="K19" t="s">
        <v>172</v>
      </c>
      <c r="L19" t="s">
        <v>172</v>
      </c>
      <c r="M19" t="s">
        <v>172</v>
      </c>
      <c r="N19" t="s">
        <v>293</v>
      </c>
      <c r="O19" t="s">
        <v>294</v>
      </c>
    </row>
    <row r="20" spans="1:17" x14ac:dyDescent="0.2">
      <c r="A20" t="s">
        <v>286</v>
      </c>
      <c r="E20">
        <v>0.03</v>
      </c>
      <c r="G20">
        <v>0.05</v>
      </c>
      <c r="I20" t="s">
        <v>288</v>
      </c>
      <c r="J20">
        <v>1</v>
      </c>
      <c r="K20">
        <f>0.5*J20*E20</f>
        <v>1.4999999999999999E-2</v>
      </c>
      <c r="L20">
        <f>K20+0.6*(M20-K20)</f>
        <v>2.1000000000000001E-2</v>
      </c>
      <c r="M20">
        <f>0.5*J20*G20</f>
        <v>2.5000000000000001E-2</v>
      </c>
      <c r="N20">
        <v>30</v>
      </c>
      <c r="O20" s="10">
        <f>0.5/(N20*0.01)^2</f>
        <v>5.5555555555555554</v>
      </c>
      <c r="Q20" s="10"/>
    </row>
    <row r="21" spans="1:17" x14ac:dyDescent="0.2">
      <c r="A21" t="s">
        <v>285</v>
      </c>
      <c r="E21">
        <v>1</v>
      </c>
      <c r="G21">
        <v>1</v>
      </c>
      <c r="I21" t="s">
        <v>289</v>
      </c>
      <c r="J21">
        <v>5</v>
      </c>
      <c r="K21">
        <f>0.5*J21*E21/500</f>
        <v>5.0000000000000001E-3</v>
      </c>
      <c r="L21">
        <f>K21+0.6*(M21-K21)</f>
        <v>5.0000000000000001E-3</v>
      </c>
      <c r="M21">
        <f>0.5*J21*G21/500</f>
        <v>5.0000000000000001E-3</v>
      </c>
      <c r="N21">
        <v>50</v>
      </c>
      <c r="O21" s="10">
        <f>0.5/(N21*0.01)^2</f>
        <v>2</v>
      </c>
      <c r="Q21" s="10"/>
    </row>
    <row r="22" spans="1:17" x14ac:dyDescent="0.2">
      <c r="A22" t="s">
        <v>287</v>
      </c>
      <c r="E22">
        <v>0.3</v>
      </c>
      <c r="G22">
        <v>0.4</v>
      </c>
      <c r="I22" t="s">
        <v>298</v>
      </c>
      <c r="J22">
        <v>1E-3</v>
      </c>
      <c r="K22">
        <f>0.5*J22*E22</f>
        <v>1.4999999999999999E-4</v>
      </c>
      <c r="L22">
        <f>K22+0.6*(M22-K22)</f>
        <v>1.7999999999999998E-4</v>
      </c>
      <c r="M22">
        <f>0.5*J22*G22</f>
        <v>2.0000000000000001E-4</v>
      </c>
      <c r="N22">
        <v>30</v>
      </c>
      <c r="O22" s="10">
        <f>0.5/(N22*0.01)^2</f>
        <v>5.5555555555555554</v>
      </c>
      <c r="Q22" s="10"/>
    </row>
    <row r="23" spans="1:17" x14ac:dyDescent="0.2">
      <c r="A23" t="s">
        <v>290</v>
      </c>
      <c r="E23">
        <v>0.5</v>
      </c>
      <c r="G23">
        <v>0.5</v>
      </c>
      <c r="I23" t="s">
        <v>299</v>
      </c>
      <c r="J23">
        <v>1.4E-5</v>
      </c>
      <c r="K23">
        <f>0.5*J23*E23/0.005</f>
        <v>6.9999999999999999E-4</v>
      </c>
      <c r="L23">
        <f>K23+0.6*(M23-K23)</f>
        <v>6.9999999999999999E-4</v>
      </c>
      <c r="M23">
        <f>0.5*J23*G23/0.005</f>
        <v>6.9999999999999999E-4</v>
      </c>
      <c r="N23">
        <v>20</v>
      </c>
      <c r="O23" s="10">
        <f>0.5/(N23*0.01)^2</f>
        <v>12.499999999999998</v>
      </c>
      <c r="Q23" s="10"/>
    </row>
    <row r="24" spans="1:17" ht="13.5" thickBot="1" x14ac:dyDescent="0.25"/>
    <row r="25" spans="1:17" x14ac:dyDescent="0.2">
      <c r="B25" s="42" t="s">
        <v>302</v>
      </c>
      <c r="C25" s="12"/>
      <c r="D25" s="12"/>
      <c r="E25" s="12"/>
      <c r="F25" s="12">
        <v>1</v>
      </c>
      <c r="G25" s="12">
        <v>0.8</v>
      </c>
      <c r="H25" s="43">
        <v>0.5</v>
      </c>
    </row>
    <row r="26" spans="1:17" x14ac:dyDescent="0.2">
      <c r="B26" s="44" t="s">
        <v>295</v>
      </c>
      <c r="C26" s="15"/>
      <c r="D26" s="15"/>
      <c r="E26" s="15"/>
      <c r="F26" s="27" t="e">
        <f ca="1">rss(K20:K23)</f>
        <v>#NAME?</v>
      </c>
      <c r="G26" s="27" t="e">
        <f ca="1">rss(L20:L23)</f>
        <v>#NAME?</v>
      </c>
      <c r="H26" s="50" t="e">
        <f ca="1">rss(M20:M23)</f>
        <v>#NAME?</v>
      </c>
    </row>
    <row r="27" spans="1:17" ht="13.5" thickBot="1" x14ac:dyDescent="0.25">
      <c r="B27" s="45" t="s">
        <v>296</v>
      </c>
      <c r="C27" s="11"/>
      <c r="D27" s="11"/>
      <c r="E27" s="11"/>
      <c r="F27" s="51" t="e">
        <f ca="1">DoF_A(K20:K23,$O20:$O23)</f>
        <v>#NAME?</v>
      </c>
      <c r="G27" s="51" t="e">
        <f ca="1">DoF_A(L20:L23,$O20:$O23)</f>
        <v>#NAME?</v>
      </c>
      <c r="H27" s="52" t="e">
        <f ca="1">DoF_A(M20:M23,$O20:$O23)</f>
        <v>#NAME?</v>
      </c>
    </row>
    <row r="29" spans="1:17" x14ac:dyDescent="0.2">
      <c r="C29" s="290" t="s">
        <v>536</v>
      </c>
      <c r="D29" s="77"/>
      <c r="E29" s="77"/>
      <c r="F29" s="78"/>
    </row>
    <row r="30" spans="1:17" x14ac:dyDescent="0.2">
      <c r="C30" s="260">
        <f>DEGREES(ACOS(F12))</f>
        <v>0</v>
      </c>
      <c r="D30" s="15" t="str">
        <f>(C30&amp;"watts")</f>
        <v>0watts</v>
      </c>
      <c r="E30" s="27" t="e">
        <f ca="1">F13</f>
        <v>#NAME?</v>
      </c>
      <c r="F30" s="285" t="e">
        <f ca="1">F14</f>
        <v>#NAME?</v>
      </c>
    </row>
    <row r="31" spans="1:17" x14ac:dyDescent="0.2">
      <c r="C31" s="260">
        <f>ROUND(DEGREES(ACOS(G12)),2)</f>
        <v>36.869999999999997</v>
      </c>
      <c r="D31" s="15" t="str">
        <f>(C31&amp;"watts")</f>
        <v>36.87watts</v>
      </c>
      <c r="E31" s="27" t="e">
        <f ca="1">G13</f>
        <v>#NAME?</v>
      </c>
      <c r="F31" s="285" t="e">
        <f ca="1">G14</f>
        <v>#NAME?</v>
      </c>
    </row>
    <row r="32" spans="1:17" x14ac:dyDescent="0.2">
      <c r="C32" s="291">
        <f>DEGREES(ACOS(H12))</f>
        <v>59.999999999999993</v>
      </c>
      <c r="D32" s="15" t="str">
        <f>(C32&amp;"watts")</f>
        <v>60watts</v>
      </c>
      <c r="E32" s="27" t="e">
        <f ca="1">H13</f>
        <v>#NAME?</v>
      </c>
      <c r="F32" s="285" t="e">
        <f ca="1">H14</f>
        <v>#NAME?</v>
      </c>
    </row>
    <row r="33" spans="3:6" x14ac:dyDescent="0.2">
      <c r="C33" s="260">
        <f>DEGREES(ASIN(F25))</f>
        <v>90</v>
      </c>
      <c r="D33" s="15" t="str">
        <f>C33&amp;"vars"</f>
        <v>90vars</v>
      </c>
      <c r="E33" s="27" t="e">
        <f ca="1">F26</f>
        <v>#NAME?</v>
      </c>
      <c r="F33" s="285" t="e">
        <f ca="1">F27</f>
        <v>#NAME?</v>
      </c>
    </row>
    <row r="34" spans="3:6" x14ac:dyDescent="0.2">
      <c r="C34" s="260">
        <f>ROUND(DEGREES(ASIN(G25)),2)</f>
        <v>53.13</v>
      </c>
      <c r="D34" s="15" t="str">
        <f>C34&amp;"vars"</f>
        <v>53.13vars</v>
      </c>
      <c r="E34" s="27" t="e">
        <f ca="1">G26</f>
        <v>#NAME?</v>
      </c>
      <c r="F34" s="285" t="e">
        <f ca="1">G27</f>
        <v>#NAME?</v>
      </c>
    </row>
    <row r="35" spans="3:6" x14ac:dyDescent="0.2">
      <c r="C35" s="286">
        <f>DEGREES(ASIN(H25))</f>
        <v>30.000000000000004</v>
      </c>
      <c r="D35" s="287" t="str">
        <f>C35&amp;"vars"</f>
        <v>30vars</v>
      </c>
      <c r="E35" s="288" t="e">
        <f ca="1">H26</f>
        <v>#NAME?</v>
      </c>
      <c r="F35" s="289" t="e">
        <f ca="1">H27</f>
        <v>#NAME?</v>
      </c>
    </row>
  </sheetData>
  <customSheetViews>
    <customSheetView guid="{1F7EA7B0-7CBB-4C85-991C-384D0AE2B3A5}" showRuler="0" topLeftCell="A7">
      <selection activeCell="H31" sqref="H31"/>
      <pageMargins left="0.75" right="0.75" top="1" bottom="1" header="0.5" footer="0.5"/>
      <printOptions gridLines="1"/>
      <headerFooter alignWithMargins="0">
        <oddHeader>&amp;A</oddHeader>
        <oddFooter>Page &amp;P</oddFooter>
      </headerFooter>
    </customSheetView>
  </customSheetViews>
  <mergeCells count="6">
    <mergeCell ref="K4:M4"/>
    <mergeCell ref="E17:G17"/>
    <mergeCell ref="E18:G18"/>
    <mergeCell ref="K17:M17"/>
    <mergeCell ref="E4:G4"/>
    <mergeCell ref="E5:G5"/>
  </mergeCells>
  <phoneticPr fontId="13" type="noConversion"/>
  <printOptions gridLines="1" gridLinesSet="0"/>
  <pageMargins left="0.75" right="0.75" top="1" bottom="1"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120"/>
  <sheetViews>
    <sheetView topLeftCell="A79" workbookViewId="0">
      <selection activeCell="F121" sqref="F121"/>
    </sheetView>
  </sheetViews>
  <sheetFormatPr defaultRowHeight="12.75" x14ac:dyDescent="0.2"/>
  <sheetData>
    <row r="1" spans="1:8" x14ac:dyDescent="0.2">
      <c r="A1" s="20" t="s">
        <v>309</v>
      </c>
    </row>
    <row r="3" spans="1:8" x14ac:dyDescent="0.2">
      <c r="A3" t="s">
        <v>310</v>
      </c>
    </row>
    <row r="4" spans="1:8" x14ac:dyDescent="0.2">
      <c r="A4" t="s">
        <v>311</v>
      </c>
    </row>
    <row r="6" spans="1:8" x14ac:dyDescent="0.2">
      <c r="A6" t="s">
        <v>312</v>
      </c>
    </row>
    <row r="8" spans="1:8" x14ac:dyDescent="0.2">
      <c r="A8" s="20" t="s">
        <v>572</v>
      </c>
      <c r="B8" s="20"/>
      <c r="C8" s="20"/>
      <c r="D8" s="20"/>
      <c r="E8" s="20"/>
      <c r="F8" s="20"/>
      <c r="G8" s="20"/>
      <c r="H8" s="20"/>
    </row>
    <row r="11" spans="1:8" x14ac:dyDescent="0.2">
      <c r="A11" s="20" t="s">
        <v>666</v>
      </c>
    </row>
    <row r="12" spans="1:8" x14ac:dyDescent="0.2">
      <c r="A12" t="s">
        <v>667</v>
      </c>
    </row>
    <row r="13" spans="1:8" x14ac:dyDescent="0.2">
      <c r="A13" t="s">
        <v>668</v>
      </c>
      <c r="B13" t="s">
        <v>669</v>
      </c>
      <c r="C13" t="s">
        <v>670</v>
      </c>
    </row>
    <row r="14" spans="1:8" x14ac:dyDescent="0.2">
      <c r="A14">
        <v>1</v>
      </c>
      <c r="B14">
        <v>0.01</v>
      </c>
      <c r="C14">
        <v>0.05</v>
      </c>
    </row>
    <row r="15" spans="1:8" x14ac:dyDescent="0.2">
      <c r="A15">
        <v>0.5</v>
      </c>
      <c r="B15">
        <v>0.02</v>
      </c>
      <c r="C15">
        <v>0.05</v>
      </c>
    </row>
    <row r="16" spans="1:8" x14ac:dyDescent="0.2">
      <c r="A16" t="s">
        <v>671</v>
      </c>
      <c r="C16" t="s">
        <v>672</v>
      </c>
      <c r="D16" t="s">
        <v>673</v>
      </c>
    </row>
    <row r="18" spans="1:23" x14ac:dyDescent="0.2">
      <c r="A18" t="s">
        <v>674</v>
      </c>
    </row>
    <row r="19" spans="1:23" x14ac:dyDescent="0.2">
      <c r="A19" t="s">
        <v>675</v>
      </c>
    </row>
    <row r="20" spans="1:23" x14ac:dyDescent="0.2">
      <c r="A20">
        <v>1</v>
      </c>
      <c r="B20">
        <v>2.5000000000000001E-2</v>
      </c>
      <c r="C20">
        <v>0.1</v>
      </c>
    </row>
    <row r="21" spans="1:23" x14ac:dyDescent="0.2">
      <c r="A21">
        <v>0.5</v>
      </c>
      <c r="B21">
        <v>3.5000000000000003E-2</v>
      </c>
      <c r="C21">
        <v>0.1</v>
      </c>
      <c r="D21" t="s">
        <v>676</v>
      </c>
    </row>
    <row r="25" spans="1:23" x14ac:dyDescent="0.2">
      <c r="A25" s="20" t="s">
        <v>677</v>
      </c>
      <c r="O25">
        <v>1</v>
      </c>
      <c r="P25" s="9">
        <v>1.4999999999999996E-3</v>
      </c>
      <c r="R25" t="s">
        <v>678</v>
      </c>
      <c r="U25" t="s">
        <v>679</v>
      </c>
    </row>
    <row r="26" spans="1:23" x14ac:dyDescent="0.2">
      <c r="A26" t="s">
        <v>667</v>
      </c>
      <c r="O26">
        <v>0.5</v>
      </c>
      <c r="P26" s="9">
        <v>3.4999999999999996E-3</v>
      </c>
      <c r="R26">
        <v>0</v>
      </c>
      <c r="S26" s="9">
        <v>1.5E-3</v>
      </c>
      <c r="T26" s="9"/>
      <c r="U26" s="9">
        <v>1.6327966805453765E-3</v>
      </c>
      <c r="W26" t="s">
        <v>680</v>
      </c>
    </row>
    <row r="27" spans="1:23" x14ac:dyDescent="0.2">
      <c r="A27" t="s">
        <v>668</v>
      </c>
      <c r="B27" t="s">
        <v>669</v>
      </c>
      <c r="C27" t="s">
        <v>670</v>
      </c>
      <c r="H27" s="450" t="s">
        <v>681</v>
      </c>
      <c r="R27">
        <v>30</v>
      </c>
      <c r="S27" s="9">
        <v>1.6547005383792514E-3</v>
      </c>
      <c r="T27" s="9"/>
      <c r="U27" s="9">
        <v>1.7759670243877232E-3</v>
      </c>
      <c r="W27" t="s">
        <v>680</v>
      </c>
    </row>
    <row r="28" spans="1:23" x14ac:dyDescent="0.2">
      <c r="A28">
        <v>1</v>
      </c>
      <c r="B28">
        <v>3.0000000000000001E-3</v>
      </c>
      <c r="C28">
        <v>2.5000000000000001E-2</v>
      </c>
      <c r="E28">
        <v>4.0000000000000001E-3</v>
      </c>
      <c r="H28" s="451">
        <v>1.3672425308418337E-3</v>
      </c>
      <c r="I28" t="s">
        <v>682</v>
      </c>
      <c r="U28" s="9"/>
    </row>
    <row r="29" spans="1:23" x14ac:dyDescent="0.2">
      <c r="A29">
        <v>0.5</v>
      </c>
      <c r="B29">
        <v>7.0000000000000001E-3</v>
      </c>
      <c r="C29">
        <v>2.5000000000000001E-2</v>
      </c>
      <c r="H29" t="s">
        <v>683</v>
      </c>
      <c r="R29">
        <v>90</v>
      </c>
      <c r="S29" s="9">
        <v>2E-3</v>
      </c>
      <c r="U29" s="9">
        <v>2.1014340341776135E-3</v>
      </c>
      <c r="W29" s="9" t="s">
        <v>684</v>
      </c>
    </row>
    <row r="30" spans="1:23" x14ac:dyDescent="0.2">
      <c r="A30" t="s">
        <v>671</v>
      </c>
      <c r="C30" t="s">
        <v>685</v>
      </c>
      <c r="H30" t="s">
        <v>686</v>
      </c>
      <c r="R30">
        <v>60</v>
      </c>
      <c r="S30" s="9">
        <v>2.386751345948129E-3</v>
      </c>
      <c r="U30" s="9">
        <v>2.4723686997260752E-3</v>
      </c>
      <c r="W30" s="9" t="s">
        <v>684</v>
      </c>
    </row>
    <row r="31" spans="1:23" x14ac:dyDescent="0.2">
      <c r="H31">
        <v>2.3672425308418335E-3</v>
      </c>
      <c r="I31" t="s">
        <v>687</v>
      </c>
    </row>
    <row r="32" spans="1:23" x14ac:dyDescent="0.2">
      <c r="U32" t="s">
        <v>679</v>
      </c>
    </row>
    <row r="33" spans="1:23" x14ac:dyDescent="0.2">
      <c r="R33">
        <v>0</v>
      </c>
      <c r="S33" s="9">
        <v>1.4999999999999996E-3</v>
      </c>
      <c r="T33" s="9"/>
      <c r="U33" s="9">
        <v>1.6327966805453761E-3</v>
      </c>
      <c r="W33" t="s">
        <v>688</v>
      </c>
    </row>
    <row r="34" spans="1:23" x14ac:dyDescent="0.2">
      <c r="R34">
        <v>60</v>
      </c>
      <c r="S34" s="9">
        <v>3.4999999999999992E-3</v>
      </c>
      <c r="T34" s="9"/>
      <c r="U34" s="9">
        <v>3.5589359364843862E-3</v>
      </c>
      <c r="W34" t="s">
        <v>688</v>
      </c>
    </row>
    <row r="35" spans="1:23" x14ac:dyDescent="0.2">
      <c r="A35" t="s">
        <v>674</v>
      </c>
    </row>
    <row r="36" spans="1:23" x14ac:dyDescent="0.2">
      <c r="A36" t="s">
        <v>675</v>
      </c>
      <c r="H36" s="450" t="s">
        <v>689</v>
      </c>
      <c r="R36">
        <v>90</v>
      </c>
      <c r="S36" s="9">
        <v>3.7499999999999999E-3</v>
      </c>
      <c r="T36" s="9"/>
      <c r="U36" s="9">
        <v>3.805065702455084E-3</v>
      </c>
      <c r="W36" s="9" t="s">
        <v>690</v>
      </c>
    </row>
    <row r="37" spans="1:23" x14ac:dyDescent="0.2">
      <c r="A37">
        <v>1</v>
      </c>
      <c r="B37">
        <v>1.4999999999999999E-2</v>
      </c>
      <c r="C37">
        <v>0.05</v>
      </c>
      <c r="E37">
        <v>5.0000000000000001E-3</v>
      </c>
      <c r="H37" s="451">
        <v>2.1478714059370743E-3</v>
      </c>
      <c r="I37" t="s">
        <v>691</v>
      </c>
      <c r="O37">
        <v>1</v>
      </c>
      <c r="P37" s="9">
        <v>3.7499999999999999E-3</v>
      </c>
      <c r="R37">
        <v>30</v>
      </c>
      <c r="S37" s="9">
        <v>5.0000000000000001E-3</v>
      </c>
      <c r="T37" s="9"/>
      <c r="U37" s="9">
        <v>5.0414308484794286E-3</v>
      </c>
      <c r="W37" s="9" t="s">
        <v>690</v>
      </c>
    </row>
    <row r="38" spans="1:23" x14ac:dyDescent="0.2">
      <c r="A38">
        <v>0.5</v>
      </c>
      <c r="B38">
        <v>0.02</v>
      </c>
      <c r="C38">
        <v>0.05</v>
      </c>
      <c r="H38" t="s">
        <v>692</v>
      </c>
      <c r="O38">
        <v>0.5</v>
      </c>
      <c r="P38" s="9">
        <v>5.0000000000000001E-3</v>
      </c>
      <c r="U38" s="9"/>
    </row>
    <row r="39" spans="1:23" x14ac:dyDescent="0.2">
      <c r="H39" t="s">
        <v>693</v>
      </c>
      <c r="N39" s="17"/>
    </row>
    <row r="40" spans="1:23" x14ac:dyDescent="0.2">
      <c r="H40">
        <v>4.6478714059370744E-3</v>
      </c>
      <c r="I40" t="s">
        <v>694</v>
      </c>
    </row>
    <row r="41" spans="1:23" x14ac:dyDescent="0.2">
      <c r="A41" s="20" t="s">
        <v>695</v>
      </c>
    </row>
    <row r="42" spans="1:23" x14ac:dyDescent="0.2">
      <c r="N42" t="s">
        <v>696</v>
      </c>
    </row>
    <row r="43" spans="1:23" x14ac:dyDescent="0.2">
      <c r="A43" s="20" t="s">
        <v>697</v>
      </c>
      <c r="B43" s="20" t="s">
        <v>698</v>
      </c>
      <c r="D43" t="s">
        <v>699</v>
      </c>
    </row>
    <row r="44" spans="1:23" x14ac:dyDescent="0.2">
      <c r="O44" t="s">
        <v>700</v>
      </c>
    </row>
    <row r="45" spans="1:23" x14ac:dyDescent="0.2">
      <c r="D45" s="259" t="s">
        <v>701</v>
      </c>
      <c r="E45">
        <v>50.000169999999997</v>
      </c>
      <c r="F45" s="20" t="s">
        <v>702</v>
      </c>
      <c r="N45" t="s">
        <v>703</v>
      </c>
    </row>
    <row r="46" spans="1:23" x14ac:dyDescent="0.2">
      <c r="D46" s="259" t="s">
        <v>704</v>
      </c>
      <c r="E46" s="9">
        <v>2.0374465581722974E-4</v>
      </c>
      <c r="F46" s="20" t="s">
        <v>702</v>
      </c>
      <c r="O46" t="s">
        <v>705</v>
      </c>
    </row>
    <row r="47" spans="1:23" x14ac:dyDescent="0.2">
      <c r="D47" s="259" t="s">
        <v>706</v>
      </c>
      <c r="E47" s="9">
        <v>4.0748931163445948E-4</v>
      </c>
      <c r="F47" s="20" t="s">
        <v>385</v>
      </c>
    </row>
    <row r="49" spans="2:15" x14ac:dyDescent="0.2">
      <c r="B49" s="20" t="s">
        <v>707</v>
      </c>
      <c r="O49" t="s">
        <v>708</v>
      </c>
    </row>
    <row r="50" spans="2:15" x14ac:dyDescent="0.2">
      <c r="D50" s="452" t="s">
        <v>709</v>
      </c>
      <c r="E50">
        <v>6.4501747193105219E-4</v>
      </c>
      <c r="F50" s="20" t="s">
        <v>710</v>
      </c>
      <c r="N50" t="s">
        <v>703</v>
      </c>
    </row>
    <row r="51" spans="2:15" x14ac:dyDescent="0.2">
      <c r="N51" t="s">
        <v>711</v>
      </c>
      <c r="O51" t="s">
        <v>712</v>
      </c>
    </row>
    <row r="52" spans="2:15" x14ac:dyDescent="0.2">
      <c r="N52" t="s">
        <v>713</v>
      </c>
      <c r="O52" t="s">
        <v>714</v>
      </c>
    </row>
    <row r="78" spans="1:29" ht="13.5" thickBot="1" x14ac:dyDescent="0.25"/>
    <row r="79" spans="1:29" ht="13.5" thickTop="1" x14ac:dyDescent="0.2">
      <c r="A79" s="840"/>
      <c r="B79" s="841" t="s">
        <v>1140</v>
      </c>
      <c r="C79" s="842"/>
      <c r="D79" s="842"/>
      <c r="E79" s="842"/>
      <c r="F79" s="842"/>
      <c r="G79" s="842"/>
      <c r="H79" s="842"/>
      <c r="I79" s="842"/>
      <c r="J79" s="842"/>
      <c r="K79" s="842"/>
      <c r="L79" s="842"/>
      <c r="M79" s="842"/>
      <c r="N79" s="842"/>
      <c r="O79" s="842"/>
      <c r="P79" s="842"/>
      <c r="Q79" s="842"/>
      <c r="R79" s="842"/>
      <c r="S79" s="842"/>
      <c r="T79" s="842"/>
      <c r="U79" s="842"/>
      <c r="V79" s="842"/>
      <c r="W79" s="842"/>
      <c r="X79" s="842"/>
      <c r="Y79" s="842"/>
      <c r="Z79" s="842"/>
      <c r="AA79" s="842"/>
      <c r="AB79" s="842"/>
      <c r="AC79" s="843"/>
    </row>
    <row r="80" spans="1:29" x14ac:dyDescent="0.2">
      <c r="A80" s="844"/>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845"/>
    </row>
    <row r="81" spans="1:29" x14ac:dyDescent="0.2">
      <c r="A81" s="844"/>
      <c r="B81" s="846" t="s">
        <v>1141</v>
      </c>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847"/>
    </row>
    <row r="82" spans="1:29" ht="13.5" thickBot="1" x14ac:dyDescent="0.25">
      <c r="A82" s="844"/>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845"/>
    </row>
    <row r="83" spans="1:29" ht="14.25" thickTop="1" thickBot="1" x14ac:dyDescent="0.25">
      <c r="A83" s="844"/>
      <c r="B83" s="848" t="s">
        <v>1142</v>
      </c>
      <c r="C83" s="849"/>
      <c r="D83" s="849"/>
      <c r="E83" s="849"/>
      <c r="F83" s="849"/>
      <c r="G83" s="850"/>
      <c r="H83" s="851"/>
      <c r="I83" s="852"/>
      <c r="J83" s="15"/>
      <c r="K83" s="15"/>
      <c r="L83" s="15"/>
      <c r="M83" s="15"/>
      <c r="N83" s="15"/>
      <c r="O83" s="15"/>
      <c r="P83" s="15"/>
      <c r="Q83" s="15"/>
      <c r="R83" s="15"/>
      <c r="S83" s="15"/>
      <c r="T83" s="15"/>
      <c r="U83" s="15"/>
      <c r="V83" s="15"/>
      <c r="W83" s="15"/>
      <c r="X83" s="15"/>
      <c r="Y83" s="15"/>
      <c r="Z83" s="15"/>
      <c r="AA83" s="15"/>
      <c r="AB83" s="15"/>
      <c r="AC83" s="845"/>
    </row>
    <row r="84" spans="1:29" ht="14.25" thickTop="1" thickBot="1" x14ac:dyDescent="0.25">
      <c r="A84" s="844"/>
      <c r="B84" s="853"/>
      <c r="C84" s="15"/>
      <c r="D84" s="15"/>
      <c r="E84" s="15"/>
      <c r="F84" s="15"/>
      <c r="G84" s="15"/>
      <c r="H84" s="15"/>
      <c r="I84" s="854"/>
      <c r="J84" s="15"/>
      <c r="K84" s="15"/>
      <c r="L84" s="59" t="s">
        <v>1143</v>
      </c>
      <c r="M84" s="15"/>
      <c r="N84" s="15"/>
      <c r="O84" s="15"/>
      <c r="P84" s="15"/>
      <c r="Q84" s="15"/>
      <c r="R84" s="15"/>
      <c r="S84" s="15"/>
      <c r="T84" s="15"/>
      <c r="U84" s="15"/>
      <c r="V84" s="15"/>
      <c r="W84" s="15"/>
      <c r="X84" s="15"/>
      <c r="Y84" s="15"/>
      <c r="Z84" s="15"/>
      <c r="AA84" s="15"/>
      <c r="AB84" s="15"/>
      <c r="AC84" s="845"/>
    </row>
    <row r="85" spans="1:29" x14ac:dyDescent="0.2">
      <c r="A85" s="844"/>
      <c r="B85" s="855" t="s">
        <v>1144</v>
      </c>
      <c r="C85" s="12"/>
      <c r="D85" s="12"/>
      <c r="E85" s="12"/>
      <c r="F85" s="12"/>
      <c r="G85" s="12"/>
      <c r="H85" s="43"/>
      <c r="I85" s="854"/>
      <c r="J85" s="15"/>
      <c r="K85" s="15"/>
      <c r="L85" s="15"/>
      <c r="M85" s="15"/>
      <c r="N85" s="15"/>
      <c r="O85" s="15"/>
      <c r="P85" s="15"/>
      <c r="Q85" s="15"/>
      <c r="R85" s="15"/>
      <c r="S85" s="15"/>
      <c r="T85" s="15"/>
      <c r="U85" s="15"/>
      <c r="V85" s="15"/>
      <c r="W85" s="15"/>
      <c r="X85" s="15"/>
      <c r="Y85" s="15"/>
      <c r="Z85" s="15"/>
      <c r="AA85" s="15"/>
      <c r="AB85" s="15"/>
      <c r="AC85" s="845"/>
    </row>
    <row r="86" spans="1:29" x14ac:dyDescent="0.2">
      <c r="A86" s="844"/>
      <c r="B86" s="856"/>
      <c r="C86" s="15"/>
      <c r="D86" s="15"/>
      <c r="E86" s="15"/>
      <c r="F86" s="15"/>
      <c r="G86" s="15"/>
      <c r="H86" s="60"/>
      <c r="I86" s="854"/>
      <c r="J86" s="15"/>
      <c r="K86" s="15"/>
      <c r="L86" s="15"/>
      <c r="M86" s="15"/>
      <c r="N86" s="15"/>
      <c r="O86" s="15"/>
      <c r="P86" s="15"/>
      <c r="Q86" s="15"/>
      <c r="R86" s="15"/>
      <c r="S86" s="15"/>
      <c r="T86" s="15"/>
      <c r="U86" s="15"/>
      <c r="V86" s="15"/>
      <c r="W86" s="15"/>
      <c r="X86" s="15"/>
      <c r="Y86" s="15"/>
      <c r="Z86" s="15"/>
      <c r="AA86" s="15"/>
      <c r="AB86" s="15"/>
      <c r="AC86" s="845"/>
    </row>
    <row r="87" spans="1:29" x14ac:dyDescent="0.2">
      <c r="A87" s="844"/>
      <c r="B87" s="856"/>
      <c r="C87" s="15" t="s">
        <v>715</v>
      </c>
      <c r="D87" s="15">
        <v>8.0000000000000002E-3</v>
      </c>
      <c r="E87" s="15" t="s">
        <v>1145</v>
      </c>
      <c r="F87" s="15"/>
      <c r="G87" s="15"/>
      <c r="H87" s="60"/>
      <c r="I87" s="854"/>
      <c r="J87" s="15"/>
      <c r="K87" s="15"/>
      <c r="L87" s="59" t="s">
        <v>1146</v>
      </c>
      <c r="M87" s="59" t="s">
        <v>1147</v>
      </c>
      <c r="N87" s="15"/>
      <c r="O87" s="15"/>
      <c r="P87" s="15"/>
      <c r="Q87" s="15"/>
      <c r="R87" s="15"/>
      <c r="S87" s="15"/>
      <c r="T87" s="15"/>
      <c r="U87" s="15"/>
      <c r="V87" s="15"/>
      <c r="W87" s="15"/>
      <c r="X87" s="15"/>
      <c r="Y87" s="15"/>
      <c r="Z87" s="15"/>
      <c r="AA87" s="15"/>
      <c r="AB87" s="15"/>
      <c r="AC87" s="845"/>
    </row>
    <row r="88" spans="1:29" x14ac:dyDescent="0.2">
      <c r="A88" s="844"/>
      <c r="B88" s="856"/>
      <c r="C88" s="15"/>
      <c r="D88" s="15"/>
      <c r="E88" s="15"/>
      <c r="F88" s="15"/>
      <c r="G88" s="15"/>
      <c r="H88" s="60"/>
      <c r="I88" s="854"/>
      <c r="J88" s="15"/>
      <c r="K88" s="15"/>
      <c r="L88" s="15" t="s">
        <v>1148</v>
      </c>
      <c r="M88" s="15"/>
      <c r="N88" s="15"/>
      <c r="O88" s="15"/>
      <c r="P88" s="15"/>
      <c r="Q88" s="15"/>
      <c r="R88" s="15"/>
      <c r="S88" s="15"/>
      <c r="T88" s="15"/>
      <c r="U88" s="15"/>
      <c r="V88" s="15"/>
      <c r="W88" s="15"/>
      <c r="X88" s="15"/>
      <c r="Y88" s="15"/>
      <c r="Z88" s="15"/>
      <c r="AA88" s="15"/>
      <c r="AB88" s="15"/>
      <c r="AC88" s="845"/>
    </row>
    <row r="89" spans="1:29" x14ac:dyDescent="0.2">
      <c r="A89" s="844"/>
      <c r="B89" s="856"/>
      <c r="C89" s="15"/>
      <c r="D89" s="15"/>
      <c r="E89" s="15"/>
      <c r="F89" s="15"/>
      <c r="G89" s="15"/>
      <c r="H89" s="60"/>
      <c r="I89" s="854"/>
      <c r="J89" s="15"/>
      <c r="K89" s="15"/>
      <c r="L89" s="15"/>
      <c r="M89" s="15"/>
      <c r="N89" s="15"/>
      <c r="O89" s="15"/>
      <c r="P89" s="15"/>
      <c r="Q89" s="15"/>
      <c r="R89" s="15"/>
      <c r="S89" s="15"/>
      <c r="T89" s="15"/>
      <c r="U89" s="15"/>
      <c r="V89" s="15"/>
      <c r="W89" s="15"/>
      <c r="X89" s="15"/>
      <c r="Y89" s="15"/>
      <c r="Z89" s="15"/>
      <c r="AA89" s="15"/>
      <c r="AB89" s="15"/>
      <c r="AC89" s="845"/>
    </row>
    <row r="90" spans="1:29" x14ac:dyDescent="0.2">
      <c r="A90" s="844"/>
      <c r="B90" s="856" t="s">
        <v>1149</v>
      </c>
      <c r="C90" s="15"/>
      <c r="D90" s="15"/>
      <c r="E90" s="15"/>
      <c r="F90" s="15"/>
      <c r="G90" s="15"/>
      <c r="H90" s="60"/>
      <c r="I90" s="854"/>
      <c r="J90" s="15"/>
      <c r="K90" s="15"/>
      <c r="L90" s="15"/>
      <c r="M90" s="15"/>
      <c r="N90" s="15"/>
      <c r="O90" s="15"/>
      <c r="P90" s="15"/>
      <c r="Q90" s="15"/>
      <c r="R90" s="15"/>
      <c r="S90" s="15"/>
      <c r="T90" s="15"/>
      <c r="U90" s="15"/>
      <c r="V90" s="15"/>
      <c r="W90" s="15"/>
      <c r="X90" s="15"/>
      <c r="Y90" s="15"/>
      <c r="Z90" s="15"/>
      <c r="AA90" s="15"/>
      <c r="AB90" s="15"/>
      <c r="AC90" s="845"/>
    </row>
    <row r="91" spans="1:29" x14ac:dyDescent="0.2">
      <c r="A91" s="844"/>
      <c r="B91" s="856" t="s">
        <v>1150</v>
      </c>
      <c r="C91" s="15"/>
      <c r="D91" s="15"/>
      <c r="E91" s="15"/>
      <c r="F91" s="15"/>
      <c r="G91" s="15"/>
      <c r="H91" s="60"/>
      <c r="I91" s="854"/>
      <c r="J91" s="15"/>
      <c r="K91" s="15"/>
      <c r="L91" s="59" t="s">
        <v>1151</v>
      </c>
      <c r="M91" s="15"/>
      <c r="N91" s="15"/>
      <c r="O91" s="59" t="s">
        <v>1152</v>
      </c>
      <c r="P91" s="59"/>
      <c r="Q91" s="59" t="s">
        <v>1153</v>
      </c>
      <c r="R91" s="15"/>
      <c r="S91" s="15"/>
      <c r="T91" s="15"/>
      <c r="U91" s="15"/>
      <c r="V91" s="15"/>
      <c r="W91" s="15"/>
      <c r="X91" s="15"/>
      <c r="Y91" s="15"/>
      <c r="Z91" s="15"/>
      <c r="AA91" s="15"/>
      <c r="AB91" s="15"/>
      <c r="AC91" s="845"/>
    </row>
    <row r="92" spans="1:29" x14ac:dyDescent="0.2">
      <c r="A92" s="844"/>
      <c r="B92" s="856" t="s">
        <v>1154</v>
      </c>
      <c r="C92" s="15"/>
      <c r="D92" s="15"/>
      <c r="E92" s="15"/>
      <c r="F92" s="15"/>
      <c r="G92" s="15"/>
      <c r="H92" s="60"/>
      <c r="I92" s="854"/>
      <c r="J92" s="15"/>
      <c r="K92" s="15"/>
      <c r="L92" s="15" t="s">
        <v>1155</v>
      </c>
      <c r="M92" s="15"/>
      <c r="N92" s="15"/>
      <c r="O92" s="15"/>
      <c r="P92" s="15"/>
      <c r="Q92" s="15"/>
      <c r="R92" s="15"/>
      <c r="S92" s="15"/>
      <c r="T92" s="15"/>
      <c r="U92" s="15"/>
      <c r="V92" s="15"/>
      <c r="W92" s="15"/>
      <c r="X92" s="15"/>
      <c r="Y92" s="15"/>
      <c r="Z92" s="15"/>
      <c r="AA92" s="15"/>
      <c r="AB92" s="15"/>
      <c r="AC92" s="845"/>
    </row>
    <row r="93" spans="1:29" x14ac:dyDescent="0.2">
      <c r="A93" s="844"/>
      <c r="B93" s="856" t="s">
        <v>1156</v>
      </c>
      <c r="C93" s="15"/>
      <c r="D93" s="15">
        <v>20</v>
      </c>
      <c r="E93" s="15"/>
      <c r="F93" s="15"/>
      <c r="G93" s="15"/>
      <c r="H93" s="60"/>
      <c r="I93" s="854"/>
      <c r="J93" s="15"/>
      <c r="K93" s="15"/>
      <c r="L93" s="15"/>
      <c r="M93" s="15"/>
      <c r="N93" s="15"/>
      <c r="O93" s="15"/>
      <c r="P93" s="15"/>
      <c r="Q93" s="15"/>
      <c r="R93" s="15"/>
      <c r="S93" s="15"/>
      <c r="T93" s="15"/>
      <c r="U93" s="15"/>
      <c r="V93" s="15"/>
      <c r="W93" s="15"/>
      <c r="X93" s="15"/>
      <c r="Y93" s="15"/>
      <c r="Z93" s="15"/>
      <c r="AA93" s="15"/>
      <c r="AB93" s="15"/>
      <c r="AC93" s="845"/>
    </row>
    <row r="94" spans="1:29" ht="13.5" thickBot="1" x14ac:dyDescent="0.25">
      <c r="A94" s="844"/>
      <c r="B94" s="857" t="s">
        <v>1157</v>
      </c>
      <c r="C94" s="11"/>
      <c r="D94" s="11">
        <v>5</v>
      </c>
      <c r="E94" s="11"/>
      <c r="F94" s="11"/>
      <c r="G94" s="11"/>
      <c r="H94" s="61"/>
      <c r="I94" s="854"/>
      <c r="J94" s="15"/>
      <c r="K94" s="15"/>
      <c r="L94" s="15"/>
      <c r="M94" s="15"/>
      <c r="N94" s="15"/>
      <c r="O94" s="15"/>
      <c r="P94" s="15"/>
      <c r="Q94" s="15"/>
      <c r="R94" s="15"/>
      <c r="S94" s="15"/>
      <c r="T94" s="15"/>
      <c r="U94" s="15"/>
      <c r="V94" s="15"/>
      <c r="W94" s="15"/>
      <c r="X94" s="15"/>
      <c r="Y94" s="15"/>
      <c r="Z94" s="15"/>
      <c r="AA94" s="15"/>
      <c r="AB94" s="15"/>
      <c r="AC94" s="845"/>
    </row>
    <row r="95" spans="1:29" x14ac:dyDescent="0.2">
      <c r="A95" s="844"/>
      <c r="B95" s="856"/>
      <c r="C95" s="15"/>
      <c r="D95" s="15"/>
      <c r="E95" s="15"/>
      <c r="F95" s="15"/>
      <c r="G95" s="15"/>
      <c r="H95" s="15"/>
      <c r="I95" s="854"/>
      <c r="J95" s="15"/>
      <c r="K95" s="15"/>
      <c r="L95" s="59" t="s">
        <v>58</v>
      </c>
      <c r="M95" s="59" t="s">
        <v>1158</v>
      </c>
      <c r="N95" s="15"/>
      <c r="O95" s="15" t="s">
        <v>1159</v>
      </c>
      <c r="P95" s="15"/>
      <c r="Q95" s="15"/>
      <c r="R95" s="15"/>
      <c r="S95" s="15"/>
      <c r="T95" s="15"/>
      <c r="U95" s="15"/>
      <c r="V95" s="15"/>
      <c r="W95" s="15"/>
      <c r="X95" s="15"/>
      <c r="Y95" s="15"/>
      <c r="Z95" s="15"/>
      <c r="AA95" s="15"/>
      <c r="AB95" s="15"/>
      <c r="AC95" s="845"/>
    </row>
    <row r="96" spans="1:29" x14ac:dyDescent="0.2">
      <c r="A96" s="844"/>
      <c r="B96" s="858" t="s">
        <v>1160</v>
      </c>
      <c r="C96" s="417"/>
      <c r="D96" s="417"/>
      <c r="E96" s="417"/>
      <c r="F96" s="417"/>
      <c r="G96" s="417"/>
      <c r="H96" s="417"/>
      <c r="I96" s="859"/>
      <c r="J96" s="15"/>
      <c r="K96" s="15"/>
      <c r="L96" s="15" t="s">
        <v>1161</v>
      </c>
      <c r="M96" s="15"/>
      <c r="N96" s="15"/>
      <c r="O96" s="15"/>
      <c r="P96" s="15"/>
      <c r="Q96" s="15"/>
      <c r="R96" s="15"/>
      <c r="S96" s="15"/>
      <c r="T96" s="15"/>
      <c r="U96" s="15"/>
      <c r="V96" s="15"/>
      <c r="W96" s="15"/>
      <c r="X96" s="15"/>
      <c r="Y96" s="15"/>
      <c r="Z96" s="15"/>
      <c r="AA96" s="15"/>
      <c r="AB96" s="15"/>
      <c r="AC96" s="845"/>
    </row>
    <row r="97" spans="1:29" x14ac:dyDescent="0.2">
      <c r="A97" s="844"/>
      <c r="B97" s="858" t="s">
        <v>667</v>
      </c>
      <c r="C97" s="417"/>
      <c r="D97" s="417"/>
      <c r="E97" s="417"/>
      <c r="F97" s="417"/>
      <c r="G97" s="417"/>
      <c r="H97" s="417"/>
      <c r="I97" s="859"/>
      <c r="J97" s="15"/>
      <c r="K97" s="15"/>
      <c r="L97" s="15"/>
      <c r="M97" s="15"/>
      <c r="N97" s="15"/>
      <c r="O97" s="15"/>
      <c r="P97" s="15"/>
      <c r="Q97" s="15"/>
      <c r="R97" s="15"/>
      <c r="S97" s="15"/>
      <c r="T97" s="15"/>
      <c r="U97" s="15"/>
      <c r="V97" s="15"/>
      <c r="W97" s="15"/>
      <c r="X97" s="15"/>
      <c r="Y97" s="15"/>
      <c r="Z97" s="15"/>
      <c r="AA97" s="15"/>
      <c r="AB97" s="15"/>
      <c r="AC97" s="845"/>
    </row>
    <row r="98" spans="1:29" x14ac:dyDescent="0.2">
      <c r="A98" s="844"/>
      <c r="B98" s="860" t="s">
        <v>1162</v>
      </c>
      <c r="C98" s="417"/>
      <c r="D98" s="417"/>
      <c r="E98" s="417" t="s">
        <v>1163</v>
      </c>
      <c r="F98" s="417"/>
      <c r="G98" s="417" t="s">
        <v>1164</v>
      </c>
      <c r="H98" s="417"/>
      <c r="I98" s="859"/>
      <c r="J98" s="15"/>
      <c r="K98" s="15"/>
      <c r="L98" s="59" t="s">
        <v>1165</v>
      </c>
      <c r="M98" s="59" t="s">
        <v>1166</v>
      </c>
      <c r="N98" s="15"/>
      <c r="O98" s="15" t="s">
        <v>1167</v>
      </c>
      <c r="P98" s="15"/>
      <c r="Q98" s="15"/>
      <c r="R98" s="15"/>
      <c r="S98" s="15"/>
      <c r="T98" s="15"/>
      <c r="U98" s="15"/>
      <c r="V98" s="15"/>
      <c r="W98" s="15"/>
      <c r="X98" s="15"/>
      <c r="Y98" s="15"/>
      <c r="Z98" s="15"/>
      <c r="AA98" s="15"/>
      <c r="AB98" s="15"/>
      <c r="AC98" s="845"/>
    </row>
    <row r="99" spans="1:29" x14ac:dyDescent="0.2">
      <c r="A99" s="844"/>
      <c r="B99" s="860" t="s">
        <v>560</v>
      </c>
      <c r="C99" s="417"/>
      <c r="D99" s="417"/>
      <c r="E99" s="417" t="s">
        <v>1168</v>
      </c>
      <c r="F99" s="417"/>
      <c r="G99" s="417"/>
      <c r="H99" s="417"/>
      <c r="I99" s="859"/>
      <c r="J99" s="15"/>
      <c r="K99" s="15"/>
      <c r="L99" s="15" t="s">
        <v>1169</v>
      </c>
      <c r="M99" s="15"/>
      <c r="N99" s="15"/>
      <c r="O99" s="15"/>
      <c r="P99" s="15"/>
      <c r="Q99" s="15"/>
      <c r="R99" s="15"/>
      <c r="S99" s="15"/>
      <c r="T99" s="15"/>
      <c r="U99" s="15"/>
      <c r="V99" s="15"/>
      <c r="W99" s="15"/>
      <c r="X99" s="15"/>
      <c r="Y99" s="15"/>
      <c r="Z99" s="15"/>
      <c r="AA99" s="15"/>
      <c r="AB99" s="15"/>
      <c r="AC99" s="845"/>
    </row>
    <row r="100" spans="1:29" x14ac:dyDescent="0.2">
      <c r="A100" s="844"/>
      <c r="B100" s="860" t="s">
        <v>1170</v>
      </c>
      <c r="C100" s="417"/>
      <c r="D100" s="417"/>
      <c r="E100" s="861" t="s">
        <v>1171</v>
      </c>
      <c r="F100" s="417"/>
      <c r="G100" s="417" t="s">
        <v>1172</v>
      </c>
      <c r="H100" s="417"/>
      <c r="I100" s="859"/>
      <c r="J100" s="15"/>
      <c r="K100" s="15"/>
      <c r="L100" s="15"/>
      <c r="M100" s="15"/>
      <c r="N100" s="15"/>
      <c r="O100" s="15"/>
      <c r="P100" s="15"/>
      <c r="Q100" s="15"/>
      <c r="R100" s="15"/>
      <c r="S100" s="15"/>
      <c r="T100" s="15"/>
      <c r="U100" s="15"/>
      <c r="V100" s="15"/>
      <c r="W100" s="15"/>
      <c r="X100" s="15"/>
      <c r="Y100" s="15"/>
      <c r="Z100" s="15"/>
      <c r="AA100" s="15"/>
      <c r="AB100" s="15"/>
      <c r="AC100" s="845"/>
    </row>
    <row r="101" spans="1:29" x14ac:dyDescent="0.2">
      <c r="A101" s="844"/>
      <c r="B101" s="860"/>
      <c r="C101" s="417"/>
      <c r="D101" s="417"/>
      <c r="E101" s="417"/>
      <c r="F101" s="417"/>
      <c r="G101" s="417"/>
      <c r="H101" s="417"/>
      <c r="I101" s="859"/>
      <c r="J101" s="15"/>
      <c r="K101" s="15"/>
      <c r="L101" s="15"/>
      <c r="M101" s="15"/>
      <c r="N101" s="15"/>
      <c r="O101" s="15"/>
      <c r="P101" s="15"/>
      <c r="Q101" s="15"/>
      <c r="R101" s="15"/>
      <c r="S101" s="15"/>
      <c r="T101" s="15"/>
      <c r="U101" s="15"/>
      <c r="V101" s="15"/>
      <c r="W101" s="15"/>
      <c r="X101" s="15"/>
      <c r="Y101" s="15"/>
      <c r="Z101" s="15"/>
      <c r="AA101" s="15"/>
      <c r="AB101" s="15"/>
      <c r="AC101" s="845"/>
    </row>
    <row r="102" spans="1:29" x14ac:dyDescent="0.2">
      <c r="A102" s="844"/>
      <c r="B102" s="858" t="s">
        <v>674</v>
      </c>
      <c r="C102" s="417"/>
      <c r="D102" s="417"/>
      <c r="E102" s="417"/>
      <c r="F102" s="417"/>
      <c r="G102" s="417"/>
      <c r="H102" s="417"/>
      <c r="I102" s="859"/>
      <c r="J102" s="15"/>
      <c r="K102" s="15"/>
      <c r="L102" s="15"/>
      <c r="M102" s="15"/>
      <c r="N102" s="15"/>
      <c r="O102" s="15"/>
      <c r="P102" s="15"/>
      <c r="Q102" s="15"/>
      <c r="R102" s="15"/>
      <c r="S102" s="15"/>
      <c r="T102" s="15"/>
      <c r="U102" s="15"/>
      <c r="V102" s="15"/>
      <c r="W102" s="15"/>
      <c r="X102" s="15"/>
      <c r="Y102" s="15"/>
      <c r="Z102" s="15"/>
      <c r="AA102" s="15"/>
      <c r="AB102" s="15"/>
      <c r="AC102" s="845"/>
    </row>
    <row r="103" spans="1:29" x14ac:dyDescent="0.2">
      <c r="A103" s="844"/>
      <c r="B103" s="860" t="s">
        <v>1173</v>
      </c>
      <c r="C103" s="417"/>
      <c r="D103" s="417"/>
      <c r="E103" s="417" t="s">
        <v>1174</v>
      </c>
      <c r="F103" s="417"/>
      <c r="G103" s="417" t="s">
        <v>1175</v>
      </c>
      <c r="H103" s="417"/>
      <c r="I103" s="859"/>
      <c r="J103" s="15"/>
      <c r="K103" s="15"/>
      <c r="L103" s="15"/>
      <c r="M103" s="15"/>
      <c r="N103" s="15"/>
      <c r="O103" s="15"/>
      <c r="P103" s="15"/>
      <c r="Q103" s="15"/>
      <c r="R103" s="15"/>
      <c r="S103" s="15"/>
      <c r="T103" s="15"/>
      <c r="U103" s="15"/>
      <c r="V103" s="15"/>
      <c r="W103" s="15"/>
      <c r="X103" s="15"/>
      <c r="Y103" s="15"/>
      <c r="Z103" s="15"/>
      <c r="AA103" s="15"/>
      <c r="AB103" s="15"/>
      <c r="AC103" s="845"/>
    </row>
    <row r="104" spans="1:29" x14ac:dyDescent="0.2">
      <c r="A104" s="844"/>
      <c r="B104" s="860" t="s">
        <v>1176</v>
      </c>
      <c r="C104" s="417"/>
      <c r="D104" s="417"/>
      <c r="E104" s="417" t="s">
        <v>1177</v>
      </c>
      <c r="F104" s="417"/>
      <c r="G104" s="417" t="s">
        <v>1175</v>
      </c>
      <c r="H104" s="417"/>
      <c r="I104" s="859"/>
      <c r="J104" s="15"/>
      <c r="K104" s="15"/>
      <c r="L104" s="15"/>
      <c r="M104" s="15"/>
      <c r="N104" s="15"/>
      <c r="O104" s="15"/>
      <c r="P104" s="15"/>
      <c r="Q104" s="15"/>
      <c r="R104" s="15"/>
      <c r="S104" s="15"/>
      <c r="T104" s="15"/>
      <c r="U104" s="15"/>
      <c r="V104" s="15"/>
      <c r="W104" s="15"/>
      <c r="X104" s="15"/>
      <c r="Y104" s="15"/>
      <c r="Z104" s="15"/>
      <c r="AA104" s="15"/>
      <c r="AB104" s="15"/>
      <c r="AC104" s="845"/>
    </row>
    <row r="105" spans="1:29" x14ac:dyDescent="0.2">
      <c r="A105" s="844"/>
      <c r="B105" s="860"/>
      <c r="C105" s="417"/>
      <c r="D105" s="417"/>
      <c r="E105" s="417"/>
      <c r="F105" s="417"/>
      <c r="G105" s="417"/>
      <c r="H105" s="417"/>
      <c r="I105" s="859"/>
      <c r="J105" s="15"/>
      <c r="K105" s="15"/>
      <c r="L105" s="15"/>
      <c r="M105" s="15"/>
      <c r="N105" s="15"/>
      <c r="O105" s="15"/>
      <c r="P105" s="15"/>
      <c r="Q105" s="15"/>
      <c r="R105" s="15"/>
      <c r="S105" s="15"/>
      <c r="T105" s="15"/>
      <c r="U105" s="15"/>
      <c r="V105" s="15"/>
      <c r="W105" s="15"/>
      <c r="X105" s="15"/>
      <c r="Y105" s="15"/>
      <c r="Z105" s="15"/>
      <c r="AA105" s="15"/>
      <c r="AB105" s="15"/>
      <c r="AC105" s="845"/>
    </row>
    <row r="106" spans="1:29" x14ac:dyDescent="0.2">
      <c r="A106" s="844"/>
      <c r="B106" s="858" t="s">
        <v>1178</v>
      </c>
      <c r="C106" s="417"/>
      <c r="D106" s="417"/>
      <c r="E106" s="417"/>
      <c r="F106" s="417"/>
      <c r="G106" s="417"/>
      <c r="H106" s="417"/>
      <c r="I106" s="859"/>
      <c r="J106" s="15"/>
      <c r="K106" s="15"/>
      <c r="L106" s="15"/>
      <c r="M106" s="15"/>
      <c r="N106" s="15"/>
      <c r="O106" s="15"/>
      <c r="P106" s="15"/>
      <c r="Q106" s="15"/>
      <c r="R106" s="15"/>
      <c r="S106" s="15"/>
      <c r="T106" s="15"/>
      <c r="U106" s="15"/>
      <c r="V106" s="15"/>
      <c r="W106" s="15"/>
      <c r="X106" s="15"/>
      <c r="Y106" s="15"/>
      <c r="Z106" s="15"/>
      <c r="AA106" s="15"/>
      <c r="AB106" s="15"/>
      <c r="AC106" s="845"/>
    </row>
    <row r="107" spans="1:29" x14ac:dyDescent="0.2">
      <c r="A107" s="844"/>
      <c r="B107" s="860" t="s">
        <v>1179</v>
      </c>
      <c r="C107" s="417"/>
      <c r="D107" s="417"/>
      <c r="E107" s="417" t="s">
        <v>1177</v>
      </c>
      <c r="F107" s="417"/>
      <c r="G107" s="417" t="s">
        <v>1175</v>
      </c>
      <c r="H107" s="417"/>
      <c r="I107" s="859"/>
      <c r="J107" s="15"/>
      <c r="K107" s="15"/>
      <c r="L107" s="15"/>
      <c r="M107" s="15"/>
      <c r="N107" s="15"/>
      <c r="O107" s="15"/>
      <c r="P107" s="15"/>
      <c r="Q107" s="15"/>
      <c r="R107" s="15"/>
      <c r="S107" s="15"/>
      <c r="T107" s="15"/>
      <c r="U107" s="15"/>
      <c r="V107" s="15"/>
      <c r="W107" s="15"/>
      <c r="X107" s="15"/>
      <c r="Y107" s="15"/>
      <c r="Z107" s="15"/>
      <c r="AA107" s="15"/>
      <c r="AB107" s="15"/>
      <c r="AC107" s="845"/>
    </row>
    <row r="108" spans="1:29" x14ac:dyDescent="0.2">
      <c r="A108" s="844"/>
      <c r="B108" s="860" t="s">
        <v>1180</v>
      </c>
      <c r="C108" s="417"/>
      <c r="D108" s="417"/>
      <c r="E108" s="417" t="s">
        <v>1174</v>
      </c>
      <c r="F108" s="417"/>
      <c r="G108" s="417" t="s">
        <v>1175</v>
      </c>
      <c r="H108" s="417"/>
      <c r="I108" s="859"/>
      <c r="J108" s="15"/>
      <c r="K108" s="15"/>
      <c r="L108" s="15"/>
      <c r="M108" s="15"/>
      <c r="N108" s="15"/>
      <c r="O108" s="15"/>
      <c r="P108" s="15"/>
      <c r="Q108" s="15"/>
      <c r="R108" s="15"/>
      <c r="S108" s="15"/>
      <c r="T108" s="15"/>
      <c r="U108" s="15"/>
      <c r="V108" s="15"/>
      <c r="W108" s="15"/>
      <c r="X108" s="15"/>
      <c r="Y108" s="15"/>
      <c r="Z108" s="15"/>
      <c r="AA108" s="15"/>
      <c r="AB108" s="15"/>
      <c r="AC108" s="845"/>
    </row>
    <row r="109" spans="1:29" x14ac:dyDescent="0.2">
      <c r="A109" s="844"/>
      <c r="B109" s="860"/>
      <c r="C109" s="417"/>
      <c r="D109" s="417"/>
      <c r="E109" s="417"/>
      <c r="F109" s="417"/>
      <c r="G109" s="417"/>
      <c r="H109" s="417"/>
      <c r="I109" s="859"/>
      <c r="J109" s="15"/>
      <c r="K109" s="15"/>
      <c r="L109" s="15"/>
      <c r="M109" s="15"/>
      <c r="N109" s="15"/>
      <c r="O109" s="15"/>
      <c r="P109" s="15"/>
      <c r="Q109" s="15"/>
      <c r="R109" s="15"/>
      <c r="S109" s="15"/>
      <c r="T109" s="15"/>
      <c r="U109" s="15"/>
      <c r="V109" s="15"/>
      <c r="W109" s="15"/>
      <c r="X109" s="15"/>
      <c r="Y109" s="15"/>
      <c r="Z109" s="15"/>
      <c r="AA109" s="15"/>
      <c r="AB109" s="15"/>
      <c r="AC109" s="845"/>
    </row>
    <row r="110" spans="1:29" x14ac:dyDescent="0.2">
      <c r="A110" s="844"/>
      <c r="B110" s="858" t="s">
        <v>1181</v>
      </c>
      <c r="C110" s="862"/>
      <c r="D110" s="862"/>
      <c r="E110" s="862"/>
      <c r="F110" s="862"/>
      <c r="G110" s="862"/>
      <c r="H110" s="862"/>
      <c r="I110" s="859"/>
      <c r="J110" s="15"/>
      <c r="K110" s="15"/>
      <c r="L110" s="15"/>
      <c r="M110" s="15"/>
      <c r="N110" s="15"/>
      <c r="O110" s="15"/>
      <c r="P110" s="15"/>
      <c r="Q110" s="15"/>
      <c r="R110" s="15"/>
      <c r="S110" s="15"/>
      <c r="T110" s="15"/>
      <c r="U110" s="15"/>
      <c r="V110" s="15"/>
      <c r="W110" s="15"/>
      <c r="X110" s="15"/>
      <c r="Y110" s="15"/>
      <c r="Z110" s="15"/>
      <c r="AA110" s="15"/>
      <c r="AB110" s="15"/>
      <c r="AC110" s="845"/>
    </row>
    <row r="111" spans="1:29" x14ac:dyDescent="0.2">
      <c r="A111" s="844"/>
      <c r="B111" s="858" t="s">
        <v>1182</v>
      </c>
      <c r="C111" s="862"/>
      <c r="D111" s="862"/>
      <c r="E111" s="862"/>
      <c r="F111" s="862"/>
      <c r="G111" s="862"/>
      <c r="H111" s="862"/>
      <c r="I111" s="859"/>
      <c r="J111" s="15"/>
      <c r="K111" s="15"/>
      <c r="L111" s="15"/>
      <c r="M111" s="15"/>
      <c r="N111" s="15"/>
      <c r="O111" s="15"/>
      <c r="P111" s="15"/>
      <c r="Q111" s="15"/>
      <c r="R111" s="15"/>
      <c r="S111" s="15"/>
      <c r="T111" s="15"/>
      <c r="U111" s="15"/>
      <c r="V111" s="15"/>
      <c r="W111" s="15"/>
      <c r="X111" s="15"/>
      <c r="Y111" s="15"/>
      <c r="Z111" s="15"/>
      <c r="AA111" s="15"/>
      <c r="AB111" s="15"/>
      <c r="AC111" s="845"/>
    </row>
    <row r="112" spans="1:29" x14ac:dyDescent="0.2">
      <c r="A112" s="844"/>
      <c r="B112" s="858" t="s">
        <v>1183</v>
      </c>
      <c r="C112" s="862"/>
      <c r="D112" s="862"/>
      <c r="E112" s="862"/>
      <c r="F112" s="862"/>
      <c r="G112" s="862"/>
      <c r="H112" s="862"/>
      <c r="I112" s="859"/>
      <c r="J112" s="15"/>
      <c r="K112" s="15"/>
      <c r="L112" s="15"/>
      <c r="M112" s="15"/>
      <c r="N112" s="15"/>
      <c r="O112" s="15"/>
      <c r="P112" s="15"/>
      <c r="Q112" s="15"/>
      <c r="R112" s="15"/>
      <c r="S112" s="15"/>
      <c r="T112" s="15"/>
      <c r="U112" s="15"/>
      <c r="V112" s="15"/>
      <c r="W112" s="15"/>
      <c r="X112" s="15"/>
      <c r="Y112" s="15"/>
      <c r="Z112" s="15"/>
      <c r="AA112" s="15"/>
      <c r="AB112" s="15"/>
      <c r="AC112" s="845"/>
    </row>
    <row r="113" spans="1:29" x14ac:dyDescent="0.2">
      <c r="A113" s="844"/>
      <c r="B113" s="858" t="s">
        <v>1184</v>
      </c>
      <c r="C113" s="417"/>
      <c r="D113" s="417"/>
      <c r="E113" s="417"/>
      <c r="F113" s="417"/>
      <c r="G113" s="417"/>
      <c r="H113" s="417"/>
      <c r="I113" s="859"/>
      <c r="J113" s="15"/>
      <c r="K113" s="15"/>
      <c r="L113" s="15"/>
      <c r="M113" s="15"/>
      <c r="N113" s="15"/>
      <c r="O113" s="15"/>
      <c r="P113" s="15"/>
      <c r="Q113" s="15"/>
      <c r="R113" s="15"/>
      <c r="S113" s="15"/>
      <c r="T113" s="15"/>
      <c r="U113" s="15"/>
      <c r="V113" s="15"/>
      <c r="W113" s="15"/>
      <c r="X113" s="15"/>
      <c r="Y113" s="15"/>
      <c r="Z113" s="15"/>
      <c r="AA113" s="15"/>
      <c r="AB113" s="15"/>
      <c r="AC113" s="845"/>
    </row>
    <row r="114" spans="1:29" ht="13.5" thickBot="1" x14ac:dyDescent="0.25">
      <c r="A114" s="844"/>
      <c r="B114" s="863" t="s">
        <v>1185</v>
      </c>
      <c r="C114" s="864"/>
      <c r="D114" s="864"/>
      <c r="E114" s="864"/>
      <c r="F114" s="864"/>
      <c r="G114" s="864"/>
      <c r="H114" s="864"/>
      <c r="I114" s="865"/>
      <c r="J114" s="15"/>
      <c r="K114" s="15"/>
      <c r="L114" s="15"/>
      <c r="M114" s="15"/>
      <c r="N114" s="15"/>
      <c r="O114" s="15"/>
      <c r="P114" s="15"/>
      <c r="Q114" s="15"/>
      <c r="R114" s="15"/>
      <c r="S114" s="15"/>
      <c r="T114" s="15"/>
      <c r="U114" s="15"/>
      <c r="V114" s="15"/>
      <c r="W114" s="15"/>
      <c r="X114" s="15"/>
      <c r="Y114" s="15"/>
      <c r="Z114" s="15"/>
      <c r="AA114" s="15"/>
      <c r="AB114" s="15"/>
      <c r="AC114" s="845"/>
    </row>
    <row r="115" spans="1:29" ht="13.5" thickTop="1" x14ac:dyDescent="0.2">
      <c r="A115" s="84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845"/>
    </row>
    <row r="116" spans="1:29" x14ac:dyDescent="0.2">
      <c r="A116" s="844"/>
      <c r="B116" s="862" t="s">
        <v>1186</v>
      </c>
      <c r="C116" s="417"/>
      <c r="D116" s="417"/>
      <c r="E116" s="417"/>
      <c r="F116" s="417"/>
      <c r="G116" s="417"/>
      <c r="H116" s="417"/>
      <c r="I116" s="417"/>
      <c r="J116" s="417"/>
      <c r="K116" s="417"/>
      <c r="L116" s="417"/>
      <c r="M116" s="417"/>
      <c r="N116" s="417"/>
      <c r="O116" s="417"/>
      <c r="P116" s="417"/>
      <c r="Q116" s="417"/>
      <c r="R116" s="417"/>
      <c r="S116" s="417"/>
      <c r="T116" s="417"/>
      <c r="U116" s="15"/>
      <c r="V116" s="15"/>
      <c r="W116" s="15"/>
      <c r="X116" s="15"/>
      <c r="Y116" s="15"/>
      <c r="Z116" s="15"/>
      <c r="AA116" s="15"/>
      <c r="AB116" s="15"/>
      <c r="AC116" s="845"/>
    </row>
    <row r="117" spans="1:29" x14ac:dyDescent="0.2">
      <c r="A117" s="844"/>
      <c r="B117" s="862" t="s">
        <v>1187</v>
      </c>
      <c r="C117" s="417"/>
      <c r="D117" s="417"/>
      <c r="E117" s="417"/>
      <c r="F117" s="417"/>
      <c r="G117" s="417"/>
      <c r="H117" s="417"/>
      <c r="I117" s="417"/>
      <c r="J117" s="417"/>
      <c r="K117" s="417"/>
      <c r="L117" s="417"/>
      <c r="M117" s="417"/>
      <c r="N117" s="417"/>
      <c r="O117" s="417"/>
      <c r="P117" s="417"/>
      <c r="Q117" s="417"/>
      <c r="R117" s="417"/>
      <c r="S117" s="417"/>
      <c r="T117" s="417"/>
      <c r="U117" s="15"/>
      <c r="V117" s="15"/>
      <c r="W117" s="15"/>
      <c r="X117" s="15"/>
      <c r="Y117" s="15"/>
      <c r="Z117" s="15"/>
      <c r="AA117" s="15"/>
      <c r="AB117" s="15"/>
      <c r="AC117" s="845"/>
    </row>
    <row r="118" spans="1:29" x14ac:dyDescent="0.2">
      <c r="A118" s="84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845"/>
    </row>
    <row r="119" spans="1:29" ht="13.5" thickBot="1" x14ac:dyDescent="0.25">
      <c r="A119" s="866"/>
      <c r="B119" s="867"/>
      <c r="C119" s="867"/>
      <c r="D119" s="867"/>
      <c r="E119" s="867"/>
      <c r="F119" s="867"/>
      <c r="G119" s="867"/>
      <c r="H119" s="867"/>
      <c r="I119" s="867"/>
      <c r="J119" s="867"/>
      <c r="K119" s="867"/>
      <c r="L119" s="867"/>
      <c r="M119" s="867"/>
      <c r="N119" s="867"/>
      <c r="O119" s="867"/>
      <c r="P119" s="867"/>
      <c r="Q119" s="867"/>
      <c r="R119" s="867"/>
      <c r="S119" s="867"/>
      <c r="T119" s="867"/>
      <c r="U119" s="867"/>
      <c r="V119" s="867"/>
      <c r="W119" s="867"/>
      <c r="X119" s="867"/>
      <c r="Y119" s="867"/>
      <c r="Z119" s="867"/>
      <c r="AA119" s="867"/>
      <c r="AB119" s="867"/>
      <c r="AC119" s="868"/>
    </row>
    <row r="120" spans="1:29" ht="13.5" thickTop="1" x14ac:dyDescent="0.2"/>
  </sheetData>
  <customSheetViews>
    <customSheetView guid="{1F7EA7B0-7CBB-4C85-991C-384D0AE2B3A5}" showRuler="0">
      <selection activeCell="F16" sqref="F16"/>
      <pageMargins left="0.75" right="0.75" top="1" bottom="1" header="0.5" footer="0.5"/>
      <printOptions gridLines="1"/>
      <pageSetup paperSize="9" orientation="portrait" r:id="rId1"/>
      <headerFooter alignWithMargins="0">
        <oddHeader>&amp;A</oddHeader>
        <oddFooter>Page &amp;P</oddFooter>
      </headerFooter>
    </customSheetView>
  </customSheetViews>
  <phoneticPr fontId="13" type="noConversion"/>
  <printOptions gridLines="1" gridLinesSet="0"/>
  <pageMargins left="0.75" right="0.75" top="1" bottom="1" header="0.5" footer="0.5"/>
  <pageSetup paperSize="9" orientation="portrait" r:id="rId2"/>
  <headerFooter alignWithMargins="0">
    <oddHeader>&amp;A</oddHeader>
    <oddFooter>Page &amp;P</oddFooter>
  </headerFooter>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44"/>
  <sheetViews>
    <sheetView topLeftCell="A24" workbookViewId="0">
      <selection activeCell="C36" sqref="C36"/>
    </sheetView>
  </sheetViews>
  <sheetFormatPr defaultRowHeight="12.75" x14ac:dyDescent="0.2"/>
  <cols>
    <col min="15" max="16" width="12.42578125" bestFit="1" customWidth="1"/>
    <col min="17" max="17" width="10" bestFit="1" customWidth="1"/>
    <col min="20" max="20" width="9.85546875" customWidth="1"/>
  </cols>
  <sheetData>
    <row r="1" spans="1:23" x14ac:dyDescent="0.2">
      <c r="A1" s="20" t="s">
        <v>314</v>
      </c>
    </row>
    <row r="2" spans="1:23" ht="13.5" thickBot="1" x14ac:dyDescent="0.25"/>
    <row r="3" spans="1:23" x14ac:dyDescent="0.2">
      <c r="A3" s="57" t="s">
        <v>330</v>
      </c>
      <c r="B3" s="12"/>
      <c r="C3" s="12"/>
      <c r="D3" s="12"/>
      <c r="E3" s="12"/>
      <c r="F3" s="12"/>
      <c r="G3" s="12"/>
      <c r="H3" s="12"/>
      <c r="I3" s="12"/>
      <c r="J3" s="12"/>
      <c r="K3" s="43"/>
      <c r="M3" s="57" t="s">
        <v>337</v>
      </c>
      <c r="N3" s="12"/>
      <c r="O3" s="12"/>
      <c r="P3" s="12"/>
      <c r="Q3" s="12"/>
      <c r="R3" s="12"/>
      <c r="S3" s="12"/>
      <c r="T3" s="12"/>
      <c r="U3" s="12"/>
      <c r="V3" s="12"/>
      <c r="W3" s="43"/>
    </row>
    <row r="4" spans="1:23" x14ac:dyDescent="0.2">
      <c r="A4" s="58" t="s">
        <v>315</v>
      </c>
      <c r="B4" s="15"/>
      <c r="C4" s="15"/>
      <c r="D4" s="15"/>
      <c r="E4" s="15"/>
      <c r="F4" s="15"/>
      <c r="G4" s="59" t="s">
        <v>328</v>
      </c>
      <c r="H4" s="15"/>
      <c r="I4" s="15"/>
      <c r="J4" s="15"/>
      <c r="K4" s="60"/>
      <c r="M4" s="58" t="s">
        <v>315</v>
      </c>
      <c r="N4" s="15"/>
      <c r="O4" s="15"/>
      <c r="P4" s="15"/>
      <c r="Q4" s="15"/>
      <c r="R4" s="15"/>
      <c r="S4" s="59" t="s">
        <v>328</v>
      </c>
      <c r="T4" s="15"/>
      <c r="U4" s="15"/>
      <c r="V4" s="15"/>
      <c r="W4" s="60"/>
    </row>
    <row r="5" spans="1:23" x14ac:dyDescent="0.2">
      <c r="A5" s="44" t="s">
        <v>326</v>
      </c>
      <c r="B5" s="15"/>
      <c r="C5" s="15"/>
      <c r="D5" s="15"/>
      <c r="E5" s="15"/>
      <c r="F5" s="15"/>
      <c r="G5" s="15" t="s">
        <v>326</v>
      </c>
      <c r="H5" s="15"/>
      <c r="I5" s="15"/>
      <c r="J5" s="15"/>
      <c r="K5" s="60"/>
      <c r="M5" s="44"/>
      <c r="N5" s="15"/>
      <c r="O5" s="15"/>
      <c r="P5" s="15"/>
      <c r="Q5" s="15"/>
      <c r="R5" s="15"/>
      <c r="S5" s="15" t="s">
        <v>326</v>
      </c>
      <c r="T5" s="15"/>
      <c r="U5" s="15"/>
      <c r="V5" s="15"/>
      <c r="W5" s="60"/>
    </row>
    <row r="6" spans="1:23" x14ac:dyDescent="0.2">
      <c r="A6" s="44" t="s">
        <v>327</v>
      </c>
      <c r="B6" s="15"/>
      <c r="C6" s="15"/>
      <c r="D6" s="15"/>
      <c r="E6" s="15"/>
      <c r="F6" s="15"/>
      <c r="G6" s="15" t="s">
        <v>327</v>
      </c>
      <c r="H6" s="15"/>
      <c r="I6" s="15"/>
      <c r="J6" s="15"/>
      <c r="K6" s="60"/>
      <c r="M6" s="44" t="s">
        <v>338</v>
      </c>
      <c r="N6" s="15"/>
      <c r="O6" s="15"/>
      <c r="P6" s="15"/>
      <c r="Q6" s="15"/>
      <c r="R6" s="15"/>
      <c r="S6" s="15" t="s">
        <v>327</v>
      </c>
      <c r="T6" s="15"/>
      <c r="U6" s="15"/>
      <c r="V6" s="15"/>
      <c r="W6" s="60"/>
    </row>
    <row r="7" spans="1:23" x14ac:dyDescent="0.2">
      <c r="A7" s="44"/>
      <c r="B7" s="15"/>
      <c r="C7" s="15" t="s">
        <v>320</v>
      </c>
      <c r="D7" s="15" t="s">
        <v>316</v>
      </c>
      <c r="E7" s="15" t="s">
        <v>317</v>
      </c>
      <c r="F7" s="15"/>
      <c r="G7" s="15"/>
      <c r="H7" s="15"/>
      <c r="I7" s="15" t="s">
        <v>329</v>
      </c>
      <c r="J7" s="15" t="s">
        <v>316</v>
      </c>
      <c r="K7" s="60" t="s">
        <v>317</v>
      </c>
      <c r="M7" s="44"/>
      <c r="N7" s="15"/>
      <c r="O7" s="15" t="s">
        <v>320</v>
      </c>
      <c r="P7" s="15" t="s">
        <v>316</v>
      </c>
      <c r="Q7" s="15" t="s">
        <v>317</v>
      </c>
      <c r="R7" s="15"/>
      <c r="S7" s="15"/>
      <c r="T7" s="15"/>
      <c r="U7" s="15" t="s">
        <v>329</v>
      </c>
      <c r="V7" s="15" t="s">
        <v>316</v>
      </c>
      <c r="W7" s="60" t="s">
        <v>317</v>
      </c>
    </row>
    <row r="8" spans="1:23" x14ac:dyDescent="0.2">
      <c r="A8" s="44"/>
      <c r="B8" s="15"/>
      <c r="C8" s="15">
        <v>1</v>
      </c>
      <c r="D8" s="15">
        <v>0.1</v>
      </c>
      <c r="E8" s="15">
        <v>0.15</v>
      </c>
      <c r="F8" s="15"/>
      <c r="G8" s="15"/>
      <c r="H8" s="15"/>
      <c r="I8" s="15">
        <v>1</v>
      </c>
      <c r="J8" s="15">
        <v>0.2</v>
      </c>
      <c r="K8" s="60">
        <v>0.3</v>
      </c>
      <c r="M8" s="44"/>
      <c r="N8" s="15"/>
      <c r="O8" s="15">
        <v>1</v>
      </c>
      <c r="P8" s="15">
        <f>0.01*D8/300</f>
        <v>3.3333333333333333E-6</v>
      </c>
      <c r="Q8" s="15">
        <f>0.01*E8/300</f>
        <v>5.0000000000000004E-6</v>
      </c>
      <c r="R8" s="15"/>
      <c r="S8" s="15"/>
      <c r="T8" s="15"/>
      <c r="U8" s="15">
        <v>1</v>
      </c>
      <c r="V8" s="15">
        <f>0.01*J8/300</f>
        <v>6.6666666666666666E-6</v>
      </c>
      <c r="W8" s="15">
        <f>0.01*K8/300</f>
        <v>1.0000000000000001E-5</v>
      </c>
    </row>
    <row r="9" spans="1:23" x14ac:dyDescent="0.2">
      <c r="A9" s="44"/>
      <c r="B9" s="15"/>
      <c r="C9" s="15">
        <v>0.5</v>
      </c>
      <c r="D9" s="15">
        <v>0.15</v>
      </c>
      <c r="E9" s="15">
        <v>0.25</v>
      </c>
      <c r="F9" s="15"/>
      <c r="G9" s="15"/>
      <c r="H9" s="15"/>
      <c r="I9" s="15">
        <v>0.5</v>
      </c>
      <c r="J9" s="15">
        <v>0.3</v>
      </c>
      <c r="K9" s="60">
        <v>0.5</v>
      </c>
      <c r="M9" s="44"/>
      <c r="N9" s="15"/>
      <c r="O9" s="15">
        <v>0.5</v>
      </c>
      <c r="P9" s="15">
        <f>0.01*D9/300</f>
        <v>5.0000000000000004E-6</v>
      </c>
      <c r="Q9" s="15">
        <f>0.01*E9/300</f>
        <v>8.3333333333333337E-6</v>
      </c>
      <c r="R9" s="15"/>
      <c r="S9" s="15"/>
      <c r="T9" s="15"/>
      <c r="U9" s="15">
        <v>0.5</v>
      </c>
      <c r="V9" s="15">
        <f>0.01*J9/300</f>
        <v>1.0000000000000001E-5</v>
      </c>
      <c r="W9" s="15">
        <f>0.01*K9/300</f>
        <v>1.6666666666666667E-5</v>
      </c>
    </row>
    <row r="10" spans="1:23" x14ac:dyDescent="0.2">
      <c r="A10" s="44"/>
      <c r="B10" s="15"/>
      <c r="C10" s="15"/>
      <c r="D10" s="15"/>
      <c r="E10" s="15"/>
      <c r="F10" s="15"/>
      <c r="G10" s="15"/>
      <c r="H10" s="15"/>
      <c r="I10" s="15"/>
      <c r="J10" s="15"/>
      <c r="K10" s="60"/>
      <c r="M10" s="44"/>
      <c r="N10" s="15"/>
      <c r="O10" s="15"/>
      <c r="P10" s="15"/>
      <c r="Q10" s="15"/>
      <c r="R10" s="15"/>
      <c r="S10" s="15"/>
      <c r="T10" s="15"/>
      <c r="U10" s="15"/>
      <c r="V10" s="15"/>
      <c r="W10" s="60"/>
    </row>
    <row r="11" spans="1:23" x14ac:dyDescent="0.2">
      <c r="A11" s="44" t="s">
        <v>318</v>
      </c>
      <c r="B11" s="15"/>
      <c r="C11" s="15"/>
      <c r="D11" s="15"/>
      <c r="E11" s="15"/>
      <c r="F11" s="15"/>
      <c r="G11" s="15" t="s">
        <v>318</v>
      </c>
      <c r="H11" s="15"/>
      <c r="I11" s="15"/>
      <c r="J11" s="15"/>
      <c r="K11" s="60"/>
      <c r="M11" s="44" t="s">
        <v>339</v>
      </c>
      <c r="N11" s="15"/>
      <c r="O11" s="15"/>
      <c r="P11" s="15"/>
      <c r="Q11" s="15"/>
      <c r="R11" s="15"/>
      <c r="S11" s="15" t="s">
        <v>318</v>
      </c>
      <c r="T11" s="15"/>
      <c r="U11" s="15"/>
      <c r="V11" s="15"/>
      <c r="W11" s="60"/>
    </row>
    <row r="12" spans="1:23" x14ac:dyDescent="0.2">
      <c r="A12" s="44"/>
      <c r="B12" s="15"/>
      <c r="C12" s="15" t="s">
        <v>320</v>
      </c>
      <c r="D12" s="15" t="s">
        <v>316</v>
      </c>
      <c r="E12" s="15" t="s">
        <v>317</v>
      </c>
      <c r="F12" s="15"/>
      <c r="G12" s="15"/>
      <c r="H12" s="15"/>
      <c r="I12" s="15" t="s">
        <v>329</v>
      </c>
      <c r="J12" s="15" t="s">
        <v>316</v>
      </c>
      <c r="K12" s="60" t="s">
        <v>317</v>
      </c>
      <c r="M12" s="44"/>
      <c r="N12" s="15"/>
      <c r="O12" s="15" t="s">
        <v>320</v>
      </c>
      <c r="P12" s="15" t="s">
        <v>316</v>
      </c>
      <c r="Q12" s="15" t="s">
        <v>317</v>
      </c>
      <c r="R12" s="15"/>
      <c r="S12" s="15"/>
      <c r="T12" s="15"/>
      <c r="U12" s="15" t="s">
        <v>329</v>
      </c>
      <c r="V12" s="15" t="s">
        <v>316</v>
      </c>
      <c r="W12" s="60" t="s">
        <v>317</v>
      </c>
    </row>
    <row r="13" spans="1:23" x14ac:dyDescent="0.2">
      <c r="A13" s="44"/>
      <c r="B13" s="15"/>
      <c r="C13" s="15">
        <v>1</v>
      </c>
      <c r="D13" s="15">
        <v>0.02</v>
      </c>
      <c r="E13" s="15">
        <v>0.03</v>
      </c>
      <c r="F13" s="15"/>
      <c r="G13" s="15"/>
      <c r="H13" s="15"/>
      <c r="I13" s="15">
        <v>1</v>
      </c>
      <c r="J13" s="15">
        <v>0.04</v>
      </c>
      <c r="K13" s="60">
        <v>0.06</v>
      </c>
      <c r="M13" s="44"/>
      <c r="N13" s="15"/>
      <c r="O13" s="15">
        <v>1</v>
      </c>
      <c r="P13" s="15">
        <f>D13*5*0.00005</f>
        <v>5.0000000000000004E-6</v>
      </c>
      <c r="Q13" s="15">
        <f>E13*5*0.00005</f>
        <v>7.5000000000000002E-6</v>
      </c>
      <c r="R13" s="15"/>
      <c r="S13" s="15"/>
      <c r="T13" s="15"/>
      <c r="U13" s="15">
        <v>1</v>
      </c>
      <c r="V13" s="15">
        <f>J13*5*0.00005</f>
        <v>1.0000000000000001E-5</v>
      </c>
      <c r="W13" s="15">
        <f>K13*5*0.00005</f>
        <v>1.5E-5</v>
      </c>
    </row>
    <row r="14" spans="1:23" x14ac:dyDescent="0.2">
      <c r="A14" s="44"/>
      <c r="B14" s="15"/>
      <c r="C14" s="15">
        <v>0.5</v>
      </c>
      <c r="D14" s="15">
        <v>0.03</v>
      </c>
      <c r="E14" s="15">
        <v>0.05</v>
      </c>
      <c r="F14" s="15"/>
      <c r="G14" s="15"/>
      <c r="H14" s="15"/>
      <c r="I14" s="15">
        <v>0.5</v>
      </c>
      <c r="J14" s="15">
        <v>0.06</v>
      </c>
      <c r="K14" s="60">
        <v>0.1</v>
      </c>
      <c r="M14" s="44"/>
      <c r="N14" s="15"/>
      <c r="O14" s="15">
        <v>0.5</v>
      </c>
      <c r="P14" s="15">
        <f>D14*5*0.00005</f>
        <v>7.5000000000000002E-6</v>
      </c>
      <c r="Q14" s="15">
        <f>E14*5*0.00005</f>
        <v>1.2500000000000001E-5</v>
      </c>
      <c r="R14" s="15"/>
      <c r="S14" s="15"/>
      <c r="T14" s="15"/>
      <c r="U14" s="15">
        <v>0.5</v>
      </c>
      <c r="V14" s="15">
        <f>J14*5*0.00005</f>
        <v>1.5E-5</v>
      </c>
      <c r="W14" s="15">
        <f>K14*5*0.00005</f>
        <v>2.5000000000000001E-5</v>
      </c>
    </row>
    <row r="15" spans="1:23" x14ac:dyDescent="0.2">
      <c r="A15" s="44"/>
      <c r="B15" s="15"/>
      <c r="C15" s="15"/>
      <c r="D15" s="15"/>
      <c r="E15" s="15"/>
      <c r="F15" s="15"/>
      <c r="G15" s="15"/>
      <c r="H15" s="15"/>
      <c r="I15" s="15"/>
      <c r="J15" s="15"/>
      <c r="K15" s="60"/>
      <c r="M15" s="44"/>
      <c r="N15" s="15"/>
      <c r="O15" s="15"/>
      <c r="P15" s="15"/>
      <c r="Q15" s="15"/>
      <c r="R15" s="15"/>
      <c r="S15" s="15"/>
      <c r="T15" s="15"/>
      <c r="U15" s="15"/>
      <c r="V15" s="15"/>
      <c r="W15" s="60"/>
    </row>
    <row r="16" spans="1:23" x14ac:dyDescent="0.2">
      <c r="A16" s="44" t="s">
        <v>319</v>
      </c>
      <c r="B16" s="15"/>
      <c r="C16" s="15"/>
      <c r="D16" s="15"/>
      <c r="E16" s="15"/>
      <c r="F16" s="15"/>
      <c r="G16" s="15" t="s">
        <v>319</v>
      </c>
      <c r="H16" s="15"/>
      <c r="I16" s="15"/>
      <c r="J16" s="15"/>
      <c r="K16" s="60"/>
      <c r="M16" s="44" t="s">
        <v>319</v>
      </c>
      <c r="N16" s="15"/>
      <c r="O16" s="15"/>
      <c r="P16" s="15"/>
      <c r="Q16" s="15"/>
      <c r="R16" s="15"/>
      <c r="S16" s="15" t="s">
        <v>319</v>
      </c>
      <c r="T16" s="15"/>
      <c r="U16" s="15"/>
      <c r="V16" s="15"/>
      <c r="W16" s="60"/>
    </row>
    <row r="17" spans="1:23" x14ac:dyDescent="0.2">
      <c r="A17" s="44"/>
      <c r="B17" s="15" t="s">
        <v>321</v>
      </c>
      <c r="C17" s="15" t="s">
        <v>320</v>
      </c>
      <c r="D17" s="15" t="s">
        <v>316</v>
      </c>
      <c r="E17" s="15" t="s">
        <v>317</v>
      </c>
      <c r="F17" s="15"/>
      <c r="G17" s="15"/>
      <c r="H17" s="15" t="s">
        <v>321</v>
      </c>
      <c r="I17" s="15" t="s">
        <v>329</v>
      </c>
      <c r="J17" s="15" t="s">
        <v>316</v>
      </c>
      <c r="K17" s="60" t="s">
        <v>317</v>
      </c>
      <c r="M17" s="44"/>
      <c r="N17" s="15" t="s">
        <v>321</v>
      </c>
      <c r="O17" s="15" t="s">
        <v>320</v>
      </c>
      <c r="P17" s="15" t="s">
        <v>316</v>
      </c>
      <c r="Q17" s="15" t="s">
        <v>317</v>
      </c>
      <c r="R17" s="15"/>
      <c r="S17" s="15"/>
      <c r="T17" s="15" t="s">
        <v>321</v>
      </c>
      <c r="U17" s="15" t="s">
        <v>329</v>
      </c>
      <c r="V17" s="15" t="s">
        <v>316</v>
      </c>
      <c r="W17" s="60" t="s">
        <v>317</v>
      </c>
    </row>
    <row r="18" spans="1:23" x14ac:dyDescent="0.2">
      <c r="A18" s="44"/>
      <c r="B18" s="15" t="s">
        <v>322</v>
      </c>
      <c r="C18" s="15">
        <v>1</v>
      </c>
      <c r="D18" s="15">
        <v>3.0000000000000001E-3</v>
      </c>
      <c r="E18" s="15">
        <v>5.0000000000000001E-3</v>
      </c>
      <c r="F18" s="15"/>
      <c r="G18" s="15"/>
      <c r="H18" s="15" t="s">
        <v>322</v>
      </c>
      <c r="I18" s="15">
        <v>1</v>
      </c>
      <c r="J18" s="15">
        <v>6.0000000000000001E-3</v>
      </c>
      <c r="K18" s="60">
        <v>0.01</v>
      </c>
      <c r="M18" s="44"/>
      <c r="N18" s="15" t="s">
        <v>322</v>
      </c>
      <c r="O18" s="15">
        <v>1</v>
      </c>
      <c r="P18" s="15">
        <v>3.0000000000000001E-3</v>
      </c>
      <c r="Q18" s="15">
        <v>5.0000000000000001E-3</v>
      </c>
      <c r="R18" s="15"/>
      <c r="S18" s="15"/>
      <c r="T18" s="15" t="s">
        <v>322</v>
      </c>
      <c r="U18" s="15">
        <v>1</v>
      </c>
      <c r="V18" s="15">
        <v>6.0000000000000001E-3</v>
      </c>
      <c r="W18" s="60">
        <v>0.01</v>
      </c>
    </row>
    <row r="19" spans="1:23" x14ac:dyDescent="0.2">
      <c r="A19" s="44"/>
      <c r="B19" s="15" t="s">
        <v>323</v>
      </c>
      <c r="C19" s="15">
        <v>1</v>
      </c>
      <c r="D19" s="15">
        <v>5.0000000000000001E-3</v>
      </c>
      <c r="E19" s="15">
        <v>8.0000000000000002E-3</v>
      </c>
      <c r="F19" s="15"/>
      <c r="G19" s="15"/>
      <c r="H19" s="15" t="s">
        <v>323</v>
      </c>
      <c r="I19" s="15">
        <v>1</v>
      </c>
      <c r="J19" s="15">
        <v>0.01</v>
      </c>
      <c r="K19" s="60">
        <v>1.4999999999999999E-2</v>
      </c>
      <c r="M19" s="44"/>
      <c r="N19" s="15" t="s">
        <v>323</v>
      </c>
      <c r="O19" s="15">
        <v>1</v>
      </c>
      <c r="P19" s="15">
        <v>5.0000000000000001E-3</v>
      </c>
      <c r="Q19" s="15">
        <v>8.0000000000000002E-3</v>
      </c>
      <c r="R19" s="15"/>
      <c r="S19" s="15"/>
      <c r="T19" s="15" t="s">
        <v>323</v>
      </c>
      <c r="U19" s="15">
        <v>1</v>
      </c>
      <c r="V19" s="15">
        <v>0.01</v>
      </c>
      <c r="W19" s="60">
        <v>1.4999999999999999E-2</v>
      </c>
    </row>
    <row r="20" spans="1:23" x14ac:dyDescent="0.2">
      <c r="A20" s="44"/>
      <c r="B20" s="15" t="s">
        <v>322</v>
      </c>
      <c r="C20" s="15">
        <v>0.5</v>
      </c>
      <c r="D20" s="15">
        <v>5.0000000000000001E-3</v>
      </c>
      <c r="E20" s="15">
        <v>8.0000000000000002E-3</v>
      </c>
      <c r="F20" s="15"/>
      <c r="G20" s="15"/>
      <c r="H20" s="15" t="s">
        <v>322</v>
      </c>
      <c r="I20" s="15">
        <v>0.5</v>
      </c>
      <c r="J20" s="15">
        <v>0.01</v>
      </c>
      <c r="K20" s="60">
        <v>1.4999999999999999E-2</v>
      </c>
      <c r="M20" s="44"/>
      <c r="N20" s="15" t="s">
        <v>322</v>
      </c>
      <c r="O20" s="15">
        <v>0.5</v>
      </c>
      <c r="P20" s="15">
        <v>5.0000000000000001E-3</v>
      </c>
      <c r="Q20" s="15">
        <v>8.0000000000000002E-3</v>
      </c>
      <c r="R20" s="15"/>
      <c r="S20" s="15"/>
      <c r="T20" s="15" t="s">
        <v>322</v>
      </c>
      <c r="U20" s="15">
        <v>0.5</v>
      </c>
      <c r="V20" s="15">
        <v>0.01</v>
      </c>
      <c r="W20" s="60">
        <v>1.4999999999999999E-2</v>
      </c>
    </row>
    <row r="21" spans="1:23" x14ac:dyDescent="0.2">
      <c r="A21" s="44"/>
      <c r="B21" s="15" t="s">
        <v>323</v>
      </c>
      <c r="C21" s="15">
        <v>0.5</v>
      </c>
      <c r="D21" s="15">
        <v>7.0000000000000001E-3</v>
      </c>
      <c r="E21" s="15">
        <v>0.01</v>
      </c>
      <c r="F21" s="15"/>
      <c r="G21" s="15"/>
      <c r="H21" s="15" t="s">
        <v>323</v>
      </c>
      <c r="I21" s="15">
        <v>0.5</v>
      </c>
      <c r="J21" s="15">
        <v>1.4999999999999999E-2</v>
      </c>
      <c r="K21" s="60">
        <v>0.02</v>
      </c>
      <c r="M21" s="44"/>
      <c r="N21" s="15" t="s">
        <v>323</v>
      </c>
      <c r="O21" s="15">
        <v>0.5</v>
      </c>
      <c r="P21" s="15">
        <v>7.0000000000000001E-3</v>
      </c>
      <c r="Q21" s="15">
        <v>0.01</v>
      </c>
      <c r="R21" s="15"/>
      <c r="S21" s="15"/>
      <c r="T21" s="15" t="s">
        <v>323</v>
      </c>
      <c r="U21" s="15">
        <v>0.5</v>
      </c>
      <c r="V21" s="15">
        <v>1.4999999999999999E-2</v>
      </c>
      <c r="W21" s="60">
        <v>0.02</v>
      </c>
    </row>
    <row r="22" spans="1:23" x14ac:dyDescent="0.2">
      <c r="A22" s="44"/>
      <c r="B22" s="15"/>
      <c r="C22" s="15"/>
      <c r="D22" s="15"/>
      <c r="E22" s="15"/>
      <c r="F22" s="15"/>
      <c r="G22" s="15"/>
      <c r="H22" s="15"/>
      <c r="I22" s="15"/>
      <c r="J22" s="15"/>
      <c r="K22" s="60"/>
      <c r="M22" s="44"/>
      <c r="N22" s="15"/>
      <c r="O22" s="15"/>
      <c r="P22" s="15"/>
      <c r="Q22" s="15"/>
      <c r="R22" s="15"/>
      <c r="S22" s="15"/>
      <c r="T22" s="15"/>
      <c r="U22" s="15"/>
      <c r="V22" s="15"/>
      <c r="W22" s="60"/>
    </row>
    <row r="23" spans="1:23" x14ac:dyDescent="0.2">
      <c r="A23" s="44" t="s">
        <v>324</v>
      </c>
      <c r="B23" s="15"/>
      <c r="C23" s="15"/>
      <c r="D23" s="15"/>
      <c r="E23" s="15"/>
      <c r="F23" s="15"/>
      <c r="G23" s="15" t="s">
        <v>324</v>
      </c>
      <c r="H23" s="15"/>
      <c r="I23" s="15"/>
      <c r="J23" s="15"/>
      <c r="K23" s="60"/>
      <c r="M23" s="44" t="s">
        <v>324</v>
      </c>
      <c r="N23" s="15"/>
      <c r="O23" s="15"/>
      <c r="P23" s="15"/>
      <c r="Q23" s="15"/>
      <c r="R23" s="15"/>
      <c r="S23" s="15" t="s">
        <v>324</v>
      </c>
      <c r="T23" s="15"/>
      <c r="U23" s="15"/>
      <c r="V23" s="15"/>
      <c r="W23" s="60"/>
    </row>
    <row r="24" spans="1:23" ht="13.5" thickBot="1" x14ac:dyDescent="0.25">
      <c r="A24" s="45"/>
      <c r="B24" s="11" t="s">
        <v>325</v>
      </c>
      <c r="C24" s="11">
        <v>1</v>
      </c>
      <c r="D24" s="11">
        <v>0.1</v>
      </c>
      <c r="E24" s="11">
        <v>0.2</v>
      </c>
      <c r="F24" s="11"/>
      <c r="G24" s="11"/>
      <c r="H24" s="11" t="s">
        <v>325</v>
      </c>
      <c r="I24" s="11">
        <v>1</v>
      </c>
      <c r="J24" s="11">
        <v>0.2</v>
      </c>
      <c r="K24" s="61">
        <v>0.4</v>
      </c>
      <c r="M24" s="45"/>
      <c r="N24" s="11" t="s">
        <v>325</v>
      </c>
      <c r="O24" s="11">
        <v>1</v>
      </c>
      <c r="P24" s="11">
        <f>D24*5/500</f>
        <v>1E-3</v>
      </c>
      <c r="Q24" s="11">
        <f>E24*5/500</f>
        <v>2E-3</v>
      </c>
      <c r="R24" s="11"/>
      <c r="S24" s="11"/>
      <c r="T24" s="11" t="s">
        <v>325</v>
      </c>
      <c r="U24" s="11">
        <v>1</v>
      </c>
      <c r="V24" s="11">
        <f>J24*5/500</f>
        <v>2E-3</v>
      </c>
      <c r="W24" s="11">
        <f>K24*5/500</f>
        <v>4.0000000000000001E-3</v>
      </c>
    </row>
    <row r="25" spans="1:23" ht="13.5" thickBot="1" x14ac:dyDescent="0.25"/>
    <row r="26" spans="1:23" ht="13.5" thickBot="1" x14ac:dyDescent="0.25">
      <c r="A26" s="20" t="s">
        <v>331</v>
      </c>
      <c r="K26" s="57" t="s">
        <v>346</v>
      </c>
      <c r="L26" s="12"/>
      <c r="M26" s="12"/>
      <c r="N26" s="12"/>
      <c r="O26" s="12"/>
      <c r="P26" s="12"/>
      <c r="Q26" s="12"/>
      <c r="R26" s="12"/>
      <c r="S26" s="12"/>
      <c r="T26" s="12"/>
      <c r="U26" s="12"/>
      <c r="V26" s="43"/>
    </row>
    <row r="27" spans="1:23" x14ac:dyDescent="0.2">
      <c r="K27" s="58" t="s">
        <v>347</v>
      </c>
      <c r="L27" s="15"/>
      <c r="M27" s="15"/>
      <c r="N27" s="15"/>
      <c r="O27" s="15"/>
      <c r="P27" s="15"/>
      <c r="Q27" s="15"/>
      <c r="R27" s="15"/>
      <c r="S27" s="15" t="s">
        <v>344</v>
      </c>
      <c r="T27" s="15"/>
      <c r="U27" s="42" t="s">
        <v>353</v>
      </c>
      <c r="V27" s="43"/>
    </row>
    <row r="28" spans="1:23" x14ac:dyDescent="0.2">
      <c r="A28" t="s">
        <v>332</v>
      </c>
      <c r="K28" s="44"/>
      <c r="L28" s="15" t="s">
        <v>210</v>
      </c>
      <c r="M28" s="15"/>
      <c r="N28" s="15" t="s">
        <v>320</v>
      </c>
      <c r="O28" s="15" t="s">
        <v>340</v>
      </c>
      <c r="P28" s="15" t="s">
        <v>336</v>
      </c>
      <c r="Q28" s="15" t="s">
        <v>341</v>
      </c>
      <c r="R28" s="15" t="s">
        <v>342</v>
      </c>
      <c r="S28" s="15" t="s">
        <v>345</v>
      </c>
      <c r="T28" s="15"/>
      <c r="U28" s="62" t="s">
        <v>354</v>
      </c>
      <c r="V28" s="60" t="s">
        <v>352</v>
      </c>
    </row>
    <row r="29" spans="1:23" x14ac:dyDescent="0.2">
      <c r="A29" t="s">
        <v>333</v>
      </c>
      <c r="K29" s="44" t="s">
        <v>350</v>
      </c>
      <c r="L29" s="15" t="s">
        <v>348</v>
      </c>
      <c r="M29" s="15" t="s">
        <v>322</v>
      </c>
      <c r="N29" s="15">
        <v>1</v>
      </c>
      <c r="O29" s="15">
        <f>Q8/2</f>
        <v>2.5000000000000002E-6</v>
      </c>
      <c r="P29" s="15">
        <f>Q13/2</f>
        <v>3.7500000000000001E-6</v>
      </c>
      <c r="Q29" s="15">
        <f>Q18/2</f>
        <v>2.5000000000000001E-3</v>
      </c>
      <c r="R29" s="18">
        <f>Q$24/2</f>
        <v>1E-3</v>
      </c>
      <c r="S29" s="15" t="e">
        <f ca="1">rss(O29:R29)</f>
        <v>#NAME?</v>
      </c>
      <c r="T29" s="15"/>
      <c r="U29" s="44" t="e">
        <f ca="1">(S29-S31)/(N29-N31)</f>
        <v>#NAME?</v>
      </c>
      <c r="V29" s="60" t="e">
        <f ca="1">S29-N29*U29</f>
        <v>#NAME?</v>
      </c>
    </row>
    <row r="30" spans="1:23" ht="13.5" thickBot="1" x14ac:dyDescent="0.25">
      <c r="A30" t="s">
        <v>334</v>
      </c>
      <c r="K30" s="44" t="s">
        <v>351</v>
      </c>
      <c r="L30" s="15" t="s">
        <v>349</v>
      </c>
      <c r="M30" s="15" t="s">
        <v>323</v>
      </c>
      <c r="N30" s="15">
        <v>1</v>
      </c>
      <c r="O30" s="15">
        <f>Q8/2</f>
        <v>2.5000000000000002E-6</v>
      </c>
      <c r="P30" s="15">
        <f>Q13/2</f>
        <v>3.7500000000000001E-6</v>
      </c>
      <c r="Q30" s="15">
        <f>Q19/2</f>
        <v>4.0000000000000001E-3</v>
      </c>
      <c r="R30" s="18">
        <f>Q$24/2</f>
        <v>1E-3</v>
      </c>
      <c r="S30" s="15" t="e">
        <f ca="1">rss(O30:R30)</f>
        <v>#NAME?</v>
      </c>
      <c r="T30" s="15"/>
      <c r="U30" s="45" t="e">
        <f ca="1">(S30-S32)/(N30-N32)</f>
        <v>#NAME?</v>
      </c>
      <c r="V30" s="61" t="e">
        <f ca="1">S30-N30*U30</f>
        <v>#NAME?</v>
      </c>
    </row>
    <row r="31" spans="1:23" x14ac:dyDescent="0.2">
      <c r="A31" t="s">
        <v>335</v>
      </c>
      <c r="K31" s="44" t="s">
        <v>350</v>
      </c>
      <c r="L31" s="15" t="s">
        <v>348</v>
      </c>
      <c r="M31" s="15" t="s">
        <v>322</v>
      </c>
      <c r="N31" s="15">
        <v>0.5</v>
      </c>
      <c r="O31" s="15">
        <f>Q9/2</f>
        <v>4.1666666666666669E-6</v>
      </c>
      <c r="P31" s="15">
        <f>Q14/2</f>
        <v>6.2500000000000003E-6</v>
      </c>
      <c r="Q31" s="15">
        <f>Q20/2</f>
        <v>4.0000000000000001E-3</v>
      </c>
      <c r="R31" s="18">
        <f>Q$24/2</f>
        <v>1E-3</v>
      </c>
      <c r="S31" s="15" t="e">
        <f ca="1">rss(O31:R31)</f>
        <v>#NAME?</v>
      </c>
      <c r="T31" s="15"/>
      <c r="U31" s="15"/>
      <c r="V31" s="60"/>
    </row>
    <row r="32" spans="1:23" x14ac:dyDescent="0.2">
      <c r="A32" t="s">
        <v>343</v>
      </c>
      <c r="K32" s="44" t="s">
        <v>351</v>
      </c>
      <c r="L32" s="15" t="s">
        <v>349</v>
      </c>
      <c r="M32" s="15" t="s">
        <v>323</v>
      </c>
      <c r="N32" s="15">
        <v>0.5</v>
      </c>
      <c r="O32" s="15">
        <f>Q9/2</f>
        <v>4.1666666666666669E-6</v>
      </c>
      <c r="P32" s="15">
        <f>Q14/2</f>
        <v>6.2500000000000003E-6</v>
      </c>
      <c r="Q32" s="15">
        <f>Q21/2</f>
        <v>5.0000000000000001E-3</v>
      </c>
      <c r="R32" s="18">
        <f>Q$24/2</f>
        <v>1E-3</v>
      </c>
      <c r="S32" s="15" t="e">
        <f ca="1">rss(O32:R32)</f>
        <v>#NAME?</v>
      </c>
      <c r="T32" s="15"/>
      <c r="U32" s="15"/>
      <c r="V32" s="60"/>
    </row>
    <row r="33" spans="1:22" x14ac:dyDescent="0.2">
      <c r="K33" s="44"/>
      <c r="L33" s="15"/>
      <c r="M33" s="15"/>
      <c r="N33" s="15"/>
      <c r="O33" s="15"/>
      <c r="P33" s="15"/>
      <c r="Q33" s="15"/>
      <c r="R33" s="15"/>
      <c r="S33" s="15"/>
      <c r="T33" s="15"/>
      <c r="U33" s="15"/>
      <c r="V33" s="60"/>
    </row>
    <row r="34" spans="1:22" ht="13.5" thickBot="1" x14ac:dyDescent="0.25">
      <c r="A34" t="s">
        <v>357</v>
      </c>
      <c r="K34" s="44"/>
      <c r="L34" s="15"/>
      <c r="M34" s="15"/>
      <c r="N34" s="15"/>
      <c r="O34" s="15"/>
      <c r="P34" s="15"/>
      <c r="Q34" s="15"/>
      <c r="R34" s="15"/>
      <c r="S34" s="15"/>
      <c r="T34" s="15"/>
      <c r="U34" s="15"/>
      <c r="V34" s="60"/>
    </row>
    <row r="35" spans="1:22" x14ac:dyDescent="0.2">
      <c r="A35" t="s">
        <v>358</v>
      </c>
      <c r="K35" s="58" t="s">
        <v>347</v>
      </c>
      <c r="L35" s="15"/>
      <c r="M35" s="15"/>
      <c r="N35" s="15"/>
      <c r="O35" s="15"/>
      <c r="P35" s="15"/>
      <c r="Q35" s="15"/>
      <c r="R35" s="15"/>
      <c r="S35" s="15" t="s">
        <v>344</v>
      </c>
      <c r="T35" s="15"/>
      <c r="U35" s="42" t="s">
        <v>356</v>
      </c>
      <c r="V35" s="43"/>
    </row>
    <row r="36" spans="1:22" x14ac:dyDescent="0.2">
      <c r="K36" s="44"/>
      <c r="L36" s="15"/>
      <c r="M36" s="15"/>
      <c r="N36" s="15" t="s">
        <v>320</v>
      </c>
      <c r="O36" s="15" t="s">
        <v>340</v>
      </c>
      <c r="P36" s="15" t="s">
        <v>336</v>
      </c>
      <c r="Q36" s="15" t="s">
        <v>341</v>
      </c>
      <c r="R36" s="15" t="s">
        <v>342</v>
      </c>
      <c r="S36" s="15" t="s">
        <v>345</v>
      </c>
      <c r="T36" s="15"/>
      <c r="U36" s="62" t="s">
        <v>355</v>
      </c>
      <c r="V36" s="60" t="s">
        <v>352</v>
      </c>
    </row>
    <row r="37" spans="1:22" x14ac:dyDescent="0.2">
      <c r="K37" s="44" t="s">
        <v>350</v>
      </c>
      <c r="L37" s="15" t="s">
        <v>348</v>
      </c>
      <c r="M37" s="15" t="s">
        <v>322</v>
      </c>
      <c r="N37" s="15">
        <v>1</v>
      </c>
      <c r="O37" s="15">
        <f>W8/2</f>
        <v>5.0000000000000004E-6</v>
      </c>
      <c r="P37" s="15">
        <f>W13/2</f>
        <v>7.5000000000000002E-6</v>
      </c>
      <c r="Q37" s="15">
        <f>W18/2</f>
        <v>5.0000000000000001E-3</v>
      </c>
      <c r="R37" s="15">
        <f>W$24/2</f>
        <v>2E-3</v>
      </c>
      <c r="S37" s="15" t="e">
        <f ca="1">rss(O37:R37)</f>
        <v>#NAME?</v>
      </c>
      <c r="T37" s="15"/>
      <c r="U37" s="44" t="e">
        <f ca="1">(S37-S39)/(N37-N39)</f>
        <v>#NAME?</v>
      </c>
      <c r="V37" s="60" t="e">
        <f ca="1">S37-N37*U37</f>
        <v>#NAME?</v>
      </c>
    </row>
    <row r="38" spans="1:22" ht="13.5" thickBot="1" x14ac:dyDescent="0.25">
      <c r="K38" s="44" t="s">
        <v>351</v>
      </c>
      <c r="L38" s="15" t="s">
        <v>349</v>
      </c>
      <c r="M38" s="15" t="s">
        <v>323</v>
      </c>
      <c r="N38" s="15">
        <v>1</v>
      </c>
      <c r="O38" s="15">
        <f>W8/2</f>
        <v>5.0000000000000004E-6</v>
      </c>
      <c r="P38" s="15">
        <f>W13/2</f>
        <v>7.5000000000000002E-6</v>
      </c>
      <c r="Q38" s="15">
        <f>W19/2</f>
        <v>7.4999999999999997E-3</v>
      </c>
      <c r="R38" s="15">
        <f>W$24/2</f>
        <v>2E-3</v>
      </c>
      <c r="S38" s="15" t="e">
        <f ca="1">rss(O38:R38)</f>
        <v>#NAME?</v>
      </c>
      <c r="T38" s="15"/>
      <c r="U38" s="45" t="e">
        <f ca="1">(S38-S40)/(N38-N40)</f>
        <v>#NAME?</v>
      </c>
      <c r="V38" s="61" t="e">
        <f ca="1">S38-N38*U38</f>
        <v>#NAME?</v>
      </c>
    </row>
    <row r="39" spans="1:22" x14ac:dyDescent="0.2">
      <c r="K39" s="44" t="s">
        <v>350</v>
      </c>
      <c r="L39" s="15" t="s">
        <v>348</v>
      </c>
      <c r="M39" s="15" t="s">
        <v>322</v>
      </c>
      <c r="N39" s="15">
        <v>0.5</v>
      </c>
      <c r="O39" s="15">
        <f>W9/2</f>
        <v>8.3333333333333337E-6</v>
      </c>
      <c r="P39" s="15">
        <f>W14/2</f>
        <v>1.2500000000000001E-5</v>
      </c>
      <c r="Q39" s="15">
        <f>W20/2</f>
        <v>7.4999999999999997E-3</v>
      </c>
      <c r="R39" s="15">
        <f>W$24/2</f>
        <v>2E-3</v>
      </c>
      <c r="S39" s="15" t="e">
        <f ca="1">rss(O39:R39)</f>
        <v>#NAME?</v>
      </c>
      <c r="T39" s="15"/>
      <c r="U39" s="15"/>
      <c r="V39" s="60"/>
    </row>
    <row r="40" spans="1:22" ht="13.5" thickBot="1" x14ac:dyDescent="0.25">
      <c r="K40" s="45" t="s">
        <v>351</v>
      </c>
      <c r="L40" s="11" t="s">
        <v>349</v>
      </c>
      <c r="M40" s="11" t="s">
        <v>323</v>
      </c>
      <c r="N40" s="11">
        <v>0.5</v>
      </c>
      <c r="O40" s="11">
        <f>W9/2</f>
        <v>8.3333333333333337E-6</v>
      </c>
      <c r="P40" s="11">
        <f>W14/2</f>
        <v>1.2500000000000001E-5</v>
      </c>
      <c r="Q40" s="11">
        <f>W21/2</f>
        <v>0.01</v>
      </c>
      <c r="R40" s="11">
        <f>W$24/2</f>
        <v>2E-3</v>
      </c>
      <c r="S40" s="11" t="e">
        <f ca="1">rss(O40:R40)</f>
        <v>#NAME?</v>
      </c>
      <c r="T40" s="11"/>
      <c r="U40" s="11"/>
      <c r="V40" s="61"/>
    </row>
    <row r="41" spans="1:22" x14ac:dyDescent="0.2">
      <c r="T41" s="15"/>
    </row>
    <row r="42" spans="1:22" x14ac:dyDescent="0.2">
      <c r="T42" s="15"/>
    </row>
    <row r="43" spans="1:22" x14ac:dyDescent="0.2">
      <c r="K43" s="15"/>
      <c r="L43" s="15"/>
      <c r="M43" s="15"/>
    </row>
    <row r="44" spans="1:22" x14ac:dyDescent="0.2">
      <c r="K44" s="15"/>
      <c r="L44" s="15"/>
      <c r="M44" s="15"/>
    </row>
  </sheetData>
  <customSheetViews>
    <customSheetView guid="{1F7EA7B0-7CBB-4C85-991C-384D0AE2B3A5}" showRuler="0" topLeftCell="A24">
      <selection activeCell="C36" sqref="C36"/>
      <pageMargins left="0.75" right="0.75" top="1" bottom="1" header="0.5" footer="0.5"/>
      <printOptions gridLines="1"/>
      <pageSetup paperSize="9" orientation="portrait" r:id="rId1"/>
      <headerFooter alignWithMargins="0">
        <oddHeader>&amp;A</oddHeader>
        <oddFooter>Page &amp;P</oddFooter>
      </headerFooter>
    </customSheetView>
  </customSheetViews>
  <phoneticPr fontId="13" type="noConversion"/>
  <printOptions gridLines="1" gridLinesSet="0"/>
  <pageMargins left="0.75" right="0.75" top="1" bottom="1" header="0.5" footer="0.5"/>
  <pageSetup paperSize="9" orientation="portrait" r:id="rId2"/>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L23"/>
  <sheetViews>
    <sheetView workbookViewId="0">
      <selection activeCell="E22" sqref="E22"/>
    </sheetView>
  </sheetViews>
  <sheetFormatPr defaultRowHeight="12.75" x14ac:dyDescent="0.2"/>
  <sheetData>
    <row r="2" spans="2:11" x14ac:dyDescent="0.2">
      <c r="B2" s="20" t="s">
        <v>363</v>
      </c>
    </row>
    <row r="4" spans="2:11" x14ac:dyDescent="0.2">
      <c r="J4" t="s">
        <v>364</v>
      </c>
      <c r="K4" t="s">
        <v>365</v>
      </c>
    </row>
    <row r="5" spans="2:11" x14ac:dyDescent="0.2">
      <c r="B5" t="s">
        <v>366</v>
      </c>
      <c r="J5" t="s">
        <v>367</v>
      </c>
      <c r="K5" t="s">
        <v>368</v>
      </c>
    </row>
    <row r="6" spans="2:11" x14ac:dyDescent="0.2">
      <c r="B6" t="s">
        <v>369</v>
      </c>
      <c r="G6" t="s">
        <v>370</v>
      </c>
      <c r="J6" s="9">
        <f>0.05/(160-48)</f>
        <v>4.4642857142857147E-4</v>
      </c>
      <c r="K6">
        <f>J6/2</f>
        <v>2.2321428571428573E-4</v>
      </c>
    </row>
    <row r="7" spans="2:11" x14ac:dyDescent="0.2">
      <c r="G7" t="s">
        <v>371</v>
      </c>
      <c r="J7" s="9">
        <f>0.05/(320-160)</f>
        <v>3.1250000000000001E-4</v>
      </c>
      <c r="K7">
        <f t="shared" ref="K7:K12" si="0">J7/2</f>
        <v>1.5625E-4</v>
      </c>
    </row>
    <row r="8" spans="2:11" x14ac:dyDescent="0.2">
      <c r="B8" t="s">
        <v>372</v>
      </c>
    </row>
    <row r="9" spans="2:11" x14ac:dyDescent="0.2">
      <c r="B9" t="s">
        <v>373</v>
      </c>
      <c r="G9" t="s">
        <v>374</v>
      </c>
      <c r="J9" s="9">
        <f>0.05/(63-47)</f>
        <v>3.1250000000000002E-3</v>
      </c>
      <c r="K9">
        <f t="shared" si="0"/>
        <v>1.5625000000000001E-3</v>
      </c>
    </row>
    <row r="11" spans="2:11" x14ac:dyDescent="0.2">
      <c r="B11" t="s">
        <v>375</v>
      </c>
    </row>
    <row r="12" spans="2:11" x14ac:dyDescent="0.2">
      <c r="B12" t="s">
        <v>376</v>
      </c>
      <c r="G12" t="s">
        <v>377</v>
      </c>
      <c r="J12">
        <f>0.005</f>
        <v>5.0000000000000001E-3</v>
      </c>
      <c r="K12">
        <f t="shared" si="0"/>
        <v>2.5000000000000001E-3</v>
      </c>
    </row>
    <row r="16" spans="2:11" x14ac:dyDescent="0.2">
      <c r="B16" s="20" t="s">
        <v>378</v>
      </c>
      <c r="G16" s="20" t="s">
        <v>379</v>
      </c>
    </row>
    <row r="17" spans="2:12" x14ac:dyDescent="0.2">
      <c r="E17" t="s">
        <v>380</v>
      </c>
      <c r="J17" t="s">
        <v>380</v>
      </c>
    </row>
    <row r="18" spans="2:12" x14ac:dyDescent="0.2">
      <c r="B18" t="s">
        <v>381</v>
      </c>
      <c r="C18" t="s">
        <v>382</v>
      </c>
      <c r="D18" t="s">
        <v>383</v>
      </c>
      <c r="G18" t="s">
        <v>381</v>
      </c>
      <c r="H18" t="s">
        <v>382</v>
      </c>
      <c r="I18" t="s">
        <v>383</v>
      </c>
      <c r="L18" t="s">
        <v>384</v>
      </c>
    </row>
    <row r="19" spans="2:12" x14ac:dyDescent="0.2">
      <c r="B19" t="s">
        <v>137</v>
      </c>
      <c r="C19">
        <v>0.5</v>
      </c>
      <c r="D19" t="s">
        <v>385</v>
      </c>
      <c r="E19" s="9">
        <f>C19*$K$6</f>
        <v>1.1160714285714287E-4</v>
      </c>
      <c r="G19" t="s">
        <v>137</v>
      </c>
      <c r="H19">
        <v>0.5</v>
      </c>
      <c r="I19" t="s">
        <v>385</v>
      </c>
      <c r="J19" s="9">
        <f>H19*$K$7</f>
        <v>7.8125000000000002E-5</v>
      </c>
      <c r="L19" t="s">
        <v>386</v>
      </c>
    </row>
    <row r="20" spans="2:12" x14ac:dyDescent="0.2">
      <c r="B20" t="s">
        <v>387</v>
      </c>
      <c r="C20">
        <f>100/50000</f>
        <v>2E-3</v>
      </c>
      <c r="D20" t="s">
        <v>385</v>
      </c>
      <c r="E20" s="9">
        <f>C20*$K$9</f>
        <v>3.1250000000000001E-6</v>
      </c>
      <c r="G20" t="s">
        <v>387</v>
      </c>
      <c r="H20">
        <f>100/50000</f>
        <v>2E-3</v>
      </c>
      <c r="I20" t="s">
        <v>385</v>
      </c>
      <c r="J20" s="9">
        <f>H20*$K$9</f>
        <v>3.1250000000000001E-6</v>
      </c>
      <c r="L20" t="s">
        <v>388</v>
      </c>
    </row>
    <row r="21" spans="2:12" ht="13.5" thickBot="1" x14ac:dyDescent="0.25">
      <c r="B21" t="s">
        <v>389</v>
      </c>
      <c r="C21">
        <v>1</v>
      </c>
      <c r="D21" t="s">
        <v>390</v>
      </c>
      <c r="E21">
        <f>C21*$K$12</f>
        <v>2.5000000000000001E-3</v>
      </c>
      <c r="G21" t="s">
        <v>389</v>
      </c>
      <c r="H21">
        <v>1</v>
      </c>
      <c r="I21" t="s">
        <v>390</v>
      </c>
      <c r="J21">
        <f>H21*$K$12</f>
        <v>2.5000000000000001E-3</v>
      </c>
    </row>
    <row r="22" spans="2:12" x14ac:dyDescent="0.2">
      <c r="D22" s="42" t="s">
        <v>391</v>
      </c>
      <c r="E22" s="64">
        <f>SQRT(E19^2+E20^2+E21^2)</f>
        <v>2.5024919420373235E-3</v>
      </c>
      <c r="I22" t="s">
        <v>392</v>
      </c>
      <c r="J22">
        <f>SQRT(J19^2+J20^2+J21^2)</f>
        <v>2.5012223574184685E-3</v>
      </c>
    </row>
    <row r="23" spans="2:12" ht="13.5" thickBot="1" x14ac:dyDescent="0.25">
      <c r="D23" s="45" t="s">
        <v>393</v>
      </c>
      <c r="E23" s="61">
        <v>22</v>
      </c>
    </row>
  </sheetData>
  <customSheetViews>
    <customSheetView guid="{1F7EA7B0-7CBB-4C85-991C-384D0AE2B3A5}" showRuler="0">
      <selection activeCell="E22" sqref="E22"/>
      <pageMargins left="0.75" right="0.75" top="1" bottom="1" header="0.5" footer="0.5"/>
      <printOptions gridLines="1"/>
      <headerFooter alignWithMargins="0">
        <oddHeader>&amp;A</oddHeader>
        <oddFooter>Page &amp;P</oddFooter>
      </headerFooter>
    </customSheetView>
  </customSheetViews>
  <phoneticPr fontId="13" type="noConversion"/>
  <printOptions gridLines="1" gridLinesSet="0"/>
  <pageMargins left="0.75" right="0.75" top="1" bottom="1"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K29"/>
  <sheetViews>
    <sheetView zoomScale="75" workbookViewId="0">
      <selection activeCell="N19" sqref="N19"/>
    </sheetView>
  </sheetViews>
  <sheetFormatPr defaultRowHeight="12.75" x14ac:dyDescent="0.2"/>
  <sheetData>
    <row r="2" spans="2:11" x14ac:dyDescent="0.2">
      <c r="B2" t="s">
        <v>399</v>
      </c>
    </row>
    <row r="3" spans="2:11" x14ac:dyDescent="0.2">
      <c r="J3" t="s">
        <v>364</v>
      </c>
      <c r="K3" t="s">
        <v>365</v>
      </c>
    </row>
    <row r="4" spans="2:11" x14ac:dyDescent="0.2">
      <c r="B4" t="s">
        <v>400</v>
      </c>
      <c r="J4" t="s">
        <v>367</v>
      </c>
      <c r="K4" t="s">
        <v>368</v>
      </c>
    </row>
    <row r="5" spans="2:11" x14ac:dyDescent="0.2">
      <c r="B5" t="s">
        <v>401</v>
      </c>
      <c r="G5" t="s">
        <v>402</v>
      </c>
      <c r="J5" s="9">
        <f>0.015/10</f>
        <v>1.5E-3</v>
      </c>
      <c r="K5">
        <f>J5/2</f>
        <v>7.5000000000000002E-4</v>
      </c>
    </row>
    <row r="6" spans="2:11" x14ac:dyDescent="0.2">
      <c r="B6" t="s">
        <v>403</v>
      </c>
      <c r="G6" t="s">
        <v>404</v>
      </c>
      <c r="J6" s="9">
        <f>0.02/10</f>
        <v>2E-3</v>
      </c>
      <c r="K6">
        <f t="shared" ref="K6:K11" si="0">J6/2</f>
        <v>1E-3</v>
      </c>
    </row>
    <row r="7" spans="2:11" x14ac:dyDescent="0.2">
      <c r="B7" t="s">
        <v>372</v>
      </c>
    </row>
    <row r="8" spans="2:11" x14ac:dyDescent="0.2">
      <c r="B8" t="s">
        <v>405</v>
      </c>
      <c r="G8" t="s">
        <v>374</v>
      </c>
      <c r="J8" s="9">
        <f>0.01/(0.05*50)</f>
        <v>4.0000000000000001E-3</v>
      </c>
      <c r="K8">
        <f t="shared" si="0"/>
        <v>2E-3</v>
      </c>
    </row>
    <row r="10" spans="2:11" x14ac:dyDescent="0.2">
      <c r="B10" t="s">
        <v>375</v>
      </c>
    </row>
    <row r="11" spans="2:11" x14ac:dyDescent="0.2">
      <c r="B11" t="s">
        <v>406</v>
      </c>
      <c r="G11" t="s">
        <v>377</v>
      </c>
      <c r="J11">
        <v>3.0000000000000001E-3</v>
      </c>
      <c r="K11">
        <f t="shared" si="0"/>
        <v>1.5E-3</v>
      </c>
    </row>
    <row r="15" spans="2:11" x14ac:dyDescent="0.2">
      <c r="B15" s="20" t="s">
        <v>291</v>
      </c>
      <c r="G15" s="20" t="s">
        <v>297</v>
      </c>
    </row>
    <row r="16" spans="2:11" x14ac:dyDescent="0.2">
      <c r="E16" t="s">
        <v>380</v>
      </c>
      <c r="J16" t="s">
        <v>380</v>
      </c>
    </row>
    <row r="17" spans="2:10" x14ac:dyDescent="0.2">
      <c r="B17" t="s">
        <v>381</v>
      </c>
      <c r="C17" t="s">
        <v>382</v>
      </c>
      <c r="D17" t="s">
        <v>383</v>
      </c>
      <c r="G17" t="s">
        <v>381</v>
      </c>
      <c r="H17" t="s">
        <v>382</v>
      </c>
      <c r="I17" t="s">
        <v>383</v>
      </c>
    </row>
    <row r="18" spans="2:10" x14ac:dyDescent="0.2">
      <c r="B18" t="s">
        <v>137</v>
      </c>
      <c r="C18">
        <v>0.5</v>
      </c>
      <c r="D18" t="s">
        <v>385</v>
      </c>
      <c r="E18" s="9">
        <f>C18*K5</f>
        <v>3.7500000000000001E-4</v>
      </c>
      <c r="G18" t="s">
        <v>137</v>
      </c>
      <c r="H18">
        <v>0.5</v>
      </c>
      <c r="I18" t="s">
        <v>385</v>
      </c>
      <c r="J18" s="9">
        <f>H18*K6</f>
        <v>5.0000000000000001E-4</v>
      </c>
    </row>
    <row r="19" spans="2:10" x14ac:dyDescent="0.2">
      <c r="B19" t="s">
        <v>387</v>
      </c>
      <c r="C19">
        <v>0.02</v>
      </c>
      <c r="D19" t="s">
        <v>390</v>
      </c>
      <c r="E19" s="9">
        <f>C19*K8</f>
        <v>4.0000000000000003E-5</v>
      </c>
      <c r="G19" t="s">
        <v>387</v>
      </c>
      <c r="H19">
        <v>0.02</v>
      </c>
      <c r="I19" t="s">
        <v>390</v>
      </c>
      <c r="J19" s="9">
        <f>H19*K8</f>
        <v>4.0000000000000003E-5</v>
      </c>
    </row>
    <row r="20" spans="2:10" ht="13.5" thickBot="1" x14ac:dyDescent="0.25">
      <c r="B20" t="s">
        <v>389</v>
      </c>
      <c r="C20">
        <v>1</v>
      </c>
      <c r="D20" t="s">
        <v>407</v>
      </c>
      <c r="E20" s="9">
        <f>C20*K11</f>
        <v>1.5E-3</v>
      </c>
      <c r="G20" t="s">
        <v>389</v>
      </c>
      <c r="H20">
        <v>1</v>
      </c>
      <c r="I20" t="s">
        <v>407</v>
      </c>
      <c r="J20">
        <f>H20*K11</f>
        <v>1.5E-3</v>
      </c>
    </row>
    <row r="21" spans="2:10" x14ac:dyDescent="0.2">
      <c r="D21" s="42" t="s">
        <v>391</v>
      </c>
      <c r="E21" s="64">
        <f>SQRT(E18^2+E19^2+E20^2)</f>
        <v>1.5466819323959274E-3</v>
      </c>
      <c r="I21" t="s">
        <v>392</v>
      </c>
      <c r="J21" s="9">
        <f>SQRT(J18^2+J19^2+J20^2)</f>
        <v>1.5816447135814035E-3</v>
      </c>
    </row>
    <row r="22" spans="2:10" ht="13.5" thickBot="1" x14ac:dyDescent="0.25">
      <c r="D22" s="45" t="s">
        <v>393</v>
      </c>
      <c r="E22" s="61">
        <v>22</v>
      </c>
    </row>
    <row r="25" spans="2:10" x14ac:dyDescent="0.2">
      <c r="D25" t="s">
        <v>408</v>
      </c>
    </row>
    <row r="26" spans="2:10" x14ac:dyDescent="0.2">
      <c r="D26" t="s">
        <v>409</v>
      </c>
    </row>
    <row r="28" spans="2:10" x14ac:dyDescent="0.2">
      <c r="D28" t="s">
        <v>410</v>
      </c>
      <c r="E28" s="9">
        <f>J21</f>
        <v>1.5816447135814035E-3</v>
      </c>
    </row>
    <row r="29" spans="2:10" x14ac:dyDescent="0.2">
      <c r="D29" t="s">
        <v>411</v>
      </c>
      <c r="E29">
        <v>22</v>
      </c>
    </row>
  </sheetData>
  <customSheetViews>
    <customSheetView guid="{1F7EA7B0-7CBB-4C85-991C-384D0AE2B3A5}" scale="75" showRuler="0">
      <selection activeCell="N19" sqref="N19"/>
      <pageMargins left="0.75" right="0.75" top="1" bottom="1" header="0.5" footer="0.5"/>
      <printOptions gridLines="1"/>
      <headerFooter alignWithMargins="0">
        <oddHeader>&amp;A</oddHeader>
        <oddFooter>Page &amp;P</oddFooter>
      </headerFooter>
    </customSheetView>
  </customSheetViews>
  <phoneticPr fontId="13" type="noConversion"/>
  <printOptions gridLines="1" gridLinesSet="0"/>
  <pageMargins left="0.75" right="0.75" top="1" bottom="1" header="0.5" footer="0.5"/>
  <headerFooter alignWithMargins="0">
    <oddHeader>&amp;A</oddHeader>
    <oddFoote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123"/>
  <sheetViews>
    <sheetView workbookViewId="0">
      <selection activeCell="E3" sqref="E3"/>
    </sheetView>
  </sheetViews>
  <sheetFormatPr defaultRowHeight="12.75" x14ac:dyDescent="0.2"/>
  <cols>
    <col min="5" max="5" width="11" customWidth="1"/>
    <col min="7" max="7" width="13.140625" bestFit="1" customWidth="1"/>
    <col min="9" max="9" width="11.5703125" bestFit="1" customWidth="1"/>
    <col min="18" max="18" width="10.5703125" bestFit="1" customWidth="1"/>
  </cols>
  <sheetData>
    <row r="1" spans="1:28" ht="26.25" x14ac:dyDescent="0.4">
      <c r="A1" s="440" t="s">
        <v>626</v>
      </c>
      <c r="I1" t="s">
        <v>646</v>
      </c>
      <c r="J1" t="s">
        <v>647</v>
      </c>
      <c r="K1" t="s">
        <v>648</v>
      </c>
    </row>
    <row r="2" spans="1:28" x14ac:dyDescent="0.2">
      <c r="E2" t="s">
        <v>634</v>
      </c>
      <c r="F2" s="2">
        <v>9.9999999999999995E-7</v>
      </c>
      <c r="H2" s="20" t="s">
        <v>645</v>
      </c>
      <c r="I2">
        <f ca="1">COUNTIF(F:F,"PASS")</f>
        <v>0</v>
      </c>
      <c r="J2">
        <f ca="1">COUNTIF(F:F,"FAIL")</f>
        <v>1</v>
      </c>
      <c r="K2">
        <f ca="1">I2+J2</f>
        <v>1</v>
      </c>
    </row>
    <row r="3" spans="1:28" x14ac:dyDescent="0.2">
      <c r="A3" t="s">
        <v>627</v>
      </c>
      <c r="B3" t="s">
        <v>628</v>
      </c>
    </row>
    <row r="4" spans="1:28" x14ac:dyDescent="0.2">
      <c r="B4" t="s">
        <v>629</v>
      </c>
      <c r="D4" t="s">
        <v>630</v>
      </c>
      <c r="E4" t="s">
        <v>631</v>
      </c>
      <c r="F4" t="s">
        <v>632</v>
      </c>
      <c r="H4" t="s">
        <v>633</v>
      </c>
    </row>
    <row r="5" spans="1:28" ht="51" x14ac:dyDescent="0.2">
      <c r="B5" s="6" t="s">
        <v>148</v>
      </c>
      <c r="H5" s="448" t="s">
        <v>196</v>
      </c>
      <c r="I5" s="448" t="s">
        <v>196</v>
      </c>
      <c r="J5" s="448" t="s">
        <v>197</v>
      </c>
      <c r="K5" s="448" t="s">
        <v>249</v>
      </c>
      <c r="L5" s="448" t="s">
        <v>250</v>
      </c>
      <c r="M5" s="448" t="s">
        <v>198</v>
      </c>
      <c r="N5" s="448" t="s">
        <v>199</v>
      </c>
      <c r="O5" s="14" t="s">
        <v>180</v>
      </c>
      <c r="P5" s="448" t="s">
        <v>180</v>
      </c>
      <c r="Q5" s="448" t="s">
        <v>200</v>
      </c>
      <c r="R5" s="448" t="s">
        <v>201</v>
      </c>
      <c r="S5" s="448" t="s">
        <v>208</v>
      </c>
      <c r="T5" s="448" t="s">
        <v>207</v>
      </c>
      <c r="U5" s="448" t="s">
        <v>251</v>
      </c>
      <c r="V5" s="448" t="s">
        <v>251</v>
      </c>
      <c r="W5" s="448" t="s">
        <v>202</v>
      </c>
      <c r="X5" s="448" t="s">
        <v>203</v>
      </c>
      <c r="Y5" s="448" t="s">
        <v>204</v>
      </c>
      <c r="Z5" s="448" t="s">
        <v>205</v>
      </c>
      <c r="AA5" s="448" t="s">
        <v>206</v>
      </c>
      <c r="AB5" s="448" t="s">
        <v>255</v>
      </c>
    </row>
    <row r="6" spans="1:28" x14ac:dyDescent="0.2">
      <c r="D6">
        <v>50</v>
      </c>
      <c r="E6" t="e">
        <f ca="1">Watts(H6:AB6)</f>
        <v>#NAME?</v>
      </c>
      <c r="F6" s="445" t="e">
        <f ca="1">IF(ABS(1 - D6/E6)&lt;$F$2,"PASS","FAIL")</f>
        <v>#NAME?</v>
      </c>
      <c r="H6" s="449">
        <v>100</v>
      </c>
      <c r="I6" s="449">
        <v>0</v>
      </c>
      <c r="J6" s="449">
        <v>1</v>
      </c>
      <c r="K6" s="449">
        <v>1</v>
      </c>
      <c r="L6" s="449">
        <v>0</v>
      </c>
      <c r="M6" s="449">
        <v>-0.50000138999999999</v>
      </c>
      <c r="N6" s="449">
        <v>1</v>
      </c>
      <c r="O6" s="449">
        <v>1</v>
      </c>
      <c r="P6" s="449">
        <v>0</v>
      </c>
      <c r="Q6" s="447">
        <v>-1.8500000000000001E-6</v>
      </c>
      <c r="R6" s="449">
        <v>1</v>
      </c>
      <c r="S6" s="449">
        <v>0</v>
      </c>
      <c r="T6" s="449">
        <v>1E-4</v>
      </c>
      <c r="U6" s="449">
        <v>10000</v>
      </c>
      <c r="V6" s="449">
        <v>0</v>
      </c>
      <c r="W6" s="449">
        <v>0</v>
      </c>
      <c r="X6" s="449">
        <v>0</v>
      </c>
      <c r="Y6" s="449">
        <v>1000</v>
      </c>
      <c r="Z6" s="449">
        <v>0</v>
      </c>
      <c r="AA6" s="449">
        <v>0</v>
      </c>
      <c r="AB6" s="449">
        <v>0</v>
      </c>
    </row>
    <row r="7" spans="1:28" x14ac:dyDescent="0.2">
      <c r="D7">
        <v>35.3553390593</v>
      </c>
      <c r="E7" t="e">
        <f ca="1">Watts(H7:AB7)</f>
        <v>#NAME?</v>
      </c>
      <c r="F7" s="445" t="e">
        <f ca="1">IF(ABS(1 - D7/E7)&lt;$F$2,"PASS","FAIL")</f>
        <v>#NAME?</v>
      </c>
      <c r="H7" s="449">
        <v>70.710678118700002</v>
      </c>
      <c r="I7" s="449">
        <v>70.710678118700002</v>
      </c>
      <c r="J7" s="449">
        <v>1</v>
      </c>
      <c r="K7" s="449">
        <v>1</v>
      </c>
      <c r="L7" s="449">
        <v>0</v>
      </c>
      <c r="M7" s="449">
        <v>-0.50000138999999999</v>
      </c>
      <c r="N7" s="449">
        <v>1</v>
      </c>
      <c r="O7" s="449">
        <v>1</v>
      </c>
      <c r="P7" s="449">
        <v>0</v>
      </c>
      <c r="Q7" s="447">
        <v>-1.8500000000000001E-6</v>
      </c>
      <c r="R7" s="449">
        <v>1</v>
      </c>
      <c r="S7" s="449">
        <v>0</v>
      </c>
      <c r="T7" s="449">
        <v>1E-4</v>
      </c>
      <c r="U7" s="449">
        <v>10000</v>
      </c>
      <c r="V7" s="449">
        <v>0</v>
      </c>
      <c r="W7" s="449">
        <v>0</v>
      </c>
      <c r="X7" s="449">
        <v>0</v>
      </c>
      <c r="Y7" s="449">
        <v>1000</v>
      </c>
      <c r="Z7" s="449">
        <v>0</v>
      </c>
      <c r="AA7" s="449">
        <v>0</v>
      </c>
      <c r="AB7" s="449">
        <v>0</v>
      </c>
    </row>
    <row r="8" spans="1:28" x14ac:dyDescent="0.2">
      <c r="D8">
        <v>200</v>
      </c>
      <c r="E8" t="e">
        <f ca="1">Watts(H8:AB8)</f>
        <v>#NAME?</v>
      </c>
      <c r="F8" s="445" t="e">
        <f ca="1">IF(ABS(1 - D8/E8)&lt;$F$2,"PASS","FAIL")</f>
        <v>#NAME?</v>
      </c>
      <c r="H8" s="449">
        <v>100</v>
      </c>
      <c r="I8" s="449">
        <v>0</v>
      </c>
      <c r="J8" s="449">
        <v>2</v>
      </c>
      <c r="K8" s="449">
        <v>1</v>
      </c>
      <c r="L8" s="449">
        <v>0</v>
      </c>
      <c r="M8" s="449">
        <v>-0.50000277999999998</v>
      </c>
      <c r="N8" s="449">
        <v>1</v>
      </c>
      <c r="O8" s="449">
        <v>1</v>
      </c>
      <c r="P8" s="449">
        <v>0</v>
      </c>
      <c r="Q8" s="447">
        <v>-3.7000000000000002E-6</v>
      </c>
      <c r="R8" s="449">
        <v>1</v>
      </c>
      <c r="S8" s="449">
        <v>0</v>
      </c>
      <c r="T8" s="449">
        <v>1E-4</v>
      </c>
      <c r="U8" s="449">
        <v>10000</v>
      </c>
      <c r="V8" s="449">
        <v>0</v>
      </c>
      <c r="W8" s="449">
        <v>0</v>
      </c>
      <c r="X8" s="449">
        <v>0</v>
      </c>
      <c r="Y8" s="449">
        <v>1000</v>
      </c>
      <c r="Z8" s="449">
        <v>0</v>
      </c>
      <c r="AA8" s="449">
        <v>0</v>
      </c>
      <c r="AB8" s="449">
        <v>0</v>
      </c>
    </row>
    <row r="9" spans="1:28" x14ac:dyDescent="0.2">
      <c r="D9">
        <v>250</v>
      </c>
      <c r="E9" t="e">
        <f ca="1">Watts(H9:AB9)</f>
        <v>#NAME?</v>
      </c>
      <c r="F9" s="445" t="e">
        <f ca="1">IF(ABS(1 - D9/E9)&lt;$F$2,"PASS","FAIL")</f>
        <v>#NAME?</v>
      </c>
      <c r="H9" s="449">
        <v>100</v>
      </c>
      <c r="I9" s="449">
        <v>0</v>
      </c>
      <c r="J9" s="449">
        <v>1</v>
      </c>
      <c r="K9" s="449">
        <v>0.2</v>
      </c>
      <c r="L9" s="449">
        <v>0</v>
      </c>
      <c r="M9" s="449">
        <v>-0.50000138999999999</v>
      </c>
      <c r="N9" s="449">
        <v>1</v>
      </c>
      <c r="O9" s="449">
        <v>1</v>
      </c>
      <c r="P9" s="449">
        <v>0</v>
      </c>
      <c r="Q9" s="447">
        <v>-1.8500000000000001E-6</v>
      </c>
      <c r="R9" s="449">
        <v>1</v>
      </c>
      <c r="S9" s="449">
        <v>0</v>
      </c>
      <c r="T9" s="449">
        <v>1E-4</v>
      </c>
      <c r="U9" s="449">
        <v>10000</v>
      </c>
      <c r="V9" s="449">
        <v>0</v>
      </c>
      <c r="W9" s="449">
        <v>0</v>
      </c>
      <c r="X9" s="449">
        <v>0</v>
      </c>
      <c r="Y9" s="449">
        <v>1000</v>
      </c>
      <c r="Z9" s="449">
        <v>0</v>
      </c>
      <c r="AA9" s="449">
        <v>0</v>
      </c>
      <c r="AB9" s="449">
        <v>0</v>
      </c>
    </row>
    <row r="10" spans="1:28" x14ac:dyDescent="0.2">
      <c r="D10">
        <v>35.3553390593</v>
      </c>
      <c r="E10" t="e">
        <f t="shared" ref="E10:E23" ca="1" si="0">Watts(H10:AB10)</f>
        <v>#NAME?</v>
      </c>
      <c r="F10" s="445" t="e">
        <f t="shared" ref="F10:F23" ca="1" si="1">IF(ABS(1 - D10/E10)&lt;$F$2,"PASS","FAIL")</f>
        <v>#NAME?</v>
      </c>
      <c r="H10" s="449">
        <v>100</v>
      </c>
      <c r="I10" s="449">
        <v>0</v>
      </c>
      <c r="J10" s="449">
        <v>1</v>
      </c>
      <c r="K10" s="449">
        <v>0.70710678118699999</v>
      </c>
      <c r="L10" s="449">
        <v>0.70710678118699999</v>
      </c>
      <c r="M10" s="449">
        <v>-0.50000138999999999</v>
      </c>
      <c r="N10" s="449">
        <v>1</v>
      </c>
      <c r="O10" s="449">
        <v>1</v>
      </c>
      <c r="P10" s="449">
        <v>0</v>
      </c>
      <c r="Q10" s="447">
        <v>-1.8500000000000001E-6</v>
      </c>
      <c r="R10" s="449">
        <v>1</v>
      </c>
      <c r="S10" s="449">
        <v>0</v>
      </c>
      <c r="T10" s="449">
        <v>1E-4</v>
      </c>
      <c r="U10" s="449">
        <v>10000</v>
      </c>
      <c r="V10" s="449">
        <v>0</v>
      </c>
      <c r="W10" s="449">
        <v>0</v>
      </c>
      <c r="X10" s="449">
        <v>0</v>
      </c>
      <c r="Y10" s="449">
        <v>1000</v>
      </c>
      <c r="Z10" s="449">
        <v>0</v>
      </c>
      <c r="AA10" s="449">
        <v>0</v>
      </c>
      <c r="AB10" s="449">
        <v>0</v>
      </c>
    </row>
    <row r="11" spans="1:28" x14ac:dyDescent="0.2">
      <c r="D11">
        <v>-50</v>
      </c>
      <c r="E11" t="e">
        <f t="shared" ca="1" si="0"/>
        <v>#NAME?</v>
      </c>
      <c r="F11" s="445" t="e">
        <f t="shared" ca="1" si="1"/>
        <v>#NAME?</v>
      </c>
      <c r="H11" s="449">
        <v>100</v>
      </c>
      <c r="I11" s="449">
        <v>0</v>
      </c>
      <c r="J11" s="449">
        <v>1</v>
      </c>
      <c r="K11" s="449">
        <v>1</v>
      </c>
      <c r="L11" s="449">
        <v>0</v>
      </c>
      <c r="M11" s="449">
        <v>0.49999861000000001</v>
      </c>
      <c r="N11" s="449">
        <v>1</v>
      </c>
      <c r="O11" s="449">
        <v>1</v>
      </c>
      <c r="P11" s="449">
        <v>0</v>
      </c>
      <c r="Q11" s="447">
        <v>-1.8500000000000001E-6</v>
      </c>
      <c r="R11" s="449">
        <v>1</v>
      </c>
      <c r="S11" s="449">
        <v>0</v>
      </c>
      <c r="T11" s="449">
        <v>1E-4</v>
      </c>
      <c r="U11" s="449">
        <v>10000</v>
      </c>
      <c r="V11" s="449">
        <v>0</v>
      </c>
      <c r="W11" s="449">
        <v>0</v>
      </c>
      <c r="X11" s="449">
        <v>0</v>
      </c>
      <c r="Y11" s="449">
        <v>1000</v>
      </c>
      <c r="Z11" s="449">
        <v>0</v>
      </c>
      <c r="AA11" s="449">
        <v>0</v>
      </c>
      <c r="AB11" s="449">
        <v>0</v>
      </c>
    </row>
    <row r="12" spans="1:28" x14ac:dyDescent="0.2">
      <c r="D12">
        <v>100</v>
      </c>
      <c r="E12" t="e">
        <f t="shared" ca="1" si="0"/>
        <v>#NAME?</v>
      </c>
      <c r="F12" s="445" t="e">
        <f t="shared" ca="1" si="1"/>
        <v>#NAME?</v>
      </c>
      <c r="H12" s="449">
        <v>100</v>
      </c>
      <c r="I12" s="449">
        <v>0</v>
      </c>
      <c r="J12" s="449">
        <v>1</v>
      </c>
      <c r="K12" s="449">
        <v>1</v>
      </c>
      <c r="L12" s="449">
        <v>0</v>
      </c>
      <c r="M12" s="449">
        <v>-0.50000069999999996</v>
      </c>
      <c r="N12" s="449">
        <v>2</v>
      </c>
      <c r="O12" s="449">
        <v>1</v>
      </c>
      <c r="P12" s="449">
        <v>0</v>
      </c>
      <c r="Q12" s="447">
        <v>-3.7000000000000002E-6</v>
      </c>
      <c r="R12" s="449">
        <v>1</v>
      </c>
      <c r="S12" s="449">
        <v>0</v>
      </c>
      <c r="T12" s="449">
        <v>1E-4</v>
      </c>
      <c r="U12" s="449">
        <v>10000</v>
      </c>
      <c r="V12" s="449">
        <v>0</v>
      </c>
      <c r="W12" s="449">
        <v>0</v>
      </c>
      <c r="X12" s="449">
        <v>0</v>
      </c>
      <c r="Y12" s="449">
        <v>1000</v>
      </c>
      <c r="Z12" s="449">
        <v>0</v>
      </c>
      <c r="AA12" s="449">
        <v>0</v>
      </c>
      <c r="AB12" s="449">
        <v>0</v>
      </c>
    </row>
    <row r="13" spans="1:28" x14ac:dyDescent="0.2">
      <c r="D13">
        <v>35.3553390593</v>
      </c>
      <c r="E13" t="e">
        <f t="shared" ca="1" si="0"/>
        <v>#NAME?</v>
      </c>
      <c r="F13" s="445" t="e">
        <f t="shared" ca="1" si="1"/>
        <v>#NAME?</v>
      </c>
      <c r="H13" s="449">
        <v>100</v>
      </c>
      <c r="I13" s="449">
        <v>0</v>
      </c>
      <c r="J13" s="449">
        <v>1</v>
      </c>
      <c r="K13" s="449">
        <v>1</v>
      </c>
      <c r="L13" s="449">
        <v>0</v>
      </c>
      <c r="M13" s="449">
        <v>-0.50000138999999999</v>
      </c>
      <c r="N13" s="449">
        <v>1</v>
      </c>
      <c r="O13" s="449">
        <v>0.70710678118699999</v>
      </c>
      <c r="P13" s="449">
        <v>0.70710678118699999</v>
      </c>
      <c r="Q13" s="447">
        <v>-1.8500000000000001E-6</v>
      </c>
      <c r="R13" s="449">
        <v>1</v>
      </c>
      <c r="S13" s="449">
        <v>0</v>
      </c>
      <c r="T13" s="449">
        <v>1E-4</v>
      </c>
      <c r="U13" s="449">
        <v>10000</v>
      </c>
      <c r="V13" s="449">
        <v>0</v>
      </c>
      <c r="W13" s="449">
        <v>0</v>
      </c>
      <c r="X13" s="449">
        <v>0</v>
      </c>
      <c r="Y13" s="449">
        <v>1000</v>
      </c>
      <c r="Z13" s="449">
        <v>0</v>
      </c>
      <c r="AA13" s="449">
        <v>0</v>
      </c>
      <c r="AB13" s="449">
        <v>0</v>
      </c>
    </row>
    <row r="14" spans="1:28" x14ac:dyDescent="0.2">
      <c r="D14">
        <v>50</v>
      </c>
      <c r="E14" t="e">
        <f t="shared" ca="1" si="0"/>
        <v>#NAME?</v>
      </c>
      <c r="F14" s="445" t="e">
        <f t="shared" ca="1" si="1"/>
        <v>#NAME?</v>
      </c>
      <c r="G14" s="6"/>
      <c r="H14" s="449">
        <v>100</v>
      </c>
      <c r="I14" s="449">
        <v>0</v>
      </c>
      <c r="J14" s="449">
        <v>1</v>
      </c>
      <c r="K14" s="449">
        <v>1</v>
      </c>
      <c r="L14" s="449">
        <v>0</v>
      </c>
      <c r="M14" s="449">
        <v>-0.50000138999999999</v>
      </c>
      <c r="N14" s="449">
        <v>1</v>
      </c>
      <c r="O14" s="449">
        <v>1</v>
      </c>
      <c r="P14" s="449">
        <v>0</v>
      </c>
      <c r="Q14" s="449">
        <v>-0.50000184999999997</v>
      </c>
      <c r="R14" s="449">
        <v>1</v>
      </c>
      <c r="S14" s="449">
        <v>0</v>
      </c>
      <c r="T14" s="449">
        <v>1E-4</v>
      </c>
      <c r="U14" s="449">
        <v>10000</v>
      </c>
      <c r="V14" s="449">
        <v>0</v>
      </c>
      <c r="W14" s="449">
        <v>0</v>
      </c>
      <c r="X14" s="449">
        <v>0</v>
      </c>
      <c r="Y14" s="449">
        <v>1000</v>
      </c>
      <c r="Z14" s="449">
        <v>0</v>
      </c>
      <c r="AA14" s="449">
        <v>0</v>
      </c>
      <c r="AB14" s="449">
        <v>0</v>
      </c>
    </row>
    <row r="15" spans="1:28" x14ac:dyDescent="0.2">
      <c r="D15">
        <v>50</v>
      </c>
      <c r="E15" t="e">
        <f t="shared" ca="1" si="0"/>
        <v>#NAME?</v>
      </c>
      <c r="F15" s="445" t="e">
        <f t="shared" ca="1" si="1"/>
        <v>#NAME?</v>
      </c>
      <c r="H15" s="449">
        <v>100</v>
      </c>
      <c r="I15" s="449">
        <v>0</v>
      </c>
      <c r="J15" s="449">
        <v>1</v>
      </c>
      <c r="K15" s="449">
        <v>1</v>
      </c>
      <c r="L15" s="449">
        <v>0</v>
      </c>
      <c r="M15" s="449">
        <v>-0.500000695</v>
      </c>
      <c r="N15" s="449">
        <v>1</v>
      </c>
      <c r="O15" s="449">
        <v>1</v>
      </c>
      <c r="P15" s="449">
        <v>0</v>
      </c>
      <c r="Q15" s="447">
        <v>-1.8500000000000001E-6</v>
      </c>
      <c r="R15" s="449">
        <v>0.5</v>
      </c>
      <c r="S15" s="449">
        <v>0</v>
      </c>
      <c r="T15" s="449">
        <v>1E-4</v>
      </c>
      <c r="U15" s="449">
        <v>10000</v>
      </c>
      <c r="V15" s="449">
        <v>0</v>
      </c>
      <c r="W15" s="449">
        <v>0</v>
      </c>
      <c r="X15" s="449">
        <v>0</v>
      </c>
      <c r="Y15" s="449">
        <v>1000</v>
      </c>
      <c r="Z15" s="449">
        <v>0</v>
      </c>
      <c r="AA15" s="449">
        <v>0</v>
      </c>
      <c r="AB15" s="449">
        <v>0</v>
      </c>
    </row>
    <row r="16" spans="1:28" x14ac:dyDescent="0.2">
      <c r="D16">
        <v>100</v>
      </c>
      <c r="E16" t="e">
        <f t="shared" ca="1" si="0"/>
        <v>#NAME?</v>
      </c>
      <c r="F16" s="445" t="e">
        <f t="shared" ca="1" si="1"/>
        <v>#NAME?</v>
      </c>
      <c r="H16" s="449">
        <v>100</v>
      </c>
      <c r="I16" s="449">
        <v>0</v>
      </c>
      <c r="J16" s="449">
        <v>1</v>
      </c>
      <c r="K16" s="449">
        <v>1</v>
      </c>
      <c r="L16" s="449">
        <v>0</v>
      </c>
      <c r="M16" s="449">
        <v>-0.50000138999999999</v>
      </c>
      <c r="N16" s="449">
        <v>1</v>
      </c>
      <c r="O16" s="449">
        <v>1</v>
      </c>
      <c r="P16" s="449">
        <v>0</v>
      </c>
      <c r="Q16" s="449">
        <v>-0.50000184999999997</v>
      </c>
      <c r="R16" s="449">
        <v>1</v>
      </c>
      <c r="S16" s="449">
        <v>1E-4</v>
      </c>
      <c r="T16" s="449">
        <v>1E-4</v>
      </c>
      <c r="U16" s="449">
        <v>10000</v>
      </c>
      <c r="V16" s="449">
        <v>0</v>
      </c>
      <c r="W16" s="449">
        <v>0</v>
      </c>
      <c r="X16" s="449">
        <v>0</v>
      </c>
      <c r="Y16" s="449">
        <v>1000</v>
      </c>
      <c r="Z16" s="449">
        <v>0</v>
      </c>
      <c r="AA16" s="449">
        <v>0</v>
      </c>
      <c r="AB16" s="449">
        <v>0</v>
      </c>
    </row>
    <row r="17" spans="2:28" x14ac:dyDescent="0.2">
      <c r="D17">
        <v>50</v>
      </c>
      <c r="E17" t="e">
        <f t="shared" ca="1" si="0"/>
        <v>#NAME?</v>
      </c>
      <c r="F17" s="445" t="e">
        <f t="shared" ca="1" si="1"/>
        <v>#NAME?</v>
      </c>
      <c r="H17" s="449">
        <v>100</v>
      </c>
      <c r="I17" s="449">
        <v>0</v>
      </c>
      <c r="J17" s="449">
        <v>1</v>
      </c>
      <c r="K17" s="449">
        <v>1</v>
      </c>
      <c r="L17" s="449">
        <v>0</v>
      </c>
      <c r="M17" s="449">
        <v>-0.50000138999999999</v>
      </c>
      <c r="N17" s="449">
        <v>1</v>
      </c>
      <c r="O17" s="449">
        <v>1</v>
      </c>
      <c r="P17" s="449">
        <v>0</v>
      </c>
      <c r="Q17" s="447">
        <v>-1.8500000000000001E-6</v>
      </c>
      <c r="R17" s="449">
        <v>1</v>
      </c>
      <c r="S17" s="449">
        <v>0</v>
      </c>
      <c r="T17" s="449">
        <v>1000000</v>
      </c>
      <c r="U17" s="449">
        <v>10000</v>
      </c>
      <c r="V17" s="449">
        <v>0</v>
      </c>
      <c r="W17" s="449">
        <v>0</v>
      </c>
      <c r="X17" s="449">
        <v>0</v>
      </c>
      <c r="Y17" s="449">
        <v>1000</v>
      </c>
      <c r="Z17" s="449">
        <v>0</v>
      </c>
      <c r="AA17" s="449">
        <v>0</v>
      </c>
      <c r="AB17" s="449">
        <v>0</v>
      </c>
    </row>
    <row r="18" spans="2:28" x14ac:dyDescent="0.2">
      <c r="D18">
        <v>50.2</v>
      </c>
      <c r="E18" t="e">
        <f t="shared" ca="1" si="0"/>
        <v>#NAME?</v>
      </c>
      <c r="F18" s="445" t="e">
        <f t="shared" ca="1" si="1"/>
        <v>#NAME?</v>
      </c>
      <c r="H18" s="449">
        <v>100</v>
      </c>
      <c r="I18" s="449">
        <v>0</v>
      </c>
      <c r="J18" s="449">
        <v>1</v>
      </c>
      <c r="K18" s="449">
        <v>1</v>
      </c>
      <c r="L18" s="449">
        <v>0</v>
      </c>
      <c r="M18" s="449">
        <v>-0.50000138999999999</v>
      </c>
      <c r="N18" s="449">
        <v>1</v>
      </c>
      <c r="O18" s="449">
        <v>1</v>
      </c>
      <c r="P18" s="449">
        <v>0</v>
      </c>
      <c r="Q18" s="447">
        <v>-1.8500000000000001E-6</v>
      </c>
      <c r="R18" s="449">
        <v>1</v>
      </c>
      <c r="S18" s="449">
        <v>0</v>
      </c>
      <c r="T18" s="449">
        <v>1E-4</v>
      </c>
      <c r="U18" s="449">
        <v>10000</v>
      </c>
      <c r="V18" s="449">
        <v>0</v>
      </c>
      <c r="W18" s="449">
        <v>1</v>
      </c>
      <c r="X18" s="449">
        <v>0</v>
      </c>
      <c r="Y18" s="449">
        <v>1000</v>
      </c>
      <c r="Z18" s="449">
        <v>0</v>
      </c>
      <c r="AA18" s="449">
        <v>0</v>
      </c>
      <c r="AB18" s="449">
        <v>0</v>
      </c>
    </row>
    <row r="19" spans="2:28" x14ac:dyDescent="0.2">
      <c r="D19">
        <v>50.070710678099999</v>
      </c>
      <c r="E19" t="e">
        <f t="shared" ca="1" si="0"/>
        <v>#NAME?</v>
      </c>
      <c r="F19" s="445" t="e">
        <f t="shared" ca="1" si="1"/>
        <v>#NAME?</v>
      </c>
      <c r="H19" s="449">
        <v>100</v>
      </c>
      <c r="I19" s="449">
        <v>0</v>
      </c>
      <c r="J19" s="449">
        <v>1</v>
      </c>
      <c r="K19" s="449">
        <v>1</v>
      </c>
      <c r="L19" s="449">
        <v>0</v>
      </c>
      <c r="M19" s="449">
        <v>-0.50000138999999999</v>
      </c>
      <c r="N19" s="449">
        <v>1</v>
      </c>
      <c r="O19" s="449">
        <v>1</v>
      </c>
      <c r="P19" s="449">
        <v>0</v>
      </c>
      <c r="Q19" s="447">
        <v>-1.8500000000000001E-6</v>
      </c>
      <c r="R19" s="449">
        <v>1</v>
      </c>
      <c r="S19" s="449">
        <v>0</v>
      </c>
      <c r="T19" s="449">
        <v>1E-4</v>
      </c>
      <c r="U19" s="449">
        <v>10000</v>
      </c>
      <c r="V19" s="449">
        <v>0</v>
      </c>
      <c r="W19" s="449">
        <v>1</v>
      </c>
      <c r="X19" s="449">
        <v>0.78539816339699997</v>
      </c>
      <c r="Y19" s="449">
        <v>1000</v>
      </c>
      <c r="Z19" s="449">
        <v>0</v>
      </c>
      <c r="AA19" s="449">
        <v>0</v>
      </c>
      <c r="AB19" s="449">
        <v>0</v>
      </c>
    </row>
    <row r="20" spans="2:28" x14ac:dyDescent="0.2">
      <c r="D20">
        <v>52</v>
      </c>
      <c r="E20" t="e">
        <f t="shared" ca="1" si="0"/>
        <v>#NAME?</v>
      </c>
      <c r="F20" s="445" t="e">
        <f t="shared" ca="1" si="1"/>
        <v>#NAME?</v>
      </c>
      <c r="H20" s="449">
        <v>100</v>
      </c>
      <c r="I20" s="449">
        <v>0</v>
      </c>
      <c r="J20" s="449">
        <v>1</v>
      </c>
      <c r="K20" s="449">
        <v>1</v>
      </c>
      <c r="L20" s="449">
        <v>0</v>
      </c>
      <c r="M20" s="449">
        <v>-0.50000138999999999</v>
      </c>
      <c r="N20" s="449">
        <v>1</v>
      </c>
      <c r="O20" s="449">
        <v>1</v>
      </c>
      <c r="P20" s="449">
        <v>0</v>
      </c>
      <c r="Q20" s="447">
        <v>-1.8500000000000001E-6</v>
      </c>
      <c r="R20" s="449">
        <v>1</v>
      </c>
      <c r="S20" s="449">
        <v>0</v>
      </c>
      <c r="T20" s="449">
        <v>1E-4</v>
      </c>
      <c r="U20" s="449">
        <v>10000</v>
      </c>
      <c r="V20" s="449">
        <v>0</v>
      </c>
      <c r="W20" s="449">
        <v>1</v>
      </c>
      <c r="X20" s="449">
        <v>0</v>
      </c>
      <c r="Y20" s="449">
        <v>100</v>
      </c>
      <c r="Z20" s="449">
        <v>0</v>
      </c>
      <c r="AA20" s="449">
        <v>0</v>
      </c>
      <c r="AB20" s="449">
        <v>0</v>
      </c>
    </row>
    <row r="21" spans="2:28" x14ac:dyDescent="0.2">
      <c r="D21">
        <v>50.070710678099999</v>
      </c>
      <c r="E21" t="e">
        <f t="shared" ca="1" si="0"/>
        <v>#NAME?</v>
      </c>
      <c r="F21" s="445" t="e">
        <f t="shared" ca="1" si="1"/>
        <v>#NAME?</v>
      </c>
      <c r="H21" s="449">
        <v>100</v>
      </c>
      <c r="I21" s="449">
        <v>0</v>
      </c>
      <c r="J21" s="449">
        <v>1</v>
      </c>
      <c r="K21" s="449">
        <v>1</v>
      </c>
      <c r="L21" s="449">
        <v>0</v>
      </c>
      <c r="M21" s="449">
        <v>-0.50000138999999999</v>
      </c>
      <c r="N21" s="449">
        <v>1</v>
      </c>
      <c r="O21" s="449">
        <v>1</v>
      </c>
      <c r="P21" s="449">
        <v>0</v>
      </c>
      <c r="Q21" s="447">
        <v>-1.8500000000000001E-6</v>
      </c>
      <c r="R21" s="449">
        <v>1</v>
      </c>
      <c r="S21" s="449">
        <v>0</v>
      </c>
      <c r="T21" s="449">
        <v>1E-4</v>
      </c>
      <c r="U21" s="449">
        <v>10000</v>
      </c>
      <c r="V21" s="449">
        <v>0</v>
      </c>
      <c r="W21" s="449">
        <v>1</v>
      </c>
      <c r="X21" s="449">
        <v>0</v>
      </c>
      <c r="Y21" s="449">
        <v>1000</v>
      </c>
      <c r="Z21" s="449">
        <v>-0.78539816339699997</v>
      </c>
      <c r="AA21" s="449">
        <v>0</v>
      </c>
      <c r="AB21" s="449">
        <v>0</v>
      </c>
    </row>
    <row r="22" spans="2:28" x14ac:dyDescent="0.2">
      <c r="D22">
        <v>50.3</v>
      </c>
      <c r="E22" t="e">
        <f t="shared" ca="1" si="0"/>
        <v>#NAME?</v>
      </c>
      <c r="F22" s="445" t="e">
        <f t="shared" ca="1" si="1"/>
        <v>#NAME?</v>
      </c>
      <c r="H22" s="449">
        <v>100</v>
      </c>
      <c r="I22" s="449">
        <v>0</v>
      </c>
      <c r="J22" s="449">
        <v>1</v>
      </c>
      <c r="K22" s="449">
        <v>1</v>
      </c>
      <c r="L22" s="449">
        <v>0</v>
      </c>
      <c r="M22" s="449">
        <v>-0.50000138999999999</v>
      </c>
      <c r="N22" s="449">
        <v>1</v>
      </c>
      <c r="O22" s="449">
        <v>1</v>
      </c>
      <c r="P22" s="449">
        <v>0</v>
      </c>
      <c r="Q22" s="447">
        <v>-1.8500000000000001E-6</v>
      </c>
      <c r="R22" s="449">
        <v>1</v>
      </c>
      <c r="S22" s="449">
        <v>0</v>
      </c>
      <c r="T22" s="449">
        <v>1E-4</v>
      </c>
      <c r="U22" s="449">
        <v>10000</v>
      </c>
      <c r="V22" s="449">
        <v>0</v>
      </c>
      <c r="W22" s="449">
        <v>1</v>
      </c>
      <c r="X22" s="449">
        <v>0</v>
      </c>
      <c r="Y22" s="449">
        <v>1000</v>
      </c>
      <c r="Z22" s="449">
        <v>0</v>
      </c>
      <c r="AA22" s="449">
        <v>1E-4</v>
      </c>
      <c r="AB22" s="449">
        <v>0</v>
      </c>
    </row>
    <row r="23" spans="2:28" x14ac:dyDescent="0.2">
      <c r="D23">
        <v>50.2</v>
      </c>
      <c r="E23" t="e">
        <f t="shared" ca="1" si="0"/>
        <v>#NAME?</v>
      </c>
      <c r="F23" s="445" t="e">
        <f t="shared" ca="1" si="1"/>
        <v>#NAME?</v>
      </c>
      <c r="H23" s="449">
        <v>100</v>
      </c>
      <c r="I23" s="449">
        <v>0</v>
      </c>
      <c r="J23" s="449">
        <v>1</v>
      </c>
      <c r="K23" s="449">
        <v>1</v>
      </c>
      <c r="L23" s="449">
        <v>0</v>
      </c>
      <c r="M23" s="449">
        <v>-0.50000138999999999</v>
      </c>
      <c r="N23" s="449">
        <v>1</v>
      </c>
      <c r="O23" s="449">
        <v>1</v>
      </c>
      <c r="P23" s="449">
        <v>0</v>
      </c>
      <c r="Q23" s="447">
        <v>-1.8500000000000001E-6</v>
      </c>
      <c r="R23" s="449">
        <v>1</v>
      </c>
      <c r="S23" s="449">
        <v>0</v>
      </c>
      <c r="T23" s="449">
        <v>1E-4</v>
      </c>
      <c r="U23" s="449">
        <v>10000</v>
      </c>
      <c r="V23" s="449">
        <v>0</v>
      </c>
      <c r="W23" s="449">
        <v>1</v>
      </c>
      <c r="X23" s="449">
        <v>-1.57079632679</v>
      </c>
      <c r="Y23" s="449">
        <v>1000</v>
      </c>
      <c r="Z23" s="449">
        <v>0</v>
      </c>
      <c r="AA23" s="449">
        <v>0</v>
      </c>
      <c r="AB23" s="449">
        <v>1E-4</v>
      </c>
    </row>
    <row r="24" spans="2:28" x14ac:dyDescent="0.2">
      <c r="H24" s="95"/>
      <c r="I24" s="435"/>
      <c r="J24" s="284"/>
      <c r="K24" s="95"/>
      <c r="L24" s="284"/>
      <c r="M24" s="95"/>
      <c r="N24" s="95"/>
      <c r="O24" s="95"/>
      <c r="P24" s="95"/>
      <c r="Q24" s="95"/>
      <c r="R24" s="435"/>
      <c r="S24" s="95"/>
      <c r="T24" s="95"/>
      <c r="U24" s="95"/>
      <c r="V24" s="95"/>
      <c r="W24" s="447"/>
      <c r="X24" s="95"/>
      <c r="Y24" s="95"/>
      <c r="Z24" s="95"/>
      <c r="AA24" s="95"/>
      <c r="AB24" s="95"/>
    </row>
    <row r="25" spans="2:28" ht="51" x14ac:dyDescent="0.2">
      <c r="B25" s="6" t="s">
        <v>209</v>
      </c>
      <c r="H25" s="448" t="s">
        <v>196</v>
      </c>
      <c r="I25" s="448" t="s">
        <v>196</v>
      </c>
      <c r="J25" s="448" t="s">
        <v>197</v>
      </c>
      <c r="K25" s="448" t="s">
        <v>249</v>
      </c>
      <c r="L25" s="448" t="s">
        <v>250</v>
      </c>
      <c r="M25" s="448" t="s">
        <v>198</v>
      </c>
      <c r="N25" s="448" t="s">
        <v>199</v>
      </c>
      <c r="O25" s="14" t="s">
        <v>180</v>
      </c>
      <c r="P25" s="448" t="s">
        <v>180</v>
      </c>
      <c r="Q25" s="448" t="s">
        <v>200</v>
      </c>
      <c r="R25" s="448" t="s">
        <v>201</v>
      </c>
      <c r="S25" s="448" t="s">
        <v>208</v>
      </c>
      <c r="T25" s="448" t="s">
        <v>207</v>
      </c>
      <c r="U25" s="448" t="s">
        <v>251</v>
      </c>
      <c r="V25" s="448" t="s">
        <v>251</v>
      </c>
      <c r="W25" s="448" t="s">
        <v>202</v>
      </c>
      <c r="X25" s="448" t="s">
        <v>203</v>
      </c>
      <c r="Y25" s="448" t="s">
        <v>204</v>
      </c>
      <c r="Z25" s="448" t="s">
        <v>205</v>
      </c>
      <c r="AA25" s="448" t="s">
        <v>206</v>
      </c>
      <c r="AB25" s="448" t="s">
        <v>255</v>
      </c>
    </row>
    <row r="26" spans="2:28" x14ac:dyDescent="0.2">
      <c r="D26">
        <v>50</v>
      </c>
      <c r="E26" t="e">
        <f ca="1">Vars(H26:AB26)</f>
        <v>#NAME?</v>
      </c>
      <c r="F26" s="445" t="e">
        <f ca="1">IF(ABS(1 - D26/E26)&lt;$F$2,"PASS","FAIL")</f>
        <v>#NAME?</v>
      </c>
      <c r="H26" s="449">
        <v>100</v>
      </c>
      <c r="I26" s="449">
        <v>0</v>
      </c>
      <c r="J26" s="449">
        <v>1</v>
      </c>
      <c r="K26" s="449">
        <v>1</v>
      </c>
      <c r="L26" s="449">
        <v>0</v>
      </c>
      <c r="M26" s="447">
        <v>-1.39E-6</v>
      </c>
      <c r="N26" s="449">
        <v>1</v>
      </c>
      <c r="O26" s="449">
        <v>1</v>
      </c>
      <c r="P26" s="449">
        <v>0</v>
      </c>
      <c r="Q26" s="449">
        <v>-0.50000184999999997</v>
      </c>
      <c r="R26" s="449">
        <v>1</v>
      </c>
      <c r="S26" s="449">
        <v>0</v>
      </c>
      <c r="T26" s="449">
        <v>1E-4</v>
      </c>
      <c r="U26" s="449">
        <v>10000</v>
      </c>
      <c r="V26" s="449">
        <v>0</v>
      </c>
      <c r="W26" s="449">
        <v>0</v>
      </c>
      <c r="X26" s="449">
        <v>0</v>
      </c>
      <c r="Y26" s="449">
        <v>1000</v>
      </c>
      <c r="Z26" s="449">
        <v>0</v>
      </c>
      <c r="AA26" s="449">
        <v>0</v>
      </c>
      <c r="AB26" s="449">
        <v>0</v>
      </c>
    </row>
    <row r="27" spans="2:28" x14ac:dyDescent="0.2">
      <c r="D27">
        <v>35.3553390593</v>
      </c>
      <c r="E27" t="e">
        <f t="shared" ref="E27:E43" ca="1" si="2">Vars(H27:AB27)</f>
        <v>#NAME?</v>
      </c>
      <c r="F27" s="445" t="e">
        <f ca="1">IF(ABS(1 - D27/E27)&lt;$F$2,"PASS","FAIL")</f>
        <v>#NAME?</v>
      </c>
      <c r="H27" s="449">
        <v>70.710678118700002</v>
      </c>
      <c r="I27" s="449">
        <v>70.710678118700002</v>
      </c>
      <c r="J27" s="449">
        <v>1</v>
      </c>
      <c r="K27" s="449">
        <v>1</v>
      </c>
      <c r="L27" s="449">
        <v>0</v>
      </c>
      <c r="M27" s="447">
        <v>-1.39E-6</v>
      </c>
      <c r="N27" s="449">
        <v>1</v>
      </c>
      <c r="O27" s="449">
        <v>1</v>
      </c>
      <c r="P27" s="449">
        <v>0</v>
      </c>
      <c r="Q27" s="449">
        <v>-0.50000184999999997</v>
      </c>
      <c r="R27" s="449">
        <v>1</v>
      </c>
      <c r="S27" s="449">
        <v>0</v>
      </c>
      <c r="T27" s="449">
        <v>1E-4</v>
      </c>
      <c r="U27" s="449">
        <v>10000</v>
      </c>
      <c r="V27" s="449">
        <v>0</v>
      </c>
      <c r="W27" s="449">
        <v>0</v>
      </c>
      <c r="X27" s="449">
        <v>0</v>
      </c>
      <c r="Y27" s="449">
        <v>1000</v>
      </c>
      <c r="Z27" s="449">
        <v>0</v>
      </c>
      <c r="AA27" s="449">
        <v>0</v>
      </c>
      <c r="AB27" s="449">
        <v>0</v>
      </c>
    </row>
    <row r="28" spans="2:28" x14ac:dyDescent="0.2">
      <c r="D28">
        <v>200</v>
      </c>
      <c r="E28" t="e">
        <f t="shared" ca="1" si="2"/>
        <v>#NAME?</v>
      </c>
      <c r="F28" s="445" t="e">
        <f ca="1">IF(ABS(1 - D28/E28)&lt;$F$2,"PASS","FAIL")</f>
        <v>#NAME?</v>
      </c>
      <c r="H28" s="449">
        <v>100</v>
      </c>
      <c r="I28" s="449">
        <v>0</v>
      </c>
      <c r="J28" s="449">
        <v>2</v>
      </c>
      <c r="K28" s="449">
        <v>1</v>
      </c>
      <c r="L28" s="449">
        <v>0</v>
      </c>
      <c r="M28" s="447">
        <v>-2.7800000000000001E-6</v>
      </c>
      <c r="N28" s="449">
        <v>1</v>
      </c>
      <c r="O28" s="449">
        <v>1</v>
      </c>
      <c r="P28" s="449">
        <v>0</v>
      </c>
      <c r="Q28" s="449">
        <v>-0.50000370000000005</v>
      </c>
      <c r="R28" s="449">
        <v>1</v>
      </c>
      <c r="S28" s="449">
        <v>0</v>
      </c>
      <c r="T28" s="449">
        <v>1E-4</v>
      </c>
      <c r="U28" s="449">
        <v>10000</v>
      </c>
      <c r="V28" s="449">
        <v>0</v>
      </c>
      <c r="W28" s="449">
        <v>0</v>
      </c>
      <c r="X28" s="449">
        <v>0</v>
      </c>
      <c r="Y28" s="449">
        <v>1000</v>
      </c>
      <c r="Z28" s="449">
        <v>0</v>
      </c>
      <c r="AA28" s="449">
        <v>0</v>
      </c>
      <c r="AB28" s="449">
        <v>0</v>
      </c>
    </row>
    <row r="29" spans="2:28" x14ac:dyDescent="0.2">
      <c r="D29">
        <v>250</v>
      </c>
      <c r="E29" t="e">
        <f t="shared" ca="1" si="2"/>
        <v>#NAME?</v>
      </c>
      <c r="F29" s="445" t="e">
        <f ca="1">IF(ABS(1 - D29/E29)&lt;$F$2,"PASS","FAIL")</f>
        <v>#NAME?</v>
      </c>
      <c r="H29" s="449">
        <v>100</v>
      </c>
      <c r="I29" s="449">
        <v>0</v>
      </c>
      <c r="J29" s="449">
        <v>1</v>
      </c>
      <c r="K29" s="449">
        <v>0.2</v>
      </c>
      <c r="L29" s="449">
        <v>0</v>
      </c>
      <c r="M29" s="447">
        <v>-1.39E-6</v>
      </c>
      <c r="N29" s="449">
        <v>1</v>
      </c>
      <c r="O29" s="449">
        <v>1</v>
      </c>
      <c r="P29" s="449">
        <v>0</v>
      </c>
      <c r="Q29" s="449">
        <v>-0.50000184999999997</v>
      </c>
      <c r="R29" s="449">
        <v>1</v>
      </c>
      <c r="S29" s="449">
        <v>0</v>
      </c>
      <c r="T29" s="449">
        <v>1E-4</v>
      </c>
      <c r="U29" s="449">
        <v>10000</v>
      </c>
      <c r="V29" s="449">
        <v>0</v>
      </c>
      <c r="W29" s="449">
        <v>0</v>
      </c>
      <c r="X29" s="449">
        <v>0</v>
      </c>
      <c r="Y29" s="449">
        <v>1000</v>
      </c>
      <c r="Z29" s="449">
        <v>0</v>
      </c>
      <c r="AA29" s="449">
        <v>0</v>
      </c>
      <c r="AB29" s="449">
        <v>0</v>
      </c>
    </row>
    <row r="30" spans="2:28" x14ac:dyDescent="0.2">
      <c r="D30">
        <v>35.3553390593</v>
      </c>
      <c r="E30" t="e">
        <f t="shared" ca="1" si="2"/>
        <v>#NAME?</v>
      </c>
      <c r="F30" s="445" t="e">
        <f t="shared" ref="F30:F43" ca="1" si="3">IF(ABS(1 - D30/E30)&lt;$F$2,"PASS","FAIL")</f>
        <v>#NAME?</v>
      </c>
      <c r="H30" s="449">
        <v>100</v>
      </c>
      <c r="I30" s="449">
        <v>0</v>
      </c>
      <c r="J30" s="449">
        <v>1</v>
      </c>
      <c r="K30" s="449">
        <v>0.70710678118699999</v>
      </c>
      <c r="L30" s="449">
        <v>0.70710678118699999</v>
      </c>
      <c r="M30" s="447">
        <v>-1.39E-6</v>
      </c>
      <c r="N30" s="449">
        <v>1</v>
      </c>
      <c r="O30" s="449">
        <v>1</v>
      </c>
      <c r="P30" s="449">
        <v>0</v>
      </c>
      <c r="Q30" s="449">
        <v>-0.50000184999999997</v>
      </c>
      <c r="R30" s="449">
        <v>1</v>
      </c>
      <c r="S30" s="449">
        <v>0</v>
      </c>
      <c r="T30" s="449">
        <v>1E-4</v>
      </c>
      <c r="U30" s="449">
        <v>10000</v>
      </c>
      <c r="V30" s="449">
        <v>0</v>
      </c>
      <c r="W30" s="449">
        <v>0</v>
      </c>
      <c r="X30" s="449">
        <v>0</v>
      </c>
      <c r="Y30" s="449">
        <v>1000</v>
      </c>
      <c r="Z30" s="449">
        <v>0</v>
      </c>
      <c r="AA30" s="449">
        <v>0</v>
      </c>
      <c r="AB30" s="449">
        <v>0</v>
      </c>
    </row>
    <row r="31" spans="2:28" x14ac:dyDescent="0.2">
      <c r="D31">
        <v>-50</v>
      </c>
      <c r="E31" t="e">
        <f t="shared" ca="1" si="2"/>
        <v>#NAME?</v>
      </c>
      <c r="F31" s="445" t="e">
        <f t="shared" ca="1" si="3"/>
        <v>#NAME?</v>
      </c>
      <c r="H31" s="449">
        <v>100</v>
      </c>
      <c r="I31" s="449">
        <v>0</v>
      </c>
      <c r="J31" s="449">
        <v>1</v>
      </c>
      <c r="K31" s="449">
        <v>1</v>
      </c>
      <c r="L31" s="449">
        <v>0</v>
      </c>
      <c r="M31" s="447">
        <v>-1.39E-6</v>
      </c>
      <c r="N31" s="449">
        <v>1</v>
      </c>
      <c r="O31" s="449">
        <v>1</v>
      </c>
      <c r="P31" s="449">
        <v>0</v>
      </c>
      <c r="Q31" s="449">
        <v>0.49999814999999997</v>
      </c>
      <c r="R31" s="449">
        <v>1</v>
      </c>
      <c r="S31" s="449">
        <v>0</v>
      </c>
      <c r="T31" s="449">
        <v>1E-4</v>
      </c>
      <c r="U31" s="449">
        <v>10000</v>
      </c>
      <c r="V31" s="449">
        <v>0</v>
      </c>
      <c r="W31" s="449">
        <v>0</v>
      </c>
      <c r="X31" s="449">
        <v>0</v>
      </c>
      <c r="Y31" s="449">
        <v>1000</v>
      </c>
      <c r="Z31" s="449">
        <v>0</v>
      </c>
      <c r="AA31" s="449">
        <v>0</v>
      </c>
      <c r="AB31" s="449">
        <v>0</v>
      </c>
    </row>
    <row r="32" spans="2:28" x14ac:dyDescent="0.2">
      <c r="D32">
        <v>100</v>
      </c>
      <c r="E32" t="e">
        <f t="shared" ca="1" si="2"/>
        <v>#NAME?</v>
      </c>
      <c r="F32" s="445" t="e">
        <f t="shared" ca="1" si="3"/>
        <v>#NAME?</v>
      </c>
      <c r="H32" s="449">
        <v>100</v>
      </c>
      <c r="I32" s="449">
        <v>0</v>
      </c>
      <c r="J32" s="449">
        <v>1</v>
      </c>
      <c r="K32" s="449">
        <v>1</v>
      </c>
      <c r="L32" s="449">
        <v>0</v>
      </c>
      <c r="M32" s="447">
        <v>-2.7199999999999998E-6</v>
      </c>
      <c r="N32" s="449">
        <v>1</v>
      </c>
      <c r="O32" s="449">
        <v>1</v>
      </c>
      <c r="P32" s="449">
        <v>0</v>
      </c>
      <c r="Q32" s="449">
        <v>-0.50000093000000001</v>
      </c>
      <c r="R32" s="449">
        <v>2</v>
      </c>
      <c r="S32" s="449">
        <v>0</v>
      </c>
      <c r="T32" s="449">
        <v>1E-4</v>
      </c>
      <c r="U32" s="449">
        <v>10000</v>
      </c>
      <c r="V32" s="449">
        <v>0</v>
      </c>
      <c r="W32" s="449">
        <v>0</v>
      </c>
      <c r="X32" s="449">
        <v>0</v>
      </c>
      <c r="Y32" s="449">
        <v>1000</v>
      </c>
      <c r="Z32" s="449">
        <v>0</v>
      </c>
      <c r="AA32" s="449">
        <v>0</v>
      </c>
      <c r="AB32" s="449">
        <v>0</v>
      </c>
    </row>
    <row r="33" spans="2:28" x14ac:dyDescent="0.2">
      <c r="D33">
        <v>50</v>
      </c>
      <c r="E33" t="e">
        <f t="shared" ca="1" si="2"/>
        <v>#NAME?</v>
      </c>
      <c r="F33" s="445" t="e">
        <f t="shared" ca="1" si="3"/>
        <v>#NAME?</v>
      </c>
      <c r="H33" s="449">
        <v>100</v>
      </c>
      <c r="I33" s="449">
        <v>0</v>
      </c>
      <c r="J33" s="449">
        <v>1</v>
      </c>
      <c r="K33" s="449">
        <v>1</v>
      </c>
      <c r="L33" s="449">
        <v>0</v>
      </c>
      <c r="M33" s="447">
        <v>-1.39E-6</v>
      </c>
      <c r="N33" s="449">
        <v>1</v>
      </c>
      <c r="O33" s="449">
        <v>0.70710678118699999</v>
      </c>
      <c r="P33" s="449">
        <v>0.70710678118699999</v>
      </c>
      <c r="Q33" s="449">
        <v>-0.50000184999999997</v>
      </c>
      <c r="R33" s="449">
        <v>1</v>
      </c>
      <c r="S33" s="449">
        <v>0</v>
      </c>
      <c r="T33" s="449">
        <v>1E-4</v>
      </c>
      <c r="U33" s="449">
        <v>10000</v>
      </c>
      <c r="V33" s="449">
        <v>0</v>
      </c>
      <c r="W33" s="449">
        <v>0</v>
      </c>
      <c r="X33" s="449">
        <v>0</v>
      </c>
      <c r="Y33" s="449">
        <v>1000</v>
      </c>
      <c r="Z33" s="449">
        <v>0</v>
      </c>
      <c r="AA33" s="449">
        <v>0</v>
      </c>
      <c r="AB33" s="449">
        <v>0</v>
      </c>
    </row>
    <row r="34" spans="2:28" x14ac:dyDescent="0.2">
      <c r="D34">
        <v>50</v>
      </c>
      <c r="E34" t="e">
        <f t="shared" ca="1" si="2"/>
        <v>#NAME?</v>
      </c>
      <c r="F34" s="445" t="e">
        <f t="shared" ca="1" si="3"/>
        <v>#NAME?</v>
      </c>
      <c r="H34" s="449">
        <v>100</v>
      </c>
      <c r="I34" s="449">
        <v>0</v>
      </c>
      <c r="J34" s="449">
        <v>1</v>
      </c>
      <c r="K34" s="449">
        <v>1</v>
      </c>
      <c r="L34" s="449">
        <v>0</v>
      </c>
      <c r="M34" s="449">
        <v>-0.50000138999999999</v>
      </c>
      <c r="N34" s="449">
        <v>1</v>
      </c>
      <c r="O34" s="449">
        <v>1</v>
      </c>
      <c r="P34" s="449">
        <v>0</v>
      </c>
      <c r="Q34" s="449">
        <v>-0.50000184999999997</v>
      </c>
      <c r="R34" s="449">
        <v>1</v>
      </c>
      <c r="S34" s="449">
        <v>0</v>
      </c>
      <c r="T34" s="449">
        <v>1E-4</v>
      </c>
      <c r="U34" s="449">
        <v>10000</v>
      </c>
      <c r="V34" s="449">
        <v>0</v>
      </c>
      <c r="W34" s="449">
        <v>0</v>
      </c>
      <c r="X34" s="449">
        <v>0</v>
      </c>
      <c r="Y34" s="449">
        <v>1000</v>
      </c>
      <c r="Z34" s="449">
        <v>0</v>
      </c>
      <c r="AA34" s="449">
        <v>0</v>
      </c>
      <c r="AB34" s="449">
        <v>0</v>
      </c>
    </row>
    <row r="35" spans="2:28" x14ac:dyDescent="0.2">
      <c r="D35">
        <v>50</v>
      </c>
      <c r="E35" t="e">
        <f t="shared" ca="1" si="2"/>
        <v>#NAME?</v>
      </c>
      <c r="F35" s="445" t="e">
        <f t="shared" ca="1" si="3"/>
        <v>#NAME?</v>
      </c>
      <c r="H35" s="449">
        <v>100</v>
      </c>
      <c r="I35" s="449">
        <v>0</v>
      </c>
      <c r="J35" s="449">
        <v>1</v>
      </c>
      <c r="K35" s="449">
        <v>1</v>
      </c>
      <c r="L35" s="449">
        <v>0</v>
      </c>
      <c r="M35" s="447">
        <v>-1.39E-6</v>
      </c>
      <c r="N35" s="449">
        <v>0.5</v>
      </c>
      <c r="O35" s="449">
        <v>1</v>
      </c>
      <c r="P35" s="449">
        <v>0</v>
      </c>
      <c r="Q35" s="449">
        <v>-0.50000093000000001</v>
      </c>
      <c r="R35" s="449">
        <v>1</v>
      </c>
      <c r="S35" s="449">
        <v>0</v>
      </c>
      <c r="T35" s="449">
        <v>1E-4</v>
      </c>
      <c r="U35" s="449">
        <v>10000</v>
      </c>
      <c r="V35" s="449">
        <v>0</v>
      </c>
      <c r="W35" s="449">
        <v>0</v>
      </c>
      <c r="X35" s="449">
        <v>0</v>
      </c>
      <c r="Y35" s="449">
        <v>1000</v>
      </c>
      <c r="Z35" s="449">
        <v>0</v>
      </c>
      <c r="AA35" s="449">
        <v>0</v>
      </c>
      <c r="AB35" s="449">
        <v>0</v>
      </c>
    </row>
    <row r="36" spans="2:28" x14ac:dyDescent="0.2">
      <c r="D36">
        <v>50</v>
      </c>
      <c r="E36" t="e">
        <f t="shared" ca="1" si="2"/>
        <v>#NAME?</v>
      </c>
      <c r="F36" s="445" t="e">
        <f t="shared" ca="1" si="3"/>
        <v>#NAME?</v>
      </c>
      <c r="H36" s="449">
        <v>100</v>
      </c>
      <c r="I36" s="449">
        <v>0</v>
      </c>
      <c r="J36" s="449">
        <v>1</v>
      </c>
      <c r="K36" s="449">
        <v>1</v>
      </c>
      <c r="L36" s="449">
        <v>0</v>
      </c>
      <c r="M36" s="449">
        <v>-0.50000138999999999</v>
      </c>
      <c r="N36" s="449">
        <v>1</v>
      </c>
      <c r="O36" s="449">
        <v>1</v>
      </c>
      <c r="P36" s="449">
        <v>0</v>
      </c>
      <c r="Q36" s="449">
        <v>-0.50000184999999997</v>
      </c>
      <c r="R36" s="449">
        <v>1</v>
      </c>
      <c r="S36" s="447">
        <v>10000000</v>
      </c>
      <c r="T36" s="449">
        <v>1E-4</v>
      </c>
      <c r="U36" s="449">
        <v>10000</v>
      </c>
      <c r="V36" s="449">
        <v>0</v>
      </c>
      <c r="W36" s="449">
        <v>0</v>
      </c>
      <c r="X36" s="449">
        <v>0</v>
      </c>
      <c r="Y36" s="449">
        <v>1000</v>
      </c>
      <c r="Z36" s="449">
        <v>0</v>
      </c>
      <c r="AA36" s="449">
        <v>0</v>
      </c>
      <c r="AB36" s="449">
        <v>0</v>
      </c>
    </row>
    <row r="37" spans="2:28" x14ac:dyDescent="0.2">
      <c r="D37">
        <v>100</v>
      </c>
      <c r="E37" t="e">
        <f t="shared" ca="1" si="2"/>
        <v>#NAME?</v>
      </c>
      <c r="F37" s="445" t="e">
        <f t="shared" ca="1" si="3"/>
        <v>#NAME?</v>
      </c>
      <c r="H37" s="449">
        <v>100</v>
      </c>
      <c r="I37" s="449">
        <v>0</v>
      </c>
      <c r="J37" s="449">
        <v>1</v>
      </c>
      <c r="K37" s="449">
        <v>1</v>
      </c>
      <c r="L37" s="449">
        <v>0</v>
      </c>
      <c r="M37" s="447">
        <v>-1.39E-6</v>
      </c>
      <c r="N37" s="449">
        <v>1</v>
      </c>
      <c r="O37" s="449">
        <v>1</v>
      </c>
      <c r="P37" s="449">
        <v>0</v>
      </c>
      <c r="Q37" s="449">
        <v>-0.50000184999999997</v>
      </c>
      <c r="R37" s="449">
        <v>1</v>
      </c>
      <c r="S37" s="449">
        <v>0</v>
      </c>
      <c r="T37" s="449">
        <v>2.0000000000000001E-4</v>
      </c>
      <c r="U37" s="449">
        <v>10000</v>
      </c>
      <c r="V37" s="449">
        <v>0</v>
      </c>
      <c r="W37" s="449">
        <v>0</v>
      </c>
      <c r="X37" s="449">
        <v>0</v>
      </c>
      <c r="Y37" s="449">
        <v>1000</v>
      </c>
      <c r="Z37" s="449">
        <v>0</v>
      </c>
      <c r="AA37" s="449">
        <v>0</v>
      </c>
      <c r="AB37" s="449">
        <v>0</v>
      </c>
    </row>
    <row r="38" spans="2:28" x14ac:dyDescent="0.2">
      <c r="D38">
        <v>100.2</v>
      </c>
      <c r="E38" t="e">
        <f t="shared" ca="1" si="2"/>
        <v>#NAME?</v>
      </c>
      <c r="F38" s="445" t="e">
        <f t="shared" ca="1" si="3"/>
        <v>#NAME?</v>
      </c>
      <c r="H38" s="449">
        <v>100</v>
      </c>
      <c r="I38" s="449">
        <v>0</v>
      </c>
      <c r="J38" s="449">
        <v>1</v>
      </c>
      <c r="K38" s="449">
        <v>1</v>
      </c>
      <c r="L38" s="449">
        <v>0</v>
      </c>
      <c r="M38" s="447">
        <v>-1.39E-6</v>
      </c>
      <c r="N38" s="449">
        <v>1</v>
      </c>
      <c r="O38" s="449">
        <v>1</v>
      </c>
      <c r="P38" s="449">
        <v>0</v>
      </c>
      <c r="Q38" s="449">
        <v>-0.50000184999999997</v>
      </c>
      <c r="R38" s="449">
        <v>1</v>
      </c>
      <c r="S38" s="449">
        <v>0</v>
      </c>
      <c r="T38" s="449">
        <v>1E-4</v>
      </c>
      <c r="U38" s="449">
        <v>20000</v>
      </c>
      <c r="V38" s="449">
        <v>0</v>
      </c>
      <c r="W38" s="449">
        <v>1</v>
      </c>
      <c r="X38" s="449">
        <v>0</v>
      </c>
      <c r="Y38" s="449">
        <v>1000</v>
      </c>
      <c r="Z38" s="449">
        <v>0</v>
      </c>
      <c r="AA38" s="449">
        <v>0</v>
      </c>
      <c r="AB38" s="449">
        <v>0</v>
      </c>
    </row>
    <row r="39" spans="2:28" x14ac:dyDescent="0.2">
      <c r="D39">
        <v>50.2121320344</v>
      </c>
      <c r="E39" t="e">
        <f t="shared" ca="1" si="2"/>
        <v>#NAME?</v>
      </c>
      <c r="F39" s="445" t="e">
        <f t="shared" ca="1" si="3"/>
        <v>#NAME?</v>
      </c>
      <c r="H39" s="449">
        <v>100</v>
      </c>
      <c r="I39" s="449">
        <v>0</v>
      </c>
      <c r="J39" s="449">
        <v>1</v>
      </c>
      <c r="K39" s="449">
        <v>1</v>
      </c>
      <c r="L39" s="449">
        <v>0</v>
      </c>
      <c r="M39" s="447">
        <v>-1.39E-6</v>
      </c>
      <c r="N39" s="449">
        <v>1</v>
      </c>
      <c r="O39" s="449">
        <v>1</v>
      </c>
      <c r="P39" s="449">
        <v>0</v>
      </c>
      <c r="Q39" s="449">
        <v>-0.50000184999999997</v>
      </c>
      <c r="R39" s="449">
        <v>1</v>
      </c>
      <c r="S39" s="449">
        <v>0</v>
      </c>
      <c r="T39" s="449">
        <v>1E-4</v>
      </c>
      <c r="U39" s="449">
        <v>10000</v>
      </c>
      <c r="V39" s="449">
        <v>0</v>
      </c>
      <c r="W39" s="449">
        <v>1</v>
      </c>
      <c r="X39" s="449">
        <v>0.78539816339699997</v>
      </c>
      <c r="Y39" s="449">
        <v>1000</v>
      </c>
      <c r="Z39" s="449">
        <v>0</v>
      </c>
      <c r="AA39" s="449">
        <v>0</v>
      </c>
      <c r="AB39" s="449">
        <v>0</v>
      </c>
    </row>
    <row r="40" spans="2:28" x14ac:dyDescent="0.2">
      <c r="D40">
        <v>51</v>
      </c>
      <c r="E40" t="e">
        <f t="shared" ca="1" si="2"/>
        <v>#NAME?</v>
      </c>
      <c r="F40" s="445" t="e">
        <f t="shared" ca="1" si="3"/>
        <v>#NAME?</v>
      </c>
      <c r="H40" s="449">
        <v>100</v>
      </c>
      <c r="I40" s="449">
        <v>0</v>
      </c>
      <c r="J40" s="449">
        <v>1</v>
      </c>
      <c r="K40" s="449">
        <v>1</v>
      </c>
      <c r="L40" s="449">
        <v>0</v>
      </c>
      <c r="M40" s="447">
        <v>-1.39E-6</v>
      </c>
      <c r="N40" s="449">
        <v>1</v>
      </c>
      <c r="O40" s="449">
        <v>1</v>
      </c>
      <c r="P40" s="449">
        <v>0</v>
      </c>
      <c r="Q40" s="449">
        <v>-0.50000184999999997</v>
      </c>
      <c r="R40" s="449">
        <v>1</v>
      </c>
      <c r="S40" s="449">
        <v>0</v>
      </c>
      <c r="T40" s="449">
        <v>1E-4</v>
      </c>
      <c r="U40" s="449">
        <v>10000</v>
      </c>
      <c r="V40" s="449">
        <v>0</v>
      </c>
      <c r="W40" s="449">
        <v>1</v>
      </c>
      <c r="X40" s="449">
        <v>0</v>
      </c>
      <c r="Y40" s="449">
        <v>100</v>
      </c>
      <c r="Z40" s="449">
        <v>0</v>
      </c>
      <c r="AA40" s="449">
        <v>0</v>
      </c>
      <c r="AB40" s="449">
        <v>0</v>
      </c>
    </row>
    <row r="41" spans="2:28" x14ac:dyDescent="0.2">
      <c r="D41">
        <v>50.2121320344</v>
      </c>
      <c r="E41" t="e">
        <f t="shared" ca="1" si="2"/>
        <v>#NAME?</v>
      </c>
      <c r="F41" s="445" t="e">
        <f t="shared" ca="1" si="3"/>
        <v>#NAME?</v>
      </c>
      <c r="H41" s="449">
        <v>100</v>
      </c>
      <c r="I41" s="449">
        <v>0</v>
      </c>
      <c r="J41" s="449">
        <v>1</v>
      </c>
      <c r="K41" s="449">
        <v>1</v>
      </c>
      <c r="L41" s="449">
        <v>0</v>
      </c>
      <c r="M41" s="447">
        <v>-1.39E-6</v>
      </c>
      <c r="N41" s="449">
        <v>1</v>
      </c>
      <c r="O41" s="449">
        <v>1</v>
      </c>
      <c r="P41" s="449">
        <v>0</v>
      </c>
      <c r="Q41" s="449">
        <v>-0.50000184999999997</v>
      </c>
      <c r="R41" s="449">
        <v>1</v>
      </c>
      <c r="S41" s="449">
        <v>0</v>
      </c>
      <c r="T41" s="449">
        <v>1E-4</v>
      </c>
      <c r="U41" s="449">
        <v>10000</v>
      </c>
      <c r="V41" s="449">
        <v>0</v>
      </c>
      <c r="W41" s="449">
        <v>1</v>
      </c>
      <c r="X41" s="449">
        <v>0</v>
      </c>
      <c r="Y41" s="449">
        <v>1000</v>
      </c>
      <c r="Z41" s="449">
        <v>-0.78539816339699997</v>
      </c>
      <c r="AA41" s="449">
        <v>0</v>
      </c>
      <c r="AB41" s="449">
        <v>0</v>
      </c>
    </row>
    <row r="42" spans="2:28" x14ac:dyDescent="0.2">
      <c r="D42">
        <v>50.1</v>
      </c>
      <c r="E42" t="e">
        <f t="shared" ca="1" si="2"/>
        <v>#NAME?</v>
      </c>
      <c r="F42" s="445" t="e">
        <f t="shared" ca="1" si="3"/>
        <v>#NAME?</v>
      </c>
      <c r="H42" s="449">
        <v>100</v>
      </c>
      <c r="I42" s="449">
        <v>0</v>
      </c>
      <c r="J42" s="449">
        <v>1</v>
      </c>
      <c r="K42" s="449">
        <v>1</v>
      </c>
      <c r="L42" s="449">
        <v>0</v>
      </c>
      <c r="M42" s="447">
        <v>-1.39E-6</v>
      </c>
      <c r="N42" s="449">
        <v>1</v>
      </c>
      <c r="O42" s="449">
        <v>1</v>
      </c>
      <c r="P42" s="449">
        <v>0</v>
      </c>
      <c r="Q42" s="449">
        <v>-0.50000184999999997</v>
      </c>
      <c r="R42" s="449">
        <v>1</v>
      </c>
      <c r="S42" s="449">
        <v>0</v>
      </c>
      <c r="T42" s="449">
        <v>1E-4</v>
      </c>
      <c r="U42" s="449">
        <v>10000</v>
      </c>
      <c r="V42" s="449">
        <v>0</v>
      </c>
      <c r="W42" s="449">
        <v>1</v>
      </c>
      <c r="X42" s="449">
        <v>0</v>
      </c>
      <c r="Y42" s="449">
        <v>1000</v>
      </c>
      <c r="Z42" s="449">
        <v>0</v>
      </c>
      <c r="AA42" s="449">
        <v>1E-4</v>
      </c>
      <c r="AB42" s="449">
        <v>0</v>
      </c>
    </row>
    <row r="43" spans="2:28" x14ac:dyDescent="0.2">
      <c r="D43">
        <v>49.8</v>
      </c>
      <c r="E43" t="e">
        <f t="shared" ca="1" si="2"/>
        <v>#NAME?</v>
      </c>
      <c r="F43" s="445" t="e">
        <f t="shared" ca="1" si="3"/>
        <v>#NAME?</v>
      </c>
      <c r="H43" s="449">
        <v>100</v>
      </c>
      <c r="I43" s="449">
        <v>0</v>
      </c>
      <c r="J43" s="449">
        <v>1</v>
      </c>
      <c r="K43" s="449">
        <v>1</v>
      </c>
      <c r="L43" s="449">
        <v>0</v>
      </c>
      <c r="M43" s="447">
        <v>-1.39E-6</v>
      </c>
      <c r="N43" s="449">
        <v>1</v>
      </c>
      <c r="O43" s="449">
        <v>1</v>
      </c>
      <c r="P43" s="449">
        <v>0</v>
      </c>
      <c r="Q43" s="449">
        <v>-0.50000184999999997</v>
      </c>
      <c r="R43" s="449">
        <v>1</v>
      </c>
      <c r="S43" s="449">
        <v>0</v>
      </c>
      <c r="T43" s="449">
        <v>1E-4</v>
      </c>
      <c r="U43" s="449">
        <v>10000</v>
      </c>
      <c r="V43" s="449">
        <v>0</v>
      </c>
      <c r="W43" s="449">
        <v>1</v>
      </c>
      <c r="X43" s="449">
        <v>-1.57079632679</v>
      </c>
      <c r="Y43" s="449">
        <v>1000</v>
      </c>
      <c r="Z43" s="449">
        <v>0</v>
      </c>
      <c r="AA43" s="449">
        <v>0</v>
      </c>
      <c r="AB43" s="449">
        <v>1E-4</v>
      </c>
    </row>
    <row r="44" spans="2:28" x14ac:dyDescent="0.2">
      <c r="F44" s="6"/>
      <c r="H44" s="95"/>
      <c r="I44" s="435"/>
      <c r="J44" s="284"/>
      <c r="K44" s="95"/>
      <c r="L44" s="284"/>
      <c r="M44" s="95"/>
      <c r="N44" s="95"/>
      <c r="O44" s="95"/>
      <c r="P44" s="95"/>
      <c r="Q44" s="95"/>
      <c r="R44" s="435"/>
      <c r="S44" s="95"/>
      <c r="T44" s="95"/>
      <c r="U44" s="95"/>
      <c r="V44" s="95"/>
      <c r="W44" s="449"/>
      <c r="X44" s="95"/>
      <c r="Y44" s="95"/>
      <c r="Z44" s="95"/>
      <c r="AA44" s="449"/>
      <c r="AB44" s="447"/>
    </row>
    <row r="45" spans="2:28" ht="51" x14ac:dyDescent="0.2">
      <c r="B45" s="6" t="s">
        <v>210</v>
      </c>
      <c r="F45" s="6"/>
      <c r="H45" s="448" t="s">
        <v>196</v>
      </c>
      <c r="I45" s="448" t="s">
        <v>196</v>
      </c>
      <c r="J45" s="448" t="s">
        <v>197</v>
      </c>
      <c r="K45" s="448" t="s">
        <v>249</v>
      </c>
      <c r="L45" s="448" t="s">
        <v>250</v>
      </c>
      <c r="M45" s="448" t="s">
        <v>198</v>
      </c>
      <c r="N45" s="448" t="s">
        <v>199</v>
      </c>
      <c r="O45" s="14" t="s">
        <v>180</v>
      </c>
      <c r="P45" s="448" t="s">
        <v>180</v>
      </c>
      <c r="Q45" s="448" t="s">
        <v>200</v>
      </c>
      <c r="R45" s="448" t="s">
        <v>201</v>
      </c>
      <c r="S45" s="448" t="s">
        <v>208</v>
      </c>
      <c r="T45" s="448" t="s">
        <v>207</v>
      </c>
      <c r="U45" s="448" t="s">
        <v>251</v>
      </c>
      <c r="V45" s="448" t="s">
        <v>251</v>
      </c>
      <c r="W45" s="448" t="s">
        <v>202</v>
      </c>
      <c r="X45" s="448" t="s">
        <v>203</v>
      </c>
      <c r="Y45" s="448" t="s">
        <v>204</v>
      </c>
      <c r="Z45" s="448" t="s">
        <v>205</v>
      </c>
      <c r="AA45" s="448" t="s">
        <v>206</v>
      </c>
      <c r="AB45" s="448" t="s">
        <v>255</v>
      </c>
    </row>
    <row r="46" spans="2:28" x14ac:dyDescent="0.2">
      <c r="D46">
        <v>0.5</v>
      </c>
      <c r="E46" t="e">
        <f ca="1">Amps(H46:AB46)</f>
        <v>#NAME?</v>
      </c>
      <c r="F46" s="445" t="e">
        <f ca="1">IF(ABS(1 - D46/E46)&lt;$F$2,"PASS","FAIL")</f>
        <v>#NAME?</v>
      </c>
      <c r="H46" s="449">
        <v>100</v>
      </c>
      <c r="I46" s="449">
        <v>0</v>
      </c>
      <c r="J46" s="449">
        <v>1</v>
      </c>
      <c r="K46" s="449">
        <v>1</v>
      </c>
      <c r="L46" s="449">
        <v>0</v>
      </c>
      <c r="M46" s="447">
        <v>-1.39E-6</v>
      </c>
      <c r="N46" s="449">
        <v>1</v>
      </c>
      <c r="O46" s="449">
        <v>1</v>
      </c>
      <c r="P46" s="449">
        <v>0</v>
      </c>
      <c r="Q46" s="449">
        <v>-0.50000184999999997</v>
      </c>
      <c r="R46" s="449">
        <v>1</v>
      </c>
      <c r="S46" s="449">
        <v>0</v>
      </c>
      <c r="T46" s="449">
        <v>1E-4</v>
      </c>
      <c r="U46" s="449">
        <v>10000</v>
      </c>
      <c r="V46" s="449">
        <v>0</v>
      </c>
      <c r="W46" s="449">
        <v>0</v>
      </c>
      <c r="X46" s="449">
        <v>0</v>
      </c>
      <c r="Y46" s="449">
        <v>1000</v>
      </c>
      <c r="Z46" s="449">
        <v>0</v>
      </c>
      <c r="AA46" s="449">
        <v>0</v>
      </c>
      <c r="AB46" s="449">
        <v>0</v>
      </c>
    </row>
    <row r="47" spans="2:28" x14ac:dyDescent="0.2">
      <c r="D47">
        <v>0.5</v>
      </c>
      <c r="E47" t="e">
        <f t="shared" ref="E47:E63" ca="1" si="4">Amps(H47:AB47)</f>
        <v>#NAME?</v>
      </c>
      <c r="F47" s="445" t="e">
        <f ca="1">IF(ABS(1 - D47/E47)&lt;$F$2,"PASS","FAIL")</f>
        <v>#NAME?</v>
      </c>
      <c r="H47" s="449">
        <v>70.710678118700002</v>
      </c>
      <c r="I47" s="449">
        <v>70.710678118700002</v>
      </c>
      <c r="J47" s="449">
        <v>1</v>
      </c>
      <c r="K47" s="449">
        <v>1</v>
      </c>
      <c r="L47" s="449">
        <v>0</v>
      </c>
      <c r="M47" s="447">
        <v>-1.39E-6</v>
      </c>
      <c r="N47" s="449">
        <v>1</v>
      </c>
      <c r="O47" s="449">
        <v>1</v>
      </c>
      <c r="P47" s="449">
        <v>0</v>
      </c>
      <c r="Q47" s="449">
        <v>-0.50000184999999997</v>
      </c>
      <c r="R47" s="449">
        <v>1</v>
      </c>
      <c r="S47" s="449">
        <v>0</v>
      </c>
      <c r="T47" s="449">
        <v>1E-4</v>
      </c>
      <c r="U47" s="449">
        <v>10000</v>
      </c>
      <c r="V47" s="449">
        <v>0</v>
      </c>
      <c r="W47" s="449">
        <v>0</v>
      </c>
      <c r="X47" s="449">
        <v>0</v>
      </c>
      <c r="Y47" s="449">
        <v>1000</v>
      </c>
      <c r="Z47" s="449">
        <v>0</v>
      </c>
      <c r="AA47" s="449">
        <v>0</v>
      </c>
      <c r="AB47" s="449">
        <v>0</v>
      </c>
    </row>
    <row r="48" spans="2:28" x14ac:dyDescent="0.2">
      <c r="D48">
        <v>1</v>
      </c>
      <c r="E48" t="e">
        <f t="shared" ca="1" si="4"/>
        <v>#NAME?</v>
      </c>
      <c r="F48" s="445" t="e">
        <f ca="1">IF(ABS(1 - D48/E48)&lt;$F$2,"PASS","FAIL")</f>
        <v>#NAME?</v>
      </c>
      <c r="H48" s="449">
        <v>100</v>
      </c>
      <c r="I48" s="449">
        <v>0</v>
      </c>
      <c r="J48" s="449">
        <v>2</v>
      </c>
      <c r="K48" s="449">
        <v>1</v>
      </c>
      <c r="L48" s="449">
        <v>0</v>
      </c>
      <c r="M48" s="447">
        <v>-2.7800000000000001E-6</v>
      </c>
      <c r="N48" s="449">
        <v>1</v>
      </c>
      <c r="O48" s="449">
        <v>1</v>
      </c>
      <c r="P48" s="449">
        <v>0</v>
      </c>
      <c r="Q48" s="449">
        <v>-0.50000370000000005</v>
      </c>
      <c r="R48" s="449">
        <v>1</v>
      </c>
      <c r="S48" s="449">
        <v>0</v>
      </c>
      <c r="T48" s="449">
        <v>1E-4</v>
      </c>
      <c r="U48" s="449">
        <v>10000</v>
      </c>
      <c r="V48" s="449">
        <v>0</v>
      </c>
      <c r="W48" s="449">
        <v>0</v>
      </c>
      <c r="X48" s="449">
        <v>0</v>
      </c>
      <c r="Y48" s="449">
        <v>1000</v>
      </c>
      <c r="Z48" s="449">
        <v>0</v>
      </c>
      <c r="AA48" s="449">
        <v>0</v>
      </c>
      <c r="AB48" s="449">
        <v>0</v>
      </c>
    </row>
    <row r="49" spans="4:28" x14ac:dyDescent="0.2">
      <c r="D49">
        <v>2.5</v>
      </c>
      <c r="E49" t="e">
        <f t="shared" ca="1" si="4"/>
        <v>#NAME?</v>
      </c>
      <c r="F49" s="445" t="e">
        <f ca="1">IF(ABS(1 - D49/E49)&lt;$F$2,"PASS","FAIL")</f>
        <v>#NAME?</v>
      </c>
      <c r="H49" s="449">
        <v>100</v>
      </c>
      <c r="I49" s="449">
        <v>0</v>
      </c>
      <c r="J49" s="449">
        <v>1</v>
      </c>
      <c r="K49" s="449">
        <v>0.2</v>
      </c>
      <c r="L49" s="449">
        <v>0</v>
      </c>
      <c r="M49" s="447">
        <v>-1.39E-6</v>
      </c>
      <c r="N49" s="449">
        <v>1</v>
      </c>
      <c r="O49" s="449">
        <v>1</v>
      </c>
      <c r="P49" s="449">
        <v>0</v>
      </c>
      <c r="Q49" s="449">
        <v>-0.50000184999999997</v>
      </c>
      <c r="R49" s="449">
        <v>1</v>
      </c>
      <c r="S49" s="449">
        <v>0</v>
      </c>
      <c r="T49" s="449">
        <v>1E-4</v>
      </c>
      <c r="U49" s="449">
        <v>10000</v>
      </c>
      <c r="V49" s="449">
        <v>0</v>
      </c>
      <c r="W49" s="449">
        <v>0</v>
      </c>
      <c r="X49" s="449">
        <v>0</v>
      </c>
      <c r="Y49" s="449">
        <v>1000</v>
      </c>
      <c r="Z49" s="449">
        <v>0</v>
      </c>
      <c r="AA49" s="449">
        <v>0</v>
      </c>
      <c r="AB49" s="449">
        <v>0</v>
      </c>
    </row>
    <row r="50" spans="4:28" x14ac:dyDescent="0.2">
      <c r="D50">
        <v>0.5</v>
      </c>
      <c r="E50" t="e">
        <f t="shared" ca="1" si="4"/>
        <v>#NAME?</v>
      </c>
      <c r="F50" s="445" t="e">
        <f t="shared" ref="F50:F63" ca="1" si="5">IF(ABS(1 - D50/E50)&lt;$F$2,"PASS","FAIL")</f>
        <v>#NAME?</v>
      </c>
      <c r="H50" s="449">
        <v>100</v>
      </c>
      <c r="I50" s="449">
        <v>0</v>
      </c>
      <c r="J50" s="449">
        <v>1</v>
      </c>
      <c r="K50" s="449">
        <v>0.70710678118699999</v>
      </c>
      <c r="L50" s="449">
        <v>0.70710678118699999</v>
      </c>
      <c r="M50" s="447">
        <v>-1.39E-6</v>
      </c>
      <c r="N50" s="449">
        <v>1</v>
      </c>
      <c r="O50" s="449">
        <v>1</v>
      </c>
      <c r="P50" s="449">
        <v>0</v>
      </c>
      <c r="Q50" s="449">
        <v>-0.50000184999999997</v>
      </c>
      <c r="R50" s="449">
        <v>1</v>
      </c>
      <c r="S50" s="449">
        <v>0</v>
      </c>
      <c r="T50" s="449">
        <v>1E-4</v>
      </c>
      <c r="U50" s="449">
        <v>10000</v>
      </c>
      <c r="V50" s="449">
        <v>0</v>
      </c>
      <c r="W50" s="449">
        <v>0</v>
      </c>
      <c r="X50" s="449">
        <v>0</v>
      </c>
      <c r="Y50" s="449">
        <v>1000</v>
      </c>
      <c r="Z50" s="449">
        <v>0</v>
      </c>
      <c r="AA50" s="449">
        <v>0</v>
      </c>
      <c r="AB50" s="449">
        <v>0</v>
      </c>
    </row>
    <row r="51" spans="4:28" x14ac:dyDescent="0.2">
      <c r="D51">
        <v>0.5</v>
      </c>
      <c r="E51" t="e">
        <f t="shared" ca="1" si="4"/>
        <v>#NAME?</v>
      </c>
      <c r="F51" s="445" t="e">
        <f t="shared" ca="1" si="5"/>
        <v>#NAME?</v>
      </c>
      <c r="H51" s="449">
        <v>100</v>
      </c>
      <c r="I51" s="449">
        <v>0</v>
      </c>
      <c r="J51" s="449">
        <v>1</v>
      </c>
      <c r="K51" s="449">
        <v>1</v>
      </c>
      <c r="L51" s="449">
        <v>0</v>
      </c>
      <c r="M51" s="447">
        <v>-1.39E-6</v>
      </c>
      <c r="N51" s="449">
        <v>1</v>
      </c>
      <c r="O51" s="449">
        <v>1</v>
      </c>
      <c r="P51" s="449">
        <v>0</v>
      </c>
      <c r="Q51" s="449">
        <v>0.49999814999999997</v>
      </c>
      <c r="R51" s="449">
        <v>1</v>
      </c>
      <c r="S51" s="449">
        <v>0</v>
      </c>
      <c r="T51" s="449">
        <v>1E-4</v>
      </c>
      <c r="U51" s="449">
        <v>10000</v>
      </c>
      <c r="V51" s="449">
        <v>0</v>
      </c>
      <c r="W51" s="449">
        <v>0</v>
      </c>
      <c r="X51" s="449">
        <v>0</v>
      </c>
      <c r="Y51" s="449">
        <v>1000</v>
      </c>
      <c r="Z51" s="449">
        <v>0</v>
      </c>
      <c r="AA51" s="449">
        <v>0</v>
      </c>
      <c r="AB51" s="449">
        <v>0</v>
      </c>
    </row>
    <row r="52" spans="4:28" x14ac:dyDescent="0.2">
      <c r="D52">
        <v>1</v>
      </c>
      <c r="E52" t="e">
        <f t="shared" ca="1" si="4"/>
        <v>#NAME?</v>
      </c>
      <c r="F52" s="445" t="e">
        <f t="shared" ca="1" si="5"/>
        <v>#NAME?</v>
      </c>
      <c r="H52" s="449">
        <v>100</v>
      </c>
      <c r="I52" s="449">
        <v>0</v>
      </c>
      <c r="J52" s="449">
        <v>1</v>
      </c>
      <c r="K52" s="449">
        <v>1</v>
      </c>
      <c r="L52" s="449">
        <v>0</v>
      </c>
      <c r="M52" s="447">
        <v>-2.7199999999999998E-6</v>
      </c>
      <c r="N52" s="449">
        <v>1</v>
      </c>
      <c r="O52" s="449">
        <v>1</v>
      </c>
      <c r="P52" s="449">
        <v>0</v>
      </c>
      <c r="Q52" s="449">
        <v>-0.50000093000000001</v>
      </c>
      <c r="R52" s="449">
        <v>2</v>
      </c>
      <c r="S52" s="449">
        <v>0</v>
      </c>
      <c r="T52" s="449">
        <v>1E-4</v>
      </c>
      <c r="U52" s="449">
        <v>10000</v>
      </c>
      <c r="V52" s="449">
        <v>0</v>
      </c>
      <c r="W52" s="449">
        <v>0</v>
      </c>
      <c r="X52" s="449">
        <v>0</v>
      </c>
      <c r="Y52" s="449">
        <v>1000</v>
      </c>
      <c r="Z52" s="449">
        <v>0</v>
      </c>
      <c r="AA52" s="449">
        <v>0</v>
      </c>
      <c r="AB52" s="449">
        <v>0</v>
      </c>
    </row>
    <row r="53" spans="4:28" x14ac:dyDescent="0.2">
      <c r="D53">
        <v>0.5</v>
      </c>
      <c r="E53" t="e">
        <f t="shared" ca="1" si="4"/>
        <v>#NAME?</v>
      </c>
      <c r="F53" s="445" t="e">
        <f t="shared" ca="1" si="5"/>
        <v>#NAME?</v>
      </c>
      <c r="H53" s="449">
        <v>100</v>
      </c>
      <c r="I53" s="449">
        <v>0</v>
      </c>
      <c r="J53" s="449">
        <v>1</v>
      </c>
      <c r="K53" s="449">
        <v>1</v>
      </c>
      <c r="L53" s="449">
        <v>0</v>
      </c>
      <c r="M53" s="447">
        <v>-1.39E-6</v>
      </c>
      <c r="N53" s="449">
        <v>1</v>
      </c>
      <c r="O53" s="449">
        <v>0.70710678118699999</v>
      </c>
      <c r="P53" s="449">
        <v>0.70710678118699999</v>
      </c>
      <c r="Q53" s="449">
        <v>-0.50000184999999997</v>
      </c>
      <c r="R53" s="449">
        <v>1</v>
      </c>
      <c r="S53" s="449">
        <v>0</v>
      </c>
      <c r="T53" s="449">
        <v>1E-4</v>
      </c>
      <c r="U53" s="449">
        <v>10000</v>
      </c>
      <c r="V53" s="449">
        <v>0</v>
      </c>
      <c r="W53" s="449">
        <v>0</v>
      </c>
      <c r="X53" s="449">
        <v>0</v>
      </c>
      <c r="Y53" s="449">
        <v>1000</v>
      </c>
      <c r="Z53" s="449">
        <v>0</v>
      </c>
      <c r="AA53" s="449">
        <v>0</v>
      </c>
      <c r="AB53" s="449">
        <v>0</v>
      </c>
    </row>
    <row r="54" spans="4:28" x14ac:dyDescent="0.2">
      <c r="D54">
        <v>0.70710678100000002</v>
      </c>
      <c r="E54" t="e">
        <f t="shared" ca="1" si="4"/>
        <v>#NAME?</v>
      </c>
      <c r="F54" s="445" t="e">
        <f t="shared" ca="1" si="5"/>
        <v>#NAME?</v>
      </c>
      <c r="H54" s="449">
        <v>100</v>
      </c>
      <c r="I54" s="449">
        <v>0</v>
      </c>
      <c r="J54" s="449">
        <v>1</v>
      </c>
      <c r="K54" s="449">
        <v>1</v>
      </c>
      <c r="L54" s="449">
        <v>0</v>
      </c>
      <c r="M54" s="449">
        <v>-0.50000138999999999</v>
      </c>
      <c r="N54" s="449">
        <v>1</v>
      </c>
      <c r="O54" s="449">
        <v>1</v>
      </c>
      <c r="P54" s="449">
        <v>0</v>
      </c>
      <c r="Q54" s="449">
        <v>-0.50000184999999997</v>
      </c>
      <c r="R54" s="449">
        <v>1</v>
      </c>
      <c r="S54" s="449">
        <v>0</v>
      </c>
      <c r="T54" s="449">
        <v>1E-4</v>
      </c>
      <c r="U54" s="449">
        <v>10000</v>
      </c>
      <c r="V54" s="449">
        <v>0</v>
      </c>
      <c r="W54" s="449">
        <v>0</v>
      </c>
      <c r="X54" s="449">
        <v>0</v>
      </c>
      <c r="Y54" s="449">
        <v>1000</v>
      </c>
      <c r="Z54" s="449">
        <v>0</v>
      </c>
      <c r="AA54" s="449">
        <v>0</v>
      </c>
      <c r="AB54" s="449">
        <v>0</v>
      </c>
    </row>
    <row r="55" spans="4:28" x14ac:dyDescent="0.2">
      <c r="D55">
        <v>0.5</v>
      </c>
      <c r="E55" t="e">
        <f t="shared" ca="1" si="4"/>
        <v>#NAME?</v>
      </c>
      <c r="F55" s="445" t="e">
        <f t="shared" ca="1" si="5"/>
        <v>#NAME?</v>
      </c>
      <c r="H55" s="449">
        <v>100</v>
      </c>
      <c r="I55" s="449">
        <v>0</v>
      </c>
      <c r="J55" s="449">
        <v>1</v>
      </c>
      <c r="K55" s="449">
        <v>1</v>
      </c>
      <c r="L55" s="449">
        <v>0</v>
      </c>
      <c r="M55" s="447">
        <v>-1.39E-6</v>
      </c>
      <c r="N55" s="449">
        <v>0.5</v>
      </c>
      <c r="O55" s="449">
        <v>1</v>
      </c>
      <c r="P55" s="449">
        <v>0</v>
      </c>
      <c r="Q55" s="449">
        <v>-0.50000093000000001</v>
      </c>
      <c r="R55" s="449">
        <v>1</v>
      </c>
      <c r="S55" s="449">
        <v>0</v>
      </c>
      <c r="T55" s="449">
        <v>1E-4</v>
      </c>
      <c r="U55" s="449">
        <v>10000</v>
      </c>
      <c r="V55" s="449">
        <v>0</v>
      </c>
      <c r="W55" s="449">
        <v>0</v>
      </c>
      <c r="X55" s="449">
        <v>0</v>
      </c>
      <c r="Y55" s="449">
        <v>1000</v>
      </c>
      <c r="Z55" s="449">
        <v>0</v>
      </c>
      <c r="AA55" s="449">
        <v>0</v>
      </c>
      <c r="AB55" s="449">
        <v>0</v>
      </c>
    </row>
    <row r="56" spans="4:28" x14ac:dyDescent="0.2">
      <c r="D56">
        <v>1.11803399</v>
      </c>
      <c r="E56" t="e">
        <f t="shared" ca="1" si="4"/>
        <v>#NAME?</v>
      </c>
      <c r="F56" s="445" t="e">
        <f t="shared" ca="1" si="5"/>
        <v>#NAME?</v>
      </c>
      <c r="H56" s="449">
        <v>100</v>
      </c>
      <c r="I56" s="449">
        <v>0</v>
      </c>
      <c r="J56" s="449">
        <v>1</v>
      </c>
      <c r="K56" s="449">
        <v>1</v>
      </c>
      <c r="L56" s="449">
        <v>0</v>
      </c>
      <c r="M56" s="449">
        <v>-0.50000138999999999</v>
      </c>
      <c r="N56" s="449">
        <v>1</v>
      </c>
      <c r="O56" s="449">
        <v>1</v>
      </c>
      <c r="P56" s="449">
        <v>0</v>
      </c>
      <c r="Q56" s="449">
        <v>-0.50000184999999997</v>
      </c>
      <c r="R56" s="449">
        <v>1</v>
      </c>
      <c r="S56" s="447">
        <v>1E-4</v>
      </c>
      <c r="T56" s="449">
        <v>1E-4</v>
      </c>
      <c r="U56" s="449">
        <v>10000</v>
      </c>
      <c r="V56" s="449">
        <v>0</v>
      </c>
      <c r="W56" s="449">
        <v>0</v>
      </c>
      <c r="X56" s="449">
        <v>0</v>
      </c>
      <c r="Y56" s="449">
        <v>1000</v>
      </c>
      <c r="Z56" s="449">
        <v>0</v>
      </c>
      <c r="AA56" s="449">
        <v>0</v>
      </c>
      <c r="AB56" s="449">
        <v>0</v>
      </c>
    </row>
    <row r="57" spans="4:28" x14ac:dyDescent="0.2">
      <c r="D57">
        <v>1</v>
      </c>
      <c r="E57" t="e">
        <f t="shared" ca="1" si="4"/>
        <v>#NAME?</v>
      </c>
      <c r="F57" s="445" t="e">
        <f t="shared" ca="1" si="5"/>
        <v>#NAME?</v>
      </c>
      <c r="H57" s="449">
        <v>100</v>
      </c>
      <c r="I57" s="449">
        <v>0</v>
      </c>
      <c r="J57" s="449">
        <v>1</v>
      </c>
      <c r="K57" s="449">
        <v>1</v>
      </c>
      <c r="L57" s="449">
        <v>0</v>
      </c>
      <c r="M57" s="447">
        <v>-1.39E-6</v>
      </c>
      <c r="N57" s="449">
        <v>1</v>
      </c>
      <c r="O57" s="449">
        <v>1</v>
      </c>
      <c r="P57" s="449">
        <v>0</v>
      </c>
      <c r="Q57" s="449">
        <v>-0.50000184999999997</v>
      </c>
      <c r="R57" s="449">
        <v>1</v>
      </c>
      <c r="S57" s="449">
        <v>0</v>
      </c>
      <c r="T57" s="449">
        <v>2.0000000000000001E-4</v>
      </c>
      <c r="U57" s="449">
        <v>10000</v>
      </c>
      <c r="V57" s="449">
        <v>0</v>
      </c>
      <c r="W57" s="449">
        <v>0</v>
      </c>
      <c r="X57" s="449">
        <v>0</v>
      </c>
      <c r="Y57" s="449">
        <v>1000</v>
      </c>
      <c r="Z57" s="449">
        <v>0</v>
      </c>
      <c r="AA57" s="449">
        <v>0</v>
      </c>
      <c r="AB57" s="449">
        <v>0</v>
      </c>
    </row>
    <row r="58" spans="4:28" x14ac:dyDescent="0.2">
      <c r="D58">
        <v>1.002001996006</v>
      </c>
      <c r="E58" s="119" t="e">
        <f t="shared" ca="1" si="4"/>
        <v>#NAME?</v>
      </c>
      <c r="F58" s="445" t="e">
        <f t="shared" ca="1" si="5"/>
        <v>#NAME?</v>
      </c>
      <c r="H58" s="449">
        <v>100</v>
      </c>
      <c r="I58" s="449">
        <v>0</v>
      </c>
      <c r="J58" s="449">
        <v>1</v>
      </c>
      <c r="K58" s="449">
        <v>1</v>
      </c>
      <c r="L58" s="449">
        <v>0</v>
      </c>
      <c r="M58" s="447">
        <v>-1.39E-6</v>
      </c>
      <c r="N58" s="449">
        <v>1</v>
      </c>
      <c r="O58" s="449">
        <v>1</v>
      </c>
      <c r="P58" s="449">
        <v>0</v>
      </c>
      <c r="Q58" s="449">
        <v>-0.50000184999999997</v>
      </c>
      <c r="R58" s="449">
        <v>1</v>
      </c>
      <c r="S58" s="449">
        <v>0</v>
      </c>
      <c r="T58" s="449">
        <v>1E-4</v>
      </c>
      <c r="U58" s="449">
        <v>20000</v>
      </c>
      <c r="V58" s="449">
        <v>0</v>
      </c>
      <c r="W58" s="449">
        <v>1</v>
      </c>
      <c r="X58" s="449">
        <v>0</v>
      </c>
      <c r="Y58" s="449">
        <v>1000</v>
      </c>
      <c r="Z58" s="449">
        <v>0</v>
      </c>
      <c r="AA58" s="449">
        <v>0</v>
      </c>
      <c r="AB58" s="449">
        <v>0</v>
      </c>
    </row>
    <row r="59" spans="4:28" x14ac:dyDescent="0.2">
      <c r="D59">
        <v>0.50212181823095403</v>
      </c>
      <c r="E59" t="e">
        <f t="shared" ca="1" si="4"/>
        <v>#NAME?</v>
      </c>
      <c r="F59" s="445" t="e">
        <f t="shared" ca="1" si="5"/>
        <v>#NAME?</v>
      </c>
      <c r="H59" s="449">
        <v>100</v>
      </c>
      <c r="I59" s="449">
        <v>0</v>
      </c>
      <c r="J59" s="449">
        <v>1</v>
      </c>
      <c r="K59" s="449">
        <v>1</v>
      </c>
      <c r="L59" s="449">
        <v>0</v>
      </c>
      <c r="M59" s="447">
        <v>-1.39E-6</v>
      </c>
      <c r="N59" s="449">
        <v>1</v>
      </c>
      <c r="O59" s="449">
        <v>1</v>
      </c>
      <c r="P59" s="449">
        <v>0</v>
      </c>
      <c r="Q59" s="449">
        <v>-0.50000184999999997</v>
      </c>
      <c r="R59" s="449">
        <v>1</v>
      </c>
      <c r="S59" s="449">
        <v>0</v>
      </c>
      <c r="T59" s="449">
        <v>1E-4</v>
      </c>
      <c r="U59" s="449">
        <v>10000</v>
      </c>
      <c r="V59" s="449">
        <v>0</v>
      </c>
      <c r="W59" s="449">
        <v>1</v>
      </c>
      <c r="X59" s="449">
        <v>0.78539816339699997</v>
      </c>
      <c r="Y59" s="449">
        <v>1000</v>
      </c>
      <c r="Z59" s="449">
        <v>0</v>
      </c>
      <c r="AA59" s="449">
        <v>0</v>
      </c>
      <c r="AB59" s="449">
        <v>0</v>
      </c>
    </row>
    <row r="60" spans="4:28" x14ac:dyDescent="0.2">
      <c r="D60">
        <v>0.51039200620699399</v>
      </c>
      <c r="E60" t="e">
        <f t="shared" ca="1" si="4"/>
        <v>#NAME?</v>
      </c>
      <c r="F60" s="445" t="e">
        <f t="shared" ca="1" si="5"/>
        <v>#NAME?</v>
      </c>
      <c r="H60" s="449">
        <v>100</v>
      </c>
      <c r="I60" s="449">
        <v>0</v>
      </c>
      <c r="J60" s="449">
        <v>1</v>
      </c>
      <c r="K60" s="449">
        <v>1</v>
      </c>
      <c r="L60" s="449">
        <v>0</v>
      </c>
      <c r="M60" s="447">
        <v>-1.39E-6</v>
      </c>
      <c r="N60" s="449">
        <v>1</v>
      </c>
      <c r="O60" s="449">
        <v>1</v>
      </c>
      <c r="P60" s="449">
        <v>0</v>
      </c>
      <c r="Q60" s="449">
        <v>-0.50000184999999997</v>
      </c>
      <c r="R60" s="449">
        <v>1</v>
      </c>
      <c r="S60" s="449">
        <v>0</v>
      </c>
      <c r="T60" s="449">
        <v>1E-4</v>
      </c>
      <c r="U60" s="449">
        <v>10000</v>
      </c>
      <c r="V60" s="449">
        <v>0</v>
      </c>
      <c r="W60" s="449">
        <v>1</v>
      </c>
      <c r="X60" s="449">
        <v>0</v>
      </c>
      <c r="Y60" s="449">
        <v>100</v>
      </c>
      <c r="Z60" s="449">
        <v>0</v>
      </c>
      <c r="AA60" s="449">
        <v>0</v>
      </c>
      <c r="AB60" s="449">
        <v>0</v>
      </c>
    </row>
    <row r="61" spans="4:28" x14ac:dyDescent="0.2">
      <c r="D61">
        <v>0.50212181823095403</v>
      </c>
      <c r="E61" t="e">
        <f t="shared" ca="1" si="4"/>
        <v>#NAME?</v>
      </c>
      <c r="F61" s="445" t="e">
        <f t="shared" ca="1" si="5"/>
        <v>#NAME?</v>
      </c>
      <c r="H61" s="449">
        <v>100</v>
      </c>
      <c r="I61" s="449">
        <v>0</v>
      </c>
      <c r="J61" s="449">
        <v>1</v>
      </c>
      <c r="K61" s="449">
        <v>1</v>
      </c>
      <c r="L61" s="449">
        <v>0</v>
      </c>
      <c r="M61" s="447">
        <v>-1.39E-6</v>
      </c>
      <c r="N61" s="449">
        <v>1</v>
      </c>
      <c r="O61" s="449">
        <v>1</v>
      </c>
      <c r="P61" s="449">
        <v>0</v>
      </c>
      <c r="Q61" s="449">
        <v>-0.50000184999999997</v>
      </c>
      <c r="R61" s="449">
        <v>1</v>
      </c>
      <c r="S61" s="449">
        <v>0</v>
      </c>
      <c r="T61" s="449">
        <v>1E-4</v>
      </c>
      <c r="U61" s="449">
        <v>10000</v>
      </c>
      <c r="V61" s="449">
        <v>0</v>
      </c>
      <c r="W61" s="449">
        <v>1</v>
      </c>
      <c r="X61" s="449">
        <v>0</v>
      </c>
      <c r="Y61" s="449">
        <v>1000</v>
      </c>
      <c r="Z61" s="449">
        <v>-0.78539816339699997</v>
      </c>
      <c r="AA61" s="449">
        <v>0</v>
      </c>
      <c r="AB61" s="449">
        <v>0</v>
      </c>
    </row>
    <row r="62" spans="4:28" x14ac:dyDescent="0.2">
      <c r="D62">
        <v>0.50100900000000004</v>
      </c>
      <c r="E62" t="e">
        <f t="shared" ca="1" si="4"/>
        <v>#NAME?</v>
      </c>
      <c r="F62" s="445" t="e">
        <f t="shared" ca="1" si="5"/>
        <v>#NAME?</v>
      </c>
      <c r="H62" s="449">
        <v>100</v>
      </c>
      <c r="I62" s="449">
        <v>0</v>
      </c>
      <c r="J62" s="449">
        <v>1</v>
      </c>
      <c r="K62" s="449">
        <v>1</v>
      </c>
      <c r="L62" s="449">
        <v>0</v>
      </c>
      <c r="M62" s="447">
        <v>-1.39E-6</v>
      </c>
      <c r="N62" s="449">
        <v>1</v>
      </c>
      <c r="O62" s="449">
        <v>1</v>
      </c>
      <c r="P62" s="449">
        <v>0</v>
      </c>
      <c r="Q62" s="449">
        <v>-0.50000184999999997</v>
      </c>
      <c r="R62" s="449">
        <v>1</v>
      </c>
      <c r="S62" s="449">
        <v>0</v>
      </c>
      <c r="T62" s="449">
        <v>1E-4</v>
      </c>
      <c r="U62" s="449">
        <v>10000</v>
      </c>
      <c r="V62" s="449">
        <v>0</v>
      </c>
      <c r="W62" s="449">
        <v>1</v>
      </c>
      <c r="X62" s="449">
        <v>0</v>
      </c>
      <c r="Y62" s="449">
        <v>1000</v>
      </c>
      <c r="Z62" s="449">
        <v>0</v>
      </c>
      <c r="AA62" s="449">
        <v>1E-4</v>
      </c>
      <c r="AB62" s="449">
        <v>0</v>
      </c>
    </row>
    <row r="63" spans="4:28" x14ac:dyDescent="0.2">
      <c r="D63">
        <v>0.498004</v>
      </c>
      <c r="E63" t="e">
        <f t="shared" ca="1" si="4"/>
        <v>#NAME?</v>
      </c>
      <c r="F63" s="445" t="e">
        <f t="shared" ca="1" si="5"/>
        <v>#NAME?</v>
      </c>
      <c r="H63" s="449">
        <v>100</v>
      </c>
      <c r="I63" s="449">
        <v>0</v>
      </c>
      <c r="J63" s="449">
        <v>1</v>
      </c>
      <c r="K63" s="449">
        <v>1</v>
      </c>
      <c r="L63" s="449">
        <v>0</v>
      </c>
      <c r="M63" s="447">
        <v>-1.39E-6</v>
      </c>
      <c r="N63" s="449">
        <v>1</v>
      </c>
      <c r="O63" s="449">
        <v>1</v>
      </c>
      <c r="P63" s="449">
        <v>0</v>
      </c>
      <c r="Q63" s="449">
        <v>-0.50000184999999997</v>
      </c>
      <c r="R63" s="449">
        <v>1</v>
      </c>
      <c r="S63" s="449">
        <v>0</v>
      </c>
      <c r="T63" s="449">
        <v>1E-4</v>
      </c>
      <c r="U63" s="449">
        <v>10000</v>
      </c>
      <c r="V63" s="449">
        <v>0</v>
      </c>
      <c r="W63" s="449">
        <v>1</v>
      </c>
      <c r="X63" s="449">
        <v>-1.57079632679</v>
      </c>
      <c r="Y63" s="449">
        <v>1000</v>
      </c>
      <c r="Z63" s="449">
        <v>0</v>
      </c>
      <c r="AA63" s="449">
        <v>0</v>
      </c>
      <c r="AB63" s="449">
        <v>1E-4</v>
      </c>
    </row>
    <row r="65" spans="2:28" x14ac:dyDescent="0.2">
      <c r="B65" s="6" t="s">
        <v>450</v>
      </c>
      <c r="D65">
        <v>60.9030427</v>
      </c>
      <c r="E65" t="e">
        <f ca="1">Volts(67.6700474240684,0.9)</f>
        <v>#NAME?</v>
      </c>
      <c r="F65" s="445" t="e">
        <f ca="1">IF(ABS(1 - D65/E65)&lt;$F$2,"PASS","FAIL")</f>
        <v>#NAME?</v>
      </c>
    </row>
    <row r="66" spans="2:28" x14ac:dyDescent="0.2">
      <c r="D66">
        <v>202.98127278678083</v>
      </c>
      <c r="E66" t="e">
        <f ca="1">Volts(202.981272786781,1)</f>
        <v>#NAME?</v>
      </c>
      <c r="F66" s="445" t="e">
        <f ca="1">IF(ABS(1 - D66/E66)&lt;$F$2,"PASS","FAIL")</f>
        <v>#NAME?</v>
      </c>
    </row>
    <row r="67" spans="2:28" x14ac:dyDescent="0.2">
      <c r="D67">
        <v>111.64685</v>
      </c>
      <c r="E67" t="e">
        <f ca="1">Volts(101.497136261463,1.1)</f>
        <v>#NAME?</v>
      </c>
      <c r="F67" s="445" t="e">
        <f ca="1">IF(ABS(1 - D67/E67)&lt;$F$2,"PASS","FAIL")</f>
        <v>#NAME?</v>
      </c>
    </row>
    <row r="69" spans="2:28" ht="51" x14ac:dyDescent="0.2">
      <c r="B69" s="6" t="s">
        <v>138</v>
      </c>
      <c r="H69" s="448" t="s">
        <v>196</v>
      </c>
      <c r="I69" s="448" t="s">
        <v>196</v>
      </c>
      <c r="J69" s="448" t="s">
        <v>197</v>
      </c>
      <c r="K69" s="448" t="s">
        <v>249</v>
      </c>
      <c r="L69" s="448" t="s">
        <v>250</v>
      </c>
      <c r="M69" s="448" t="s">
        <v>198</v>
      </c>
      <c r="N69" s="448" t="s">
        <v>199</v>
      </c>
      <c r="O69" s="14" t="s">
        <v>180</v>
      </c>
      <c r="P69" s="448" t="s">
        <v>180</v>
      </c>
      <c r="Q69" s="448" t="s">
        <v>200</v>
      </c>
      <c r="R69" s="448" t="s">
        <v>201</v>
      </c>
      <c r="S69" s="448" t="s">
        <v>208</v>
      </c>
      <c r="T69" s="448" t="s">
        <v>207</v>
      </c>
      <c r="U69" s="448" t="s">
        <v>251</v>
      </c>
      <c r="V69" s="448" t="s">
        <v>251</v>
      </c>
      <c r="W69" s="448" t="s">
        <v>202</v>
      </c>
      <c r="X69" s="448" t="s">
        <v>203</v>
      </c>
      <c r="Y69" s="448" t="s">
        <v>204</v>
      </c>
      <c r="Z69" s="448" t="s">
        <v>205</v>
      </c>
      <c r="AA69" s="448" t="s">
        <v>206</v>
      </c>
      <c r="AB69" s="448" t="s">
        <v>255</v>
      </c>
    </row>
    <row r="70" spans="2:28" x14ac:dyDescent="0.2">
      <c r="D70">
        <v>90</v>
      </c>
      <c r="E70" t="e">
        <f ca="1">Phase(H70:AB70)</f>
        <v>#NAME?</v>
      </c>
      <c r="F70" s="445" t="e">
        <f ca="1">IF(ABS(1 - D70/E70)&lt;$F$2,"PASS","FAIL")</f>
        <v>#NAME?</v>
      </c>
      <c r="H70" s="449">
        <v>100</v>
      </c>
      <c r="I70" s="449">
        <v>0</v>
      </c>
      <c r="J70" s="449">
        <v>1</v>
      </c>
      <c r="K70" s="449">
        <v>1</v>
      </c>
      <c r="L70" s="449">
        <v>0</v>
      </c>
      <c r="M70" s="447">
        <v>-1.39E-6</v>
      </c>
      <c r="N70" s="449">
        <v>1</v>
      </c>
      <c r="O70" s="449">
        <v>1</v>
      </c>
      <c r="P70" s="449">
        <v>0</v>
      </c>
      <c r="Q70" s="449">
        <v>-0.50000184999999997</v>
      </c>
      <c r="R70" s="449">
        <v>1</v>
      </c>
      <c r="S70" s="449">
        <v>0</v>
      </c>
      <c r="T70" s="449">
        <v>1E-4</v>
      </c>
      <c r="U70" s="449">
        <v>10000</v>
      </c>
      <c r="V70" s="449">
        <v>0</v>
      </c>
      <c r="W70" s="449">
        <v>0</v>
      </c>
      <c r="X70" s="449">
        <v>0</v>
      </c>
      <c r="Y70" s="449">
        <v>1000</v>
      </c>
      <c r="Z70" s="449">
        <v>0</v>
      </c>
      <c r="AA70" s="449">
        <v>0</v>
      </c>
      <c r="AB70" s="449">
        <v>0</v>
      </c>
    </row>
    <row r="71" spans="2:28" x14ac:dyDescent="0.2">
      <c r="D71">
        <v>45</v>
      </c>
      <c r="E71" t="e">
        <f t="shared" ref="E71:E87" ca="1" si="6">Phase(H71:AB71)</f>
        <v>#NAME?</v>
      </c>
      <c r="F71" s="445" t="e">
        <f ca="1">IF(ABS(1 - D71/E71)&lt;$F$2,"PASS","FAIL")</f>
        <v>#NAME?</v>
      </c>
      <c r="H71" s="449">
        <v>70.710678118700002</v>
      </c>
      <c r="I71" s="449">
        <v>70.710678118700002</v>
      </c>
      <c r="J71" s="449">
        <v>1</v>
      </c>
      <c r="K71" s="449">
        <v>1</v>
      </c>
      <c r="L71" s="449">
        <v>0</v>
      </c>
      <c r="M71" s="447">
        <v>-1.39E-6</v>
      </c>
      <c r="N71" s="449">
        <v>1</v>
      </c>
      <c r="O71" s="449">
        <v>1</v>
      </c>
      <c r="P71" s="449">
        <v>0</v>
      </c>
      <c r="Q71" s="449">
        <v>-0.50000184999999997</v>
      </c>
      <c r="R71" s="449">
        <v>1</v>
      </c>
      <c r="S71" s="449">
        <v>0</v>
      </c>
      <c r="T71" s="449">
        <v>1E-4</v>
      </c>
      <c r="U71" s="449">
        <v>10000</v>
      </c>
      <c r="V71" s="449">
        <v>0</v>
      </c>
      <c r="W71" s="449">
        <v>0</v>
      </c>
      <c r="X71" s="449">
        <v>0</v>
      </c>
      <c r="Y71" s="449">
        <v>1000</v>
      </c>
      <c r="Z71" s="449">
        <v>0</v>
      </c>
      <c r="AA71" s="449">
        <v>0</v>
      </c>
      <c r="AB71" s="449">
        <v>0</v>
      </c>
    </row>
    <row r="72" spans="2:28" x14ac:dyDescent="0.2">
      <c r="D72">
        <v>90</v>
      </c>
      <c r="E72" t="e">
        <f t="shared" ca="1" si="6"/>
        <v>#NAME?</v>
      </c>
      <c r="F72" s="445" t="e">
        <f ca="1">IF(ABS(1 - D72/E72)&lt;$F$2,"PASS","FAIL")</f>
        <v>#NAME?</v>
      </c>
      <c r="H72" s="449">
        <v>100</v>
      </c>
      <c r="I72" s="449">
        <v>0</v>
      </c>
      <c r="J72" s="449">
        <v>2</v>
      </c>
      <c r="K72" s="449">
        <v>1</v>
      </c>
      <c r="L72" s="449">
        <v>0</v>
      </c>
      <c r="M72" s="447">
        <v>-2.7800000000000001E-6</v>
      </c>
      <c r="N72" s="449">
        <v>1</v>
      </c>
      <c r="O72" s="449">
        <v>1</v>
      </c>
      <c r="P72" s="449">
        <v>0</v>
      </c>
      <c r="Q72" s="449">
        <v>-0.50000370000000005</v>
      </c>
      <c r="R72" s="449">
        <v>1</v>
      </c>
      <c r="S72" s="449">
        <v>0</v>
      </c>
      <c r="T72" s="449">
        <v>1E-4</v>
      </c>
      <c r="U72" s="449">
        <v>10000</v>
      </c>
      <c r="V72" s="449">
        <v>0</v>
      </c>
      <c r="W72" s="449">
        <v>0</v>
      </c>
      <c r="X72" s="449">
        <v>0</v>
      </c>
      <c r="Y72" s="449">
        <v>1000</v>
      </c>
      <c r="Z72" s="449">
        <v>0</v>
      </c>
      <c r="AA72" s="449">
        <v>0</v>
      </c>
      <c r="AB72" s="449">
        <v>0</v>
      </c>
    </row>
    <row r="73" spans="2:28" x14ac:dyDescent="0.2">
      <c r="D73">
        <v>90</v>
      </c>
      <c r="E73" t="e">
        <f t="shared" ca="1" si="6"/>
        <v>#NAME?</v>
      </c>
      <c r="F73" s="445" t="e">
        <f ca="1">IF(ABS(1 - D73/E73)&lt;$F$2,"PASS","FAIL")</f>
        <v>#NAME?</v>
      </c>
      <c r="H73" s="449">
        <v>100</v>
      </c>
      <c r="I73" s="449">
        <v>0</v>
      </c>
      <c r="J73" s="449">
        <v>1</v>
      </c>
      <c r="K73" s="449">
        <v>0.2</v>
      </c>
      <c r="L73" s="449">
        <v>0</v>
      </c>
      <c r="M73" s="447">
        <v>-1.39E-6</v>
      </c>
      <c r="N73" s="449">
        <v>1</v>
      </c>
      <c r="O73" s="449">
        <v>1</v>
      </c>
      <c r="P73" s="449">
        <v>0</v>
      </c>
      <c r="Q73" s="449">
        <v>-0.50000184999999997</v>
      </c>
      <c r="R73" s="449">
        <v>1</v>
      </c>
      <c r="S73" s="449">
        <v>0</v>
      </c>
      <c r="T73" s="449">
        <v>1E-4</v>
      </c>
      <c r="U73" s="449">
        <v>10000</v>
      </c>
      <c r="V73" s="449">
        <v>0</v>
      </c>
      <c r="W73" s="449">
        <v>0</v>
      </c>
      <c r="X73" s="449">
        <v>0</v>
      </c>
      <c r="Y73" s="449">
        <v>1000</v>
      </c>
      <c r="Z73" s="449">
        <v>0</v>
      </c>
      <c r="AA73" s="449">
        <v>0</v>
      </c>
      <c r="AB73" s="449">
        <v>0</v>
      </c>
    </row>
    <row r="74" spans="2:28" x14ac:dyDescent="0.2">
      <c r="D74">
        <v>45</v>
      </c>
      <c r="E74" t="e">
        <f t="shared" ca="1" si="6"/>
        <v>#NAME?</v>
      </c>
      <c r="F74" s="445" t="e">
        <f t="shared" ref="F74:F87" ca="1" si="7">IF(ABS(1 - D74/E74)&lt;$F$2,"PASS","FAIL")</f>
        <v>#NAME?</v>
      </c>
      <c r="H74" s="449">
        <v>100</v>
      </c>
      <c r="I74" s="449">
        <v>0</v>
      </c>
      <c r="J74" s="449">
        <v>1</v>
      </c>
      <c r="K74" s="449">
        <v>0.70710678118699999</v>
      </c>
      <c r="L74" s="449">
        <v>0.70710678118699999</v>
      </c>
      <c r="M74" s="447">
        <v>-1.39E-6</v>
      </c>
      <c r="N74" s="449">
        <v>1</v>
      </c>
      <c r="O74" s="449">
        <v>1</v>
      </c>
      <c r="P74" s="449">
        <v>0</v>
      </c>
      <c r="Q74" s="449">
        <v>-0.50000184999999997</v>
      </c>
      <c r="R74" s="449">
        <v>1</v>
      </c>
      <c r="S74" s="449">
        <v>0</v>
      </c>
      <c r="T74" s="449">
        <v>1E-4</v>
      </c>
      <c r="U74" s="449">
        <v>10000</v>
      </c>
      <c r="V74" s="449">
        <v>0</v>
      </c>
      <c r="W74" s="449">
        <v>0</v>
      </c>
      <c r="X74" s="449">
        <v>0</v>
      </c>
      <c r="Y74" s="449">
        <v>1000</v>
      </c>
      <c r="Z74" s="449">
        <v>0</v>
      </c>
      <c r="AA74" s="449">
        <v>0</v>
      </c>
      <c r="AB74" s="449">
        <v>0</v>
      </c>
    </row>
    <row r="75" spans="2:28" x14ac:dyDescent="0.2">
      <c r="D75">
        <v>-90</v>
      </c>
      <c r="E75" t="e">
        <f t="shared" ca="1" si="6"/>
        <v>#NAME?</v>
      </c>
      <c r="F75" s="445" t="e">
        <f t="shared" ca="1" si="7"/>
        <v>#NAME?</v>
      </c>
      <c r="H75" s="449">
        <v>100</v>
      </c>
      <c r="I75" s="449">
        <v>0</v>
      </c>
      <c r="J75" s="449">
        <v>1</v>
      </c>
      <c r="K75" s="449">
        <v>1</v>
      </c>
      <c r="L75" s="449">
        <v>0</v>
      </c>
      <c r="M75" s="447">
        <v>-1.39E-6</v>
      </c>
      <c r="N75" s="449">
        <v>1</v>
      </c>
      <c r="O75" s="449">
        <v>1</v>
      </c>
      <c r="P75" s="449">
        <v>0</v>
      </c>
      <c r="Q75" s="449">
        <v>0.49999814999999997</v>
      </c>
      <c r="R75" s="449">
        <v>1</v>
      </c>
      <c r="S75" s="449">
        <v>0</v>
      </c>
      <c r="T75" s="449">
        <v>1E-4</v>
      </c>
      <c r="U75" s="449">
        <v>10000</v>
      </c>
      <c r="V75" s="449">
        <v>0</v>
      </c>
      <c r="W75" s="449">
        <v>0</v>
      </c>
      <c r="X75" s="449">
        <v>0</v>
      </c>
      <c r="Y75" s="449">
        <v>1000</v>
      </c>
      <c r="Z75" s="449">
        <v>0</v>
      </c>
      <c r="AA75" s="449">
        <v>0</v>
      </c>
      <c r="AB75" s="449">
        <v>0</v>
      </c>
    </row>
    <row r="76" spans="2:28" x14ac:dyDescent="0.2">
      <c r="D76">
        <v>90</v>
      </c>
      <c r="E76" t="e">
        <f t="shared" ca="1" si="6"/>
        <v>#NAME?</v>
      </c>
      <c r="F76" s="445" t="e">
        <f t="shared" ca="1" si="7"/>
        <v>#NAME?</v>
      </c>
      <c r="H76" s="449">
        <v>100</v>
      </c>
      <c r="I76" s="449">
        <v>0</v>
      </c>
      <c r="J76" s="449">
        <v>1</v>
      </c>
      <c r="K76" s="449">
        <v>1</v>
      </c>
      <c r="L76" s="449">
        <v>0</v>
      </c>
      <c r="M76" s="447">
        <v>-2.7199999999999998E-6</v>
      </c>
      <c r="N76" s="449">
        <v>1</v>
      </c>
      <c r="O76" s="449">
        <v>1</v>
      </c>
      <c r="P76" s="449">
        <v>0</v>
      </c>
      <c r="Q76" s="449">
        <v>-0.50000093000000001</v>
      </c>
      <c r="R76" s="449">
        <v>2</v>
      </c>
      <c r="S76" s="449">
        <v>0</v>
      </c>
      <c r="T76" s="449">
        <v>1E-4</v>
      </c>
      <c r="U76" s="449">
        <v>10000</v>
      </c>
      <c r="V76" s="449">
        <v>0</v>
      </c>
      <c r="W76" s="449">
        <v>0</v>
      </c>
      <c r="X76" s="449">
        <v>0</v>
      </c>
      <c r="Y76" s="449">
        <v>1000</v>
      </c>
      <c r="Z76" s="449">
        <v>0</v>
      </c>
      <c r="AA76" s="449">
        <v>0</v>
      </c>
      <c r="AB76" s="449">
        <v>0</v>
      </c>
    </row>
    <row r="77" spans="2:28" x14ac:dyDescent="0.2">
      <c r="D77">
        <v>45</v>
      </c>
      <c r="E77" t="e">
        <f t="shared" ca="1" si="6"/>
        <v>#NAME?</v>
      </c>
      <c r="F77" s="445" t="e">
        <f t="shared" ca="1" si="7"/>
        <v>#NAME?</v>
      </c>
      <c r="H77" s="449">
        <v>100</v>
      </c>
      <c r="I77" s="449">
        <v>0</v>
      </c>
      <c r="J77" s="449">
        <v>1</v>
      </c>
      <c r="K77" s="449">
        <v>1</v>
      </c>
      <c r="L77" s="449">
        <v>0</v>
      </c>
      <c r="M77" s="449">
        <v>-0.50000138999999999</v>
      </c>
      <c r="N77" s="449">
        <v>1</v>
      </c>
      <c r="O77" s="449">
        <v>0.70710678118699999</v>
      </c>
      <c r="P77" s="449">
        <v>0.70710678118699999</v>
      </c>
      <c r="Q77" s="447">
        <v>-1.8500000000000001E-6</v>
      </c>
      <c r="R77" s="449">
        <v>1</v>
      </c>
      <c r="S77" s="449">
        <v>0</v>
      </c>
      <c r="T77" s="449">
        <v>1E-4</v>
      </c>
      <c r="U77" s="449">
        <v>10000</v>
      </c>
      <c r="V77" s="449">
        <v>0</v>
      </c>
      <c r="W77" s="449">
        <v>0</v>
      </c>
      <c r="X77" s="449">
        <v>0</v>
      </c>
      <c r="Y77" s="449">
        <v>1000</v>
      </c>
      <c r="Z77" s="449">
        <v>0</v>
      </c>
      <c r="AA77" s="449">
        <v>0</v>
      </c>
      <c r="AB77" s="449">
        <v>0</v>
      </c>
    </row>
    <row r="78" spans="2:28" x14ac:dyDescent="0.2">
      <c r="D78">
        <v>45</v>
      </c>
      <c r="E78" t="e">
        <f t="shared" ca="1" si="6"/>
        <v>#NAME?</v>
      </c>
      <c r="F78" s="445" t="e">
        <f t="shared" ca="1" si="7"/>
        <v>#NAME?</v>
      </c>
      <c r="H78" s="449">
        <v>100</v>
      </c>
      <c r="I78" s="449">
        <v>0</v>
      </c>
      <c r="J78" s="449">
        <v>1</v>
      </c>
      <c r="K78" s="449">
        <v>1</v>
      </c>
      <c r="L78" s="449">
        <v>0</v>
      </c>
      <c r="M78" s="449">
        <v>-0.50000138999999999</v>
      </c>
      <c r="N78" s="449">
        <v>1</v>
      </c>
      <c r="O78" s="449">
        <v>1</v>
      </c>
      <c r="P78" s="449">
        <v>0</v>
      </c>
      <c r="Q78" s="449">
        <v>-0.50000184999999997</v>
      </c>
      <c r="R78" s="449">
        <v>1</v>
      </c>
      <c r="S78" s="449">
        <v>0</v>
      </c>
      <c r="T78" s="449">
        <v>1E-4</v>
      </c>
      <c r="U78" s="449">
        <v>10000</v>
      </c>
      <c r="V78" s="449">
        <v>0</v>
      </c>
      <c r="W78" s="449">
        <v>0</v>
      </c>
      <c r="X78" s="449">
        <v>0</v>
      </c>
      <c r="Y78" s="449">
        <v>1000</v>
      </c>
      <c r="Z78" s="449">
        <v>0</v>
      </c>
      <c r="AA78" s="449">
        <v>0</v>
      </c>
      <c r="AB78" s="449">
        <v>0</v>
      </c>
    </row>
    <row r="79" spans="2:28" x14ac:dyDescent="0.2">
      <c r="D79">
        <v>90</v>
      </c>
      <c r="E79" t="e">
        <f t="shared" ca="1" si="6"/>
        <v>#NAME?</v>
      </c>
      <c r="F79" s="445" t="e">
        <f t="shared" ca="1" si="7"/>
        <v>#NAME?</v>
      </c>
      <c r="H79" s="449">
        <v>100</v>
      </c>
      <c r="I79" s="449">
        <v>0</v>
      </c>
      <c r="J79" s="449">
        <v>1</v>
      </c>
      <c r="K79" s="449">
        <v>1</v>
      </c>
      <c r="L79" s="449">
        <v>0</v>
      </c>
      <c r="M79" s="447">
        <v>-1.39E-6</v>
      </c>
      <c r="N79" s="449">
        <v>0.5</v>
      </c>
      <c r="O79" s="449">
        <v>1</v>
      </c>
      <c r="P79" s="449">
        <v>0</v>
      </c>
      <c r="Q79" s="449">
        <v>-0.50000093000000001</v>
      </c>
      <c r="R79" s="449">
        <v>1</v>
      </c>
      <c r="S79" s="449">
        <v>0</v>
      </c>
      <c r="T79" s="449">
        <v>1E-4</v>
      </c>
      <c r="U79" s="449">
        <v>10000</v>
      </c>
      <c r="V79" s="449">
        <v>0</v>
      </c>
      <c r="W79" s="449">
        <v>0</v>
      </c>
      <c r="X79" s="449">
        <v>0</v>
      </c>
      <c r="Y79" s="449">
        <v>1000</v>
      </c>
      <c r="Z79" s="449">
        <v>0</v>
      </c>
      <c r="AA79" s="449">
        <v>0</v>
      </c>
      <c r="AB79" s="449">
        <v>0</v>
      </c>
    </row>
    <row r="80" spans="2:28" x14ac:dyDescent="0.2">
      <c r="D80">
        <v>45</v>
      </c>
      <c r="E80" t="e">
        <f t="shared" ca="1" si="6"/>
        <v>#NAME?</v>
      </c>
      <c r="F80" s="445" t="e">
        <f t="shared" ca="1" si="7"/>
        <v>#NAME?</v>
      </c>
      <c r="H80" s="449">
        <v>100</v>
      </c>
      <c r="I80" s="449">
        <v>0</v>
      </c>
      <c r="J80" s="449">
        <v>1</v>
      </c>
      <c r="K80" s="449">
        <v>1</v>
      </c>
      <c r="L80" s="449">
        <v>0</v>
      </c>
      <c r="M80" s="447">
        <v>-1.39E-6</v>
      </c>
      <c r="N80" s="449">
        <v>1</v>
      </c>
      <c r="O80" s="449">
        <v>1</v>
      </c>
      <c r="P80" s="449">
        <v>0</v>
      </c>
      <c r="Q80" s="449">
        <v>-0.50000184999999997</v>
      </c>
      <c r="R80" s="449">
        <v>1</v>
      </c>
      <c r="S80" s="447">
        <v>1E-4</v>
      </c>
      <c r="T80" s="449">
        <v>1E-4</v>
      </c>
      <c r="U80" s="449">
        <v>10000</v>
      </c>
      <c r="V80" s="449">
        <v>0</v>
      </c>
      <c r="W80" s="449">
        <v>0</v>
      </c>
      <c r="X80" s="449">
        <v>0</v>
      </c>
      <c r="Y80" s="449">
        <v>1000</v>
      </c>
      <c r="Z80" s="449">
        <v>0</v>
      </c>
      <c r="AA80" s="449">
        <v>0</v>
      </c>
      <c r="AB80" s="449">
        <v>0</v>
      </c>
    </row>
    <row r="81" spans="2:28" x14ac:dyDescent="0.2">
      <c r="D81">
        <v>90</v>
      </c>
      <c r="E81" t="e">
        <f t="shared" ca="1" si="6"/>
        <v>#NAME?</v>
      </c>
      <c r="F81" s="445" t="e">
        <f t="shared" ca="1" si="7"/>
        <v>#NAME?</v>
      </c>
      <c r="H81" s="449">
        <v>100</v>
      </c>
      <c r="I81" s="449">
        <v>0</v>
      </c>
      <c r="J81" s="449">
        <v>1</v>
      </c>
      <c r="K81" s="449">
        <v>1</v>
      </c>
      <c r="L81" s="449">
        <v>0</v>
      </c>
      <c r="M81" s="447">
        <v>-1.39E-6</v>
      </c>
      <c r="N81" s="449">
        <v>1</v>
      </c>
      <c r="O81" s="449">
        <v>1</v>
      </c>
      <c r="P81" s="449">
        <v>0</v>
      </c>
      <c r="Q81" s="449">
        <v>-0.50000184999999997</v>
      </c>
      <c r="R81" s="449">
        <v>1</v>
      </c>
      <c r="S81" s="449">
        <v>0</v>
      </c>
      <c r="T81" s="449">
        <v>2.0000000000000001E-4</v>
      </c>
      <c r="U81" s="449">
        <v>10000</v>
      </c>
      <c r="V81" s="449">
        <v>0</v>
      </c>
      <c r="W81" s="449">
        <v>0</v>
      </c>
      <c r="X81" s="449">
        <v>0</v>
      </c>
      <c r="Y81" s="449">
        <v>1000</v>
      </c>
      <c r="Z81" s="449">
        <v>0</v>
      </c>
      <c r="AA81" s="449">
        <v>0</v>
      </c>
      <c r="AB81" s="449">
        <v>0</v>
      </c>
    </row>
    <row r="82" spans="2:28" x14ac:dyDescent="0.2">
      <c r="D82">
        <v>89.885637318515904</v>
      </c>
      <c r="E82" s="119" t="e">
        <f ca="1">Phase(H82:AB82)</f>
        <v>#NAME?</v>
      </c>
      <c r="F82" s="445" t="e">
        <f t="shared" ca="1" si="7"/>
        <v>#NAME?</v>
      </c>
      <c r="H82" s="449">
        <v>100</v>
      </c>
      <c r="I82" s="449">
        <v>0</v>
      </c>
      <c r="J82" s="449">
        <v>1</v>
      </c>
      <c r="K82" s="449">
        <v>1</v>
      </c>
      <c r="L82" s="449">
        <v>0</v>
      </c>
      <c r="M82" s="447">
        <v>-1.39E-6</v>
      </c>
      <c r="N82" s="449">
        <v>1</v>
      </c>
      <c r="O82" s="449">
        <v>1</v>
      </c>
      <c r="P82" s="449">
        <v>0</v>
      </c>
      <c r="Q82" s="449">
        <v>-0.50000184999999997</v>
      </c>
      <c r="R82" s="449">
        <v>1</v>
      </c>
      <c r="S82" s="449">
        <v>0</v>
      </c>
      <c r="T82" s="449">
        <v>1E-4</v>
      </c>
      <c r="U82" s="449">
        <v>20000</v>
      </c>
      <c r="V82" s="449">
        <v>0</v>
      </c>
      <c r="W82" s="449">
        <v>1</v>
      </c>
      <c r="X82" s="449">
        <v>0</v>
      </c>
      <c r="Y82" s="449">
        <v>1000</v>
      </c>
      <c r="Z82" s="449">
        <v>0</v>
      </c>
      <c r="AA82" s="449">
        <v>0</v>
      </c>
      <c r="AB82" s="449">
        <v>0</v>
      </c>
    </row>
    <row r="83" spans="2:28" x14ac:dyDescent="0.2">
      <c r="D83">
        <v>89.919313907209499</v>
      </c>
      <c r="E83" t="e">
        <f t="shared" ca="1" si="6"/>
        <v>#NAME?</v>
      </c>
      <c r="F83" s="445" t="e">
        <f t="shared" ca="1" si="7"/>
        <v>#NAME?</v>
      </c>
      <c r="H83" s="449">
        <v>100</v>
      </c>
      <c r="I83" s="449">
        <v>0</v>
      </c>
      <c r="J83" s="449">
        <v>1</v>
      </c>
      <c r="K83" s="449">
        <v>1</v>
      </c>
      <c r="L83" s="449">
        <v>0</v>
      </c>
      <c r="M83" s="447">
        <v>-1.39E-6</v>
      </c>
      <c r="N83" s="449">
        <v>1</v>
      </c>
      <c r="O83" s="449">
        <v>1</v>
      </c>
      <c r="P83" s="449">
        <v>0</v>
      </c>
      <c r="Q83" s="449">
        <v>-0.50000184999999997</v>
      </c>
      <c r="R83" s="449">
        <v>1</v>
      </c>
      <c r="S83" s="449">
        <v>0</v>
      </c>
      <c r="T83" s="449">
        <v>1E-4</v>
      </c>
      <c r="U83" s="449">
        <v>10000</v>
      </c>
      <c r="V83" s="449">
        <v>0</v>
      </c>
      <c r="W83" s="449">
        <v>1</v>
      </c>
      <c r="X83" s="449">
        <v>0.78539816339699997</v>
      </c>
      <c r="Y83" s="449">
        <v>1000</v>
      </c>
      <c r="Z83" s="449">
        <v>0</v>
      </c>
      <c r="AA83" s="449">
        <v>0</v>
      </c>
      <c r="AB83" s="449">
        <v>0</v>
      </c>
    </row>
    <row r="84" spans="2:28" x14ac:dyDescent="0.2">
      <c r="D84">
        <v>87.7542574341049</v>
      </c>
      <c r="E84" t="e">
        <f t="shared" ca="1" si="6"/>
        <v>#NAME?</v>
      </c>
      <c r="F84" s="445" t="e">
        <f t="shared" ca="1" si="7"/>
        <v>#NAME?</v>
      </c>
      <c r="H84" s="449">
        <v>100</v>
      </c>
      <c r="I84" s="449">
        <v>0</v>
      </c>
      <c r="J84" s="449">
        <v>1</v>
      </c>
      <c r="K84" s="449">
        <v>1</v>
      </c>
      <c r="L84" s="449">
        <v>0</v>
      </c>
      <c r="M84" s="447">
        <v>-1.39E-6</v>
      </c>
      <c r="N84" s="449">
        <v>1</v>
      </c>
      <c r="O84" s="449">
        <v>1</v>
      </c>
      <c r="P84" s="449">
        <v>0</v>
      </c>
      <c r="Q84" s="449">
        <v>-0.50000184999999997</v>
      </c>
      <c r="R84" s="449">
        <v>1</v>
      </c>
      <c r="S84" s="449">
        <v>0</v>
      </c>
      <c r="T84" s="449">
        <v>1E-4</v>
      </c>
      <c r="U84" s="449">
        <v>10000</v>
      </c>
      <c r="V84" s="449">
        <v>0</v>
      </c>
      <c r="W84" s="449">
        <v>1</v>
      </c>
      <c r="X84" s="449">
        <v>0</v>
      </c>
      <c r="Y84" s="449">
        <v>100</v>
      </c>
      <c r="Z84" s="449">
        <v>0</v>
      </c>
      <c r="AA84" s="449">
        <v>0</v>
      </c>
      <c r="AB84" s="449">
        <v>0</v>
      </c>
    </row>
    <row r="85" spans="2:28" x14ac:dyDescent="0.2">
      <c r="D85">
        <v>89.919313907209499</v>
      </c>
      <c r="E85" t="e">
        <f t="shared" ca="1" si="6"/>
        <v>#NAME?</v>
      </c>
      <c r="F85" s="445" t="e">
        <f t="shared" ca="1" si="7"/>
        <v>#NAME?</v>
      </c>
      <c r="H85" s="449">
        <v>100</v>
      </c>
      <c r="I85" s="449">
        <v>0</v>
      </c>
      <c r="J85" s="449">
        <v>1</v>
      </c>
      <c r="K85" s="449">
        <v>1</v>
      </c>
      <c r="L85" s="449">
        <v>0</v>
      </c>
      <c r="M85" s="447">
        <v>-1.39E-6</v>
      </c>
      <c r="N85" s="449">
        <v>1</v>
      </c>
      <c r="O85" s="449">
        <v>1</v>
      </c>
      <c r="P85" s="449">
        <v>0</v>
      </c>
      <c r="Q85" s="449">
        <v>-0.50000184999999997</v>
      </c>
      <c r="R85" s="449">
        <v>1</v>
      </c>
      <c r="S85" s="449">
        <v>0</v>
      </c>
      <c r="T85" s="449">
        <v>1E-4</v>
      </c>
      <c r="U85" s="449">
        <v>10000</v>
      </c>
      <c r="V85" s="449">
        <v>0</v>
      </c>
      <c r="W85" s="449">
        <v>1</v>
      </c>
      <c r="X85" s="449">
        <v>0</v>
      </c>
      <c r="Y85" s="449">
        <v>1000</v>
      </c>
      <c r="Z85" s="449">
        <v>-0.78539816339699997</v>
      </c>
      <c r="AA85" s="449">
        <v>0</v>
      </c>
      <c r="AB85" s="449">
        <v>0</v>
      </c>
    </row>
    <row r="86" spans="2:28" x14ac:dyDescent="0.2">
      <c r="D86">
        <v>89.656915600476495</v>
      </c>
      <c r="E86" t="e">
        <f t="shared" ca="1" si="6"/>
        <v>#NAME?</v>
      </c>
      <c r="F86" s="445" t="e">
        <f t="shared" ca="1" si="7"/>
        <v>#NAME?</v>
      </c>
      <c r="H86" s="449">
        <v>100</v>
      </c>
      <c r="I86" s="449">
        <v>0</v>
      </c>
      <c r="J86" s="449">
        <v>1</v>
      </c>
      <c r="K86" s="449">
        <v>1</v>
      </c>
      <c r="L86" s="449">
        <v>0</v>
      </c>
      <c r="M86" s="447">
        <v>-1.39E-6</v>
      </c>
      <c r="N86" s="449">
        <v>1</v>
      </c>
      <c r="O86" s="449">
        <v>1</v>
      </c>
      <c r="P86" s="449">
        <v>0</v>
      </c>
      <c r="Q86" s="449">
        <v>-0.50000184999999997</v>
      </c>
      <c r="R86" s="449">
        <v>1</v>
      </c>
      <c r="S86" s="449">
        <v>0</v>
      </c>
      <c r="T86" s="449">
        <v>1E-4</v>
      </c>
      <c r="U86" s="449">
        <v>10000</v>
      </c>
      <c r="V86" s="449">
        <v>0</v>
      </c>
      <c r="W86" s="449">
        <v>1</v>
      </c>
      <c r="X86" s="449">
        <v>0</v>
      </c>
      <c r="Y86" s="449">
        <v>1000</v>
      </c>
      <c r="Z86" s="449">
        <v>0</v>
      </c>
      <c r="AA86" s="449">
        <v>1E-4</v>
      </c>
      <c r="AB86" s="449">
        <v>0</v>
      </c>
    </row>
    <row r="87" spans="2:28" x14ac:dyDescent="0.2">
      <c r="D87">
        <v>89.769897704902803</v>
      </c>
      <c r="E87" t="e">
        <f t="shared" ca="1" si="6"/>
        <v>#NAME?</v>
      </c>
      <c r="F87" s="445" t="e">
        <f t="shared" ca="1" si="7"/>
        <v>#NAME?</v>
      </c>
      <c r="H87" s="449">
        <v>100</v>
      </c>
      <c r="I87" s="449">
        <v>0</v>
      </c>
      <c r="J87" s="449">
        <v>1</v>
      </c>
      <c r="K87" s="449">
        <v>1</v>
      </c>
      <c r="L87" s="449">
        <v>0</v>
      </c>
      <c r="M87" s="447">
        <v>-1.39E-6</v>
      </c>
      <c r="N87" s="449">
        <v>1</v>
      </c>
      <c r="O87" s="449">
        <v>1</v>
      </c>
      <c r="P87" s="449">
        <v>0</v>
      </c>
      <c r="Q87" s="449">
        <v>-0.50000184999999997</v>
      </c>
      <c r="R87" s="449">
        <v>1</v>
      </c>
      <c r="S87" s="449">
        <v>0</v>
      </c>
      <c r="T87" s="449">
        <v>1E-4</v>
      </c>
      <c r="U87" s="449">
        <v>10000</v>
      </c>
      <c r="V87" s="449">
        <v>0</v>
      </c>
      <c r="W87" s="449">
        <v>1</v>
      </c>
      <c r="X87" s="449">
        <v>-1.57079632679</v>
      </c>
      <c r="Y87" s="449">
        <v>1000</v>
      </c>
      <c r="Z87" s="449">
        <v>0</v>
      </c>
      <c r="AA87" s="449">
        <v>0</v>
      </c>
      <c r="AB87" s="449">
        <v>1E-4</v>
      </c>
    </row>
    <row r="89" spans="2:28" x14ac:dyDescent="0.2">
      <c r="B89" s="446" t="s">
        <v>635</v>
      </c>
    </row>
    <row r="91" spans="2:28" x14ac:dyDescent="0.2">
      <c r="B91" s="446" t="s">
        <v>636</v>
      </c>
    </row>
    <row r="93" spans="2:28" x14ac:dyDescent="0.2">
      <c r="B93" s="446" t="s">
        <v>637</v>
      </c>
    </row>
    <row r="95" spans="2:28" x14ac:dyDescent="0.2">
      <c r="B95" s="446" t="s">
        <v>638</v>
      </c>
    </row>
    <row r="97" spans="2:14" x14ac:dyDescent="0.2">
      <c r="B97" s="446" t="s">
        <v>639</v>
      </c>
    </row>
    <row r="99" spans="2:14" x14ac:dyDescent="0.2">
      <c r="B99" s="446" t="s">
        <v>640</v>
      </c>
    </row>
    <row r="101" spans="2:14" x14ac:dyDescent="0.2">
      <c r="B101" s="6" t="s">
        <v>641</v>
      </c>
      <c r="D101">
        <v>1.4142135623700001</v>
      </c>
      <c r="E101" t="e">
        <f ca="1">rss(H101:I101)</f>
        <v>#NAME?</v>
      </c>
      <c r="F101" s="445" t="e">
        <f ca="1">IF(ABS(1 - D101/E101)&lt;$F$2,"PASS","FAIL")</f>
        <v>#NAME?</v>
      </c>
      <c r="H101">
        <v>1</v>
      </c>
      <c r="I101">
        <v>1</v>
      </c>
    </row>
    <row r="102" spans="2:14" s="6" customFormat="1" x14ac:dyDescent="0.2">
      <c r="D102">
        <v>1.4142135623700001</v>
      </c>
      <c r="E102" s="6" t="e">
        <f ca="1">rss(H102:I102)</f>
        <v>#NAME?</v>
      </c>
      <c r="F102" s="445" t="e">
        <f ca="1">IF(ABS(1 - D102/E102)&lt;$F$2,"PASS","FAIL")</f>
        <v>#NAME?</v>
      </c>
      <c r="H102" s="6">
        <v>-1</v>
      </c>
      <c r="I102" s="6">
        <v>-1</v>
      </c>
    </row>
    <row r="103" spans="2:14" s="6" customFormat="1" x14ac:dyDescent="0.2">
      <c r="D103" s="6">
        <v>1</v>
      </c>
      <c r="E103" s="6" t="e">
        <f ca="1">rss(H103)</f>
        <v>#NAME?</v>
      </c>
      <c r="F103" s="445" t="e">
        <f ca="1">IF(ABS(1 - D103/E103)&lt;$F$2,"PASS","FAIL")</f>
        <v>#NAME?</v>
      </c>
      <c r="H103" s="6">
        <v>1</v>
      </c>
    </row>
    <row r="104" spans="2:14" s="6" customFormat="1" x14ac:dyDescent="0.2">
      <c r="D104" s="6">
        <v>5.4772255750500003</v>
      </c>
      <c r="E104" s="6" t="e">
        <f ca="1">rss(H104:K104)</f>
        <v>#NAME?</v>
      </c>
      <c r="F104" s="445" t="e">
        <f ca="1">IF(ABS(1 - D104/E104)&lt;$F$2,"PASS","FAIL")</f>
        <v>#NAME?</v>
      </c>
      <c r="H104" s="6">
        <v>1</v>
      </c>
      <c r="I104" s="6">
        <v>2</v>
      </c>
      <c r="J104" s="6">
        <v>3</v>
      </c>
      <c r="K104" s="6">
        <v>4</v>
      </c>
    </row>
    <row r="106" spans="2:14" x14ac:dyDescent="0.2">
      <c r="B106" s="6" t="s">
        <v>642</v>
      </c>
      <c r="D106" t="str">
        <f>"false"</f>
        <v>false</v>
      </c>
      <c r="E106" t="e">
        <f ca="1">DoF_A(H106:J106,K106:L106)</f>
        <v>#NAME?</v>
      </c>
      <c r="F106" s="445" t="str">
        <f ca="1">IF(ISERROR(E106),"FAIL",IF(D106&lt;&gt;E106,"FAIL","PASS"))</f>
        <v>FAIL</v>
      </c>
      <c r="H106">
        <v>1</v>
      </c>
      <c r="I106">
        <v>2</v>
      </c>
      <c r="J106">
        <v>3</v>
      </c>
      <c r="K106">
        <v>1</v>
      </c>
      <c r="L106">
        <v>2</v>
      </c>
      <c r="N106" t="s">
        <v>654</v>
      </c>
    </row>
    <row r="107" spans="2:14" s="6" customFormat="1" x14ac:dyDescent="0.2">
      <c r="D107" s="6">
        <v>1</v>
      </c>
      <c r="E107" s="6" t="e">
        <f ca="1">DoF_A(H107,I107)</f>
        <v>#NAME?</v>
      </c>
      <c r="F107" s="445" t="e">
        <f ca="1">IF(ABS(1 - D107/E107)&lt;$F$2,"PASS","FAIL")</f>
        <v>#NAME?</v>
      </c>
      <c r="H107" s="6">
        <v>1</v>
      </c>
      <c r="I107" s="6">
        <v>1</v>
      </c>
    </row>
    <row r="108" spans="2:14" s="6" customFormat="1" x14ac:dyDescent="0.2">
      <c r="D108" s="6">
        <v>2</v>
      </c>
      <c r="E108" s="6" t="e">
        <f ca="1">DoF_A(H108:I108,J108:K108)</f>
        <v>#NAME?</v>
      </c>
      <c r="F108" s="445" t="e">
        <f ca="1">IF(ABS(1 - D108/E108)&lt;$F$2,"PASS","FAIL")</f>
        <v>#NAME?</v>
      </c>
      <c r="H108" s="6">
        <v>1</v>
      </c>
      <c r="I108" s="6">
        <v>1</v>
      </c>
      <c r="J108" s="6">
        <v>1</v>
      </c>
      <c r="K108" s="6">
        <v>1</v>
      </c>
    </row>
    <row r="109" spans="2:14" s="6" customFormat="1" x14ac:dyDescent="0.2">
      <c r="D109" s="6">
        <v>4</v>
      </c>
      <c r="E109" s="6" t="e">
        <f ca="1">DoF_A(H109:I109,J109:K109)</f>
        <v>#NAME?</v>
      </c>
      <c r="F109" s="445" t="e">
        <f ca="1">IF(ABS(1 - D109/E109)&lt;$F$2,"PASS","FAIL")</f>
        <v>#NAME?</v>
      </c>
      <c r="H109" s="6">
        <v>1</v>
      </c>
      <c r="I109" s="6">
        <v>1</v>
      </c>
      <c r="J109" s="6">
        <v>2</v>
      </c>
      <c r="K109" s="6">
        <v>2</v>
      </c>
    </row>
    <row r="110" spans="2:14" s="6" customFormat="1" x14ac:dyDescent="0.2">
      <c r="D110" s="6">
        <v>4</v>
      </c>
      <c r="E110" s="6" t="e">
        <f ca="1">DoF_A(H110:J110,K110:M110)</f>
        <v>#NAME?</v>
      </c>
      <c r="F110" s="445" t="e">
        <f ca="1">IF(ABS(1 - D110/E110)&lt;$F$2,"PASS","FAIL")</f>
        <v>#NAME?</v>
      </c>
      <c r="H110" s="6">
        <v>1</v>
      </c>
      <c r="I110" s="6">
        <v>2</v>
      </c>
      <c r="J110" s="6">
        <v>3</v>
      </c>
      <c r="K110" s="6">
        <v>2</v>
      </c>
      <c r="L110" s="6">
        <v>2</v>
      </c>
      <c r="M110" s="6">
        <v>2</v>
      </c>
    </row>
    <row r="111" spans="2:14" s="6" customFormat="1" x14ac:dyDescent="0.2"/>
    <row r="113" spans="1:10" x14ac:dyDescent="0.2">
      <c r="B113" s="6" t="s">
        <v>643</v>
      </c>
      <c r="D113">
        <v>12.71</v>
      </c>
      <c r="E113" t="e">
        <f ca="1">CoverFactor(1)</f>
        <v>#NAME?</v>
      </c>
      <c r="F113" s="445" t="e">
        <f t="shared" ref="F113:F118" ca="1" si="8">IF(ABS(1 - D113/E113)&lt;$J$116,"PASS","FAIL")</f>
        <v>#NAME?</v>
      </c>
      <c r="H113" t="s">
        <v>651</v>
      </c>
    </row>
    <row r="114" spans="1:10" x14ac:dyDescent="0.2">
      <c r="D114">
        <v>3.18</v>
      </c>
      <c r="E114" t="e">
        <f ca="1">CoverFactor(3)</f>
        <v>#NAME?</v>
      </c>
      <c r="F114" s="445" t="e">
        <f t="shared" ca="1" si="8"/>
        <v>#NAME?</v>
      </c>
      <c r="H114" t="s">
        <v>652</v>
      </c>
    </row>
    <row r="115" spans="1:10" x14ac:dyDescent="0.2">
      <c r="D115">
        <v>2.57</v>
      </c>
      <c r="E115" t="e">
        <f ca="1">CoverFactor(5)</f>
        <v>#NAME?</v>
      </c>
      <c r="F115" s="445" t="e">
        <f t="shared" ca="1" si="8"/>
        <v>#NAME?</v>
      </c>
    </row>
    <row r="116" spans="1:10" x14ac:dyDescent="0.2">
      <c r="D116">
        <v>2.23</v>
      </c>
      <c r="E116" t="e">
        <f ca="1">CoverFactor(10)</f>
        <v>#NAME?</v>
      </c>
      <c r="F116" s="445" t="e">
        <f t="shared" ca="1" si="8"/>
        <v>#NAME?</v>
      </c>
      <c r="H116" t="s">
        <v>653</v>
      </c>
      <c r="J116">
        <v>0.02</v>
      </c>
    </row>
    <row r="117" spans="1:10" x14ac:dyDescent="0.2">
      <c r="D117">
        <v>2.09</v>
      </c>
      <c r="E117" t="e">
        <f ca="1">CoverFactor(20)</f>
        <v>#NAME?</v>
      </c>
      <c r="F117" s="445" t="e">
        <f t="shared" ca="1" si="8"/>
        <v>#NAME?</v>
      </c>
    </row>
    <row r="118" spans="1:10" x14ac:dyDescent="0.2">
      <c r="D118">
        <v>1.984</v>
      </c>
      <c r="E118" t="e">
        <f ca="1">CoverFactor(100)</f>
        <v>#NAME?</v>
      </c>
      <c r="F118" s="445" t="e">
        <f t="shared" ca="1" si="8"/>
        <v>#NAME?</v>
      </c>
    </row>
    <row r="122" spans="1:10" x14ac:dyDescent="0.2">
      <c r="A122" t="s">
        <v>627</v>
      </c>
      <c r="B122" s="446" t="s">
        <v>644</v>
      </c>
    </row>
    <row r="123" spans="1:10" x14ac:dyDescent="0.2">
      <c r="B123" t="s">
        <v>629</v>
      </c>
      <c r="D123" t="s">
        <v>630</v>
      </c>
      <c r="E123" t="s">
        <v>631</v>
      </c>
      <c r="F123" t="s">
        <v>632</v>
      </c>
      <c r="H123" t="s">
        <v>633</v>
      </c>
    </row>
  </sheetData>
  <customSheetViews>
    <customSheetView guid="{1F7EA7B0-7CBB-4C85-991C-384D0AE2B3A5}" showRuler="0" topLeftCell="A19">
      <selection activeCell="H57" sqref="H57"/>
      <pageMargins left="0.75" right="0.75" top="1" bottom="1" header="0.5" footer="0.5"/>
      <printOptions gridLines="1"/>
      <headerFooter alignWithMargins="0">
        <oddHeader>&amp;A</oddHeader>
        <oddFooter>Page &amp;P</oddFooter>
      </headerFooter>
    </customSheetView>
  </customSheetViews>
  <phoneticPr fontId="13" type="noConversion"/>
  <conditionalFormatting sqref="F101:F104 F113:F118 F106:F110 F65:F67 F6:F23 G14 F26:F63 F70:F87">
    <cfRule type="cellIs" dxfId="2" priority="1" stopIfTrue="1" operator="equal">
      <formula>"PASS"</formula>
    </cfRule>
  </conditionalFormatting>
  <conditionalFormatting sqref="J2">
    <cfRule type="cellIs" dxfId="1" priority="2" stopIfTrue="1" operator="greaterThan">
      <formula>0</formula>
    </cfRule>
  </conditionalFormatting>
  <conditionalFormatting sqref="I2">
    <cfRule type="cellIs" dxfId="0" priority="3" stopIfTrue="1" operator="equal">
      <formula>$K$2</formula>
    </cfRule>
  </conditionalFormatting>
  <printOptions gridLines="1" gridLinesSet="0"/>
  <pageMargins left="0.75" right="0.75" top="1" bottom="1" header="0.5" footer="0.5"/>
  <headerFooter alignWithMargins="0">
    <oddHeader>&amp;A</oddHeader>
    <oddFoote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
  <sheetViews>
    <sheetView workbookViewId="0"/>
  </sheetViews>
  <sheetFormatPr defaultRowHeight="12.75" x14ac:dyDescent="0.2"/>
  <sheetData/>
  <customSheetViews>
    <customSheetView guid="{1F7EA7B0-7CBB-4C85-991C-384D0AE2B3A5}" showRuler="0">
      <pageMargins left="0.75" right="0.75" top="1" bottom="1" header="0.5" footer="0.5"/>
      <printOptions gridLines="1"/>
      <headerFooter alignWithMargins="0">
        <oddHeader>&amp;A</oddHeader>
        <oddFooter>Page &amp;P</oddFooter>
      </headerFooter>
    </customSheetView>
  </customSheetViews>
  <phoneticPr fontId="13" type="noConversion"/>
  <printOptions gridLines="1" gridLinesSet="0"/>
  <pageMargins left="0.75" right="0.75" top="1" bottom="1" header="0.5" footer="0.5"/>
  <headerFooter alignWithMargins="0">
    <oddHeader>&amp;A</oddHeader>
    <oddFooter>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V136"/>
  <sheetViews>
    <sheetView topLeftCell="A37" workbookViewId="0">
      <selection activeCell="H72" sqref="H72"/>
    </sheetView>
  </sheetViews>
  <sheetFormatPr defaultRowHeight="12.75" x14ac:dyDescent="0.2"/>
  <cols>
    <col min="1" max="1" width="10.140625" bestFit="1" customWidth="1"/>
    <col min="3" max="3" width="27" customWidth="1"/>
  </cols>
  <sheetData>
    <row r="1" spans="1:22" ht="26.25" x14ac:dyDescent="0.4">
      <c r="A1" s="440" t="s">
        <v>621</v>
      </c>
    </row>
    <row r="3" spans="1:22" x14ac:dyDescent="0.2">
      <c r="A3" t="s">
        <v>619</v>
      </c>
      <c r="C3" t="s">
        <v>622</v>
      </c>
      <c r="D3" t="s">
        <v>620</v>
      </c>
    </row>
    <row r="4" spans="1:22" x14ac:dyDescent="0.2">
      <c r="A4" s="444">
        <v>39121</v>
      </c>
      <c r="C4" t="s">
        <v>623</v>
      </c>
      <c r="D4" t="s">
        <v>624</v>
      </c>
      <c r="O4" t="s">
        <v>625</v>
      </c>
    </row>
    <row r="5" spans="1:22" x14ac:dyDescent="0.2">
      <c r="A5" s="444">
        <v>39121</v>
      </c>
      <c r="C5" t="s">
        <v>626</v>
      </c>
      <c r="D5" t="s">
        <v>656</v>
      </c>
    </row>
    <row r="6" spans="1:22" x14ac:dyDescent="0.2">
      <c r="A6" s="444">
        <v>39122</v>
      </c>
      <c r="C6" t="s">
        <v>649</v>
      </c>
      <c r="D6" t="s">
        <v>650</v>
      </c>
    </row>
    <row r="7" spans="1:22" x14ac:dyDescent="0.2">
      <c r="A7" s="444">
        <v>39122</v>
      </c>
      <c r="C7" t="s">
        <v>626</v>
      </c>
      <c r="D7" t="s">
        <v>655</v>
      </c>
    </row>
    <row r="8" spans="1:22" x14ac:dyDescent="0.2">
      <c r="A8" s="444">
        <v>39125</v>
      </c>
      <c r="C8" t="s">
        <v>626</v>
      </c>
      <c r="D8" t="s">
        <v>657</v>
      </c>
    </row>
    <row r="9" spans="1:22" x14ac:dyDescent="0.2">
      <c r="A9" s="444">
        <v>39126</v>
      </c>
      <c r="C9" t="s">
        <v>626</v>
      </c>
      <c r="D9" t="s">
        <v>658</v>
      </c>
    </row>
    <row r="10" spans="1:22" x14ac:dyDescent="0.2">
      <c r="A10" s="444">
        <v>39127</v>
      </c>
      <c r="C10" t="s">
        <v>626</v>
      </c>
      <c r="D10" t="s">
        <v>659</v>
      </c>
    </row>
    <row r="11" spans="1:22" x14ac:dyDescent="0.2">
      <c r="A11" s="444">
        <v>39129</v>
      </c>
      <c r="C11" t="s">
        <v>661</v>
      </c>
      <c r="D11" t="s">
        <v>660</v>
      </c>
    </row>
    <row r="12" spans="1:22" x14ac:dyDescent="0.2">
      <c r="A12" s="444">
        <v>39132</v>
      </c>
      <c r="C12" t="s">
        <v>623</v>
      </c>
      <c r="D12" t="s">
        <v>716</v>
      </c>
    </row>
    <row r="13" spans="1:22" x14ac:dyDescent="0.2">
      <c r="A13" s="453">
        <v>39140</v>
      </c>
      <c r="B13" s="66"/>
      <c r="C13" s="66" t="s">
        <v>662</v>
      </c>
      <c r="D13" s="66" t="s">
        <v>663</v>
      </c>
      <c r="E13" s="66"/>
      <c r="F13" s="66"/>
      <c r="G13" s="66"/>
      <c r="H13" s="66"/>
      <c r="I13" s="66"/>
      <c r="J13" s="66"/>
      <c r="K13" s="66"/>
      <c r="L13" s="66"/>
      <c r="M13" s="66"/>
      <c r="N13" s="66"/>
      <c r="O13" s="66"/>
      <c r="P13" s="66"/>
      <c r="Q13" s="66"/>
      <c r="R13" s="66"/>
      <c r="S13" s="66"/>
      <c r="T13" s="66"/>
      <c r="U13" s="66"/>
      <c r="V13" s="66"/>
    </row>
    <row r="14" spans="1:22" x14ac:dyDescent="0.2">
      <c r="A14" s="444">
        <v>39163</v>
      </c>
      <c r="C14" t="s">
        <v>664</v>
      </c>
      <c r="D14" t="s">
        <v>665</v>
      </c>
    </row>
    <row r="15" spans="1:22" x14ac:dyDescent="0.2">
      <c r="A15" s="444">
        <v>39170</v>
      </c>
      <c r="C15" t="s">
        <v>715</v>
      </c>
      <c r="D15" t="s">
        <v>718</v>
      </c>
    </row>
    <row r="16" spans="1:22" x14ac:dyDescent="0.2">
      <c r="A16" s="444">
        <v>39170</v>
      </c>
      <c r="C16" t="s">
        <v>623</v>
      </c>
      <c r="D16" t="s">
        <v>717</v>
      </c>
    </row>
    <row r="17" spans="1:4" x14ac:dyDescent="0.2">
      <c r="A17" s="444">
        <v>39512</v>
      </c>
      <c r="C17" t="s">
        <v>623</v>
      </c>
      <c r="D17" t="s">
        <v>719</v>
      </c>
    </row>
    <row r="18" spans="1:4" x14ac:dyDescent="0.2">
      <c r="A18" s="444">
        <v>39764</v>
      </c>
      <c r="C18" t="s">
        <v>724</v>
      </c>
      <c r="D18" t="s">
        <v>727</v>
      </c>
    </row>
    <row r="19" spans="1:4" x14ac:dyDescent="0.2">
      <c r="A19" s="444">
        <v>39764</v>
      </c>
      <c r="C19" t="s">
        <v>623</v>
      </c>
      <c r="D19" t="s">
        <v>732</v>
      </c>
    </row>
    <row r="20" spans="1:4" x14ac:dyDescent="0.2">
      <c r="A20" s="444">
        <v>39878</v>
      </c>
      <c r="C20" t="s">
        <v>724</v>
      </c>
      <c r="D20" t="s">
        <v>746</v>
      </c>
    </row>
    <row r="21" spans="1:4" x14ac:dyDescent="0.2">
      <c r="A21" s="444">
        <v>39891</v>
      </c>
      <c r="C21" t="s">
        <v>664</v>
      </c>
      <c r="D21" t="s">
        <v>747</v>
      </c>
    </row>
    <row r="22" spans="1:4" x14ac:dyDescent="0.2">
      <c r="A22" s="444">
        <v>39947</v>
      </c>
      <c r="C22" t="s">
        <v>623</v>
      </c>
      <c r="D22" t="s">
        <v>780</v>
      </c>
    </row>
    <row r="23" spans="1:4" x14ac:dyDescent="0.2">
      <c r="A23" s="444">
        <v>39947</v>
      </c>
      <c r="C23" t="s">
        <v>664</v>
      </c>
      <c r="D23" t="s">
        <v>771</v>
      </c>
    </row>
    <row r="24" spans="1:4" x14ac:dyDescent="0.2">
      <c r="A24" s="444">
        <v>39947</v>
      </c>
      <c r="C24" t="s">
        <v>644</v>
      </c>
      <c r="D24" t="s">
        <v>770</v>
      </c>
    </row>
    <row r="25" spans="1:4" x14ac:dyDescent="0.2">
      <c r="A25" s="444">
        <v>39959</v>
      </c>
      <c r="C25" t="s">
        <v>724</v>
      </c>
      <c r="D25" t="s">
        <v>782</v>
      </c>
    </row>
    <row r="26" spans="1:4" x14ac:dyDescent="0.2">
      <c r="A26" s="444">
        <v>39990</v>
      </c>
      <c r="C26" t="s">
        <v>783</v>
      </c>
      <c r="D26" t="s">
        <v>784</v>
      </c>
    </row>
    <row r="27" spans="1:4" x14ac:dyDescent="0.2">
      <c r="A27" s="444">
        <v>40239</v>
      </c>
      <c r="C27" t="s">
        <v>998</v>
      </c>
      <c r="D27" t="s">
        <v>1005</v>
      </c>
    </row>
    <row r="28" spans="1:4" x14ac:dyDescent="0.2">
      <c r="D28" t="s">
        <v>1003</v>
      </c>
    </row>
    <row r="29" spans="1:4" x14ac:dyDescent="0.2">
      <c r="A29" s="444">
        <v>40239</v>
      </c>
      <c r="C29" t="s">
        <v>1004</v>
      </c>
      <c r="D29" t="s">
        <v>1006</v>
      </c>
    </row>
    <row r="30" spans="1:4" x14ac:dyDescent="0.2">
      <c r="A30" s="444">
        <v>40239</v>
      </c>
      <c r="C30" t="s">
        <v>1007</v>
      </c>
      <c r="D30" t="s">
        <v>1008</v>
      </c>
    </row>
    <row r="31" spans="1:4" x14ac:dyDescent="0.2">
      <c r="D31" t="s">
        <v>1013</v>
      </c>
    </row>
    <row r="32" spans="1:4" x14ac:dyDescent="0.2">
      <c r="A32" s="444">
        <v>40239</v>
      </c>
      <c r="C32" t="s">
        <v>1009</v>
      </c>
      <c r="D32" t="s">
        <v>1012</v>
      </c>
    </row>
    <row r="33" spans="1:9" x14ac:dyDescent="0.2">
      <c r="A33" s="444">
        <v>40239</v>
      </c>
      <c r="C33" t="s">
        <v>1010</v>
      </c>
      <c r="D33" t="s">
        <v>1011</v>
      </c>
    </row>
    <row r="34" spans="1:9" x14ac:dyDescent="0.2">
      <c r="A34" s="444">
        <v>40499</v>
      </c>
      <c r="C34" t="s">
        <v>783</v>
      </c>
      <c r="D34" t="s">
        <v>1014</v>
      </c>
    </row>
    <row r="35" spans="1:9" x14ac:dyDescent="0.2">
      <c r="A35" s="444">
        <v>40504</v>
      </c>
      <c r="C35" t="s">
        <v>724</v>
      </c>
      <c r="D35" t="s">
        <v>1015</v>
      </c>
    </row>
    <row r="36" spans="1:9" x14ac:dyDescent="0.2">
      <c r="A36" s="444">
        <v>40557</v>
      </c>
      <c r="C36" t="s">
        <v>724</v>
      </c>
      <c r="D36" t="s">
        <v>1016</v>
      </c>
    </row>
    <row r="37" spans="1:9" x14ac:dyDescent="0.2">
      <c r="A37" s="444">
        <v>40602</v>
      </c>
      <c r="C37" t="s">
        <v>724</v>
      </c>
      <c r="D37" t="s">
        <v>1021</v>
      </c>
    </row>
    <row r="38" spans="1:9" x14ac:dyDescent="0.2">
      <c r="A38" s="444">
        <v>40645</v>
      </c>
      <c r="C38" t="s">
        <v>1004</v>
      </c>
      <c r="D38" t="s">
        <v>1030</v>
      </c>
      <c r="I38" t="s">
        <v>1031</v>
      </c>
    </row>
    <row r="39" spans="1:9" x14ac:dyDescent="0.2">
      <c r="A39" s="444">
        <v>40651</v>
      </c>
      <c r="C39" t="s">
        <v>724</v>
      </c>
      <c r="D39" t="s">
        <v>1032</v>
      </c>
    </row>
    <row r="40" spans="1:9" x14ac:dyDescent="0.2">
      <c r="A40" s="444">
        <v>40662</v>
      </c>
      <c r="C40" t="s">
        <v>644</v>
      </c>
      <c r="D40" t="s">
        <v>1034</v>
      </c>
    </row>
    <row r="41" spans="1:9" x14ac:dyDescent="0.2">
      <c r="A41" s="444"/>
      <c r="D41" t="s">
        <v>1033</v>
      </c>
    </row>
    <row r="42" spans="1:9" x14ac:dyDescent="0.2">
      <c r="A42" s="444">
        <v>40662</v>
      </c>
      <c r="C42" t="s">
        <v>783</v>
      </c>
      <c r="D42" t="s">
        <v>1035</v>
      </c>
    </row>
    <row r="43" spans="1:9" x14ac:dyDescent="0.2">
      <c r="D43" t="s">
        <v>1036</v>
      </c>
    </row>
    <row r="44" spans="1:9" x14ac:dyDescent="0.2">
      <c r="A44" s="444">
        <v>40665</v>
      </c>
      <c r="C44" t="s">
        <v>724</v>
      </c>
      <c r="D44" t="s">
        <v>1037</v>
      </c>
    </row>
    <row r="45" spans="1:9" x14ac:dyDescent="0.2">
      <c r="A45" s="444">
        <v>40665</v>
      </c>
      <c r="C45" t="s">
        <v>724</v>
      </c>
      <c r="D45" t="s">
        <v>1038</v>
      </c>
    </row>
    <row r="46" spans="1:9" x14ac:dyDescent="0.2">
      <c r="A46" s="444">
        <v>40668</v>
      </c>
      <c r="C46" t="s">
        <v>623</v>
      </c>
      <c r="D46" t="s">
        <v>1039</v>
      </c>
    </row>
    <row r="47" spans="1:9" x14ac:dyDescent="0.2">
      <c r="A47" s="444">
        <v>40669</v>
      </c>
      <c r="C47" t="s">
        <v>644</v>
      </c>
      <c r="D47" t="s">
        <v>1040</v>
      </c>
    </row>
    <row r="48" spans="1:9" x14ac:dyDescent="0.2">
      <c r="A48" s="444">
        <v>40681</v>
      </c>
      <c r="C48" t="s">
        <v>644</v>
      </c>
      <c r="D48" t="s">
        <v>1041</v>
      </c>
    </row>
    <row r="49" spans="1:4" x14ac:dyDescent="0.2">
      <c r="A49" s="444">
        <v>40681</v>
      </c>
      <c r="C49" t="s">
        <v>1042</v>
      </c>
      <c r="D49" t="s">
        <v>1047</v>
      </c>
    </row>
    <row r="50" spans="1:4" x14ac:dyDescent="0.2">
      <c r="A50" s="444">
        <v>40708</v>
      </c>
      <c r="C50" t="s">
        <v>664</v>
      </c>
      <c r="D50" t="s">
        <v>1048</v>
      </c>
    </row>
    <row r="51" spans="1:4" x14ac:dyDescent="0.2">
      <c r="A51" s="444">
        <v>40777</v>
      </c>
      <c r="C51" t="s">
        <v>724</v>
      </c>
      <c r="D51" s="20" t="s">
        <v>1049</v>
      </c>
    </row>
    <row r="52" spans="1:4" x14ac:dyDescent="0.2">
      <c r="A52" s="444">
        <v>41086</v>
      </c>
      <c r="D52" t="s">
        <v>1056</v>
      </c>
    </row>
    <row r="53" spans="1:4" x14ac:dyDescent="0.2">
      <c r="A53" s="444">
        <v>41086</v>
      </c>
      <c r="C53" t="s">
        <v>724</v>
      </c>
      <c r="D53" t="s">
        <v>1072</v>
      </c>
    </row>
    <row r="54" spans="1:4" x14ac:dyDescent="0.2">
      <c r="A54" s="444">
        <v>41086</v>
      </c>
      <c r="C54" t="s">
        <v>662</v>
      </c>
      <c r="D54" t="s">
        <v>1071</v>
      </c>
    </row>
    <row r="55" spans="1:4" x14ac:dyDescent="0.2">
      <c r="A55" s="444">
        <v>41086</v>
      </c>
      <c r="C55" t="s">
        <v>724</v>
      </c>
      <c r="D55" t="s">
        <v>1064</v>
      </c>
    </row>
    <row r="56" spans="1:4" x14ac:dyDescent="0.2">
      <c r="A56" s="444">
        <v>41086</v>
      </c>
      <c r="C56" t="s">
        <v>1010</v>
      </c>
      <c r="D56" t="s">
        <v>1066</v>
      </c>
    </row>
    <row r="57" spans="1:4" x14ac:dyDescent="0.2">
      <c r="A57" s="444">
        <v>41086</v>
      </c>
      <c r="C57" t="s">
        <v>998</v>
      </c>
      <c r="D57" t="s">
        <v>1065</v>
      </c>
    </row>
    <row r="58" spans="1:4" x14ac:dyDescent="0.2">
      <c r="A58" s="444">
        <v>41086</v>
      </c>
      <c r="C58" t="s">
        <v>783</v>
      </c>
      <c r="D58" t="s">
        <v>1014</v>
      </c>
    </row>
    <row r="59" spans="1:4" x14ac:dyDescent="0.2">
      <c r="A59" s="444">
        <v>41284</v>
      </c>
      <c r="C59" t="s">
        <v>1079</v>
      </c>
      <c r="D59" t="s">
        <v>1080</v>
      </c>
    </row>
    <row r="60" spans="1:4" x14ac:dyDescent="0.2">
      <c r="A60" s="444">
        <v>41284</v>
      </c>
      <c r="C60" t="s">
        <v>1081</v>
      </c>
      <c r="D60" t="s">
        <v>1082</v>
      </c>
    </row>
    <row r="61" spans="1:4" x14ac:dyDescent="0.2">
      <c r="A61" s="444">
        <v>41284</v>
      </c>
      <c r="C61" t="s">
        <v>998</v>
      </c>
      <c r="D61" t="s">
        <v>1084</v>
      </c>
    </row>
    <row r="62" spans="1:4" x14ac:dyDescent="0.2">
      <c r="A62" s="444">
        <v>41284</v>
      </c>
      <c r="C62" t="s">
        <v>664</v>
      </c>
      <c r="D62" t="s">
        <v>1083</v>
      </c>
    </row>
    <row r="63" spans="1:4" x14ac:dyDescent="0.2">
      <c r="A63" s="444">
        <v>41288</v>
      </c>
      <c r="C63" t="s">
        <v>724</v>
      </c>
      <c r="D63" t="s">
        <v>1085</v>
      </c>
    </row>
    <row r="64" spans="1:4" x14ac:dyDescent="0.2">
      <c r="A64" s="444">
        <v>41292</v>
      </c>
      <c r="C64" t="s">
        <v>1081</v>
      </c>
      <c r="D64" t="s">
        <v>1129</v>
      </c>
    </row>
    <row r="65" spans="1:18" x14ac:dyDescent="0.2">
      <c r="A65" s="444">
        <v>41438</v>
      </c>
      <c r="C65" s="74" t="s">
        <v>623</v>
      </c>
      <c r="D65" s="74" t="s">
        <v>2</v>
      </c>
    </row>
    <row r="66" spans="1:18" x14ac:dyDescent="0.2">
      <c r="A66" s="444">
        <v>41442</v>
      </c>
      <c r="C66" s="74" t="s">
        <v>623</v>
      </c>
      <c r="D66" s="74" t="s">
        <v>5</v>
      </c>
    </row>
    <row r="67" spans="1:18" x14ac:dyDescent="0.2">
      <c r="A67" s="444">
        <v>41485</v>
      </c>
      <c r="C67" s="657" t="s">
        <v>8</v>
      </c>
      <c r="D67" s="657" t="s">
        <v>9</v>
      </c>
    </row>
    <row r="68" spans="1:18" x14ac:dyDescent="0.2">
      <c r="A68" s="444">
        <v>41578</v>
      </c>
      <c r="C68" s="665" t="s">
        <v>1042</v>
      </c>
      <c r="D68" s="657" t="s">
        <v>10</v>
      </c>
    </row>
    <row r="69" spans="1:18" x14ac:dyDescent="0.2">
      <c r="A69" s="444">
        <v>41604</v>
      </c>
      <c r="C69" s="666" t="s">
        <v>783</v>
      </c>
      <c r="D69" t="s">
        <v>11</v>
      </c>
    </row>
    <row r="70" spans="1:18" x14ac:dyDescent="0.2">
      <c r="A70" s="444">
        <v>41613</v>
      </c>
      <c r="C70" s="666" t="s">
        <v>644</v>
      </c>
      <c r="D70" s="657" t="s">
        <v>17</v>
      </c>
    </row>
    <row r="71" spans="1:18" x14ac:dyDescent="0.2">
      <c r="A71" s="444">
        <v>41613</v>
      </c>
      <c r="C71" s="666" t="s">
        <v>724</v>
      </c>
      <c r="D71" s="657" t="s">
        <v>15</v>
      </c>
      <c r="M71" s="665" t="s">
        <v>16</v>
      </c>
      <c r="N71" s="666"/>
      <c r="O71" s="666"/>
      <c r="P71" s="666"/>
    </row>
    <row r="72" spans="1:18" x14ac:dyDescent="0.2">
      <c r="A72" s="444">
        <v>41613</v>
      </c>
      <c r="C72" s="665" t="s">
        <v>662</v>
      </c>
      <c r="D72" s="657" t="s">
        <v>14</v>
      </c>
    </row>
    <row r="73" spans="1:18" x14ac:dyDescent="0.2">
      <c r="A73" s="444">
        <v>41613</v>
      </c>
      <c r="C73" s="665" t="s">
        <v>23</v>
      </c>
      <c r="D73" s="657" t="s">
        <v>24</v>
      </c>
    </row>
    <row r="74" spans="1:18" x14ac:dyDescent="0.2">
      <c r="A74" s="444">
        <v>41781</v>
      </c>
      <c r="C74" s="362" t="s">
        <v>724</v>
      </c>
      <c r="D74" s="657" t="s">
        <v>28</v>
      </c>
    </row>
    <row r="75" spans="1:18" x14ac:dyDescent="0.2">
      <c r="A75" s="444">
        <v>41781</v>
      </c>
      <c r="C75" s="362" t="s">
        <v>662</v>
      </c>
      <c r="D75" s="657" t="s">
        <v>30</v>
      </c>
    </row>
    <row r="76" spans="1:18" x14ac:dyDescent="0.2">
      <c r="A76" s="444">
        <v>41787</v>
      </c>
      <c r="C76" s="362" t="s">
        <v>724</v>
      </c>
      <c r="D76" s="657" t="s">
        <v>39</v>
      </c>
    </row>
    <row r="77" spans="1:18" x14ac:dyDescent="0.2">
      <c r="A77" s="444">
        <v>41794</v>
      </c>
      <c r="C77" t="s">
        <v>783</v>
      </c>
      <c r="D77" t="s">
        <v>1014</v>
      </c>
    </row>
    <row r="78" spans="1:18" x14ac:dyDescent="0.2">
      <c r="A78" s="444">
        <v>41836</v>
      </c>
      <c r="C78" s="657" t="s">
        <v>1007</v>
      </c>
      <c r="D78" s="657" t="s">
        <v>40</v>
      </c>
    </row>
    <row r="79" spans="1:18" x14ac:dyDescent="0.2">
      <c r="A79" s="444">
        <v>41975</v>
      </c>
      <c r="C79" s="724" t="s">
        <v>23</v>
      </c>
      <c r="D79" s="657" t="s">
        <v>44</v>
      </c>
    </row>
    <row r="80" spans="1:18" x14ac:dyDescent="0.2">
      <c r="A80" s="444">
        <v>42031</v>
      </c>
      <c r="C80" s="724" t="s">
        <v>724</v>
      </c>
      <c r="D80" s="657" t="s">
        <v>45</v>
      </c>
      <c r="P80" s="724" t="s">
        <v>48</v>
      </c>
      <c r="Q80" s="725"/>
      <c r="R80" s="725"/>
    </row>
    <row r="81" spans="1:1" x14ac:dyDescent="0.2">
      <c r="A81" s="444"/>
    </row>
    <row r="82" spans="1:1" x14ac:dyDescent="0.2">
      <c r="A82" s="444"/>
    </row>
    <row r="83" spans="1:1" x14ac:dyDescent="0.2">
      <c r="A83" s="444"/>
    </row>
    <row r="84" spans="1:1" x14ac:dyDescent="0.2">
      <c r="A84" s="444"/>
    </row>
    <row r="85" spans="1:1" x14ac:dyDescent="0.2">
      <c r="A85" s="444"/>
    </row>
    <row r="86" spans="1:1" x14ac:dyDescent="0.2">
      <c r="A86" s="444"/>
    </row>
    <row r="87" spans="1:1" x14ac:dyDescent="0.2">
      <c r="A87" s="444"/>
    </row>
    <row r="88" spans="1:1" x14ac:dyDescent="0.2">
      <c r="A88" s="444"/>
    </row>
    <row r="89" spans="1:1" x14ac:dyDescent="0.2">
      <c r="A89" s="444"/>
    </row>
    <row r="90" spans="1:1" x14ac:dyDescent="0.2">
      <c r="A90" s="444"/>
    </row>
    <row r="91" spans="1:1" x14ac:dyDescent="0.2">
      <c r="A91" s="444"/>
    </row>
    <row r="92" spans="1:1" x14ac:dyDescent="0.2">
      <c r="A92" s="444"/>
    </row>
    <row r="93" spans="1:1" x14ac:dyDescent="0.2">
      <c r="A93" s="444"/>
    </row>
    <row r="94" spans="1:1" x14ac:dyDescent="0.2">
      <c r="A94" s="444"/>
    </row>
    <row r="95" spans="1:1" x14ac:dyDescent="0.2">
      <c r="A95" s="444"/>
    </row>
    <row r="96" spans="1:1" x14ac:dyDescent="0.2">
      <c r="A96" s="444"/>
    </row>
    <row r="97" spans="1:1" x14ac:dyDescent="0.2">
      <c r="A97" s="444"/>
    </row>
    <row r="98" spans="1:1" x14ac:dyDescent="0.2">
      <c r="A98" s="444"/>
    </row>
    <row r="99" spans="1:1" x14ac:dyDescent="0.2">
      <c r="A99" s="444"/>
    </row>
    <row r="100" spans="1:1" x14ac:dyDescent="0.2">
      <c r="A100" s="444"/>
    </row>
    <row r="101" spans="1:1" x14ac:dyDescent="0.2">
      <c r="A101" s="444"/>
    </row>
    <row r="102" spans="1:1" x14ac:dyDescent="0.2">
      <c r="A102" s="444"/>
    </row>
    <row r="103" spans="1:1" x14ac:dyDescent="0.2">
      <c r="A103" s="444"/>
    </row>
    <row r="104" spans="1:1" x14ac:dyDescent="0.2">
      <c r="A104" s="444"/>
    </row>
    <row r="105" spans="1:1" x14ac:dyDescent="0.2">
      <c r="A105" s="444"/>
    </row>
    <row r="106" spans="1:1" x14ac:dyDescent="0.2">
      <c r="A106" s="444"/>
    </row>
    <row r="107" spans="1:1" x14ac:dyDescent="0.2">
      <c r="A107" s="444"/>
    </row>
    <row r="108" spans="1:1" x14ac:dyDescent="0.2">
      <c r="A108" s="444"/>
    </row>
    <row r="109" spans="1:1" x14ac:dyDescent="0.2">
      <c r="A109" s="444"/>
    </row>
    <row r="110" spans="1:1" x14ac:dyDescent="0.2">
      <c r="A110" s="444"/>
    </row>
    <row r="111" spans="1:1" x14ac:dyDescent="0.2">
      <c r="A111" s="444"/>
    </row>
    <row r="112" spans="1:1" x14ac:dyDescent="0.2">
      <c r="A112" s="444"/>
    </row>
    <row r="113" spans="1:1" x14ac:dyDescent="0.2">
      <c r="A113" s="444"/>
    </row>
    <row r="114" spans="1:1" x14ac:dyDescent="0.2">
      <c r="A114" s="444"/>
    </row>
    <row r="115" spans="1:1" x14ac:dyDescent="0.2">
      <c r="A115" s="444"/>
    </row>
    <row r="116" spans="1:1" x14ac:dyDescent="0.2">
      <c r="A116" s="444"/>
    </row>
    <row r="117" spans="1:1" x14ac:dyDescent="0.2">
      <c r="A117" s="444"/>
    </row>
    <row r="118" spans="1:1" x14ac:dyDescent="0.2">
      <c r="A118" s="444"/>
    </row>
    <row r="119" spans="1:1" x14ac:dyDescent="0.2">
      <c r="A119" s="444"/>
    </row>
    <row r="120" spans="1:1" x14ac:dyDescent="0.2">
      <c r="A120" s="444"/>
    </row>
    <row r="121" spans="1:1" x14ac:dyDescent="0.2">
      <c r="A121" s="444"/>
    </row>
    <row r="122" spans="1:1" x14ac:dyDescent="0.2">
      <c r="A122" s="444"/>
    </row>
    <row r="123" spans="1:1" x14ac:dyDescent="0.2">
      <c r="A123" s="444"/>
    </row>
    <row r="124" spans="1:1" x14ac:dyDescent="0.2">
      <c r="A124" s="444"/>
    </row>
    <row r="125" spans="1:1" x14ac:dyDescent="0.2">
      <c r="A125" s="444"/>
    </row>
    <row r="126" spans="1:1" x14ac:dyDescent="0.2">
      <c r="A126" s="444"/>
    </row>
    <row r="127" spans="1:1" x14ac:dyDescent="0.2">
      <c r="A127" s="444"/>
    </row>
    <row r="128" spans="1:1" x14ac:dyDescent="0.2">
      <c r="A128" s="444"/>
    </row>
    <row r="129" spans="1:1" x14ac:dyDescent="0.2">
      <c r="A129" s="444"/>
    </row>
    <row r="130" spans="1:1" x14ac:dyDescent="0.2">
      <c r="A130" s="444"/>
    </row>
    <row r="131" spans="1:1" x14ac:dyDescent="0.2">
      <c r="A131" s="444"/>
    </row>
    <row r="132" spans="1:1" x14ac:dyDescent="0.2">
      <c r="A132" s="444"/>
    </row>
    <row r="133" spans="1:1" x14ac:dyDescent="0.2">
      <c r="A133" s="444"/>
    </row>
    <row r="134" spans="1:1" x14ac:dyDescent="0.2">
      <c r="A134" s="444"/>
    </row>
    <row r="135" spans="1:1" x14ac:dyDescent="0.2">
      <c r="A135" s="444"/>
    </row>
    <row r="136" spans="1:1" x14ac:dyDescent="0.2">
      <c r="A136" s="444"/>
    </row>
  </sheetData>
  <customSheetViews>
    <customSheetView guid="{1F7EA7B0-7CBB-4C85-991C-384D0AE2B3A5}" showRuler="0">
      <selection activeCell="D6" sqref="D6"/>
      <pageMargins left="0.75" right="0.75" top="1" bottom="1" header="0.5" footer="0.5"/>
      <printOptions gridLines="1"/>
      <pageSetup paperSize="9" orientation="portrait" r:id="rId1"/>
      <headerFooter alignWithMargins="0">
        <oddHeader>&amp;A</oddHeader>
        <oddFooter>Page &amp;P</oddFooter>
      </headerFooter>
    </customSheetView>
  </customSheetViews>
  <phoneticPr fontId="13" type="noConversion"/>
  <printOptions gridLines="1" gridLinesSet="0"/>
  <pageMargins left="0.75" right="0.75" top="1" bottom="1" header="0.5" footer="0.5"/>
  <pageSetup paperSize="9" orientation="portrait" r:id="rId2"/>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38</vt:i4>
      </vt:variant>
    </vt:vector>
  </HeadingPairs>
  <TitlesOfParts>
    <vt:vector size="61" baseType="lpstr">
      <vt:lpstr>Data</vt:lpstr>
      <vt:lpstr>RD31 Data</vt:lpstr>
      <vt:lpstr>K2006 Data</vt:lpstr>
      <vt:lpstr>PowerCalc</vt:lpstr>
      <vt:lpstr>UncCalc</vt:lpstr>
      <vt:lpstr>constants</vt:lpstr>
      <vt:lpstr>Uncertainties</vt:lpstr>
      <vt:lpstr>TABLE RM11</vt:lpstr>
      <vt:lpstr>Metrix RM11 History</vt:lpstr>
      <vt:lpstr>TABLE RD31</vt:lpstr>
      <vt:lpstr>D3000 Star Table</vt:lpstr>
      <vt:lpstr>D3000 Delta Table</vt:lpstr>
      <vt:lpstr>TABLES TVH4.322</vt:lpstr>
      <vt:lpstr>Star Data</vt:lpstr>
      <vt:lpstr>2W Delta Data</vt:lpstr>
      <vt:lpstr>TVH4 Unc</vt:lpstr>
      <vt:lpstr>RM11 Unc</vt:lpstr>
      <vt:lpstr>TVE102_3</vt:lpstr>
      <vt:lpstr>D3000Unc</vt:lpstr>
      <vt:lpstr>TVH2.32</vt:lpstr>
      <vt:lpstr>Unit Tests</vt:lpstr>
      <vt:lpstr>Sheet16</vt:lpstr>
      <vt:lpstr>ChangeLog</vt:lpstr>
      <vt:lpstr>Alpha</vt:lpstr>
      <vt:lpstr>Amps_stdev</vt:lpstr>
      <vt:lpstr>Beta</vt:lpstr>
      <vt:lpstr>C_1</vt:lpstr>
      <vt:lpstr>C_1_CalTemp</vt:lpstr>
      <vt:lpstr>C_d</vt:lpstr>
      <vt:lpstr>Ch_1_vars_combined__std_unc</vt:lpstr>
      <vt:lpstr>Ch_1_vars_dfm</vt:lpstr>
      <vt:lpstr>Ch_1_watts_combined__std_unc</vt:lpstr>
      <vt:lpstr>Ch_1_watts_dfm</vt:lpstr>
      <vt:lpstr>check_std_array</vt:lpstr>
      <vt:lpstr>CountCorr</vt:lpstr>
      <vt:lpstr>current_row_number</vt:lpstr>
      <vt:lpstr>Data</vt:lpstr>
      <vt:lpstr>DetAmpGain</vt:lpstr>
      <vt:lpstr>Error3478A</vt:lpstr>
      <vt:lpstr>ErrorPerCent</vt:lpstr>
      <vt:lpstr>g_1</vt:lpstr>
      <vt:lpstr>g_d</vt:lpstr>
      <vt:lpstr>HP3458corectn</vt:lpstr>
      <vt:lpstr>Imp_stdev</vt:lpstr>
      <vt:lpstr>L_1</vt:lpstr>
      <vt:lpstr>L_2</vt:lpstr>
      <vt:lpstr>PF_VF</vt:lpstr>
      <vt:lpstr>Phase_stdev</vt:lpstr>
      <vt:lpstr>PowerCalc</vt:lpstr>
      <vt:lpstr>UncCalc!Print_Area</vt:lpstr>
      <vt:lpstr>R_1</vt:lpstr>
      <vt:lpstr>R_2</vt:lpstr>
      <vt:lpstr>R_2byR_1</vt:lpstr>
      <vt:lpstr>R0</vt:lpstr>
      <vt:lpstr>ratio_stdev</vt:lpstr>
      <vt:lpstr>Shift3478A</vt:lpstr>
      <vt:lpstr>TCR2_R1</vt:lpstr>
      <vt:lpstr>UncCalc</vt:lpstr>
      <vt:lpstr>Var_stdev</vt:lpstr>
      <vt:lpstr>Volts_stdev</vt:lpstr>
      <vt:lpstr>Watts_stdev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Services</dc:creator>
  <cp:lastModifiedBy>Maor BenShahar</cp:lastModifiedBy>
  <cp:lastPrinted>2005-02-07T22:27:37Z</cp:lastPrinted>
  <dcterms:created xsi:type="dcterms:W3CDTF">1998-07-29T02:15:11Z</dcterms:created>
  <dcterms:modified xsi:type="dcterms:W3CDTF">2017-06-01T05:01:52Z</dcterms:modified>
</cp:coreProperties>
</file>