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AU\Desktop\advw\"/>
    </mc:Choice>
  </mc:AlternateContent>
  <bookViews>
    <workbookView xWindow="0" yWindow="0" windowWidth="12855" windowHeight="7155" activeTab="1"/>
  </bookViews>
  <sheets>
    <sheet name="Hoja1" sheetId="1" r:id="rId1"/>
    <sheet name="à imprimer noir&amp;blanc" sheetId="5" r:id="rId2"/>
    <sheet name="à imprimer couleur" sheetId="4" r:id="rId3"/>
    <sheet name="Hoja2" sheetId="2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C37" i="5"/>
  <c r="B37" i="5"/>
  <c r="D36" i="5"/>
  <c r="C36" i="5"/>
  <c r="B36" i="5"/>
  <c r="D35" i="5"/>
  <c r="C35" i="5"/>
  <c r="B35" i="5"/>
  <c r="D34" i="5"/>
  <c r="C34" i="5"/>
  <c r="D33" i="5"/>
  <c r="C33" i="5"/>
  <c r="B33" i="5"/>
  <c r="G31" i="5"/>
  <c r="F31" i="5"/>
  <c r="E31" i="5"/>
  <c r="D31" i="5"/>
  <c r="B31" i="5"/>
  <c r="A31" i="5"/>
  <c r="G30" i="5"/>
  <c r="F30" i="5"/>
  <c r="E30" i="5"/>
  <c r="D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B25" i="5"/>
  <c r="A25" i="5"/>
  <c r="G23" i="5"/>
  <c r="F23" i="5"/>
  <c r="E23" i="5"/>
  <c r="D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D4" i="5"/>
  <c r="C4" i="5"/>
  <c r="B4" i="5"/>
  <c r="A4" i="5"/>
  <c r="G3" i="5"/>
  <c r="F3" i="5"/>
  <c r="E3" i="5"/>
  <c r="D3" i="5"/>
  <c r="C3" i="5"/>
  <c r="B3" i="5"/>
  <c r="A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  <c r="A9" i="4"/>
  <c r="A1" i="4"/>
  <c r="B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D30" i="4"/>
  <c r="E30" i="4"/>
  <c r="F30" i="4"/>
  <c r="G30" i="4"/>
  <c r="B31" i="4"/>
  <c r="D31" i="4"/>
  <c r="E31" i="4"/>
  <c r="F31" i="4"/>
  <c r="G31" i="4"/>
  <c r="A17" i="4"/>
  <c r="B17" i="4"/>
  <c r="C17" i="4"/>
  <c r="D17" i="4"/>
  <c r="E17" i="4"/>
  <c r="F17" i="4"/>
  <c r="G17" i="4"/>
  <c r="A18" i="4"/>
  <c r="A19" i="4"/>
  <c r="A20" i="4"/>
  <c r="A21" i="4"/>
  <c r="A22" i="4"/>
  <c r="A23" i="4"/>
  <c r="B20" i="4"/>
  <c r="C20" i="4"/>
  <c r="D20" i="4"/>
  <c r="E20" i="4"/>
  <c r="F20" i="4"/>
  <c r="G20" i="4"/>
  <c r="B21" i="4"/>
  <c r="D21" i="4"/>
  <c r="E21" i="4"/>
  <c r="F21" i="4"/>
  <c r="G21" i="4"/>
  <c r="B22" i="4"/>
  <c r="C22" i="4"/>
  <c r="D22" i="4"/>
  <c r="E22" i="4"/>
  <c r="F22" i="4"/>
  <c r="G22" i="4"/>
  <c r="B23" i="4"/>
  <c r="D23" i="4"/>
  <c r="E23" i="4"/>
  <c r="F23" i="4"/>
  <c r="G23" i="4"/>
  <c r="A31" i="4"/>
  <c r="A30" i="4"/>
  <c r="A29" i="4"/>
  <c r="A28" i="4"/>
  <c r="A27" i="4"/>
  <c r="A26" i="4"/>
  <c r="A25" i="4"/>
  <c r="G19" i="4"/>
  <c r="F19" i="4"/>
  <c r="E19" i="4"/>
  <c r="D19" i="4"/>
  <c r="B19" i="4"/>
  <c r="G18" i="4"/>
  <c r="F18" i="4"/>
  <c r="E18" i="4"/>
  <c r="D18" i="4"/>
  <c r="C18" i="4"/>
  <c r="B18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G9" i="4"/>
  <c r="F9" i="4"/>
  <c r="E9" i="4"/>
  <c r="D9" i="4"/>
  <c r="C9" i="4"/>
  <c r="B9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D37" i="4"/>
  <c r="C37" i="4"/>
  <c r="B37" i="4"/>
  <c r="G5" i="4"/>
  <c r="F5" i="4"/>
  <c r="E5" i="4"/>
  <c r="D5" i="4"/>
  <c r="C5" i="4"/>
  <c r="B5" i="4"/>
  <c r="A5" i="4"/>
  <c r="D36" i="4"/>
  <c r="C36" i="4"/>
  <c r="B36" i="4"/>
  <c r="G4" i="4"/>
  <c r="F4" i="4"/>
  <c r="E4" i="4"/>
  <c r="D4" i="4"/>
  <c r="C4" i="4"/>
  <c r="B4" i="4"/>
  <c r="A4" i="4"/>
  <c r="D35" i="4"/>
  <c r="C35" i="4"/>
  <c r="B35" i="4"/>
  <c r="G3" i="4"/>
  <c r="F3" i="4"/>
  <c r="E3" i="4"/>
  <c r="D3" i="4"/>
  <c r="C3" i="4"/>
  <c r="B3" i="4"/>
  <c r="A3" i="4"/>
  <c r="D34" i="4"/>
  <c r="C34" i="4"/>
  <c r="G2" i="4"/>
  <c r="F2" i="4"/>
  <c r="E2" i="4"/>
  <c r="D2" i="4"/>
  <c r="C2" i="4"/>
  <c r="B2" i="4"/>
  <c r="A2" i="4"/>
  <c r="D33" i="4"/>
  <c r="C33" i="4"/>
  <c r="B33" i="4"/>
  <c r="G1" i="4"/>
  <c r="F1" i="4"/>
  <c r="E1" i="4"/>
  <c r="D1" i="4"/>
  <c r="C1" i="4"/>
  <c r="B1" i="4"/>
  <c r="N16" i="1" l="1"/>
  <c r="N24" i="1"/>
  <c r="T10" i="1"/>
  <c r="E40" i="1"/>
  <c r="C40" i="1"/>
  <c r="U41" i="1" l="1"/>
  <c r="X17" i="1"/>
  <c r="W17" i="1"/>
  <c r="V17" i="1"/>
  <c r="U17" i="1"/>
  <c r="N45" i="1"/>
  <c r="N44" i="1"/>
  <c r="M44" i="1"/>
  <c r="N18" i="1"/>
  <c r="J4" i="2"/>
  <c r="J5" i="2"/>
  <c r="J6" i="2"/>
  <c r="J7" i="2"/>
  <c r="J8" i="2"/>
  <c r="J9" i="2"/>
  <c r="J10" i="2"/>
  <c r="J11" i="2"/>
  <c r="J12" i="2"/>
  <c r="J13" i="2"/>
  <c r="J3" i="2"/>
  <c r="V39" i="1"/>
  <c r="U39" i="1"/>
  <c r="T39" i="1"/>
  <c r="S39" i="1"/>
  <c r="V36" i="1"/>
  <c r="V37" i="1"/>
  <c r="V38" i="1"/>
  <c r="V35" i="1"/>
  <c r="U36" i="1"/>
  <c r="U37" i="1"/>
  <c r="U38" i="1"/>
  <c r="U35" i="1"/>
  <c r="T36" i="1"/>
  <c r="T37" i="1"/>
  <c r="T38" i="1"/>
  <c r="T35" i="1"/>
  <c r="S36" i="1"/>
  <c r="S37" i="1"/>
  <c r="S38" i="1"/>
  <c r="S35" i="1"/>
  <c r="V27" i="1"/>
  <c r="V28" i="1"/>
  <c r="V29" i="1"/>
  <c r="V30" i="1"/>
  <c r="V31" i="1"/>
  <c r="V26" i="1"/>
  <c r="U27" i="1"/>
  <c r="U28" i="1"/>
  <c r="U29" i="1"/>
  <c r="U30" i="1"/>
  <c r="U31" i="1"/>
  <c r="U26" i="1"/>
  <c r="T27" i="1"/>
  <c r="T28" i="1"/>
  <c r="T29" i="1"/>
  <c r="T30" i="1"/>
  <c r="T31" i="1"/>
  <c r="T26" i="1"/>
  <c r="S27" i="1"/>
  <c r="S28" i="1"/>
  <c r="S29" i="1"/>
  <c r="S30" i="1"/>
  <c r="S31" i="1"/>
  <c r="S26" i="1"/>
  <c r="L4" i="2"/>
  <c r="L5" i="2"/>
  <c r="L6" i="2"/>
  <c r="L7" i="2"/>
  <c r="L8" i="2"/>
  <c r="L9" i="2"/>
  <c r="L10" i="2"/>
  <c r="L11" i="2"/>
  <c r="L12" i="2"/>
  <c r="L13" i="2"/>
  <c r="K4" i="2"/>
  <c r="K5" i="2"/>
  <c r="K6" i="2"/>
  <c r="K7" i="2"/>
  <c r="K8" i="2"/>
  <c r="K9" i="2"/>
  <c r="K10" i="2"/>
  <c r="K11" i="2"/>
  <c r="K12" i="2"/>
  <c r="K13" i="2"/>
  <c r="K3" i="2"/>
  <c r="L3" i="2"/>
  <c r="L2" i="2"/>
  <c r="K2" i="2"/>
  <c r="H4" i="2"/>
  <c r="H5" i="2"/>
  <c r="H6" i="2"/>
  <c r="H7" i="2"/>
  <c r="H8" i="2"/>
  <c r="H9" i="2"/>
  <c r="H10" i="2"/>
  <c r="H11" i="2"/>
  <c r="H12" i="2"/>
  <c r="H13" i="2"/>
  <c r="H3" i="2"/>
  <c r="I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I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I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I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I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I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I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I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I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I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I3" i="2"/>
  <c r="S11" i="1"/>
  <c r="S12" i="1"/>
  <c r="S13" i="1"/>
  <c r="S10" i="1"/>
  <c r="U10" i="1"/>
  <c r="A13" i="1"/>
  <c r="D1" i="1"/>
  <c r="G12" i="2"/>
  <c r="G3" i="2"/>
  <c r="O36" i="1"/>
  <c r="P36" i="1" s="1"/>
  <c r="O37" i="1"/>
  <c r="P37" i="1" s="1"/>
  <c r="O38" i="1"/>
  <c r="P38" i="1" s="1"/>
  <c r="O39" i="1"/>
  <c r="P39" i="1" s="1"/>
  <c r="O40" i="1"/>
  <c r="O35" i="1"/>
  <c r="P35" i="1" s="1"/>
  <c r="G37" i="1"/>
  <c r="G38" i="1" s="1"/>
  <c r="G39" i="1" s="1"/>
  <c r="G40" i="1" s="1"/>
  <c r="G36" i="1"/>
  <c r="G35" i="1"/>
  <c r="L34" i="1"/>
  <c r="L25" i="1"/>
  <c r="D35" i="1"/>
  <c r="G26" i="1"/>
  <c r="F32" i="1" s="1"/>
  <c r="G27" i="1"/>
  <c r="G28" i="1"/>
  <c r="G29" i="1"/>
  <c r="G30" i="1"/>
  <c r="G31" i="1"/>
  <c r="P27" i="1"/>
  <c r="P28" i="1"/>
  <c r="P29" i="1"/>
  <c r="P30" i="1"/>
  <c r="P31" i="1"/>
  <c r="P26" i="1"/>
  <c r="S32" i="1" l="1"/>
  <c r="S33" i="1" s="1"/>
  <c r="S40" i="1"/>
  <c r="S41" i="1" s="1"/>
  <c r="U32" i="1"/>
  <c r="U33" i="1" s="1"/>
  <c r="V32" i="1"/>
  <c r="V33" i="1" s="1"/>
  <c r="V40" i="1"/>
  <c r="V41" i="1" s="1"/>
  <c r="T40" i="1"/>
  <c r="T41" i="1" s="1"/>
  <c r="U40" i="1"/>
  <c r="T32" i="1"/>
  <c r="T33" i="1" s="1"/>
  <c r="M14" i="1"/>
  <c r="C39" i="1"/>
  <c r="T67" i="1"/>
  <c r="J73" i="1"/>
  <c r="H74" i="1" s="1"/>
  <c r="N68" i="1"/>
  <c r="N67" i="1"/>
  <c r="L47" i="1"/>
  <c r="L46" i="1"/>
  <c r="L45" i="1"/>
  <c r="M51" i="1" s="1"/>
  <c r="M52" i="1"/>
  <c r="M47" i="1"/>
  <c r="M53" i="1"/>
  <c r="M54" i="1"/>
  <c r="M55" i="1"/>
  <c r="M56" i="1"/>
  <c r="M57" i="1"/>
  <c r="O61" i="1"/>
  <c r="O62" i="1" s="1"/>
  <c r="O34" i="1"/>
  <c r="N34" i="1"/>
  <c r="J34" i="1"/>
  <c r="H34" i="1"/>
  <c r="F34" i="1"/>
  <c r="G7" i="2"/>
  <c r="F6" i="2"/>
  <c r="C36" i="1"/>
  <c r="C37" i="1"/>
  <c r="C38" i="1"/>
  <c r="C35" i="1"/>
  <c r="E35" i="1" s="1"/>
  <c r="L1" i="1"/>
  <c r="J1" i="1"/>
  <c r="H1" i="1"/>
  <c r="F1" i="1"/>
  <c r="B1" i="1"/>
  <c r="A15" i="1"/>
  <c r="L9" i="1" s="1"/>
  <c r="A14" i="1"/>
  <c r="J9" i="1" s="1"/>
  <c r="A21" i="1"/>
  <c r="H17" i="1" s="1"/>
  <c r="A12" i="1"/>
  <c r="F9" i="1" s="1"/>
  <c r="A11" i="1"/>
  <c r="D9" i="1" s="1"/>
  <c r="A10" i="1"/>
  <c r="A18" i="1" s="1"/>
  <c r="B17" i="1" s="1"/>
  <c r="A22" i="1"/>
  <c r="J17" i="1" s="1"/>
  <c r="L11" i="1"/>
  <c r="L12" i="1"/>
  <c r="J13" i="1"/>
  <c r="J14" i="1"/>
  <c r="J22" i="1" s="1"/>
  <c r="H14" i="1"/>
  <c r="H22" i="1" s="1"/>
  <c r="F12" i="1"/>
  <c r="F20" i="1" s="1"/>
  <c r="F22" i="1"/>
  <c r="F10" i="1"/>
  <c r="D11" i="1"/>
  <c r="D18" i="1"/>
  <c r="B10" i="1"/>
  <c r="C10" i="1" s="1"/>
  <c r="B12" i="1"/>
  <c r="B20" i="1" s="1"/>
  <c r="B19" i="1"/>
  <c r="F3" i="1"/>
  <c r="F11" i="1" s="1"/>
  <c r="F19" i="1" s="1"/>
  <c r="H25" i="1"/>
  <c r="J25" i="1"/>
  <c r="F25" i="1"/>
  <c r="Q22" i="1"/>
  <c r="R19" i="1" l="1"/>
  <c r="R18" i="1"/>
  <c r="M11" i="1"/>
  <c r="O63" i="1"/>
  <c r="O64" i="1" s="1"/>
  <c r="L50" i="1"/>
  <c r="M50" i="1" s="1"/>
  <c r="M46" i="1"/>
  <c r="L48" i="1"/>
  <c r="M48" i="1" s="1"/>
  <c r="M45" i="1"/>
  <c r="L49" i="1"/>
  <c r="M49" i="1" s="1"/>
  <c r="B18" i="1"/>
  <c r="A30" i="1"/>
  <c r="A29" i="1"/>
  <c r="A26" i="1"/>
  <c r="A19" i="1"/>
  <c r="A23" i="1"/>
  <c r="H9" i="1"/>
  <c r="A20" i="1"/>
  <c r="B9" i="1"/>
  <c r="S14" i="1"/>
  <c r="R22" i="1"/>
  <c r="R21" i="1"/>
  <c r="R20" i="1"/>
  <c r="G10" i="2"/>
  <c r="G9" i="2" s="1"/>
  <c r="G8" i="2" s="1"/>
  <c r="G11" i="2"/>
  <c r="G13" i="2"/>
  <c r="G20" i="1"/>
  <c r="F4" i="2"/>
  <c r="F5" i="2"/>
  <c r="F7" i="2"/>
  <c r="F8" i="2"/>
  <c r="F9" i="2"/>
  <c r="F10" i="2"/>
  <c r="F11" i="2"/>
  <c r="F12" i="2"/>
  <c r="F13" i="2"/>
  <c r="F3" i="2"/>
  <c r="C19" i="1"/>
  <c r="E19" i="1"/>
  <c r="I19" i="1"/>
  <c r="K19" i="1"/>
  <c r="C20" i="1"/>
  <c r="E20" i="1"/>
  <c r="I20" i="1"/>
  <c r="K20" i="1"/>
  <c r="C21" i="1"/>
  <c r="E21" i="1"/>
  <c r="G21" i="1"/>
  <c r="I21" i="1"/>
  <c r="K21" i="1"/>
  <c r="C22" i="1"/>
  <c r="E22" i="1"/>
  <c r="G22" i="1"/>
  <c r="I22" i="1"/>
  <c r="K22" i="1"/>
  <c r="E15" i="1"/>
  <c r="G15" i="1"/>
  <c r="I15" i="1"/>
  <c r="K15" i="1"/>
  <c r="M15" i="1"/>
  <c r="E18" i="1"/>
  <c r="G18" i="1"/>
  <c r="I18" i="1"/>
  <c r="K18" i="1"/>
  <c r="G19" i="1"/>
  <c r="W18" i="1" l="1"/>
  <c r="K27" i="1"/>
  <c r="K31" i="1"/>
  <c r="K26" i="1"/>
  <c r="J32" i="1" s="1"/>
  <c r="K28" i="1"/>
  <c r="K30" i="1"/>
  <c r="K29" i="1"/>
  <c r="X18" i="1"/>
  <c r="M29" i="1"/>
  <c r="M27" i="1"/>
  <c r="M30" i="1"/>
  <c r="M31" i="1"/>
  <c r="M28" i="1"/>
  <c r="M26" i="1"/>
  <c r="L32" i="1" s="1"/>
  <c r="I29" i="1"/>
  <c r="N29" i="1" s="1"/>
  <c r="I27" i="1"/>
  <c r="I26" i="1"/>
  <c r="I30" i="1"/>
  <c r="I31" i="1"/>
  <c r="N31" i="1" s="1"/>
  <c r="I28" i="1"/>
  <c r="N28" i="1" s="1"/>
  <c r="T11" i="1"/>
  <c r="V18" i="1"/>
  <c r="N19" i="1"/>
  <c r="N53" i="1"/>
  <c r="N54" i="1"/>
  <c r="N48" i="1"/>
  <c r="N57" i="1"/>
  <c r="N47" i="1"/>
  <c r="T12" i="1"/>
  <c r="U12" i="1" s="1"/>
  <c r="T13" i="1"/>
  <c r="V10" i="1"/>
  <c r="L17" i="1"/>
  <c r="A31" i="1"/>
  <c r="F17" i="1"/>
  <c r="A28" i="1"/>
  <c r="D17" i="1"/>
  <c r="A27" i="1"/>
  <c r="C18" i="1"/>
  <c r="I14" i="1"/>
  <c r="K11" i="1"/>
  <c r="E13" i="1"/>
  <c r="K10" i="1"/>
  <c r="G10" i="1"/>
  <c r="M13" i="1"/>
  <c r="N21" i="1"/>
  <c r="G11" i="1"/>
  <c r="K12" i="1"/>
  <c r="N22" i="1"/>
  <c r="N20" i="1"/>
  <c r="I13" i="1"/>
  <c r="E11" i="1"/>
  <c r="G14" i="1"/>
  <c r="I10" i="1"/>
  <c r="I12" i="1"/>
  <c r="K14" i="1"/>
  <c r="M10" i="1"/>
  <c r="M12" i="1"/>
  <c r="G12" i="1"/>
  <c r="E12" i="1"/>
  <c r="E14" i="1"/>
  <c r="E10" i="1"/>
  <c r="G13" i="1"/>
  <c r="I11" i="1"/>
  <c r="K13" i="1"/>
  <c r="C11" i="1"/>
  <c r="T14" i="1" l="1"/>
  <c r="U11" i="1"/>
  <c r="V11" i="1" s="1"/>
  <c r="D38" i="1"/>
  <c r="E38" i="1" s="1"/>
  <c r="M35" i="1"/>
  <c r="M36" i="1" s="1"/>
  <c r="M37" i="1" s="1"/>
  <c r="M38" i="1" s="1"/>
  <c r="M39" i="1" s="1"/>
  <c r="M40" i="1" s="1"/>
  <c r="U13" i="1"/>
  <c r="V13" i="1" s="1"/>
  <c r="N27" i="1"/>
  <c r="K35" i="1"/>
  <c r="K36" i="1" s="1"/>
  <c r="K37" i="1" s="1"/>
  <c r="K38" i="1" s="1"/>
  <c r="K39" i="1" s="1"/>
  <c r="K40" i="1" s="1"/>
  <c r="D37" i="1"/>
  <c r="E37" i="1" s="1"/>
  <c r="N30" i="1"/>
  <c r="H32" i="1"/>
  <c r="N26" i="1"/>
  <c r="V12" i="1"/>
  <c r="N51" i="1"/>
  <c r="N50" i="1"/>
  <c r="N46" i="1"/>
  <c r="N55" i="1"/>
  <c r="N49" i="1"/>
  <c r="N52" i="1"/>
  <c r="N56" i="1"/>
  <c r="N10" i="1"/>
  <c r="D26" i="1" s="1"/>
  <c r="N11" i="1"/>
  <c r="D27" i="1" s="1"/>
  <c r="C12" i="1"/>
  <c r="N12" i="1" s="1"/>
  <c r="D28" i="1" s="1"/>
  <c r="G6" i="2"/>
  <c r="I35" i="1" l="1"/>
  <c r="D39" i="1"/>
  <c r="E39" i="1" s="1"/>
  <c r="D36" i="1"/>
  <c r="E36" i="1" s="1"/>
  <c r="C15" i="1"/>
  <c r="N15" i="1" s="1"/>
  <c r="D31" i="1" s="1"/>
  <c r="G5" i="2"/>
  <c r="I36" i="1" l="1"/>
  <c r="N35" i="1"/>
  <c r="G4" i="2"/>
  <c r="C13" i="1"/>
  <c r="N13" i="1" s="1"/>
  <c r="D29" i="1" s="1"/>
  <c r="I37" i="1" l="1"/>
  <c r="N36" i="1"/>
  <c r="C14" i="1"/>
  <c r="N14" i="1" s="1"/>
  <c r="D30" i="1" s="1"/>
  <c r="I38" i="1" l="1"/>
  <c r="N37" i="1"/>
  <c r="E30" i="1"/>
  <c r="E26" i="1"/>
  <c r="E31" i="1"/>
  <c r="I39" i="1" l="1"/>
  <c r="N38" i="1"/>
  <c r="E29" i="1"/>
  <c r="E27" i="1"/>
  <c r="E28" i="1"/>
  <c r="N58" i="1"/>
  <c r="N39" i="1" l="1"/>
  <c r="I40" i="1"/>
  <c r="N40" i="1" s="1"/>
</calcChain>
</file>

<file path=xl/sharedStrings.xml><?xml version="1.0" encoding="utf-8"?>
<sst xmlns="http://schemas.openxmlformats.org/spreadsheetml/2006/main" count="164" uniqueCount="119">
  <si>
    <t>montagne</t>
  </si>
  <si>
    <t>plaine</t>
  </si>
  <si>
    <t>forêt</t>
  </si>
  <si>
    <t>ville</t>
  </si>
  <si>
    <t>eau/pont/riviere</t>
  </si>
  <si>
    <t>score</t>
  </si>
  <si>
    <t>dé à obtenir</t>
  </si>
  <si>
    <t>mouvement</t>
  </si>
  <si>
    <t>Proba moy</t>
  </si>
  <si>
    <t>proba contre attaquemoy</t>
  </si>
  <si>
    <t>ressources</t>
  </si>
  <si>
    <t>nb de tuile</t>
  </si>
  <si>
    <t>proba</t>
  </si>
  <si>
    <t>total</t>
  </si>
  <si>
    <t>%</t>
  </si>
  <si>
    <t>Coût $</t>
  </si>
  <si>
    <t>paramètre</t>
  </si>
  <si>
    <t>Score</t>
  </si>
  <si>
    <t>score moyen</t>
  </si>
  <si>
    <t>bonus moyen</t>
  </si>
  <si>
    <t>bonus moyen prob</t>
  </si>
  <si>
    <t>var coût équivalent $</t>
  </si>
  <si>
    <t>troupe</t>
  </si>
  <si>
    <t>ressources / ECHANGE</t>
  </si>
  <si>
    <t>mur</t>
  </si>
  <si>
    <t>conquête</t>
  </si>
  <si>
    <t>proba conquête</t>
  </si>
  <si>
    <t>coût $</t>
  </si>
  <si>
    <t>batiment</t>
  </si>
  <si>
    <t>amélioration</t>
  </si>
  <si>
    <t>mvmnt x 2</t>
  </si>
  <si>
    <t>dé +1</t>
  </si>
  <si>
    <t>dé +2</t>
  </si>
  <si>
    <t>dé +3</t>
  </si>
  <si>
    <t>dé -1</t>
  </si>
  <si>
    <t>dé -2</t>
  </si>
  <si>
    <t>dé -3</t>
  </si>
  <si>
    <t>impact +1</t>
  </si>
  <si>
    <t>impact +2</t>
  </si>
  <si>
    <t>portée /tuile</t>
  </si>
  <si>
    <t>isolement</t>
  </si>
  <si>
    <t>description</t>
  </si>
  <si>
    <t>portée /joueurs</t>
  </si>
  <si>
    <t>mvmnt /2</t>
  </si>
  <si>
    <t>vol</t>
  </si>
  <si>
    <t>ressource*2</t>
  </si>
  <si>
    <t>mvmnt adv</t>
  </si>
  <si>
    <t>portée /unités</t>
  </si>
  <si>
    <t>portée /ressources</t>
  </si>
  <si>
    <t>nb d'utilisation</t>
  </si>
  <si>
    <t>gain de proba</t>
  </si>
  <si>
    <t>augmente le résultat des dés de 1 pendant 3 jets de dés consécutifs</t>
  </si>
  <si>
    <t>augmente le résultat des dés de 2 pendant 2 jets de dés consécutifs</t>
  </si>
  <si>
    <t>augmente le résultat des dés de 3 pendant 1 jet de dés</t>
  </si>
  <si>
    <t>diminue le résultat des dés de 1 pendant 3 jets de dès consécutifs</t>
  </si>
  <si>
    <t>diminue le résultat des dés de 3 pendant 1 jet de dès</t>
  </si>
  <si>
    <t>diminue le résultat des dés de 2 pendant 2 jets de dès consécutifs</t>
  </si>
  <si>
    <t>le jet de dé d'un combat s'applique aux unités placées sur la trajectoire (1 tuile supplémentaire)</t>
  </si>
  <si>
    <t>le jet de dé d'un combat s'applique aux unités placées sur la trajectoire (3 tuiles supplémentaire)</t>
  </si>
  <si>
    <t>permet de doubler les récoltes de 3 ressources  une fois</t>
  </si>
  <si>
    <t>Isole un groupe de 3 unités groupées sur un triangle de tuile (ne reçoit plus d'ordre : ne bouge plus, ne contre-attaque pas, ne récolte pas)</t>
  </si>
  <si>
    <t>divise par deux la capacité de mouvement d'un groupe de 3 unités groupées sur un triangle de tuile</t>
  </si>
  <si>
    <t>permet d'utiliser la capacité de mouvement d'un groupe de 3 unités groupées sur un triangle de tuile</t>
  </si>
  <si>
    <t>double la capacité de mouvement d'un groupe de 3 unités groupées sur un triangle de tuile</t>
  </si>
  <si>
    <t>nb de carte</t>
  </si>
  <si>
    <t>double les ressources du terrain occupé</t>
  </si>
  <si>
    <t>empeche le passage d'une unités ennemi</t>
  </si>
  <si>
    <t>données de base</t>
  </si>
  <si>
    <t>terrain occupé</t>
  </si>
  <si>
    <t>bonus attaquant</t>
  </si>
  <si>
    <t>bonus defenseur</t>
  </si>
  <si>
    <t>Masque une tuile, récolte les tuiles adjacentes</t>
  </si>
  <si>
    <t>nb de paquet</t>
  </si>
  <si>
    <t>nb de "jeu" de tuile</t>
  </si>
  <si>
    <t>nb de paquet dans un "jeu"</t>
  </si>
  <si>
    <t>permet de voler jusqu'à 8 ressources au hasard dans la main d'un seul joueur</t>
  </si>
  <si>
    <t>coef</t>
  </si>
  <si>
    <t>hexagone de 2 cm de coté, 4cm de diamètre</t>
  </si>
  <si>
    <t xml:space="preserve">hexagone </t>
  </si>
  <si>
    <t>longueur</t>
  </si>
  <si>
    <t>largeur</t>
  </si>
  <si>
    <t>carton</t>
  </si>
  <si>
    <t>portée</t>
  </si>
  <si>
    <t>Nb de ressources</t>
  </si>
  <si>
    <t>bonus $</t>
  </si>
  <si>
    <t>fantassins</t>
  </si>
  <si>
    <t>bazooka</t>
  </si>
  <si>
    <t>jeep</t>
  </si>
  <si>
    <t>char</t>
  </si>
  <si>
    <t>poudre</t>
  </si>
  <si>
    <t>génie</t>
  </si>
  <si>
    <t>caoutchouc</t>
  </si>
  <si>
    <t>Armurerie</t>
  </si>
  <si>
    <t>acier</t>
  </si>
  <si>
    <t>Acierie</t>
  </si>
  <si>
    <t>lance-fusée</t>
  </si>
  <si>
    <t>Usine chimique</t>
  </si>
  <si>
    <t>tour avant retour sur invest</t>
  </si>
  <si>
    <t>nb unité</t>
  </si>
  <si>
    <t>P a</t>
  </si>
  <si>
    <t>C a</t>
  </si>
  <si>
    <t>R a</t>
  </si>
  <si>
    <t>A a</t>
  </si>
  <si>
    <t>P b</t>
  </si>
  <si>
    <t>C b</t>
  </si>
  <si>
    <t>R b</t>
  </si>
  <si>
    <t>A b</t>
  </si>
  <si>
    <t>total utilisé pour construction complète</t>
  </si>
  <si>
    <t>total utilisé pour construction complète hors mur</t>
  </si>
  <si>
    <t>ratio d'utilisation</t>
  </si>
  <si>
    <t>tissu</t>
  </si>
  <si>
    <t>Tisserie</t>
  </si>
  <si>
    <t>eau</t>
  </si>
  <si>
    <t>ressource</t>
  </si>
  <si>
    <t xml:space="preserve"> 1 - 2</t>
  </si>
  <si>
    <t>production</t>
  </si>
  <si>
    <t>o</t>
  </si>
  <si>
    <t xml:space="preserve"> 2 - 2</t>
  </si>
  <si>
    <t xml:space="preserve"> 3 - 2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</si>
</sst>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4" borderId="0" xfId="0" applyNumberFormat="1" applyFill="1"/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19051</xdr:colOff>
      <xdr:row>8</xdr:row>
      <xdr:rowOff>302519</xdr:rowOff>
    </xdr:from>
    <xdr:to>
      <xdr:col>14</xdr:col>
      <xdr:colOff>323851</xdr:colOff>
      <xdr:row>10</xdr:row>
      <xdr:rowOff>35819</xdr:rowOff>
    </xdr:to>
    <xdr:pic>
      <xdr:nvPicPr>
        <xdr:cNvPr id="66" name="Imagen 6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2017019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9</xdr:row>
      <xdr:rowOff>190499</xdr:rowOff>
    </xdr:from>
    <xdr:to>
      <xdr:col>14</xdr:col>
      <xdr:colOff>533400</xdr:colOff>
      <xdr:row>11</xdr:row>
      <xdr:rowOff>85724</xdr:rowOff>
    </xdr:to>
    <xdr:pic>
      <xdr:nvPicPr>
        <xdr:cNvPr id="67" name="Imagen 6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285999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809625</xdr:colOff>
      <xdr:row>10</xdr:row>
      <xdr:rowOff>123825</xdr:rowOff>
    </xdr:from>
    <xdr:to>
      <xdr:col>14</xdr:col>
      <xdr:colOff>295275</xdr:colOff>
      <xdr:row>12</xdr:row>
      <xdr:rowOff>66675</xdr:rowOff>
    </xdr:to>
    <xdr:pic>
      <xdr:nvPicPr>
        <xdr:cNvPr id="68" name="Imagen 6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24098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11</xdr:row>
      <xdr:rowOff>104774</xdr:rowOff>
    </xdr:from>
    <xdr:to>
      <xdr:col>14</xdr:col>
      <xdr:colOff>685800</xdr:colOff>
      <xdr:row>13</xdr:row>
      <xdr:rowOff>152399</xdr:rowOff>
    </xdr:to>
    <xdr:pic>
      <xdr:nvPicPr>
        <xdr:cNvPr id="69" name="Imagen 6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2581274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38101</xdr:colOff>
      <xdr:row>12</xdr:row>
      <xdr:rowOff>171449</xdr:rowOff>
    </xdr:from>
    <xdr:to>
      <xdr:col>14</xdr:col>
      <xdr:colOff>285751</xdr:colOff>
      <xdr:row>14</xdr:row>
      <xdr:rowOff>38099</xdr:rowOff>
    </xdr:to>
    <xdr:pic>
      <xdr:nvPicPr>
        <xdr:cNvPr id="70" name="Imagen 6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1" y="2838449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13</xdr:row>
      <xdr:rowOff>133349</xdr:rowOff>
    </xdr:from>
    <xdr:to>
      <xdr:col>14</xdr:col>
      <xdr:colOff>542925</xdr:colOff>
      <xdr:row>15</xdr:row>
      <xdr:rowOff>9524</xdr:rowOff>
    </xdr:to>
    <xdr:pic>
      <xdr:nvPicPr>
        <xdr:cNvPr id="71" name="Imagen 7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2990849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28576</xdr:colOff>
      <xdr:row>16</xdr:row>
      <xdr:rowOff>350144</xdr:rowOff>
    </xdr:from>
    <xdr:to>
      <xdr:col>14</xdr:col>
      <xdr:colOff>333376</xdr:colOff>
      <xdr:row>18</xdr:row>
      <xdr:rowOff>83444</xdr:rowOff>
    </xdr:to>
    <xdr:pic>
      <xdr:nvPicPr>
        <xdr:cNvPr id="72" name="Imagen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6" y="377914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17</xdr:row>
      <xdr:rowOff>171449</xdr:rowOff>
    </xdr:from>
    <xdr:to>
      <xdr:col>14</xdr:col>
      <xdr:colOff>695325</xdr:colOff>
      <xdr:row>19</xdr:row>
      <xdr:rowOff>66674</xdr:rowOff>
    </xdr:to>
    <xdr:pic>
      <xdr:nvPicPr>
        <xdr:cNvPr id="73" name="Imagen 7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3981449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13</xdr:col>
      <xdr:colOff>819150</xdr:colOff>
      <xdr:row>18</xdr:row>
      <xdr:rowOff>171450</xdr:rowOff>
    </xdr:from>
    <xdr:to>
      <xdr:col>14</xdr:col>
      <xdr:colOff>304800</xdr:colOff>
      <xdr:row>20</xdr:row>
      <xdr:rowOff>114300</xdr:rowOff>
    </xdr:to>
    <xdr:pic>
      <xdr:nvPicPr>
        <xdr:cNvPr id="74" name="Imagen 7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4171950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438150</xdr:colOff>
      <xdr:row>19</xdr:row>
      <xdr:rowOff>95249</xdr:rowOff>
    </xdr:from>
    <xdr:to>
      <xdr:col>15</xdr:col>
      <xdr:colOff>28575</xdr:colOff>
      <xdr:row>21</xdr:row>
      <xdr:rowOff>142874</xdr:rowOff>
    </xdr:to>
    <xdr:pic>
      <xdr:nvPicPr>
        <xdr:cNvPr id="75" name="Imagen 7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4286249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28576</xdr:colOff>
      <xdr:row>20</xdr:row>
      <xdr:rowOff>133349</xdr:rowOff>
    </xdr:from>
    <xdr:to>
      <xdr:col>14</xdr:col>
      <xdr:colOff>276226</xdr:colOff>
      <xdr:row>21</xdr:row>
      <xdr:rowOff>190499</xdr:rowOff>
    </xdr:to>
    <xdr:pic>
      <xdr:nvPicPr>
        <xdr:cNvPr id="76" name="Imagen 7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6" y="4514849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21</xdr:row>
      <xdr:rowOff>142874</xdr:rowOff>
    </xdr:from>
    <xdr:to>
      <xdr:col>14</xdr:col>
      <xdr:colOff>685800</xdr:colOff>
      <xdr:row>23</xdr:row>
      <xdr:rowOff>19049</xdr:rowOff>
    </xdr:to>
    <xdr:pic>
      <xdr:nvPicPr>
        <xdr:cNvPr id="77" name="Imagen 7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4714874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17</xdr:col>
      <xdr:colOff>371475</xdr:colOff>
      <xdr:row>33</xdr:row>
      <xdr:rowOff>371475</xdr:rowOff>
    </xdr:from>
    <xdr:to>
      <xdr:col>17</xdr:col>
      <xdr:colOff>619125</xdr:colOff>
      <xdr:row>35</xdr:row>
      <xdr:rowOff>47625</xdr:rowOff>
    </xdr:to>
    <xdr:pic>
      <xdr:nvPicPr>
        <xdr:cNvPr id="78" name="Imagen 7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2947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37</xdr:row>
      <xdr:rowOff>9524</xdr:rowOff>
    </xdr:from>
    <xdr:to>
      <xdr:col>17</xdr:col>
      <xdr:colOff>457200</xdr:colOff>
      <xdr:row>38</xdr:row>
      <xdr:rowOff>114299</xdr:rowOff>
    </xdr:to>
    <xdr:pic>
      <xdr:nvPicPr>
        <xdr:cNvPr id="79" name="Imagen 7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950" y="8010524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36</xdr:row>
      <xdr:rowOff>38100</xdr:rowOff>
    </xdr:from>
    <xdr:to>
      <xdr:col>17</xdr:col>
      <xdr:colOff>685800</xdr:colOff>
      <xdr:row>37</xdr:row>
      <xdr:rowOff>114300</xdr:rowOff>
    </xdr:to>
    <xdr:pic>
      <xdr:nvPicPr>
        <xdr:cNvPr id="80" name="Imagen 7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7848600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35</xdr:row>
      <xdr:rowOff>19049</xdr:rowOff>
    </xdr:from>
    <xdr:to>
      <xdr:col>17</xdr:col>
      <xdr:colOff>400050</xdr:colOff>
      <xdr:row>35</xdr:row>
      <xdr:rowOff>257174</xdr:rowOff>
    </xdr:to>
    <xdr:pic>
      <xdr:nvPicPr>
        <xdr:cNvPr id="81" name="Imagen 8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950" y="7448549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38</xdr:row>
      <xdr:rowOff>219075</xdr:rowOff>
    </xdr:from>
    <xdr:to>
      <xdr:col>17</xdr:col>
      <xdr:colOff>609600</xdr:colOff>
      <xdr:row>38</xdr:row>
      <xdr:rowOff>542925</xdr:rowOff>
    </xdr:to>
    <xdr:pic>
      <xdr:nvPicPr>
        <xdr:cNvPr id="82" name="Imagen 8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2775" y="841057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409576</xdr:colOff>
      <xdr:row>39</xdr:row>
      <xdr:rowOff>133350</xdr:rowOff>
    </xdr:from>
    <xdr:to>
      <xdr:col>15</xdr:col>
      <xdr:colOff>990600</xdr:colOff>
      <xdr:row>39</xdr:row>
      <xdr:rowOff>714374</xdr:rowOff>
    </xdr:to>
    <xdr:pic>
      <xdr:nvPicPr>
        <xdr:cNvPr id="83" name="Imagen 8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1" y="9086850"/>
          <a:ext cx="581024" cy="581024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43</xdr:row>
      <xdr:rowOff>11798</xdr:rowOff>
    </xdr:from>
    <xdr:to>
      <xdr:col>17</xdr:col>
      <xdr:colOff>362162</xdr:colOff>
      <xdr:row>43</xdr:row>
      <xdr:rowOff>371798</xdr:rowOff>
    </xdr:to>
    <xdr:pic>
      <xdr:nvPicPr>
        <xdr:cNvPr id="84" name="Imagen 8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1" y="10870298"/>
          <a:ext cx="362161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66674</xdr:colOff>
      <xdr:row>55</xdr:row>
      <xdr:rowOff>39448</xdr:rowOff>
    </xdr:from>
    <xdr:to>
      <xdr:col>17</xdr:col>
      <xdr:colOff>428010</xdr:colOff>
      <xdr:row>56</xdr:row>
      <xdr:rowOff>18448</xdr:rowOff>
    </xdr:to>
    <xdr:pic>
      <xdr:nvPicPr>
        <xdr:cNvPr id="85" name="Imagen 8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574" y="15641398"/>
          <a:ext cx="361336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552450</xdr:colOff>
      <xdr:row>49</xdr:row>
      <xdr:rowOff>371475</xdr:rowOff>
    </xdr:from>
    <xdr:to>
      <xdr:col>17</xdr:col>
      <xdr:colOff>915122</xdr:colOff>
      <xdr:row>50</xdr:row>
      <xdr:rowOff>350475</xdr:rowOff>
    </xdr:to>
    <xdr:pic>
      <xdr:nvPicPr>
        <xdr:cNvPr id="86" name="Imagen 8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13515975"/>
          <a:ext cx="362672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51</xdr:row>
      <xdr:rowOff>28575</xdr:rowOff>
    </xdr:from>
    <xdr:to>
      <xdr:col>17</xdr:col>
      <xdr:colOff>407625</xdr:colOff>
      <xdr:row>52</xdr:row>
      <xdr:rowOff>7575</xdr:rowOff>
    </xdr:to>
    <xdr:pic>
      <xdr:nvPicPr>
        <xdr:cNvPr id="87" name="Imagen 8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139350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422413</xdr:colOff>
      <xdr:row>44</xdr:row>
      <xdr:rowOff>24847</xdr:rowOff>
    </xdr:from>
    <xdr:to>
      <xdr:col>17</xdr:col>
      <xdr:colOff>802856</xdr:colOff>
      <xdr:row>45</xdr:row>
      <xdr:rowOff>3847</xdr:rowOff>
    </xdr:to>
    <xdr:pic>
      <xdr:nvPicPr>
        <xdr:cNvPr id="88" name="Imagen 8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8717" y="11264347"/>
          <a:ext cx="380443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42327</xdr:colOff>
      <xdr:row>45</xdr:row>
      <xdr:rowOff>9195</xdr:rowOff>
    </xdr:from>
    <xdr:to>
      <xdr:col>17</xdr:col>
      <xdr:colOff>444214</xdr:colOff>
      <xdr:row>45</xdr:row>
      <xdr:rowOff>369195</xdr:rowOff>
    </xdr:to>
    <xdr:pic>
      <xdr:nvPicPr>
        <xdr:cNvPr id="89" name="Imagen 8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631" y="11629695"/>
          <a:ext cx="401887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523632</xdr:colOff>
      <xdr:row>46</xdr:row>
      <xdr:rowOff>18392</xdr:rowOff>
    </xdr:from>
    <xdr:to>
      <xdr:col>17</xdr:col>
      <xdr:colOff>919671</xdr:colOff>
      <xdr:row>46</xdr:row>
      <xdr:rowOff>378392</xdr:rowOff>
    </xdr:to>
    <xdr:pic>
      <xdr:nvPicPr>
        <xdr:cNvPr id="90" name="Imagen 8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9936" y="12019892"/>
          <a:ext cx="396039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52435</xdr:colOff>
      <xdr:row>47</xdr:row>
      <xdr:rowOff>11022</xdr:rowOff>
    </xdr:from>
    <xdr:to>
      <xdr:col>17</xdr:col>
      <xdr:colOff>432878</xdr:colOff>
      <xdr:row>47</xdr:row>
      <xdr:rowOff>371022</xdr:rowOff>
    </xdr:to>
    <xdr:pic>
      <xdr:nvPicPr>
        <xdr:cNvPr id="91" name="Imagen 9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39" y="12393522"/>
          <a:ext cx="380443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550305</xdr:colOff>
      <xdr:row>48</xdr:row>
      <xdr:rowOff>20217</xdr:rowOff>
    </xdr:from>
    <xdr:to>
      <xdr:col>17</xdr:col>
      <xdr:colOff>951774</xdr:colOff>
      <xdr:row>48</xdr:row>
      <xdr:rowOff>380217</xdr:rowOff>
    </xdr:to>
    <xdr:pic>
      <xdr:nvPicPr>
        <xdr:cNvPr id="92" name="Imagen 9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6609" y="12783717"/>
          <a:ext cx="401469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54263</xdr:colOff>
      <xdr:row>49</xdr:row>
      <xdr:rowOff>21131</xdr:rowOff>
    </xdr:from>
    <xdr:to>
      <xdr:col>17</xdr:col>
      <xdr:colOff>449884</xdr:colOff>
      <xdr:row>50</xdr:row>
      <xdr:rowOff>131</xdr:rowOff>
    </xdr:to>
    <xdr:pic>
      <xdr:nvPicPr>
        <xdr:cNvPr id="93" name="Imagen 9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0567" y="13165631"/>
          <a:ext cx="395621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581026</xdr:colOff>
      <xdr:row>56</xdr:row>
      <xdr:rowOff>0</xdr:rowOff>
    </xdr:from>
    <xdr:to>
      <xdr:col>17</xdr:col>
      <xdr:colOff>944359</xdr:colOff>
      <xdr:row>56</xdr:row>
      <xdr:rowOff>360000</xdr:rowOff>
    </xdr:to>
    <xdr:pic>
      <xdr:nvPicPr>
        <xdr:cNvPr id="94" name="Imagen 9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15982950"/>
          <a:ext cx="363333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581026</xdr:colOff>
      <xdr:row>54</xdr:row>
      <xdr:rowOff>2595</xdr:rowOff>
    </xdr:from>
    <xdr:to>
      <xdr:col>17</xdr:col>
      <xdr:colOff>944359</xdr:colOff>
      <xdr:row>54</xdr:row>
      <xdr:rowOff>362595</xdr:rowOff>
    </xdr:to>
    <xdr:pic>
      <xdr:nvPicPr>
        <xdr:cNvPr id="95" name="Imagen 9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15052095"/>
          <a:ext cx="363333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66676</xdr:colOff>
      <xdr:row>53</xdr:row>
      <xdr:rowOff>47625</xdr:rowOff>
    </xdr:from>
    <xdr:to>
      <xdr:col>17</xdr:col>
      <xdr:colOff>445623</xdr:colOff>
      <xdr:row>54</xdr:row>
      <xdr:rowOff>26625</xdr:rowOff>
    </xdr:to>
    <xdr:pic>
      <xdr:nvPicPr>
        <xdr:cNvPr id="96" name="Imagen 9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4576" y="14716125"/>
          <a:ext cx="378947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76201</xdr:colOff>
      <xdr:row>24</xdr:row>
      <xdr:rowOff>331094</xdr:rowOff>
    </xdr:from>
    <xdr:to>
      <xdr:col>17</xdr:col>
      <xdr:colOff>381001</xdr:colOff>
      <xdr:row>26</xdr:row>
      <xdr:rowOff>64394</xdr:rowOff>
    </xdr:to>
    <xdr:pic>
      <xdr:nvPicPr>
        <xdr:cNvPr id="98" name="Imagen 9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1" y="5474594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26</xdr:row>
      <xdr:rowOff>57149</xdr:rowOff>
    </xdr:from>
    <xdr:to>
      <xdr:col>17</xdr:col>
      <xdr:colOff>762000</xdr:colOff>
      <xdr:row>27</xdr:row>
      <xdr:rowOff>142874</xdr:rowOff>
    </xdr:to>
    <xdr:pic>
      <xdr:nvPicPr>
        <xdr:cNvPr id="99" name="Imagen 9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5772149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27</xdr:row>
      <xdr:rowOff>9525</xdr:rowOff>
    </xdr:from>
    <xdr:to>
      <xdr:col>17</xdr:col>
      <xdr:colOff>352425</xdr:colOff>
      <xdr:row>28</xdr:row>
      <xdr:rowOff>142875</xdr:rowOff>
    </xdr:to>
    <xdr:pic>
      <xdr:nvPicPr>
        <xdr:cNvPr id="100" name="Imagen 9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6475" y="61055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17</xdr:col>
      <xdr:colOff>466725</xdr:colOff>
      <xdr:row>27</xdr:row>
      <xdr:rowOff>247649</xdr:rowOff>
    </xdr:from>
    <xdr:to>
      <xdr:col>17</xdr:col>
      <xdr:colOff>895350</xdr:colOff>
      <xdr:row>30</xdr:row>
      <xdr:rowOff>47624</xdr:rowOff>
    </xdr:to>
    <xdr:pic>
      <xdr:nvPicPr>
        <xdr:cNvPr id="101" name="Imagen 10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4625" y="6343649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85726</xdr:colOff>
      <xdr:row>28</xdr:row>
      <xdr:rowOff>161924</xdr:rowOff>
    </xdr:from>
    <xdr:to>
      <xdr:col>17</xdr:col>
      <xdr:colOff>333376</xdr:colOff>
      <xdr:row>30</xdr:row>
      <xdr:rowOff>28574</xdr:rowOff>
    </xdr:to>
    <xdr:pic>
      <xdr:nvPicPr>
        <xdr:cNvPr id="102" name="Imagen 10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6" y="6638924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17</xdr:col>
      <xdr:colOff>542925</xdr:colOff>
      <xdr:row>29</xdr:row>
      <xdr:rowOff>133349</xdr:rowOff>
    </xdr:from>
    <xdr:to>
      <xdr:col>17</xdr:col>
      <xdr:colOff>800100</xdr:colOff>
      <xdr:row>31</xdr:row>
      <xdr:rowOff>9524</xdr:rowOff>
    </xdr:to>
    <xdr:pic>
      <xdr:nvPicPr>
        <xdr:cNvPr id="103" name="Imagen 10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6800849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52</xdr:row>
      <xdr:rowOff>19050</xdr:rowOff>
    </xdr:from>
    <xdr:to>
      <xdr:col>17</xdr:col>
      <xdr:colOff>427998</xdr:colOff>
      <xdr:row>52</xdr:row>
      <xdr:rowOff>379050</xdr:rowOff>
    </xdr:to>
    <xdr:pic>
      <xdr:nvPicPr>
        <xdr:cNvPr id="104" name="Imagen 103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4306550"/>
          <a:ext cx="389898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F1" zoomScaleNormal="100" workbookViewId="0">
      <selection activeCell="Q32" sqref="Q32"/>
    </sheetView>
  </sheetViews>
  <sheetFormatPr baseColWidth="10" defaultColWidth="21.7109375" defaultRowHeight="15" x14ac:dyDescent="0.25"/>
  <cols>
    <col min="1" max="1" width="12.5703125" style="2" customWidth="1"/>
    <col min="2" max="2" width="11.5703125" style="1" bestFit="1" customWidth="1"/>
    <col min="3" max="3" width="11.5703125" style="1" customWidth="1"/>
    <col min="4" max="5" width="9.28515625" style="1" customWidth="1"/>
    <col min="6" max="6" width="12" style="1" customWidth="1"/>
    <col min="7" max="7" width="5.5703125" style="1" customWidth="1"/>
    <col min="8" max="8" width="11.5703125" style="1" bestFit="1" customWidth="1"/>
    <col min="9" max="9" width="6.7109375" style="1" customWidth="1"/>
    <col min="10" max="10" width="11.85546875" style="1" bestFit="1" customWidth="1"/>
    <col min="11" max="11" width="5.5703125" style="1" customWidth="1"/>
    <col min="12" max="12" width="11.5703125" style="1" bestFit="1" customWidth="1"/>
    <col min="13" max="13" width="8.7109375" style="1" customWidth="1"/>
    <col min="14" max="14" width="12.5703125" style="1" bestFit="1" customWidth="1"/>
    <col min="15" max="15" width="12.5703125" style="1" customWidth="1"/>
    <col min="16" max="16" width="20.28515625" style="1" bestFit="1" customWidth="1"/>
    <col min="17" max="17" width="13.42578125" style="1" bestFit="1" customWidth="1"/>
    <col min="18" max="18" width="15" style="1" bestFit="1" customWidth="1"/>
    <col min="19" max="19" width="15" style="1" customWidth="1"/>
    <col min="20" max="20" width="18.140625" style="1" customWidth="1"/>
    <col min="21" max="21" width="15.28515625" style="1" bestFit="1" customWidth="1"/>
    <col min="22" max="22" width="11.5703125" style="1" bestFit="1" customWidth="1"/>
    <col min="23" max="23" width="15.85546875" style="1" bestFit="1" customWidth="1"/>
    <col min="24" max="16384" width="21.7109375" style="1"/>
  </cols>
  <sheetData>
    <row r="1" spans="1:23" s="11" customFormat="1" ht="30" x14ac:dyDescent="0.25">
      <c r="A1" s="15" t="s">
        <v>67</v>
      </c>
      <c r="B1" s="14" t="str">
        <f>A2</f>
        <v>fantassins</v>
      </c>
      <c r="C1" s="14"/>
      <c r="D1" s="14" t="str">
        <f>A3</f>
        <v>bazooka</v>
      </c>
      <c r="E1" s="14"/>
      <c r="F1" s="14" t="str">
        <f>A4</f>
        <v>jeep</v>
      </c>
      <c r="G1" s="14"/>
      <c r="H1" s="14" t="str">
        <f>A5</f>
        <v>génie</v>
      </c>
      <c r="I1" s="14"/>
      <c r="J1" s="14" t="str">
        <f>A6</f>
        <v>char</v>
      </c>
      <c r="K1" s="14"/>
      <c r="L1" s="14" t="str">
        <f>A7</f>
        <v>lance-fusée</v>
      </c>
      <c r="M1" s="14"/>
      <c r="N1" s="14"/>
      <c r="U1" s="18"/>
      <c r="V1" s="18"/>
      <c r="W1" s="18"/>
    </row>
    <row r="2" spans="1:23" x14ac:dyDescent="0.25">
      <c r="A2" s="15" t="s">
        <v>85</v>
      </c>
      <c r="B2" s="16">
        <v>55</v>
      </c>
      <c r="C2" s="16"/>
      <c r="D2" s="16">
        <v>45</v>
      </c>
      <c r="E2" s="16"/>
      <c r="F2" s="16">
        <v>12</v>
      </c>
      <c r="G2" s="16"/>
      <c r="H2" s="16">
        <v>5</v>
      </c>
      <c r="I2" s="16"/>
      <c r="J2" s="16">
        <v>1</v>
      </c>
      <c r="K2" s="16"/>
      <c r="L2" s="16">
        <v>15</v>
      </c>
      <c r="M2" s="16"/>
      <c r="N2" s="16"/>
      <c r="U2" s="17"/>
      <c r="V2" s="17"/>
      <c r="W2" s="17"/>
    </row>
    <row r="3" spans="1:23" x14ac:dyDescent="0.25">
      <c r="A3" s="15" t="s">
        <v>86</v>
      </c>
      <c r="B3" s="16">
        <v>65</v>
      </c>
      <c r="C3" s="16"/>
      <c r="D3" s="16">
        <v>55</v>
      </c>
      <c r="E3" s="16"/>
      <c r="F3" s="16">
        <f>85+18</f>
        <v>103</v>
      </c>
      <c r="G3" s="16"/>
      <c r="H3" s="16">
        <v>61</v>
      </c>
      <c r="I3" s="16"/>
      <c r="J3" s="16">
        <v>16</v>
      </c>
      <c r="K3" s="16"/>
      <c r="L3" s="16">
        <v>102</v>
      </c>
      <c r="M3" s="16"/>
      <c r="N3" s="16"/>
      <c r="U3" s="17"/>
      <c r="V3" s="17"/>
      <c r="W3" s="17"/>
    </row>
    <row r="4" spans="1:23" x14ac:dyDescent="0.25">
      <c r="A4" s="15" t="s">
        <v>87</v>
      </c>
      <c r="B4" s="16">
        <v>70</v>
      </c>
      <c r="C4" s="16"/>
      <c r="D4" s="16">
        <v>65</v>
      </c>
      <c r="E4" s="16"/>
      <c r="F4" s="16">
        <v>35</v>
      </c>
      <c r="G4" s="16"/>
      <c r="H4" s="16">
        <v>6</v>
      </c>
      <c r="I4" s="16"/>
      <c r="J4" s="16">
        <v>1</v>
      </c>
      <c r="K4" s="16"/>
      <c r="L4" s="16">
        <v>45</v>
      </c>
      <c r="M4" s="16"/>
      <c r="N4" s="16"/>
      <c r="U4" s="17"/>
      <c r="V4" s="17"/>
      <c r="W4" s="17"/>
    </row>
    <row r="5" spans="1:23" x14ac:dyDescent="0.25">
      <c r="A5" s="15" t="s">
        <v>90</v>
      </c>
      <c r="B5" s="16">
        <v>100</v>
      </c>
      <c r="C5" s="16"/>
      <c r="D5" s="16">
        <v>95</v>
      </c>
      <c r="E5" s="16"/>
      <c r="F5" s="16">
        <v>125</v>
      </c>
      <c r="G5" s="16"/>
      <c r="H5" s="16">
        <v>61</v>
      </c>
      <c r="I5" s="16"/>
      <c r="J5" s="16">
        <v>16</v>
      </c>
      <c r="K5" s="16"/>
      <c r="L5" s="16">
        <v>115</v>
      </c>
      <c r="M5" s="16"/>
      <c r="N5" s="16"/>
      <c r="U5" s="17"/>
      <c r="V5" s="17"/>
      <c r="W5" s="17"/>
    </row>
    <row r="6" spans="1:23" x14ac:dyDescent="0.25">
      <c r="A6" s="15" t="s">
        <v>88</v>
      </c>
      <c r="B6" s="16">
        <v>135</v>
      </c>
      <c r="C6" s="16"/>
      <c r="D6" s="16">
        <v>125</v>
      </c>
      <c r="E6" s="16"/>
      <c r="F6" s="16">
        <v>150</v>
      </c>
      <c r="G6" s="16"/>
      <c r="H6" s="16">
        <v>93</v>
      </c>
      <c r="I6" s="16"/>
      <c r="J6" s="16">
        <v>56</v>
      </c>
      <c r="K6" s="16"/>
      <c r="L6" s="16">
        <v>150</v>
      </c>
      <c r="M6" s="16"/>
      <c r="N6" s="16"/>
      <c r="U6" s="17"/>
      <c r="V6" s="17"/>
      <c r="W6" s="17"/>
    </row>
    <row r="7" spans="1:23" x14ac:dyDescent="0.25">
      <c r="A7" s="15" t="s">
        <v>95</v>
      </c>
      <c r="B7" s="16">
        <v>90</v>
      </c>
      <c r="C7" s="16"/>
      <c r="D7" s="16">
        <v>85</v>
      </c>
      <c r="E7" s="16"/>
      <c r="F7" s="16">
        <v>80</v>
      </c>
      <c r="G7" s="16"/>
      <c r="H7" s="16">
        <v>70</v>
      </c>
      <c r="I7" s="16"/>
      <c r="J7" s="16">
        <v>45</v>
      </c>
      <c r="K7" s="16"/>
      <c r="L7" s="16">
        <v>75</v>
      </c>
      <c r="M7" s="16"/>
      <c r="N7" s="16"/>
      <c r="U7" s="17"/>
      <c r="V7" s="17"/>
      <c r="W7" s="17"/>
    </row>
    <row r="8" spans="1:23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23" ht="30" x14ac:dyDescent="0.25">
      <c r="A9" s="2" t="s">
        <v>6</v>
      </c>
      <c r="B9" s="10" t="str">
        <f>A10</f>
        <v>fantassins</v>
      </c>
      <c r="C9" s="10"/>
      <c r="D9" s="10" t="str">
        <f>A11</f>
        <v>bazooka</v>
      </c>
      <c r="E9" s="10"/>
      <c r="F9" s="10" t="str">
        <f>A12</f>
        <v>jeep</v>
      </c>
      <c r="G9" s="10"/>
      <c r="H9" s="10" t="str">
        <f>A13</f>
        <v>génie</v>
      </c>
      <c r="I9" s="10"/>
      <c r="J9" s="10" t="str">
        <f>A14</f>
        <v>char</v>
      </c>
      <c r="K9" s="10"/>
      <c r="L9" s="10" t="str">
        <f>A15</f>
        <v>lance-fusée</v>
      </c>
      <c r="M9" s="10"/>
      <c r="N9" s="10" t="s">
        <v>8</v>
      </c>
      <c r="P9" s="11" t="s">
        <v>68</v>
      </c>
      <c r="Q9" s="1" t="s">
        <v>69</v>
      </c>
      <c r="R9" s="1" t="s">
        <v>70</v>
      </c>
      <c r="S9" s="11" t="s">
        <v>19</v>
      </c>
      <c r="T9" s="1" t="s">
        <v>20</v>
      </c>
      <c r="U9" s="11" t="s">
        <v>17</v>
      </c>
      <c r="V9" s="17" t="s">
        <v>18</v>
      </c>
    </row>
    <row r="10" spans="1:23" x14ac:dyDescent="0.25">
      <c r="A10" s="9" t="str">
        <f t="shared" ref="A10:A15" si="0">A2</f>
        <v>fantassins</v>
      </c>
      <c r="B10" s="7">
        <f>MROUND(MAX(12-MIN(B2/12,12),2),1)</f>
        <v>7</v>
      </c>
      <c r="C10" s="4">
        <f>LOOKUP((MROUND(B10,1)),Hoja2!$D$3:$D$13,Hoja2!$G$3:$G$13)</f>
        <v>0.58333333333333337</v>
      </c>
      <c r="D10" s="7">
        <v>6</v>
      </c>
      <c r="E10" s="4">
        <f>LOOKUP((MROUND(D10,1)),Hoja2!$D$3:$D$13,Hoja2!$G$3:$G$13)</f>
        <v>0.72222222222222232</v>
      </c>
      <c r="F10" s="7">
        <f>MROUND(MAX(12-MIN(F2/12,12),2),1)</f>
        <v>11</v>
      </c>
      <c r="G10" s="4">
        <f>LOOKUP((MROUND(F10,1)),Hoja2!$D$3:$D$13,Hoja2!$G$3:$G$13)</f>
        <v>8.3333333333333329E-2</v>
      </c>
      <c r="H10" s="7">
        <v>7</v>
      </c>
      <c r="I10" s="4">
        <f>LOOKUP((MROUND(H10,1)),Hoja2!$D$3:$D$13,Hoja2!$G$3:$G$13)</f>
        <v>0.58333333333333337</v>
      </c>
      <c r="J10" s="7">
        <v>11</v>
      </c>
      <c r="K10" s="4">
        <f>LOOKUP((MROUND(J10,1)),Hoja2!$D$3:$D$13,Hoja2!$G$3:$G$13)</f>
        <v>8.3333333333333329E-2</v>
      </c>
      <c r="L10" s="7">
        <v>6</v>
      </c>
      <c r="M10" s="4">
        <f>LOOKUP((MROUND(L10,1)),Hoja2!$D$3:$D$13,Hoja2!$G$3:$G$13)</f>
        <v>0.72222222222222232</v>
      </c>
      <c r="N10" s="4">
        <f t="shared" ref="N10:N15" si="1">(C10+E10+G10+I10+K10+M10)/6</f>
        <v>0.46296296296296302</v>
      </c>
      <c r="O10" s="6"/>
      <c r="P10" s="1" t="s">
        <v>4</v>
      </c>
      <c r="Q10" s="1">
        <v>0</v>
      </c>
      <c r="R10" s="1">
        <v>-3</v>
      </c>
      <c r="S10" s="1">
        <f>-Q10+R10</f>
        <v>-3</v>
      </c>
      <c r="T10" s="5">
        <f>(Q10-R10)*R18</f>
        <v>0.5625</v>
      </c>
      <c r="U10" s="5">
        <f>T10+R18*$Q$22</f>
        <v>3.5625</v>
      </c>
      <c r="V10" s="19">
        <f>U10*R18+AVERAGE(V18:X18)/U18</f>
        <v>2.1124131944444446</v>
      </c>
    </row>
    <row r="11" spans="1:23" x14ac:dyDescent="0.25">
      <c r="A11" s="9" t="str">
        <f t="shared" si="0"/>
        <v>bazooka</v>
      </c>
      <c r="B11" s="7">
        <v>8</v>
      </c>
      <c r="C11" s="4">
        <f>LOOKUP((MROUND(B11,1)),Hoja2!$D$3:$D$13,Hoja2!$G$3:$G$13)</f>
        <v>0.41666666666666669</v>
      </c>
      <c r="D11" s="7">
        <f>MROUND(MAX(12-MIN(D3/12,12),2),1)</f>
        <v>7</v>
      </c>
      <c r="E11" s="4">
        <f>LOOKUP((MROUND(D11,1)),Hoja2!$D$3:$D$13,Hoja2!$G$3:$G$13)</f>
        <v>0.58333333333333337</v>
      </c>
      <c r="F11" s="7">
        <f>MROUND(MAX(12-MIN(F3/12,12),2),1)</f>
        <v>3</v>
      </c>
      <c r="G11" s="4">
        <f>LOOKUP((MROUND(F11,1)),Hoja2!$D$3:$D$13,Hoja2!$G$3:$G$13)</f>
        <v>0.97222222222222243</v>
      </c>
      <c r="H11" s="7">
        <v>11</v>
      </c>
      <c r="I11" s="4">
        <f>LOOKUP((MROUND(H11,1)),Hoja2!$D$3:$D$13,Hoja2!$G$3:$G$13)</f>
        <v>8.3333333333333329E-2</v>
      </c>
      <c r="J11" s="7">
        <v>5</v>
      </c>
      <c r="K11" s="4">
        <f>LOOKUP((MROUND(J11,1)),Hoja2!$D$3:$D$13,Hoja2!$G$3:$G$13)</f>
        <v>0.83333333333333348</v>
      </c>
      <c r="L11" s="7">
        <f>MROUND(MAX(12-MIN(L3/12,12),2),1)</f>
        <v>4</v>
      </c>
      <c r="M11" s="4">
        <f>LOOKUP((MROUND(L11,1)),Hoja2!$D$3:$D$13,Hoja2!$G$3:$G$13)</f>
        <v>0.91666666666666685</v>
      </c>
      <c r="N11" s="4">
        <f t="shared" si="1"/>
        <v>0.63425925925925941</v>
      </c>
      <c r="O11" s="6"/>
      <c r="P11" s="1" t="s">
        <v>2</v>
      </c>
      <c r="Q11" s="1">
        <v>-2</v>
      </c>
      <c r="R11" s="1">
        <v>0</v>
      </c>
      <c r="S11" s="22">
        <f>-Q11+R11</f>
        <v>2</v>
      </c>
      <c r="T11" s="5">
        <f>(Q11-R11)*R19</f>
        <v>-0.5</v>
      </c>
      <c r="U11" s="5">
        <f>T11+R19*$Q$22</f>
        <v>3.5</v>
      </c>
      <c r="V11" s="19">
        <f>U11*R19+AVERAGE(U18,W18,X18)/V18</f>
        <v>1.875</v>
      </c>
    </row>
    <row r="12" spans="1:23" x14ac:dyDescent="0.25">
      <c r="A12" s="9" t="str">
        <f t="shared" si="0"/>
        <v>jeep</v>
      </c>
      <c r="B12" s="7">
        <f>MROUND(MAX(12-MIN(B4/12,12),2),1)</f>
        <v>6</v>
      </c>
      <c r="C12" s="4">
        <f>LOOKUP((MROUND(B12,1)),Hoja2!$D$3:$D$13,Hoja2!$G$3:$G$13)</f>
        <v>0.72222222222222232</v>
      </c>
      <c r="D12" s="7">
        <v>5</v>
      </c>
      <c r="E12" s="4">
        <f>LOOKUP((MROUND(D12,1)),Hoja2!$D$3:$D$13,Hoja2!$G$3:$G$13)</f>
        <v>0.83333333333333348</v>
      </c>
      <c r="F12" s="7">
        <f>MROUND(MAX(12-MIN(F4/12,12),2),1)</f>
        <v>9</v>
      </c>
      <c r="G12" s="4">
        <f>LOOKUP((MROUND(F12,1)),Hoja2!$D$3:$D$13,Hoja2!$G$3:$G$13)</f>
        <v>0.27777777777777779</v>
      </c>
      <c r="H12" s="7">
        <v>11</v>
      </c>
      <c r="I12" s="4">
        <f>LOOKUP((MROUND(H12,1)),Hoja2!$D$3:$D$13,Hoja2!$G$3:$G$13)</f>
        <v>8.3333333333333329E-2</v>
      </c>
      <c r="J12" s="7">
        <v>11</v>
      </c>
      <c r="K12" s="4">
        <f>LOOKUP((MROUND(J12,1)),Hoja2!$D$3:$D$13,Hoja2!$G$3:$G$13)</f>
        <v>8.3333333333333329E-2</v>
      </c>
      <c r="L12" s="7">
        <f>MROUND(MAX(12-MIN(L4/12,12),2),1)</f>
        <v>8</v>
      </c>
      <c r="M12" s="4">
        <f>LOOKUP((MROUND(L12,1)),Hoja2!$D$3:$D$13,Hoja2!$G$3:$G$13)</f>
        <v>0.41666666666666669</v>
      </c>
      <c r="N12" s="4">
        <f t="shared" si="1"/>
        <v>0.40277777777777773</v>
      </c>
      <c r="O12" s="6"/>
      <c r="P12" s="1" t="s">
        <v>1</v>
      </c>
      <c r="Q12" s="1">
        <v>0</v>
      </c>
      <c r="R12" s="1">
        <v>-1</v>
      </c>
      <c r="S12" s="22">
        <f>-Q12+R12</f>
        <v>-1</v>
      </c>
      <c r="T12" s="5">
        <f>(Q12-R12)*R20</f>
        <v>0.3125</v>
      </c>
      <c r="U12" s="5">
        <f>T12+R20*$Q$22</f>
        <v>5.3125</v>
      </c>
      <c r="V12" s="19">
        <f>U12*R20+AVERAGE(U18:V18,X18)/W18</f>
        <v>2.3934895833333334</v>
      </c>
    </row>
    <row r="13" spans="1:23" x14ac:dyDescent="0.25">
      <c r="A13" s="9" t="str">
        <f t="shared" si="0"/>
        <v>génie</v>
      </c>
      <c r="B13" s="7">
        <v>7</v>
      </c>
      <c r="C13" s="4">
        <f>LOOKUP((MROUND(B13,1)),Hoja2!$D$3:$D$13,Hoja2!$G$3:$G$13)</f>
        <v>0.58333333333333337</v>
      </c>
      <c r="D13" s="7">
        <v>7</v>
      </c>
      <c r="E13" s="4">
        <f>LOOKUP((MROUND(D13,1)),Hoja2!$D$3:$D$13,Hoja2!$G$3:$G$13)</f>
        <v>0.58333333333333337</v>
      </c>
      <c r="F13" s="7">
        <v>7</v>
      </c>
      <c r="G13" s="4">
        <f>LOOKUP((MROUND(F13,1)),Hoja2!$D$3:$D$13,Hoja2!$G$3:$G$13)</f>
        <v>0.58333333333333337</v>
      </c>
      <c r="H13" s="7">
        <v>9</v>
      </c>
      <c r="I13" s="4">
        <f>LOOKUP((MROUND(H13,1)),Hoja2!$D$3:$D$13,Hoja2!$G$3:$G$13)</f>
        <v>0.27777777777777779</v>
      </c>
      <c r="J13" s="7">
        <f>MROUND(MAX(12-MIN(J5/12,12),2),1)</f>
        <v>11</v>
      </c>
      <c r="K13" s="4">
        <f>LOOKUP((MROUND(J13,1)),Hoja2!$D$3:$D$13,Hoja2!$G$3:$G$13)</f>
        <v>8.3333333333333329E-2</v>
      </c>
      <c r="L13" s="7">
        <v>5</v>
      </c>
      <c r="M13" s="4">
        <f>LOOKUP((MROUND(L13,1)),Hoja2!$D$3:$D$13,Hoja2!$G$3:$G$13)</f>
        <v>0.83333333333333348</v>
      </c>
      <c r="N13" s="4">
        <f t="shared" si="1"/>
        <v>0.49074074074074076</v>
      </c>
      <c r="O13" s="6"/>
      <c r="P13" s="1" t="s">
        <v>0</v>
      </c>
      <c r="Q13" s="1">
        <v>-2</v>
      </c>
      <c r="R13" s="1">
        <v>0</v>
      </c>
      <c r="S13" s="22">
        <f>-Q13+R13</f>
        <v>2</v>
      </c>
      <c r="T13" s="5">
        <f>(Q13-R13)*R21</f>
        <v>-0.5</v>
      </c>
      <c r="U13" s="5">
        <f>T13+R21*$Q$22</f>
        <v>3.5</v>
      </c>
      <c r="V13" s="19">
        <f>U13*R21+AVERAGE(U18:W18)/X18</f>
        <v>1.875</v>
      </c>
    </row>
    <row r="14" spans="1:23" x14ac:dyDescent="0.25">
      <c r="A14" s="9" t="str">
        <f t="shared" si="0"/>
        <v>char</v>
      </c>
      <c r="B14" s="7">
        <v>5</v>
      </c>
      <c r="C14" s="4">
        <f>LOOKUP((MROUND(B14,1)),Hoja2!$D$3:$D$13,Hoja2!$G$3:$G$13)</f>
        <v>0.83333333333333348</v>
      </c>
      <c r="D14" s="7">
        <v>9</v>
      </c>
      <c r="E14" s="4">
        <f>LOOKUP((MROUND(D14,1)),Hoja2!$D$3:$D$13,Hoja2!$G$3:$G$13)</f>
        <v>0.27777777777777779</v>
      </c>
      <c r="F14" s="7">
        <v>3</v>
      </c>
      <c r="G14" s="4">
        <f>LOOKUP((MROUND(F14,1)),Hoja2!$D$3:$D$13,Hoja2!$G$3:$G$13)</f>
        <v>0.97222222222222243</v>
      </c>
      <c r="H14" s="7">
        <f>MROUND(MAX(12-MIN(H6/12,12),2),1)</f>
        <v>4</v>
      </c>
      <c r="I14" s="4">
        <f>LOOKUP((MROUND(H14,1)),Hoja2!$D$3:$D$13,Hoja2!$G$3:$G$13)</f>
        <v>0.91666666666666685</v>
      </c>
      <c r="J14" s="7">
        <f>MROUND(MAX(12-MIN(J6/12,12),2),1)</f>
        <v>7</v>
      </c>
      <c r="K14" s="4">
        <f>LOOKUP((MROUND(J14,1)),Hoja2!$D$3:$D$13,Hoja2!$G$3:$G$13)</f>
        <v>0.58333333333333337</v>
      </c>
      <c r="L14" s="7">
        <v>3</v>
      </c>
      <c r="M14" s="4">
        <f>LOOKUP((MROUND(L14,1)),Hoja2!$D$3:$D$13,Hoja2!$G$3:$G$13)</f>
        <v>0.97222222222222243</v>
      </c>
      <c r="N14" s="4">
        <f t="shared" si="1"/>
        <v>0.75925925925925941</v>
      </c>
      <c r="O14" s="6"/>
      <c r="S14" s="1">
        <f>SUM(S10:S13)</f>
        <v>0</v>
      </c>
      <c r="T14" s="5">
        <f>SUM(T10:T13)</f>
        <v>-0.125</v>
      </c>
      <c r="U14" s="5"/>
      <c r="V14" s="5"/>
    </row>
    <row r="15" spans="1:23" x14ac:dyDescent="0.25">
      <c r="A15" s="9" t="str">
        <f t="shared" si="0"/>
        <v>lance-fusée</v>
      </c>
      <c r="B15" s="7">
        <v>4</v>
      </c>
      <c r="C15" s="4">
        <f>LOOKUP((MROUND(B15,1)),Hoja2!$D$3:$D$13,Hoja2!$G$3:$G$13)</f>
        <v>0.91666666666666685</v>
      </c>
      <c r="D15" s="7">
        <v>4</v>
      </c>
      <c r="E15" s="4">
        <f>LOOKUP((MROUND(D15,1)),Hoja2!$D$3:$D$13,Hoja2!$G$3:$G$13)</f>
        <v>0.91666666666666685</v>
      </c>
      <c r="F15" s="7">
        <v>4</v>
      </c>
      <c r="G15" s="4">
        <f>LOOKUP((MROUND(F15,1)),Hoja2!$D$3:$D$13,Hoja2!$G$3:$G$13)</f>
        <v>0.91666666666666685</v>
      </c>
      <c r="H15" s="7">
        <v>5</v>
      </c>
      <c r="I15" s="4">
        <f>LOOKUP((MROUND(H15,1)),Hoja2!$D$3:$D$13,Hoja2!$G$3:$G$13)</f>
        <v>0.83333333333333348</v>
      </c>
      <c r="J15" s="7">
        <v>7</v>
      </c>
      <c r="K15" s="4">
        <f>LOOKUP((MROUND(J15,1)),Hoja2!$D$3:$D$13,Hoja2!$G$3:$G$13)</f>
        <v>0.58333333333333337</v>
      </c>
      <c r="L15" s="7">
        <v>5</v>
      </c>
      <c r="M15" s="4">
        <f>LOOKUP((MROUND(L15,1)),Hoja2!$D$3:$D$13,Hoja2!$G$3:$G$13)</f>
        <v>0.83333333333333348</v>
      </c>
      <c r="N15" s="4">
        <f t="shared" si="1"/>
        <v>0.83333333333333337</v>
      </c>
      <c r="O15" s="6"/>
    </row>
    <row r="16" spans="1:23" x14ac:dyDescent="0.25">
      <c r="N16" s="4">
        <f>AVERAGE(N10:N15)</f>
        <v>0.59722222222222221</v>
      </c>
    </row>
    <row r="17" spans="1:24" ht="30" x14ac:dyDescent="0.25">
      <c r="A17" s="1" t="s">
        <v>6</v>
      </c>
      <c r="B17" s="10" t="str">
        <f>A18</f>
        <v>fantassins</v>
      </c>
      <c r="C17" s="10"/>
      <c r="D17" s="10" t="str">
        <f>A19</f>
        <v>bazooka</v>
      </c>
      <c r="E17" s="10"/>
      <c r="F17" s="10" t="str">
        <f>A20</f>
        <v>jeep</v>
      </c>
      <c r="G17" s="10"/>
      <c r="H17" s="10" t="str">
        <f>A21</f>
        <v>génie</v>
      </c>
      <c r="I17" s="10"/>
      <c r="J17" s="10" t="str">
        <f>A22</f>
        <v>char</v>
      </c>
      <c r="K17" s="10"/>
      <c r="L17" s="10" t="str">
        <f>A23</f>
        <v>lance-fusée</v>
      </c>
      <c r="M17" s="10"/>
      <c r="N17" s="10" t="s">
        <v>9</v>
      </c>
      <c r="P17" s="1" t="s">
        <v>10</v>
      </c>
      <c r="Q17" s="1" t="s">
        <v>11</v>
      </c>
      <c r="R17" s="1" t="s">
        <v>12</v>
      </c>
      <c r="T17" s="1" t="s">
        <v>23</v>
      </c>
      <c r="U17" s="1" t="str">
        <f>P18</f>
        <v>poudre</v>
      </c>
      <c r="V17" s="1" t="str">
        <f>P19</f>
        <v>caoutchouc</v>
      </c>
      <c r="W17" s="1" t="str">
        <f>P20</f>
        <v>tissu</v>
      </c>
      <c r="X17" s="1" t="str">
        <f>P21</f>
        <v>acier</v>
      </c>
    </row>
    <row r="18" spans="1:24" x14ac:dyDescent="0.25">
      <c r="A18" s="9" t="str">
        <f t="shared" ref="A18:A23" si="2">A10</f>
        <v>fantassins</v>
      </c>
      <c r="B18" s="7">
        <f>MROUND(MAX(IF(B10&lt;2,0,12-B10/10*B10),2),1)</f>
        <v>7</v>
      </c>
      <c r="C18" s="4">
        <f>LOOKUP((MROUND(B18,1)),Hoja2!$D$3:$D$13,Hoja2!$G$3:$G$13)</f>
        <v>0.58333333333333337</v>
      </c>
      <c r="D18" s="7">
        <f>MROUND(MAX(IF(D10&lt;2,0,12-D10/10*D10),2),1)</f>
        <v>8</v>
      </c>
      <c r="E18" s="4">
        <f>LOOKUP((MROUND(D18,1)),Hoja2!$D$3:$D$13,Hoja2!$G$3:$G$13)</f>
        <v>0.41666666666666669</v>
      </c>
      <c r="F18" s="7">
        <v>3</v>
      </c>
      <c r="G18" s="4">
        <f>LOOKUP((MROUND(F18,1)),Hoja2!$D$3:$D$13,Hoja2!$G$3:$G$13)</f>
        <v>0.97222222222222243</v>
      </c>
      <c r="H18" s="7">
        <v>8</v>
      </c>
      <c r="I18" s="4">
        <f>LOOKUP((MROUND(H18,1)),Hoja2!$D$3:$D$13,Hoja2!$G$3:$G$13)</f>
        <v>0.41666666666666669</v>
      </c>
      <c r="J18" s="7">
        <v>3</v>
      </c>
      <c r="K18" s="4">
        <f>LOOKUP((MROUND(J18,1)),Hoja2!$D$3:$D$13,Hoja2!$G$3:$G$13)</f>
        <v>0.97222222222222243</v>
      </c>
      <c r="L18" s="7"/>
      <c r="M18" s="4"/>
      <c r="N18" s="4">
        <f>(C18:C22)/5</f>
        <v>0.11666666666666667</v>
      </c>
      <c r="P18" s="1" t="s">
        <v>89</v>
      </c>
      <c r="Q18" s="1">
        <v>3</v>
      </c>
      <c r="R18" s="3">
        <f>Q18/$Q$22</f>
        <v>0.1875</v>
      </c>
      <c r="S18" s="3"/>
      <c r="U18" s="1">
        <v>3</v>
      </c>
      <c r="V18" s="1">
        <f>R19/R18*U18</f>
        <v>4</v>
      </c>
      <c r="W18" s="1">
        <f>R20/R18*U18</f>
        <v>5</v>
      </c>
      <c r="X18" s="1">
        <f>R21/R18*U18</f>
        <v>4</v>
      </c>
    </row>
    <row r="19" spans="1:24" x14ac:dyDescent="0.25">
      <c r="A19" s="9" t="str">
        <f t="shared" si="2"/>
        <v>bazooka</v>
      </c>
      <c r="B19" s="7">
        <f>MROUND(MAX(IF(B11&lt;2,0,12-B11/10*B11),2),1)</f>
        <v>6</v>
      </c>
      <c r="C19" s="4">
        <f>LOOKUP((MROUND(B19,1)),Hoja2!$D$3:$D$13,Hoja2!$G$3:$G$13)</f>
        <v>0.72222222222222232</v>
      </c>
      <c r="D19" s="7">
        <v>7</v>
      </c>
      <c r="E19" s="4">
        <f>LOOKUP((MROUND(D19,1)),Hoja2!$D$3:$D$13,Hoja2!$G$3:$G$13)</f>
        <v>0.58333333333333337</v>
      </c>
      <c r="F19" s="7">
        <f>MROUND(MAX(IF(F11&lt;2,0,12-F11/10*F11),2),1)</f>
        <v>11</v>
      </c>
      <c r="G19" s="4">
        <f>LOOKUP((MROUND(F19,1)),Hoja2!$D$3:$D$13,Hoja2!$G$3:$G$13)</f>
        <v>8.3333333333333329E-2</v>
      </c>
      <c r="H19" s="7">
        <v>3</v>
      </c>
      <c r="I19" s="4">
        <f>LOOKUP((MROUND(H19,1)),Hoja2!$D$3:$D$13,Hoja2!$G$3:$G$13)</f>
        <v>0.97222222222222243</v>
      </c>
      <c r="J19" s="7">
        <v>9</v>
      </c>
      <c r="K19" s="4">
        <f>LOOKUP((MROUND(J19,1)),Hoja2!$D$3:$D$13,Hoja2!$G$3:$G$13)</f>
        <v>0.27777777777777779</v>
      </c>
      <c r="L19" s="7"/>
      <c r="M19" s="4"/>
      <c r="N19" s="4">
        <f>AVERAGE(E18:E22)</f>
        <v>0.62222222222222234</v>
      </c>
      <c r="P19" s="1" t="s">
        <v>91</v>
      </c>
      <c r="Q19" s="1">
        <v>4</v>
      </c>
      <c r="R19" s="3">
        <f>Q19/$Q$22</f>
        <v>0.25</v>
      </c>
      <c r="S19" s="3"/>
    </row>
    <row r="20" spans="1:24" x14ac:dyDescent="0.25">
      <c r="A20" s="9" t="str">
        <f t="shared" si="2"/>
        <v>jeep</v>
      </c>
      <c r="B20" s="7">
        <f>MROUND(MAX(IF(B12&lt;2,0,12-B12/10*B12),2),1)</f>
        <v>8</v>
      </c>
      <c r="C20" s="4">
        <f>LOOKUP((MROUND(B20,1)),Hoja2!$D$3:$D$13,Hoja2!$G$3:$G$13)</f>
        <v>0.41666666666666669</v>
      </c>
      <c r="D20" s="7">
        <v>4</v>
      </c>
      <c r="E20" s="4">
        <f>LOOKUP((MROUND(D20,1)),Hoja2!$D$3:$D$13,Hoja2!$G$3:$G$13)</f>
        <v>0.91666666666666685</v>
      </c>
      <c r="F20" s="7">
        <f>MROUND(MAX(IF(F12&lt;2,0,12-F12/10*F12),2),1)</f>
        <v>4</v>
      </c>
      <c r="G20" s="4">
        <f>LOOKUP((MROUND(F20,1)),Hoja2!$D$3:$D$13,Hoja2!$G$3:$G$13)</f>
        <v>0.91666666666666685</v>
      </c>
      <c r="H20" s="7">
        <v>3</v>
      </c>
      <c r="I20" s="4">
        <f>LOOKUP((MROUND(H20,1)),Hoja2!$D$3:$D$13,Hoja2!$G$3:$G$13)</f>
        <v>0.97222222222222243</v>
      </c>
      <c r="J20" s="7">
        <v>3</v>
      </c>
      <c r="K20" s="4">
        <f>LOOKUP((MROUND(J20,1)),Hoja2!$D$3:$D$13,Hoja2!$G$3:$G$13)</f>
        <v>0.97222222222222243</v>
      </c>
      <c r="L20" s="7"/>
      <c r="M20" s="4"/>
      <c r="N20" s="4">
        <f>AVERAGE(G18:G22)</f>
        <v>0.49444444444444458</v>
      </c>
      <c r="P20" s="1" t="s">
        <v>110</v>
      </c>
      <c r="Q20" s="1">
        <v>5</v>
      </c>
      <c r="R20" s="3">
        <f>Q20/$Q$22</f>
        <v>0.3125</v>
      </c>
      <c r="S20" s="3"/>
    </row>
    <row r="21" spans="1:24" x14ac:dyDescent="0.25">
      <c r="A21" s="9" t="str">
        <f t="shared" si="2"/>
        <v>génie</v>
      </c>
      <c r="B21" s="7">
        <v>9</v>
      </c>
      <c r="C21" s="4">
        <f>LOOKUP((MROUND(B21,1)),Hoja2!$D$3:$D$13,Hoja2!$G$3:$G$13)</f>
        <v>0.27777777777777779</v>
      </c>
      <c r="D21" s="7">
        <v>9</v>
      </c>
      <c r="E21" s="4">
        <f>LOOKUP((MROUND(D21,1)),Hoja2!$D$3:$D$13,Hoja2!$G$3:$G$13)</f>
        <v>0.27777777777777779</v>
      </c>
      <c r="F21" s="7">
        <v>8</v>
      </c>
      <c r="G21" s="4">
        <f>LOOKUP((MROUND(F21,1)),Hoja2!$D$3:$D$13,Hoja2!$G$3:$G$13)</f>
        <v>0.41666666666666669</v>
      </c>
      <c r="H21" s="7">
        <v>10</v>
      </c>
      <c r="I21" s="4">
        <f>LOOKUP((MROUND(H21,1)),Hoja2!$D$3:$D$13,Hoja2!$G$3:$G$13)</f>
        <v>0.16666666666666666</v>
      </c>
      <c r="J21" s="7">
        <v>11</v>
      </c>
      <c r="K21" s="4">
        <f>LOOKUP((MROUND(J21,1)),Hoja2!$D$3:$D$13,Hoja2!$G$3:$G$13)</f>
        <v>8.3333333333333329E-2</v>
      </c>
      <c r="L21" s="7"/>
      <c r="M21" s="4"/>
      <c r="N21" s="4">
        <f>AVERAGE(I18:I22)</f>
        <v>0.53888888888888897</v>
      </c>
      <c r="P21" s="1" t="s">
        <v>93</v>
      </c>
      <c r="Q21" s="1">
        <v>4</v>
      </c>
      <c r="R21" s="3">
        <f>Q21/$Q$22</f>
        <v>0.25</v>
      </c>
      <c r="S21" s="3"/>
    </row>
    <row r="22" spans="1:24" x14ac:dyDescent="0.25">
      <c r="A22" s="9" t="str">
        <f t="shared" si="2"/>
        <v>char</v>
      </c>
      <c r="B22" s="7">
        <v>7</v>
      </c>
      <c r="C22" s="4">
        <f>LOOKUP((MROUND(B22,1)),Hoja2!$D$3:$D$13,Hoja2!$G$3:$G$13)</f>
        <v>0.58333333333333337</v>
      </c>
      <c r="D22" s="7">
        <v>4</v>
      </c>
      <c r="E22" s="4">
        <f>LOOKUP((MROUND(D22,1)),Hoja2!$D$3:$D$13,Hoja2!$G$3:$G$13)</f>
        <v>0.91666666666666685</v>
      </c>
      <c r="F22" s="7">
        <f>MROUND(MAX(IF(F14&lt;2,0,12-F14/10*F14),2),1)</f>
        <v>11</v>
      </c>
      <c r="G22" s="4">
        <f>LOOKUP((MROUND(F22,1)),Hoja2!$D$3:$D$13,Hoja2!$G$3:$G$13)</f>
        <v>8.3333333333333329E-2</v>
      </c>
      <c r="H22" s="7">
        <f>MROUND(MAX(IF(H14&lt;2,0,12-H14/10*H14),2),1)</f>
        <v>10</v>
      </c>
      <c r="I22" s="4">
        <f>LOOKUP((MROUND(H22,1)),Hoja2!$D$3:$D$13,Hoja2!$G$3:$G$13)</f>
        <v>0.16666666666666666</v>
      </c>
      <c r="J22" s="7">
        <f>MROUND(MAX(IF(J14&lt;2,0,12-J14/10*J14),2),1)</f>
        <v>7</v>
      </c>
      <c r="K22" s="4">
        <f>LOOKUP((MROUND(J22,1)),Hoja2!$D$3:$D$13,Hoja2!$G$3:$G$13)</f>
        <v>0.58333333333333337</v>
      </c>
      <c r="L22" s="7"/>
      <c r="M22" s="4"/>
      <c r="N22" s="4">
        <f>AVERAGE(K18:K22)</f>
        <v>0.57777777777777795</v>
      </c>
      <c r="P22" s="1" t="s">
        <v>13</v>
      </c>
      <c r="Q22" s="1">
        <f>SUM(Q18:Q21)</f>
        <v>16</v>
      </c>
      <c r="R22" s="1">
        <f>Q22/$Q$22</f>
        <v>1</v>
      </c>
      <c r="T22" s="6"/>
    </row>
    <row r="23" spans="1:24" x14ac:dyDescent="0.25">
      <c r="A23" s="9" t="str">
        <f t="shared" si="2"/>
        <v>lance-fusée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T23" s="6"/>
    </row>
    <row r="24" spans="1:24" x14ac:dyDescent="0.25">
      <c r="D24" s="17"/>
      <c r="N24" s="6">
        <f>AVERAGE(N18:N22)</f>
        <v>0.47000000000000008</v>
      </c>
      <c r="T24" s="6"/>
    </row>
    <row r="25" spans="1:24" ht="30" x14ac:dyDescent="0.25">
      <c r="A25" s="1" t="s">
        <v>22</v>
      </c>
      <c r="B25" s="1" t="s">
        <v>7</v>
      </c>
      <c r="C25" s="1" t="s">
        <v>82</v>
      </c>
      <c r="D25" s="1" t="s">
        <v>15</v>
      </c>
      <c r="E25" s="1" t="s">
        <v>14</v>
      </c>
      <c r="F25" s="1" t="str">
        <f>CONCATENATE("coût ",P18)</f>
        <v>coût poudre</v>
      </c>
      <c r="H25" s="1" t="str">
        <f>CONCATENATE("coût ",P19)</f>
        <v>coût caoutchouc</v>
      </c>
      <c r="J25" s="1" t="str">
        <f>CONCATENATE("coût ",P20)</f>
        <v>coût tissu</v>
      </c>
      <c r="L25" s="1" t="str">
        <f>CONCATENATE("coût ",P21)</f>
        <v>coût acier</v>
      </c>
      <c r="N25" s="1" t="s">
        <v>21</v>
      </c>
      <c r="O25" s="1" t="s">
        <v>16</v>
      </c>
      <c r="P25" s="1" t="s">
        <v>83</v>
      </c>
      <c r="Q25" s="1" t="s">
        <v>98</v>
      </c>
      <c r="S25" s="1" t="s">
        <v>99</v>
      </c>
      <c r="T25" s="1" t="s">
        <v>100</v>
      </c>
      <c r="U25" s="1" t="s">
        <v>101</v>
      </c>
      <c r="V25" s="1" t="s">
        <v>102</v>
      </c>
    </row>
    <row r="26" spans="1:24" x14ac:dyDescent="0.25">
      <c r="A26" s="9" t="str">
        <f t="shared" ref="A26:A31" si="3">A18</f>
        <v>fantassins</v>
      </c>
      <c r="B26" s="1">
        <v>3</v>
      </c>
      <c r="C26" s="1">
        <v>1</v>
      </c>
      <c r="D26" s="7">
        <f>MROUND((N10*70+N18*30)*0.6+(B26)*20+((C26^C26)/C26)*20,5)/105*65*2</f>
        <v>123.8095238095238</v>
      </c>
      <c r="E26" s="3">
        <f t="shared" ref="E26:E31" si="4">D26/$D$30</f>
        <v>0.625</v>
      </c>
      <c r="F26" s="7">
        <v>0</v>
      </c>
      <c r="G26" s="7">
        <f t="shared" ref="G26:G31" si="5">1/$R$18/$O$26</f>
        <v>59.047609026677144</v>
      </c>
      <c r="H26" s="7">
        <v>0</v>
      </c>
      <c r="I26" s="7">
        <f t="shared" ref="I26:I31" si="6">1/$R$19/$O$26</f>
        <v>44.285706770007863</v>
      </c>
      <c r="J26" s="7">
        <v>2</v>
      </c>
      <c r="K26" s="7">
        <f t="shared" ref="K26:K31" si="7">1/$R$20/$O$26</f>
        <v>35.428565416006293</v>
      </c>
      <c r="L26" s="7">
        <v>1</v>
      </c>
      <c r="M26" s="23">
        <f t="shared" ref="M26:M31" si="8">1/$R$21/$O$26</f>
        <v>44.285706770007863</v>
      </c>
      <c r="N26" s="7">
        <f t="shared" ref="N26:N31" si="9">G26*F26+I26*H26+K26*J26+M26*L26</f>
        <v>115.14283760202045</v>
      </c>
      <c r="O26" s="1">
        <v>9.0322595973763881E-2</v>
      </c>
      <c r="P26" s="7">
        <f t="shared" ref="P26:P31" si="10">SUM(F26,H26,J26,L26)</f>
        <v>3</v>
      </c>
      <c r="Q26" s="1">
        <v>4</v>
      </c>
      <c r="S26" s="1">
        <f t="shared" ref="S26:S31" si="11">Q26*F26</f>
        <v>0</v>
      </c>
      <c r="T26" s="1">
        <f t="shared" ref="T26:T31" si="12">Q26*H26</f>
        <v>0</v>
      </c>
      <c r="U26" s="1">
        <f t="shared" ref="U26:U31" si="13">J26*Q26</f>
        <v>8</v>
      </c>
      <c r="V26" s="1">
        <f t="shared" ref="V26:V31" si="14">L26*Q26</f>
        <v>4</v>
      </c>
    </row>
    <row r="27" spans="1:24" x14ac:dyDescent="0.25">
      <c r="A27" s="9" t="str">
        <f t="shared" si="3"/>
        <v>bazooka</v>
      </c>
      <c r="B27" s="1">
        <v>2</v>
      </c>
      <c r="C27" s="1">
        <v>2</v>
      </c>
      <c r="D27" s="7">
        <f>MROUND((N11*70+N19*30)*0.6+(B27)*20+((C27^C27)/C27)*20,5)/105*65*2</f>
        <v>148.57142857142856</v>
      </c>
      <c r="E27" s="3">
        <f t="shared" si="4"/>
        <v>0.75</v>
      </c>
      <c r="F27" s="7">
        <v>1</v>
      </c>
      <c r="G27" s="7">
        <f t="shared" si="5"/>
        <v>59.047609026677144</v>
      </c>
      <c r="H27" s="7">
        <v>0</v>
      </c>
      <c r="I27" s="7">
        <f t="shared" si="6"/>
        <v>44.285706770007863</v>
      </c>
      <c r="J27" s="7">
        <v>1</v>
      </c>
      <c r="K27" s="7">
        <f t="shared" si="7"/>
        <v>35.428565416006293</v>
      </c>
      <c r="L27" s="7">
        <v>1</v>
      </c>
      <c r="M27" s="23">
        <f t="shared" si="8"/>
        <v>44.285706770007863</v>
      </c>
      <c r="N27" s="7">
        <f t="shared" si="9"/>
        <v>138.76188121269129</v>
      </c>
      <c r="P27" s="7">
        <f t="shared" si="10"/>
        <v>3</v>
      </c>
      <c r="Q27" s="1">
        <v>3</v>
      </c>
      <c r="S27" s="22">
        <f t="shared" si="11"/>
        <v>3</v>
      </c>
      <c r="T27" s="22">
        <f t="shared" si="12"/>
        <v>0</v>
      </c>
      <c r="U27" s="22">
        <f t="shared" si="13"/>
        <v>3</v>
      </c>
      <c r="V27" s="22">
        <f t="shared" si="14"/>
        <v>3</v>
      </c>
    </row>
    <row r="28" spans="1:24" x14ac:dyDescent="0.25">
      <c r="A28" s="9" t="str">
        <f t="shared" si="3"/>
        <v>jeep</v>
      </c>
      <c r="B28" s="1">
        <v>5</v>
      </c>
      <c r="C28" s="1">
        <v>1</v>
      </c>
      <c r="D28" s="7">
        <f>MROUND((N12*70+N20*30)*0.6+(B28)*20+((C28^C28)/C28)*20,5)/105*65*2</f>
        <v>179.52380952380952</v>
      </c>
      <c r="E28" s="3">
        <f t="shared" si="4"/>
        <v>0.90625000000000011</v>
      </c>
      <c r="F28" s="7">
        <v>0</v>
      </c>
      <c r="G28" s="7">
        <f t="shared" si="5"/>
        <v>59.047609026677144</v>
      </c>
      <c r="H28" s="7">
        <v>3</v>
      </c>
      <c r="I28" s="7">
        <f t="shared" si="6"/>
        <v>44.285706770007863</v>
      </c>
      <c r="J28" s="7">
        <v>0</v>
      </c>
      <c r="K28" s="7">
        <f t="shared" si="7"/>
        <v>35.428565416006293</v>
      </c>
      <c r="L28" s="7">
        <v>1</v>
      </c>
      <c r="M28" s="23">
        <f t="shared" si="8"/>
        <v>44.285706770007863</v>
      </c>
      <c r="N28" s="7">
        <f t="shared" si="9"/>
        <v>177.14282708003145</v>
      </c>
      <c r="P28" s="7">
        <f t="shared" si="10"/>
        <v>4</v>
      </c>
      <c r="Q28" s="1">
        <v>2</v>
      </c>
      <c r="S28" s="22">
        <f t="shared" si="11"/>
        <v>0</v>
      </c>
      <c r="T28" s="22">
        <f t="shared" si="12"/>
        <v>6</v>
      </c>
      <c r="U28" s="22">
        <f t="shared" si="13"/>
        <v>0</v>
      </c>
      <c r="V28" s="22">
        <f t="shared" si="14"/>
        <v>2</v>
      </c>
    </row>
    <row r="29" spans="1:24" x14ac:dyDescent="0.25">
      <c r="A29" s="9" t="str">
        <f t="shared" si="3"/>
        <v>génie</v>
      </c>
      <c r="B29" s="1">
        <v>3</v>
      </c>
      <c r="C29" s="1">
        <v>1</v>
      </c>
      <c r="D29" s="7">
        <f>MROUND((N13*70+N21*30)*0.6+(B29)*20+((C29^C29)/C29)*20,5)/105*65*2</f>
        <v>136.1904761904762</v>
      </c>
      <c r="E29" s="3">
        <f t="shared" si="4"/>
        <v>0.68750000000000011</v>
      </c>
      <c r="F29" s="7">
        <v>1</v>
      </c>
      <c r="G29" s="7">
        <f t="shared" si="5"/>
        <v>59.047609026677144</v>
      </c>
      <c r="H29" s="7">
        <v>0</v>
      </c>
      <c r="I29" s="7">
        <f t="shared" si="6"/>
        <v>44.285706770007863</v>
      </c>
      <c r="J29" s="7">
        <v>2</v>
      </c>
      <c r="K29" s="7">
        <f t="shared" si="7"/>
        <v>35.428565416006293</v>
      </c>
      <c r="L29" s="7">
        <v>0</v>
      </c>
      <c r="M29" s="23">
        <f t="shared" si="8"/>
        <v>44.285706770007863</v>
      </c>
      <c r="N29" s="7">
        <f t="shared" si="9"/>
        <v>129.90473985868974</v>
      </c>
      <c r="P29" s="7">
        <f t="shared" si="10"/>
        <v>3</v>
      </c>
      <c r="Q29" s="1">
        <v>2</v>
      </c>
      <c r="S29" s="22">
        <f t="shared" si="11"/>
        <v>2</v>
      </c>
      <c r="T29" s="22">
        <f t="shared" si="12"/>
        <v>0</v>
      </c>
      <c r="U29" s="22">
        <f t="shared" si="13"/>
        <v>4</v>
      </c>
      <c r="V29" s="22">
        <f t="shared" si="14"/>
        <v>0</v>
      </c>
    </row>
    <row r="30" spans="1:24" x14ac:dyDescent="0.25">
      <c r="A30" s="9" t="str">
        <f t="shared" si="3"/>
        <v>char</v>
      </c>
      <c r="B30" s="1">
        <v>5</v>
      </c>
      <c r="C30" s="1">
        <v>1</v>
      </c>
      <c r="D30" s="7">
        <f>MROUND((N14*70+N22*30)*0.6+(B30)*20+((C30^C30)/C30)*20,5)/105*65*2</f>
        <v>198.09523809523807</v>
      </c>
      <c r="E30" s="3">
        <f t="shared" si="4"/>
        <v>1</v>
      </c>
      <c r="F30" s="7">
        <v>1</v>
      </c>
      <c r="G30" s="7">
        <f t="shared" si="5"/>
        <v>59.047609026677144</v>
      </c>
      <c r="H30" s="7">
        <v>2</v>
      </c>
      <c r="I30" s="7">
        <f t="shared" si="6"/>
        <v>44.285706770007863</v>
      </c>
      <c r="J30" s="7">
        <v>0</v>
      </c>
      <c r="K30" s="7">
        <f t="shared" si="7"/>
        <v>35.428565416006293</v>
      </c>
      <c r="L30" s="7">
        <v>1</v>
      </c>
      <c r="M30" s="23">
        <f t="shared" si="8"/>
        <v>44.285706770007863</v>
      </c>
      <c r="N30" s="7">
        <f t="shared" si="9"/>
        <v>191.90472933670074</v>
      </c>
      <c r="P30" s="7">
        <f t="shared" si="10"/>
        <v>4</v>
      </c>
      <c r="Q30" s="1">
        <v>2</v>
      </c>
      <c r="S30" s="22">
        <f t="shared" si="11"/>
        <v>2</v>
      </c>
      <c r="T30" s="22">
        <f t="shared" si="12"/>
        <v>4</v>
      </c>
      <c r="U30" s="22">
        <f t="shared" si="13"/>
        <v>0</v>
      </c>
      <c r="V30" s="22">
        <f t="shared" si="14"/>
        <v>2</v>
      </c>
    </row>
    <row r="31" spans="1:24" x14ac:dyDescent="0.25">
      <c r="A31" s="9" t="str">
        <f t="shared" si="3"/>
        <v>lance-fusée</v>
      </c>
      <c r="B31" s="1">
        <v>2</v>
      </c>
      <c r="C31" s="1">
        <v>3</v>
      </c>
      <c r="D31" s="7">
        <f>MROUND((N15*70+N24*30)*0.6+(B31)*20+((C31^C31)/C31)*20,5)/105*65*2</f>
        <v>328.09523809523807</v>
      </c>
      <c r="E31" s="3">
        <f t="shared" si="4"/>
        <v>1.65625</v>
      </c>
      <c r="F31" s="7">
        <v>3</v>
      </c>
      <c r="G31" s="7">
        <f t="shared" si="5"/>
        <v>59.047609026677144</v>
      </c>
      <c r="H31" s="7">
        <v>2</v>
      </c>
      <c r="I31" s="7">
        <f t="shared" si="6"/>
        <v>44.285706770007863</v>
      </c>
      <c r="J31" s="7">
        <v>0</v>
      </c>
      <c r="K31" s="7">
        <f t="shared" si="7"/>
        <v>35.428565416006293</v>
      </c>
      <c r="L31" s="7">
        <v>2</v>
      </c>
      <c r="M31" s="23">
        <f t="shared" si="8"/>
        <v>44.285706770007863</v>
      </c>
      <c r="N31" s="7">
        <f t="shared" si="9"/>
        <v>354.28565416006285</v>
      </c>
      <c r="P31" s="7">
        <f t="shared" si="10"/>
        <v>7</v>
      </c>
      <c r="Q31" s="1">
        <v>1</v>
      </c>
      <c r="S31" s="22">
        <f t="shared" si="11"/>
        <v>3</v>
      </c>
      <c r="T31" s="22">
        <f t="shared" si="12"/>
        <v>2</v>
      </c>
      <c r="U31" s="22">
        <f t="shared" si="13"/>
        <v>0</v>
      </c>
      <c r="V31" s="22">
        <f t="shared" si="14"/>
        <v>2</v>
      </c>
    </row>
    <row r="32" spans="1:24" ht="60" x14ac:dyDescent="0.25">
      <c r="A32" s="8"/>
      <c r="D32" s="7"/>
      <c r="E32" s="6"/>
      <c r="F32" s="7">
        <f>G26</f>
        <v>59.047609026677144</v>
      </c>
      <c r="H32" s="7">
        <f>I26</f>
        <v>44.285706770007863</v>
      </c>
      <c r="I32" s="7"/>
      <c r="J32" s="7">
        <f>K26</f>
        <v>35.428565416006293</v>
      </c>
      <c r="K32" s="7"/>
      <c r="L32" s="7">
        <f>M26</f>
        <v>44.285706770007863</v>
      </c>
      <c r="M32" s="7"/>
      <c r="N32" s="7"/>
      <c r="P32" s="7"/>
      <c r="R32" s="1" t="s">
        <v>107</v>
      </c>
      <c r="S32" s="1">
        <f>SUM(S26:S31)</f>
        <v>10</v>
      </c>
      <c r="T32" s="22">
        <f>SUM(T26:T31)</f>
        <v>12</v>
      </c>
      <c r="U32" s="22">
        <f>SUM(U26:U31)</f>
        <v>15</v>
      </c>
      <c r="V32" s="22">
        <f>SUM(V26:V31)</f>
        <v>13</v>
      </c>
    </row>
    <row r="33" spans="1:22" s="22" customFormat="1" ht="30" x14ac:dyDescent="0.25">
      <c r="A33" s="8"/>
      <c r="D33" s="7"/>
      <c r="E33" s="6"/>
      <c r="F33" s="7"/>
      <c r="H33" s="7"/>
      <c r="I33" s="7"/>
      <c r="J33" s="7"/>
      <c r="K33" s="7"/>
      <c r="L33" s="7"/>
      <c r="M33" s="7"/>
      <c r="N33" s="7"/>
      <c r="P33" s="7"/>
      <c r="R33" s="22" t="s">
        <v>109</v>
      </c>
      <c r="S33" s="22">
        <f>S32/U18</f>
        <v>3.3333333333333335</v>
      </c>
      <c r="T33" s="22">
        <f>T32/V18</f>
        <v>3</v>
      </c>
      <c r="U33" s="22">
        <f>U32/W18</f>
        <v>3</v>
      </c>
      <c r="V33" s="22">
        <f>V32/X18</f>
        <v>3.25</v>
      </c>
    </row>
    <row r="34" spans="1:22" ht="30" x14ac:dyDescent="0.25">
      <c r="A34" s="8" t="s">
        <v>28</v>
      </c>
      <c r="B34" s="1" t="s">
        <v>25</v>
      </c>
      <c r="C34" s="7" t="s">
        <v>26</v>
      </c>
      <c r="D34" s="1" t="s">
        <v>84</v>
      </c>
      <c r="E34" s="3" t="s">
        <v>27</v>
      </c>
      <c r="F34" s="1" t="str">
        <f>CONCATENATE("coût ",P18)</f>
        <v>coût poudre</v>
      </c>
      <c r="H34" s="1" t="str">
        <f>CONCATENATE("coût ",P19)</f>
        <v>coût caoutchouc</v>
      </c>
      <c r="J34" s="1" t="str">
        <f>CONCATENATE("coût ",P20)</f>
        <v>coût tissu</v>
      </c>
      <c r="L34" s="22" t="str">
        <f>CONCATENATE("coût ",P21)</f>
        <v>coût acier</v>
      </c>
      <c r="N34" s="7" t="str">
        <f>N25</f>
        <v>var coût équivalent $</v>
      </c>
      <c r="O34" s="7" t="str">
        <f>P25</f>
        <v>Nb de ressources</v>
      </c>
      <c r="P34" s="7" t="s">
        <v>97</v>
      </c>
      <c r="Q34" s="1" t="s">
        <v>41</v>
      </c>
      <c r="S34" s="1" t="s">
        <v>103</v>
      </c>
      <c r="T34" s="1" t="s">
        <v>104</v>
      </c>
      <c r="U34" s="1" t="s">
        <v>105</v>
      </c>
      <c r="V34" s="1" t="s">
        <v>106</v>
      </c>
    </row>
    <row r="35" spans="1:22" x14ac:dyDescent="0.25">
      <c r="A35" s="21" t="s">
        <v>92</v>
      </c>
      <c r="B35" s="1">
        <v>8</v>
      </c>
      <c r="C35" s="5">
        <f>LOOKUP((MROUND(B35,1)),Hoja2!$D$3:$D$13,Hoja2!$G$3:$G$13)</f>
        <v>0.41666666666666669</v>
      </c>
      <c r="D35" s="5">
        <f>2*F32</f>
        <v>118.09521805335429</v>
      </c>
      <c r="E35" s="7">
        <f>MROUND(D35*4,1)-((1+C35)^(P35+3)-1)</f>
        <v>459.36963251248375</v>
      </c>
      <c r="F35" s="1">
        <v>0</v>
      </c>
      <c r="G35" s="7">
        <f>F32</f>
        <v>59.047609026677144</v>
      </c>
      <c r="H35" s="1">
        <v>4</v>
      </c>
      <c r="I35" s="7">
        <f>H32</f>
        <v>44.285706770007863</v>
      </c>
      <c r="J35" s="1">
        <v>1</v>
      </c>
      <c r="K35" s="7">
        <f>J32</f>
        <v>35.428565416006293</v>
      </c>
      <c r="L35" s="1">
        <v>4</v>
      </c>
      <c r="M35" s="7">
        <f>L32</f>
        <v>44.285706770007863</v>
      </c>
      <c r="N35" s="7">
        <f t="shared" ref="N35:N40" si="15">G35*F35+I35*H35+J35*K35+L35*M35</f>
        <v>389.71421957606918</v>
      </c>
      <c r="O35" s="7">
        <f t="shared" ref="O35:O40" si="16">SUM(F35,H35,J35,L35)</f>
        <v>9</v>
      </c>
      <c r="P35" s="1">
        <f>O35/2</f>
        <v>4.5</v>
      </c>
      <c r="Q35" s="31" t="s">
        <v>65</v>
      </c>
      <c r="S35" s="1">
        <f>F35</f>
        <v>0</v>
      </c>
      <c r="T35" s="22">
        <f>H35</f>
        <v>4</v>
      </c>
      <c r="U35" s="22">
        <f>J35</f>
        <v>1</v>
      </c>
      <c r="V35" s="22">
        <f>L35</f>
        <v>4</v>
      </c>
    </row>
    <row r="36" spans="1:22" ht="30" x14ac:dyDescent="0.25">
      <c r="A36" s="21" t="s">
        <v>96</v>
      </c>
      <c r="B36" s="1">
        <v>7</v>
      </c>
      <c r="C36" s="5">
        <f>LOOKUP((MROUND(B36,1)),Hoja2!$D$3:$D$13,Hoja2!$G$3:$G$13)</f>
        <v>0.58333333333333337</v>
      </c>
      <c r="D36" s="5">
        <f>2*H32</f>
        <v>88.571413540015726</v>
      </c>
      <c r="E36" s="7">
        <f>MROUND(D36*4,1)-((1+C36)^(P36+3)-1)</f>
        <v>330.05368026642697</v>
      </c>
      <c r="F36" s="1">
        <v>2</v>
      </c>
      <c r="G36" s="7">
        <f>G35</f>
        <v>59.047609026677144</v>
      </c>
      <c r="H36" s="1">
        <v>0</v>
      </c>
      <c r="I36" s="7">
        <f>I35</f>
        <v>44.285706770007863</v>
      </c>
      <c r="J36" s="1">
        <v>4</v>
      </c>
      <c r="K36" s="7">
        <f>K35</f>
        <v>35.428565416006293</v>
      </c>
      <c r="L36" s="1">
        <v>2</v>
      </c>
      <c r="M36" s="7">
        <f>M35</f>
        <v>44.285706770007863</v>
      </c>
      <c r="N36" s="7">
        <f t="shared" si="15"/>
        <v>348.3808932573952</v>
      </c>
      <c r="O36" s="7">
        <f t="shared" si="16"/>
        <v>8</v>
      </c>
      <c r="P36" s="22">
        <f>O36/2</f>
        <v>4</v>
      </c>
      <c r="Q36" s="31"/>
      <c r="S36" s="22">
        <f>F36</f>
        <v>2</v>
      </c>
      <c r="T36" s="22">
        <f>H36</f>
        <v>0</v>
      </c>
      <c r="U36" s="22">
        <f>J36</f>
        <v>4</v>
      </c>
      <c r="V36" s="22">
        <f>L36</f>
        <v>2</v>
      </c>
    </row>
    <row r="37" spans="1:22" x14ac:dyDescent="0.25">
      <c r="A37" s="21" t="s">
        <v>111</v>
      </c>
      <c r="B37" s="1">
        <v>6</v>
      </c>
      <c r="C37" s="5">
        <f>LOOKUP((MROUND(B37,1)),Hoja2!$D$3:$D$13,Hoja2!$G$3:$G$13)</f>
        <v>0.72222222222222232</v>
      </c>
      <c r="D37" s="5">
        <f>2*J32</f>
        <v>70.857130832012587</v>
      </c>
      <c r="E37" s="7">
        <f>MROUND(D37*4,1)-((1+C37)^(P37+3)-1)</f>
        <v>257.90633199993039</v>
      </c>
      <c r="F37" s="1">
        <v>0</v>
      </c>
      <c r="G37" s="7">
        <f>G36</f>
        <v>59.047609026677144</v>
      </c>
      <c r="H37" s="1">
        <v>2</v>
      </c>
      <c r="I37" s="7">
        <f>I36</f>
        <v>44.285706770007863</v>
      </c>
      <c r="J37" s="1">
        <v>0</v>
      </c>
      <c r="K37" s="7">
        <f>K36</f>
        <v>35.428565416006293</v>
      </c>
      <c r="L37" s="1">
        <v>4</v>
      </c>
      <c r="M37" s="7">
        <f>M36</f>
        <v>44.285706770007863</v>
      </c>
      <c r="N37" s="7">
        <f t="shared" si="15"/>
        <v>265.71424062004718</v>
      </c>
      <c r="O37" s="7">
        <f t="shared" si="16"/>
        <v>6</v>
      </c>
      <c r="P37" s="22">
        <f>O37/2</f>
        <v>3</v>
      </c>
      <c r="Q37" s="31"/>
      <c r="S37" s="22">
        <f>F37</f>
        <v>0</v>
      </c>
      <c r="T37" s="22">
        <f>H37</f>
        <v>2</v>
      </c>
      <c r="U37" s="22">
        <f>J37</f>
        <v>0</v>
      </c>
      <c r="V37" s="22">
        <f>L37</f>
        <v>4</v>
      </c>
    </row>
    <row r="38" spans="1:22" x14ac:dyDescent="0.25">
      <c r="A38" s="21" t="s">
        <v>94</v>
      </c>
      <c r="B38" s="1">
        <v>7</v>
      </c>
      <c r="C38" s="5">
        <f>LOOKUP((MROUND(B38,1)),Hoja2!$D$3:$D$13,Hoja2!$G$3:$G$13)</f>
        <v>0.58333333333333337</v>
      </c>
      <c r="D38" s="5">
        <f>2*L32</f>
        <v>88.571413540015726</v>
      </c>
      <c r="E38" s="7">
        <f>MROUND(D38*4,1)-((1+C38)^(P38+3)-1)</f>
        <v>330.05368026642697</v>
      </c>
      <c r="F38" s="1">
        <v>1</v>
      </c>
      <c r="G38" s="7">
        <f>G37</f>
        <v>59.047609026677144</v>
      </c>
      <c r="H38" s="1">
        <v>4</v>
      </c>
      <c r="I38" s="7">
        <f>I37</f>
        <v>44.285706770007863</v>
      </c>
      <c r="J38" s="1">
        <v>3</v>
      </c>
      <c r="K38" s="7">
        <f>K37</f>
        <v>35.428565416006293</v>
      </c>
      <c r="L38" s="1">
        <v>0</v>
      </c>
      <c r="M38" s="7">
        <f>M37</f>
        <v>44.285706770007863</v>
      </c>
      <c r="N38" s="7">
        <f t="shared" si="15"/>
        <v>342.4761323547275</v>
      </c>
      <c r="O38" s="7">
        <f t="shared" si="16"/>
        <v>8</v>
      </c>
      <c r="P38" s="22">
        <f>O38/2</f>
        <v>4</v>
      </c>
      <c r="Q38" s="31"/>
      <c r="S38" s="22">
        <f>F38</f>
        <v>1</v>
      </c>
      <c r="T38" s="22">
        <f>H38</f>
        <v>4</v>
      </c>
      <c r="U38" s="22">
        <f>J38</f>
        <v>3</v>
      </c>
      <c r="V38" s="22">
        <f>L38</f>
        <v>0</v>
      </c>
    </row>
    <row r="39" spans="1:22" ht="60" x14ac:dyDescent="0.25">
      <c r="A39" s="21" t="s">
        <v>3</v>
      </c>
      <c r="B39" s="1">
        <v>8</v>
      </c>
      <c r="C39" s="5">
        <f>LOOKUP((MROUND(B39,1)),Hoja2!$D$3:$D$13,Hoja2!$G$3:$G$13)</f>
        <v>0.41666666666666669</v>
      </c>
      <c r="D39" s="1">
        <f>3*AVERAGE(F32:L32)</f>
        <v>137.2856909870244</v>
      </c>
      <c r="E39" s="7">
        <f>MROUND(D39*4,1)-((1+C39)^(P39+3)-1)</f>
        <v>537.13836188544542</v>
      </c>
      <c r="F39" s="1">
        <v>4</v>
      </c>
      <c r="G39" s="7">
        <f>G38</f>
        <v>59.047609026677144</v>
      </c>
      <c r="H39" s="1">
        <v>2</v>
      </c>
      <c r="I39" s="7">
        <f>I38</f>
        <v>44.285706770007863</v>
      </c>
      <c r="J39" s="1">
        <v>5</v>
      </c>
      <c r="K39" s="7">
        <f>K38</f>
        <v>35.428565416006293</v>
      </c>
      <c r="L39" s="1">
        <v>2</v>
      </c>
      <c r="M39" s="7">
        <f>M38</f>
        <v>44.285706770007863</v>
      </c>
      <c r="N39" s="7">
        <f t="shared" si="15"/>
        <v>590.47609026677151</v>
      </c>
      <c r="O39" s="7">
        <f t="shared" si="16"/>
        <v>13</v>
      </c>
      <c r="P39" s="6">
        <f>O39/3</f>
        <v>4.333333333333333</v>
      </c>
      <c r="Q39" s="1" t="s">
        <v>71</v>
      </c>
      <c r="S39" s="1">
        <f>F39*2</f>
        <v>8</v>
      </c>
      <c r="T39" s="1">
        <f>H39*2</f>
        <v>4</v>
      </c>
      <c r="U39" s="1">
        <f>J39*2</f>
        <v>10</v>
      </c>
      <c r="V39" s="1">
        <f>L39*2</f>
        <v>4</v>
      </c>
    </row>
    <row r="40" spans="1:22" ht="75" x14ac:dyDescent="0.25">
      <c r="A40" s="21" t="s">
        <v>24</v>
      </c>
      <c r="B40" s="1">
        <v>5</v>
      </c>
      <c r="C40" s="5">
        <f>LOOKUP((MROUND(B40,1)),Hoja2!$D$3:$D$13,Hoja2!$G$3:$G$13)</f>
        <v>0.83333333333333348</v>
      </c>
      <c r="D40" s="1">
        <v>0</v>
      </c>
      <c r="E40" s="7">
        <f>MROUND(D40*4,1)-((1+C40)^4-1)</f>
        <v>-10.297067901234572</v>
      </c>
      <c r="F40" s="1">
        <v>0</v>
      </c>
      <c r="G40" s="7">
        <f>G39</f>
        <v>59.047609026677144</v>
      </c>
      <c r="H40" s="1">
        <v>2</v>
      </c>
      <c r="I40" s="7">
        <f>I39</f>
        <v>44.285706770007863</v>
      </c>
      <c r="J40" s="1">
        <v>0</v>
      </c>
      <c r="K40" s="7">
        <f>K39</f>
        <v>35.428565416006293</v>
      </c>
      <c r="L40" s="1">
        <v>2</v>
      </c>
      <c r="M40" s="7">
        <f>M39</f>
        <v>44.285706770007863</v>
      </c>
      <c r="N40" s="7">
        <f t="shared" si="15"/>
        <v>177.14282708003145</v>
      </c>
      <c r="O40" s="7">
        <f t="shared" si="16"/>
        <v>4</v>
      </c>
      <c r="Q40" s="1" t="s">
        <v>66</v>
      </c>
      <c r="R40" s="1" t="s">
        <v>108</v>
      </c>
      <c r="S40" s="1">
        <f>SUM(S35:S39)</f>
        <v>11</v>
      </c>
      <c r="T40" s="22">
        <f>SUM(T35:T39)</f>
        <v>14</v>
      </c>
      <c r="U40" s="22">
        <f>SUM(U35:U39)</f>
        <v>18</v>
      </c>
      <c r="V40" s="22">
        <f>SUM(V35:V39)</f>
        <v>14</v>
      </c>
    </row>
    <row r="41" spans="1:22" ht="30" x14ac:dyDescent="0.25">
      <c r="A41" s="8"/>
      <c r="B41" s="17"/>
      <c r="C41" s="17"/>
      <c r="D41" s="17"/>
      <c r="E41" s="29"/>
      <c r="F41" s="17"/>
      <c r="G41" s="29"/>
      <c r="H41" s="17"/>
      <c r="I41" s="29"/>
      <c r="J41" s="17"/>
      <c r="K41" s="29"/>
      <c r="L41" s="17"/>
      <c r="M41" s="29"/>
      <c r="N41" s="29"/>
      <c r="O41" s="29"/>
      <c r="P41" s="17"/>
      <c r="Q41" s="17"/>
      <c r="R41" s="17" t="s">
        <v>109</v>
      </c>
      <c r="S41" s="1">
        <f>S40/U18</f>
        <v>3.6666666666666665</v>
      </c>
      <c r="T41" s="1">
        <f>T40/V18</f>
        <v>3.5</v>
      </c>
      <c r="U41" s="1">
        <f>U40/W18</f>
        <v>3.6</v>
      </c>
      <c r="V41" s="1">
        <f>V40/X18</f>
        <v>3.5</v>
      </c>
    </row>
    <row r="42" spans="1:22" x14ac:dyDescent="0.25">
      <c r="A42" s="8"/>
      <c r="F42" s="7"/>
      <c r="H42" s="7"/>
      <c r="I42" s="7"/>
      <c r="J42" s="7"/>
      <c r="K42" s="7"/>
      <c r="L42" s="7"/>
      <c r="M42" s="7"/>
      <c r="N42" s="7"/>
      <c r="P42" s="7"/>
    </row>
    <row r="43" spans="1:22" ht="30" x14ac:dyDescent="0.25">
      <c r="A43" s="2" t="s">
        <v>29</v>
      </c>
      <c r="B43" s="1" t="s">
        <v>49</v>
      </c>
      <c r="D43" s="1" t="s">
        <v>39</v>
      </c>
      <c r="F43" s="1" t="s">
        <v>42</v>
      </c>
      <c r="H43" s="1" t="s">
        <v>47</v>
      </c>
      <c r="J43" s="1" t="s">
        <v>48</v>
      </c>
      <c r="L43" s="1" t="s">
        <v>50</v>
      </c>
      <c r="M43" s="1" t="s">
        <v>5</v>
      </c>
      <c r="N43" s="1" t="s">
        <v>64</v>
      </c>
      <c r="O43" s="31" t="s">
        <v>41</v>
      </c>
      <c r="P43" s="31"/>
      <c r="Q43" s="31"/>
    </row>
    <row r="44" spans="1:22" ht="30" customHeight="1" x14ac:dyDescent="0.25">
      <c r="A44" s="20" t="s">
        <v>30</v>
      </c>
      <c r="B44" s="1">
        <v>1</v>
      </c>
      <c r="D44" s="1">
        <v>0</v>
      </c>
      <c r="F44" s="1">
        <v>1</v>
      </c>
      <c r="H44" s="1">
        <v>3</v>
      </c>
      <c r="J44" s="1">
        <v>0</v>
      </c>
      <c r="L44" s="1">
        <v>0</v>
      </c>
      <c r="M44" s="6">
        <f>B44+D44+F44+H44+J44/3+(L44*36)</f>
        <v>5</v>
      </c>
      <c r="N44" s="7">
        <f>MROUND(MAX(M$44:M$57)/M44*$N$59,1)</f>
        <v>3</v>
      </c>
      <c r="O44" s="31" t="s">
        <v>63</v>
      </c>
      <c r="P44" s="31"/>
      <c r="Q44" s="31"/>
    </row>
    <row r="45" spans="1:22" ht="30" customHeight="1" x14ac:dyDescent="0.25">
      <c r="A45" s="20" t="s">
        <v>31</v>
      </c>
      <c r="B45" s="1">
        <v>3</v>
      </c>
      <c r="D45" s="1">
        <v>0</v>
      </c>
      <c r="F45" s="1">
        <v>1</v>
      </c>
      <c r="H45" s="1">
        <v>0</v>
      </c>
      <c r="J45" s="1">
        <v>0</v>
      </c>
      <c r="L45" s="1">
        <f>3*((1+0.028)^1-1)</f>
        <v>8.4000000000000075E-2</v>
      </c>
      <c r="M45" s="6">
        <f>B45+D45+F45+H45+J45/3+(L45*36)</f>
        <v>7.0240000000000027</v>
      </c>
      <c r="N45" s="7">
        <f>MROUND(MAX(M$44:M$57)/M45*$N$59,1)</f>
        <v>2</v>
      </c>
      <c r="O45" s="31" t="s">
        <v>51</v>
      </c>
      <c r="P45" s="31"/>
      <c r="Q45" s="31"/>
    </row>
    <row r="46" spans="1:22" ht="30" customHeight="1" x14ac:dyDescent="0.25">
      <c r="A46" s="20" t="s">
        <v>32</v>
      </c>
      <c r="B46" s="1">
        <v>2</v>
      </c>
      <c r="D46" s="1">
        <v>0</v>
      </c>
      <c r="F46" s="1">
        <v>1</v>
      </c>
      <c r="H46" s="1">
        <v>0</v>
      </c>
      <c r="J46" s="1">
        <v>0</v>
      </c>
      <c r="L46" s="1">
        <f>2*((1+0.028)^2-1)</f>
        <v>0.11356799999999989</v>
      </c>
      <c r="M46" s="6">
        <f t="shared" ref="M46:M57" si="17">B46+D46+F46+H46+J46/3+(L46*36)</f>
        <v>7.0884479999999961</v>
      </c>
      <c r="N46" s="7">
        <f t="shared" ref="N46:N57" si="18">MROUND(MAX(M$44:M$57)/M46*$N$59,1)</f>
        <v>2</v>
      </c>
      <c r="O46" s="31" t="s">
        <v>52</v>
      </c>
      <c r="P46" s="31"/>
      <c r="Q46" s="31"/>
    </row>
    <row r="47" spans="1:22" ht="30" customHeight="1" x14ac:dyDescent="0.25">
      <c r="A47" s="20" t="s">
        <v>33</v>
      </c>
      <c r="B47" s="1">
        <v>1</v>
      </c>
      <c r="D47" s="1">
        <v>0</v>
      </c>
      <c r="F47" s="1">
        <v>1</v>
      </c>
      <c r="H47" s="1">
        <v>0</v>
      </c>
      <c r="J47" s="1">
        <v>0</v>
      </c>
      <c r="L47" s="1">
        <f>1*((1+0.028)^3-1)</f>
        <v>8.6373951999999976E-2</v>
      </c>
      <c r="M47" s="6">
        <f t="shared" si="17"/>
        <v>5.1094622719999991</v>
      </c>
      <c r="N47" s="7">
        <f t="shared" si="18"/>
        <v>3</v>
      </c>
      <c r="O47" s="31" t="s">
        <v>53</v>
      </c>
      <c r="P47" s="31"/>
      <c r="Q47" s="31"/>
    </row>
    <row r="48" spans="1:22" ht="30" customHeight="1" x14ac:dyDescent="0.25">
      <c r="A48" s="20" t="s">
        <v>34</v>
      </c>
      <c r="B48" s="1">
        <v>3</v>
      </c>
      <c r="D48" s="1">
        <v>0</v>
      </c>
      <c r="F48" s="1">
        <v>1</v>
      </c>
      <c r="H48" s="1">
        <v>0</v>
      </c>
      <c r="J48" s="1">
        <v>0</v>
      </c>
      <c r="L48" s="1">
        <f>L45</f>
        <v>8.4000000000000075E-2</v>
      </c>
      <c r="M48" s="6">
        <f t="shared" si="17"/>
        <v>7.0240000000000027</v>
      </c>
      <c r="N48" s="7">
        <f t="shared" si="18"/>
        <v>2</v>
      </c>
      <c r="O48" s="31" t="s">
        <v>54</v>
      </c>
      <c r="P48" s="31"/>
      <c r="Q48" s="31"/>
    </row>
    <row r="49" spans="1:17" ht="30" customHeight="1" x14ac:dyDescent="0.25">
      <c r="A49" s="20" t="s">
        <v>35</v>
      </c>
      <c r="B49" s="1">
        <v>2</v>
      </c>
      <c r="D49" s="1">
        <v>0</v>
      </c>
      <c r="F49" s="1">
        <v>1</v>
      </c>
      <c r="H49" s="1">
        <v>0</v>
      </c>
      <c r="J49" s="1">
        <v>0</v>
      </c>
      <c r="L49" s="1">
        <f>L46</f>
        <v>0.11356799999999989</v>
      </c>
      <c r="M49" s="6">
        <f t="shared" si="17"/>
        <v>7.0884479999999961</v>
      </c>
      <c r="N49" s="7">
        <f t="shared" si="18"/>
        <v>2</v>
      </c>
      <c r="O49" s="31" t="s">
        <v>56</v>
      </c>
      <c r="P49" s="31"/>
      <c r="Q49" s="31"/>
    </row>
    <row r="50" spans="1:17" ht="30" customHeight="1" x14ac:dyDescent="0.25">
      <c r="A50" s="20" t="s">
        <v>36</v>
      </c>
      <c r="B50" s="1">
        <v>1</v>
      </c>
      <c r="D50" s="1">
        <v>0</v>
      </c>
      <c r="F50" s="1">
        <v>1</v>
      </c>
      <c r="H50" s="1">
        <v>0</v>
      </c>
      <c r="J50" s="1">
        <v>0</v>
      </c>
      <c r="L50" s="1">
        <f>L47</f>
        <v>8.6373951999999976E-2</v>
      </c>
      <c r="M50" s="6">
        <f t="shared" si="17"/>
        <v>5.1094622719999991</v>
      </c>
      <c r="N50" s="7">
        <f t="shared" si="18"/>
        <v>3</v>
      </c>
      <c r="O50" s="31" t="s">
        <v>55</v>
      </c>
      <c r="P50" s="31"/>
      <c r="Q50" s="31"/>
    </row>
    <row r="51" spans="1:17" ht="30" customHeight="1" x14ac:dyDescent="0.25">
      <c r="A51" s="20" t="s">
        <v>37</v>
      </c>
      <c r="B51" s="1">
        <v>1</v>
      </c>
      <c r="D51" s="1">
        <v>0</v>
      </c>
      <c r="F51" s="1">
        <v>0</v>
      </c>
      <c r="H51" s="1">
        <v>2</v>
      </c>
      <c r="J51" s="1">
        <v>0</v>
      </c>
      <c r="L51" s="1">
        <v>0</v>
      </c>
      <c r="M51" s="6">
        <f t="shared" si="17"/>
        <v>3</v>
      </c>
      <c r="N51" s="7">
        <f t="shared" si="18"/>
        <v>5</v>
      </c>
      <c r="O51" s="31" t="s">
        <v>57</v>
      </c>
      <c r="P51" s="31"/>
      <c r="Q51" s="31"/>
    </row>
    <row r="52" spans="1:17" ht="30" customHeight="1" x14ac:dyDescent="0.25">
      <c r="A52" s="20" t="s">
        <v>38</v>
      </c>
      <c r="B52" s="1">
        <v>1</v>
      </c>
      <c r="D52" s="1">
        <v>0</v>
      </c>
      <c r="F52" s="1">
        <v>0</v>
      </c>
      <c r="H52" s="1">
        <v>4</v>
      </c>
      <c r="J52" s="1">
        <v>0</v>
      </c>
      <c r="L52" s="1">
        <v>0</v>
      </c>
      <c r="M52" s="6">
        <f t="shared" si="17"/>
        <v>5</v>
      </c>
      <c r="N52" s="7">
        <f t="shared" si="18"/>
        <v>3</v>
      </c>
      <c r="O52" s="31" t="s">
        <v>58</v>
      </c>
      <c r="P52" s="31"/>
      <c r="Q52" s="31"/>
    </row>
    <row r="53" spans="1:17" ht="30" customHeight="1" x14ac:dyDescent="0.25">
      <c r="A53" s="20" t="s">
        <v>44</v>
      </c>
      <c r="B53" s="1">
        <v>1</v>
      </c>
      <c r="D53" s="1">
        <v>0</v>
      </c>
      <c r="F53" s="1">
        <v>1</v>
      </c>
      <c r="H53" s="1">
        <v>0</v>
      </c>
      <c r="J53" s="1">
        <v>8</v>
      </c>
      <c r="L53" s="1">
        <v>0</v>
      </c>
      <c r="M53" s="6">
        <f t="shared" si="17"/>
        <v>4.6666666666666661</v>
      </c>
      <c r="N53" s="7">
        <f t="shared" si="18"/>
        <v>3</v>
      </c>
      <c r="O53" s="31" t="s">
        <v>75</v>
      </c>
      <c r="P53" s="31"/>
      <c r="Q53" s="31"/>
    </row>
    <row r="54" spans="1:17" ht="30" customHeight="1" x14ac:dyDescent="0.25">
      <c r="A54" s="20" t="s">
        <v>45</v>
      </c>
      <c r="B54" s="1">
        <v>1</v>
      </c>
      <c r="D54" s="1">
        <v>3</v>
      </c>
      <c r="F54" s="1">
        <v>1</v>
      </c>
      <c r="H54" s="1">
        <v>0</v>
      </c>
      <c r="J54" s="1">
        <v>3</v>
      </c>
      <c r="L54" s="1">
        <v>0</v>
      </c>
      <c r="M54" s="6">
        <f t="shared" si="17"/>
        <v>6</v>
      </c>
      <c r="N54" s="7">
        <f t="shared" si="18"/>
        <v>3</v>
      </c>
      <c r="O54" s="31" t="s">
        <v>59</v>
      </c>
      <c r="P54" s="31"/>
      <c r="Q54" s="31"/>
    </row>
    <row r="55" spans="1:17" ht="43.5" customHeight="1" x14ac:dyDescent="0.25">
      <c r="A55" s="20" t="s">
        <v>40</v>
      </c>
      <c r="B55" s="1">
        <v>1</v>
      </c>
      <c r="D55" s="1">
        <v>0</v>
      </c>
      <c r="F55" s="1">
        <v>1</v>
      </c>
      <c r="H55" s="1">
        <v>3</v>
      </c>
      <c r="J55" s="1">
        <v>3</v>
      </c>
      <c r="L55" s="1">
        <v>0</v>
      </c>
      <c r="M55" s="6">
        <f t="shared" si="17"/>
        <v>6</v>
      </c>
      <c r="N55" s="7">
        <f t="shared" si="18"/>
        <v>3</v>
      </c>
      <c r="O55" s="31" t="s">
        <v>60</v>
      </c>
      <c r="P55" s="31"/>
      <c r="Q55" s="31"/>
    </row>
    <row r="56" spans="1:17" ht="30" customHeight="1" x14ac:dyDescent="0.25">
      <c r="A56" s="20" t="s">
        <v>43</v>
      </c>
      <c r="B56" s="1">
        <v>1</v>
      </c>
      <c r="D56" s="1">
        <v>0</v>
      </c>
      <c r="F56" s="1">
        <v>1</v>
      </c>
      <c r="H56" s="1">
        <v>3</v>
      </c>
      <c r="J56" s="1">
        <v>0</v>
      </c>
      <c r="L56" s="1">
        <v>0</v>
      </c>
      <c r="M56" s="6">
        <f t="shared" si="17"/>
        <v>5</v>
      </c>
      <c r="N56" s="7">
        <f t="shared" si="18"/>
        <v>3</v>
      </c>
      <c r="O56" s="31" t="s">
        <v>61</v>
      </c>
      <c r="P56" s="31"/>
      <c r="Q56" s="31"/>
    </row>
    <row r="57" spans="1:17" ht="30" customHeight="1" x14ac:dyDescent="0.25">
      <c r="A57" s="20" t="s">
        <v>46</v>
      </c>
      <c r="B57" s="1">
        <v>1</v>
      </c>
      <c r="D57" s="1">
        <v>2</v>
      </c>
      <c r="F57" s="1">
        <v>1</v>
      </c>
      <c r="H57" s="1">
        <v>2</v>
      </c>
      <c r="J57" s="1">
        <v>0</v>
      </c>
      <c r="L57" s="1">
        <v>0</v>
      </c>
      <c r="M57" s="6">
        <f t="shared" si="17"/>
        <v>6</v>
      </c>
      <c r="N57" s="7">
        <f t="shared" si="18"/>
        <v>3</v>
      </c>
      <c r="O57" s="31" t="s">
        <v>62</v>
      </c>
      <c r="P57" s="31"/>
      <c r="Q57" s="31"/>
    </row>
    <row r="58" spans="1:17" x14ac:dyDescent="0.25">
      <c r="M58" s="6" t="s">
        <v>13</v>
      </c>
      <c r="N58" s="7">
        <f>SUM(N44:N57)</f>
        <v>40</v>
      </c>
    </row>
    <row r="59" spans="1:17" x14ac:dyDescent="0.25">
      <c r="M59" s="6" t="s">
        <v>76</v>
      </c>
      <c r="N59" s="1">
        <v>2.2300799999999996</v>
      </c>
    </row>
    <row r="61" spans="1:17" x14ac:dyDescent="0.25">
      <c r="N61" s="6" t="s">
        <v>11</v>
      </c>
      <c r="O61" s="1">
        <f>4*16+4*16</f>
        <v>128</v>
      </c>
    </row>
    <row r="62" spans="1:17" ht="30" x14ac:dyDescent="0.25">
      <c r="N62" s="1" t="s">
        <v>72</v>
      </c>
      <c r="O62" s="1">
        <f>O61/4</f>
        <v>32</v>
      </c>
    </row>
    <row r="63" spans="1:17" ht="30" x14ac:dyDescent="0.25">
      <c r="N63" s="1" t="s">
        <v>73</v>
      </c>
      <c r="O63" s="1">
        <f>O61/16</f>
        <v>8</v>
      </c>
    </row>
    <row r="64" spans="1:17" ht="45" x14ac:dyDescent="0.25">
      <c r="N64" s="1" t="s">
        <v>74</v>
      </c>
      <c r="O64" s="1">
        <f>O62/O63</f>
        <v>4</v>
      </c>
    </row>
    <row r="67" spans="6:20" ht="60" x14ac:dyDescent="0.25">
      <c r="N67" s="1">
        <f>26*3</f>
        <v>78</v>
      </c>
      <c r="O67" s="1" t="s">
        <v>77</v>
      </c>
      <c r="T67" s="1">
        <f>4*16</f>
        <v>64</v>
      </c>
    </row>
    <row r="68" spans="6:20" x14ac:dyDescent="0.25">
      <c r="N68" s="1">
        <f>2*SQRT(3)</f>
        <v>3.4641016151377544</v>
      </c>
    </row>
    <row r="70" spans="6:20" x14ac:dyDescent="0.25">
      <c r="H70" s="1" t="s">
        <v>80</v>
      </c>
      <c r="J70" s="1" t="s">
        <v>79</v>
      </c>
    </row>
    <row r="71" spans="6:20" x14ac:dyDescent="0.25">
      <c r="F71" s="1" t="s">
        <v>78</v>
      </c>
      <c r="H71" s="1">
        <v>7</v>
      </c>
      <c r="J71" s="1">
        <v>10</v>
      </c>
    </row>
    <row r="72" spans="6:20" x14ac:dyDescent="0.25">
      <c r="F72" s="1" t="s">
        <v>81</v>
      </c>
      <c r="H72" s="1">
        <v>15</v>
      </c>
      <c r="J72" s="1">
        <v>40</v>
      </c>
    </row>
    <row r="73" spans="6:20" x14ac:dyDescent="0.25">
      <c r="H73" s="1">
        <v>2</v>
      </c>
      <c r="J73" s="1">
        <f>J72/J71</f>
        <v>4</v>
      </c>
    </row>
    <row r="74" spans="6:20" ht="30" x14ac:dyDescent="0.25">
      <c r="F74" s="1" t="s">
        <v>72</v>
      </c>
      <c r="H74" s="1">
        <f>H73*J73</f>
        <v>8</v>
      </c>
    </row>
  </sheetData>
  <dataConsolidate/>
  <mergeCells count="16">
    <mergeCell ref="O55:Q55"/>
    <mergeCell ref="O56:Q56"/>
    <mergeCell ref="O57:Q57"/>
    <mergeCell ref="Q35:Q38"/>
    <mergeCell ref="O49:Q49"/>
    <mergeCell ref="O50:Q50"/>
    <mergeCell ref="O51:Q51"/>
    <mergeCell ref="O52:Q52"/>
    <mergeCell ref="O53:Q53"/>
    <mergeCell ref="O54:Q54"/>
    <mergeCell ref="O43:Q43"/>
    <mergeCell ref="O44:Q44"/>
    <mergeCell ref="O45:Q45"/>
    <mergeCell ref="O46:Q46"/>
    <mergeCell ref="O47:Q47"/>
    <mergeCell ref="O48:Q48"/>
  </mergeCells>
  <conditionalFormatting sqref="B10:L15">
    <cfRule type="colorScale" priority="3">
      <colorScale>
        <cfvo type="num" val="2"/>
        <cfvo type="num" val="7"/>
        <cfvo type="num" val="12"/>
        <color rgb="FF00B050"/>
        <color rgb="FFFFFF00"/>
        <color rgb="FFFF0000"/>
      </colorScale>
    </cfRule>
  </conditionalFormatting>
  <conditionalFormatting sqref="B18:L22">
    <cfRule type="colorScale" priority="2">
      <colorScale>
        <cfvo type="num" val="2"/>
        <cfvo type="num" val="7"/>
        <cfvo type="num" val="12"/>
        <color rgb="FF00B050"/>
        <color rgb="FFFFFF00"/>
        <color rgb="FFFF0000"/>
      </colorScale>
    </cfRule>
  </conditionalFormatting>
  <conditionalFormatting sqref="M44:M57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25" zoomScaleNormal="100" workbookViewId="0">
      <selection activeCell="J10" sqref="J10"/>
    </sheetView>
  </sheetViews>
  <sheetFormatPr baseColWidth="10" defaultRowHeight="15" x14ac:dyDescent="0.25"/>
  <cols>
    <col min="1" max="1" width="11.42578125" style="17"/>
    <col min="2" max="2" width="12.28515625" style="17" customWidth="1"/>
    <col min="3" max="16384" width="11.42578125" style="17"/>
  </cols>
  <sheetData>
    <row r="1" spans="1:7" s="17" customFormat="1" ht="45" x14ac:dyDescent="0.25">
      <c r="A1" s="63" t="str">
        <f>CONCATENATE(Hoja1!A9," attaque")</f>
        <v>dé à obtenir attaque</v>
      </c>
      <c r="B1" s="64" t="str">
        <f>Hoja1!B9</f>
        <v>fantassins</v>
      </c>
      <c r="C1" s="64" t="str">
        <f>Hoja1!D9</f>
        <v>bazooka</v>
      </c>
      <c r="D1" s="64" t="str">
        <f>Hoja1!F9</f>
        <v>jeep</v>
      </c>
      <c r="E1" s="64" t="str">
        <f>Hoja1!H9</f>
        <v>génie</v>
      </c>
      <c r="F1" s="64" t="str">
        <f>Hoja1!J9</f>
        <v>char</v>
      </c>
      <c r="G1" s="65" t="str">
        <f>Hoja1!L9</f>
        <v>lance-fusée</v>
      </c>
    </row>
    <row r="2" spans="1:7" s="17" customFormat="1" x14ac:dyDescent="0.25">
      <c r="A2" s="66" t="str">
        <f>Hoja1!A10</f>
        <v>fantassins</v>
      </c>
      <c r="B2" s="67">
        <f>Hoja1!B10</f>
        <v>7</v>
      </c>
      <c r="C2" s="67">
        <f>Hoja1!D10</f>
        <v>6</v>
      </c>
      <c r="D2" s="67">
        <f>Hoja1!F10</f>
        <v>11</v>
      </c>
      <c r="E2" s="67">
        <f>Hoja1!H10</f>
        <v>7</v>
      </c>
      <c r="F2" s="67">
        <f>Hoja1!J10</f>
        <v>11</v>
      </c>
      <c r="G2" s="68">
        <f>Hoja1!L10</f>
        <v>6</v>
      </c>
    </row>
    <row r="3" spans="1:7" s="17" customFormat="1" x14ac:dyDescent="0.25">
      <c r="A3" s="66" t="str">
        <f>Hoja1!A11</f>
        <v>bazooka</v>
      </c>
      <c r="B3" s="67">
        <f>Hoja1!B11</f>
        <v>8</v>
      </c>
      <c r="C3" s="67">
        <f>Hoja1!D11</f>
        <v>7</v>
      </c>
      <c r="D3" s="67">
        <f>Hoja1!F11</f>
        <v>3</v>
      </c>
      <c r="E3" s="67">
        <f>Hoja1!H11</f>
        <v>11</v>
      </c>
      <c r="F3" s="67">
        <f>Hoja1!J11</f>
        <v>5</v>
      </c>
      <c r="G3" s="68">
        <f>Hoja1!L11</f>
        <v>4</v>
      </c>
    </row>
    <row r="4" spans="1:7" s="17" customFormat="1" x14ac:dyDescent="0.25">
      <c r="A4" s="66" t="str">
        <f>Hoja1!A12</f>
        <v>jeep</v>
      </c>
      <c r="B4" s="67">
        <f>Hoja1!B12</f>
        <v>6</v>
      </c>
      <c r="C4" s="67">
        <f>Hoja1!D12</f>
        <v>5</v>
      </c>
      <c r="D4" s="67">
        <f>Hoja1!F12</f>
        <v>9</v>
      </c>
      <c r="E4" s="67">
        <f>Hoja1!H12</f>
        <v>11</v>
      </c>
      <c r="F4" s="67">
        <f>Hoja1!J12</f>
        <v>11</v>
      </c>
      <c r="G4" s="68">
        <f>Hoja1!L12</f>
        <v>8</v>
      </c>
    </row>
    <row r="5" spans="1:7" s="17" customFormat="1" x14ac:dyDescent="0.25">
      <c r="A5" s="66" t="str">
        <f>Hoja1!A13</f>
        <v>génie</v>
      </c>
      <c r="B5" s="67">
        <f>Hoja1!B13</f>
        <v>7</v>
      </c>
      <c r="C5" s="67">
        <f>Hoja1!D13</f>
        <v>7</v>
      </c>
      <c r="D5" s="67">
        <f>Hoja1!F13</f>
        <v>7</v>
      </c>
      <c r="E5" s="67">
        <f>Hoja1!H13</f>
        <v>9</v>
      </c>
      <c r="F5" s="67">
        <f>Hoja1!J13</f>
        <v>11</v>
      </c>
      <c r="G5" s="68">
        <f>Hoja1!L13</f>
        <v>5</v>
      </c>
    </row>
    <row r="6" spans="1:7" s="17" customFormat="1" x14ac:dyDescent="0.25">
      <c r="A6" s="66" t="str">
        <f>Hoja1!A14</f>
        <v>char</v>
      </c>
      <c r="B6" s="67">
        <f>Hoja1!B14</f>
        <v>5</v>
      </c>
      <c r="C6" s="67">
        <f>Hoja1!D14</f>
        <v>9</v>
      </c>
      <c r="D6" s="67">
        <f>Hoja1!F14</f>
        <v>3</v>
      </c>
      <c r="E6" s="67">
        <f>Hoja1!H14</f>
        <v>4</v>
      </c>
      <c r="F6" s="67">
        <f>Hoja1!J14</f>
        <v>7</v>
      </c>
      <c r="G6" s="68">
        <f>Hoja1!L14</f>
        <v>3</v>
      </c>
    </row>
    <row r="7" spans="1:7" s="17" customFormat="1" ht="15.75" thickBot="1" x14ac:dyDescent="0.3">
      <c r="A7" s="69" t="str">
        <f>Hoja1!A15</f>
        <v>lance-fusée</v>
      </c>
      <c r="B7" s="70">
        <f>Hoja1!B15</f>
        <v>4</v>
      </c>
      <c r="C7" s="70">
        <f>Hoja1!D15</f>
        <v>4</v>
      </c>
      <c r="D7" s="70">
        <f>Hoja1!F15</f>
        <v>4</v>
      </c>
      <c r="E7" s="70">
        <f>Hoja1!H15</f>
        <v>5</v>
      </c>
      <c r="F7" s="70">
        <f>Hoja1!J15</f>
        <v>7</v>
      </c>
      <c r="G7" s="71">
        <f>Hoja1!L15</f>
        <v>5</v>
      </c>
    </row>
    <row r="8" spans="1:7" s="17" customFormat="1" ht="15.75" thickBot="1" x14ac:dyDescent="0.3"/>
    <row r="9" spans="1:7" s="17" customFormat="1" ht="45" x14ac:dyDescent="0.25">
      <c r="A9" s="63" t="str">
        <f>CONCATENATE(Hoja1!A17," défense")</f>
        <v>dé à obtenir défense</v>
      </c>
      <c r="B9" s="64" t="str">
        <f>Hoja1!B17</f>
        <v>fantassins</v>
      </c>
      <c r="C9" s="64" t="str">
        <f>Hoja1!D17</f>
        <v>bazooka</v>
      </c>
      <c r="D9" s="64" t="str">
        <f>Hoja1!F17</f>
        <v>jeep</v>
      </c>
      <c r="E9" s="64" t="str">
        <f>Hoja1!H17</f>
        <v>génie</v>
      </c>
      <c r="F9" s="64" t="str">
        <f>Hoja1!J17</f>
        <v>char</v>
      </c>
      <c r="G9" s="65" t="str">
        <f>Hoja1!L17</f>
        <v>lance-fusée</v>
      </c>
    </row>
    <row r="10" spans="1:7" s="17" customFormat="1" x14ac:dyDescent="0.25">
      <c r="A10" s="66" t="str">
        <f>Hoja1!A18</f>
        <v>fantassins</v>
      </c>
      <c r="B10" s="67">
        <f>Hoja1!B18</f>
        <v>7</v>
      </c>
      <c r="C10" s="67">
        <f>Hoja1!D18</f>
        <v>8</v>
      </c>
      <c r="D10" s="67">
        <f>Hoja1!F18</f>
        <v>3</v>
      </c>
      <c r="E10" s="67">
        <f>Hoja1!H18</f>
        <v>8</v>
      </c>
      <c r="F10" s="67">
        <f>Hoja1!J18</f>
        <v>3</v>
      </c>
      <c r="G10" s="68" t="s">
        <v>116</v>
      </c>
    </row>
    <row r="11" spans="1:7" s="17" customFormat="1" x14ac:dyDescent="0.25">
      <c r="A11" s="66" t="str">
        <f>Hoja1!A19</f>
        <v>bazooka</v>
      </c>
      <c r="B11" s="67">
        <f>Hoja1!B19</f>
        <v>6</v>
      </c>
      <c r="C11" s="67">
        <f>Hoja1!D19</f>
        <v>7</v>
      </c>
      <c r="D11" s="67">
        <f>Hoja1!F19</f>
        <v>11</v>
      </c>
      <c r="E11" s="67">
        <f>Hoja1!H19</f>
        <v>3</v>
      </c>
      <c r="F11" s="67">
        <f>Hoja1!J19</f>
        <v>9</v>
      </c>
      <c r="G11" s="68" t="s">
        <v>116</v>
      </c>
    </row>
    <row r="12" spans="1:7" s="17" customFormat="1" x14ac:dyDescent="0.25">
      <c r="A12" s="66" t="str">
        <f>Hoja1!A20</f>
        <v>jeep</v>
      </c>
      <c r="B12" s="67">
        <f>Hoja1!B20</f>
        <v>8</v>
      </c>
      <c r="C12" s="67">
        <f>Hoja1!D20</f>
        <v>4</v>
      </c>
      <c r="D12" s="67">
        <f>Hoja1!F20</f>
        <v>4</v>
      </c>
      <c r="E12" s="67">
        <f>Hoja1!H20</f>
        <v>3</v>
      </c>
      <c r="F12" s="67">
        <f>Hoja1!J20</f>
        <v>3</v>
      </c>
      <c r="G12" s="68" t="s">
        <v>116</v>
      </c>
    </row>
    <row r="13" spans="1:7" s="17" customFormat="1" x14ac:dyDescent="0.25">
      <c r="A13" s="66" t="str">
        <f>Hoja1!A21</f>
        <v>génie</v>
      </c>
      <c r="B13" s="67">
        <f>Hoja1!B21</f>
        <v>9</v>
      </c>
      <c r="C13" s="67">
        <f>Hoja1!D21</f>
        <v>9</v>
      </c>
      <c r="D13" s="67">
        <f>Hoja1!F21</f>
        <v>8</v>
      </c>
      <c r="E13" s="67">
        <f>Hoja1!H21</f>
        <v>10</v>
      </c>
      <c r="F13" s="67">
        <f>Hoja1!J21</f>
        <v>11</v>
      </c>
      <c r="G13" s="68" t="s">
        <v>116</v>
      </c>
    </row>
    <row r="14" spans="1:7" s="17" customFormat="1" x14ac:dyDescent="0.25">
      <c r="A14" s="66" t="str">
        <f>Hoja1!A22</f>
        <v>char</v>
      </c>
      <c r="B14" s="67">
        <f>Hoja1!B22</f>
        <v>7</v>
      </c>
      <c r="C14" s="67">
        <f>Hoja1!D22</f>
        <v>4</v>
      </c>
      <c r="D14" s="67">
        <f>Hoja1!F22</f>
        <v>11</v>
      </c>
      <c r="E14" s="67">
        <f>Hoja1!H22</f>
        <v>10</v>
      </c>
      <c r="F14" s="67">
        <f>Hoja1!J22</f>
        <v>7</v>
      </c>
      <c r="G14" s="68" t="s">
        <v>116</v>
      </c>
    </row>
    <row r="15" spans="1:7" s="17" customFormat="1" ht="15.75" thickBot="1" x14ac:dyDescent="0.3">
      <c r="A15" s="69" t="str">
        <f>Hoja1!A23</f>
        <v>lance-fusée</v>
      </c>
      <c r="B15" s="70" t="s">
        <v>116</v>
      </c>
      <c r="C15" s="70" t="s">
        <v>116</v>
      </c>
      <c r="D15" s="70" t="s">
        <v>116</v>
      </c>
      <c r="E15" s="70" t="s">
        <v>116</v>
      </c>
      <c r="F15" s="70" t="s">
        <v>116</v>
      </c>
      <c r="G15" s="71" t="s">
        <v>116</v>
      </c>
    </row>
    <row r="16" spans="1:7" s="17" customFormat="1" ht="15.75" thickBot="1" x14ac:dyDescent="0.3"/>
    <row r="17" spans="1:8" s="17" customFormat="1" ht="30" x14ac:dyDescent="0.25">
      <c r="A17" s="63" t="str">
        <f>Hoja1!A25</f>
        <v>troupe</v>
      </c>
      <c r="B17" s="64" t="str">
        <f>Hoja1!B25</f>
        <v>mouvement</v>
      </c>
      <c r="C17" s="64" t="str">
        <f>Hoja1!C25</f>
        <v>portée</v>
      </c>
      <c r="D17" s="64" t="str">
        <f>Hoja1!F25</f>
        <v>coût poudre</v>
      </c>
      <c r="E17" s="64" t="str">
        <f>Hoja1!H25</f>
        <v>coût caoutchouc</v>
      </c>
      <c r="F17" s="64" t="str">
        <f>Hoja1!J25</f>
        <v>coût tissu</v>
      </c>
      <c r="G17" s="65" t="str">
        <f>Hoja1!L25</f>
        <v>coût acier</v>
      </c>
      <c r="H17" s="32"/>
    </row>
    <row r="18" spans="1:8" s="17" customFormat="1" x14ac:dyDescent="0.25">
      <c r="A18" s="72" t="str">
        <f>Hoja1!A26</f>
        <v>fantassins</v>
      </c>
      <c r="B18" s="73">
        <f>Hoja1!B26</f>
        <v>3</v>
      </c>
      <c r="C18" s="73">
        <f>Hoja1!C26</f>
        <v>1</v>
      </c>
      <c r="D18" s="73">
        <f>Hoja1!F26</f>
        <v>0</v>
      </c>
      <c r="E18" s="73">
        <f>Hoja1!H26</f>
        <v>0</v>
      </c>
      <c r="F18" s="73">
        <f>Hoja1!J26</f>
        <v>2</v>
      </c>
      <c r="G18" s="74">
        <f>Hoja1!L26</f>
        <v>1</v>
      </c>
    </row>
    <row r="19" spans="1:8" s="17" customFormat="1" x14ac:dyDescent="0.25">
      <c r="A19" s="72" t="str">
        <f>Hoja1!A27</f>
        <v>bazooka</v>
      </c>
      <c r="B19" s="73">
        <f>Hoja1!B27</f>
        <v>2</v>
      </c>
      <c r="C19" s="73" t="s">
        <v>114</v>
      </c>
      <c r="D19" s="73">
        <f>Hoja1!F27</f>
        <v>1</v>
      </c>
      <c r="E19" s="73">
        <f>Hoja1!H27</f>
        <v>0</v>
      </c>
      <c r="F19" s="73">
        <f>Hoja1!J27</f>
        <v>1</v>
      </c>
      <c r="G19" s="74">
        <f>Hoja1!L27</f>
        <v>1</v>
      </c>
    </row>
    <row r="20" spans="1:8" s="17" customFormat="1" x14ac:dyDescent="0.25">
      <c r="A20" s="72" t="str">
        <f>Hoja1!A28</f>
        <v>jeep</v>
      </c>
      <c r="B20" s="73">
        <f>Hoja1!B28</f>
        <v>5</v>
      </c>
      <c r="C20" s="73">
        <f>Hoja1!C28</f>
        <v>1</v>
      </c>
      <c r="D20" s="73">
        <f>Hoja1!F28</f>
        <v>0</v>
      </c>
      <c r="E20" s="73">
        <f>Hoja1!H28</f>
        <v>3</v>
      </c>
      <c r="F20" s="73">
        <f>Hoja1!J28</f>
        <v>0</v>
      </c>
      <c r="G20" s="74">
        <f>Hoja1!L28</f>
        <v>1</v>
      </c>
    </row>
    <row r="21" spans="1:8" s="17" customFormat="1" x14ac:dyDescent="0.25">
      <c r="A21" s="72" t="str">
        <f>Hoja1!A29</f>
        <v>génie</v>
      </c>
      <c r="B21" s="73">
        <f>Hoja1!B29</f>
        <v>3</v>
      </c>
      <c r="C21" s="73" t="s">
        <v>117</v>
      </c>
      <c r="D21" s="73">
        <f>Hoja1!F29</f>
        <v>1</v>
      </c>
      <c r="E21" s="73">
        <f>Hoja1!H29</f>
        <v>0</v>
      </c>
      <c r="F21" s="73">
        <f>Hoja1!J29</f>
        <v>2</v>
      </c>
      <c r="G21" s="74">
        <f>Hoja1!L29</f>
        <v>0</v>
      </c>
    </row>
    <row r="22" spans="1:8" s="17" customFormat="1" x14ac:dyDescent="0.25">
      <c r="A22" s="72" t="str">
        <f>Hoja1!A30</f>
        <v>char</v>
      </c>
      <c r="B22" s="73">
        <f>Hoja1!B30</f>
        <v>5</v>
      </c>
      <c r="C22" s="73">
        <f>Hoja1!C30</f>
        <v>1</v>
      </c>
      <c r="D22" s="73">
        <f>Hoja1!F30</f>
        <v>1</v>
      </c>
      <c r="E22" s="73">
        <f>Hoja1!H30</f>
        <v>2</v>
      </c>
      <c r="F22" s="73">
        <f>Hoja1!J30</f>
        <v>0</v>
      </c>
      <c r="G22" s="74">
        <f>Hoja1!L30</f>
        <v>1</v>
      </c>
    </row>
    <row r="23" spans="1:8" s="17" customFormat="1" ht="15.75" thickBot="1" x14ac:dyDescent="0.3">
      <c r="A23" s="75" t="str">
        <f>Hoja1!A31</f>
        <v>lance-fusée</v>
      </c>
      <c r="B23" s="76">
        <f>Hoja1!B31</f>
        <v>2</v>
      </c>
      <c r="C23" s="76" t="s">
        <v>118</v>
      </c>
      <c r="D23" s="76">
        <f>Hoja1!F31</f>
        <v>3</v>
      </c>
      <c r="E23" s="76">
        <f>Hoja1!H31</f>
        <v>2</v>
      </c>
      <c r="F23" s="76">
        <f>Hoja1!J31</f>
        <v>0</v>
      </c>
      <c r="G23" s="77">
        <f>Hoja1!L31</f>
        <v>2</v>
      </c>
    </row>
    <row r="24" spans="1:8" s="17" customFormat="1" ht="15.75" thickBot="1" x14ac:dyDescent="0.3">
      <c r="A24" s="67"/>
      <c r="B24" s="67"/>
      <c r="C24" s="67"/>
      <c r="D24" s="67"/>
      <c r="E24" s="67"/>
      <c r="F24" s="67"/>
      <c r="G24" s="67"/>
    </row>
    <row r="25" spans="1:8" s="17" customFormat="1" ht="30" x14ac:dyDescent="0.25">
      <c r="A25" s="63" t="str">
        <f>Hoja1!A34</f>
        <v>batiment</v>
      </c>
      <c r="B25" s="64" t="str">
        <f>Hoja1!B34</f>
        <v>conquête</v>
      </c>
      <c r="C25" s="64" t="s">
        <v>115</v>
      </c>
      <c r="D25" s="64" t="str">
        <f>Hoja1!F34</f>
        <v>coût poudre</v>
      </c>
      <c r="E25" s="64" t="str">
        <f>Hoja1!H34</f>
        <v>coût caoutchouc</v>
      </c>
      <c r="F25" s="64" t="str">
        <f>Hoja1!J34</f>
        <v>coût tissu</v>
      </c>
      <c r="G25" s="65" t="str">
        <f>Hoja1!L34</f>
        <v>coût acier</v>
      </c>
    </row>
    <row r="26" spans="1:8" s="17" customFormat="1" x14ac:dyDescent="0.25">
      <c r="A26" s="72" t="str">
        <f>Hoja1!A35</f>
        <v>Armurerie</v>
      </c>
      <c r="B26" s="73">
        <f>Hoja1!B35</f>
        <v>8</v>
      </c>
      <c r="C26" s="73" t="str">
        <f>E34</f>
        <v>poudre</v>
      </c>
      <c r="D26" s="73">
        <f>Hoja1!F35</f>
        <v>0</v>
      </c>
      <c r="E26" s="73">
        <f>Hoja1!H35</f>
        <v>4</v>
      </c>
      <c r="F26" s="73">
        <f>Hoja1!J35</f>
        <v>1</v>
      </c>
      <c r="G26" s="74">
        <f>Hoja1!L35</f>
        <v>4</v>
      </c>
    </row>
    <row r="27" spans="1:8" s="17" customFormat="1" ht="30" x14ac:dyDescent="0.25">
      <c r="A27" s="72" t="str">
        <f>Hoja1!A36</f>
        <v>Usine chimique</v>
      </c>
      <c r="B27" s="73">
        <f>Hoja1!B36</f>
        <v>7</v>
      </c>
      <c r="C27" s="73" t="str">
        <f>E35</f>
        <v>caoutchouc</v>
      </c>
      <c r="D27" s="73">
        <f>Hoja1!F36</f>
        <v>2</v>
      </c>
      <c r="E27" s="73">
        <f>Hoja1!H36</f>
        <v>0</v>
      </c>
      <c r="F27" s="73">
        <f>Hoja1!J36</f>
        <v>4</v>
      </c>
      <c r="G27" s="74">
        <f>Hoja1!L36</f>
        <v>2</v>
      </c>
    </row>
    <row r="28" spans="1:8" s="17" customFormat="1" x14ac:dyDescent="0.25">
      <c r="A28" s="72" t="str">
        <f>Hoja1!A37</f>
        <v>Tisserie</v>
      </c>
      <c r="B28" s="73">
        <f>Hoja1!B37</f>
        <v>6</v>
      </c>
      <c r="C28" s="73" t="str">
        <f>E36</f>
        <v>tissu</v>
      </c>
      <c r="D28" s="73">
        <f>Hoja1!F37</f>
        <v>0</v>
      </c>
      <c r="E28" s="73">
        <f>Hoja1!H37</f>
        <v>2</v>
      </c>
      <c r="F28" s="73">
        <f>Hoja1!J37</f>
        <v>0</v>
      </c>
      <c r="G28" s="74">
        <f>Hoja1!L37</f>
        <v>4</v>
      </c>
    </row>
    <row r="29" spans="1:8" s="17" customFormat="1" x14ac:dyDescent="0.25">
      <c r="A29" s="72" t="str">
        <f>Hoja1!A38</f>
        <v>Acierie</v>
      </c>
      <c r="B29" s="73">
        <f>Hoja1!B38</f>
        <v>7</v>
      </c>
      <c r="C29" s="73" t="str">
        <f>E37</f>
        <v>acier</v>
      </c>
      <c r="D29" s="73">
        <f>Hoja1!F38</f>
        <v>1</v>
      </c>
      <c r="E29" s="73">
        <f>Hoja1!H38</f>
        <v>4</v>
      </c>
      <c r="F29" s="73">
        <f>Hoja1!J38</f>
        <v>3</v>
      </c>
      <c r="G29" s="74">
        <f>Hoja1!L38</f>
        <v>0</v>
      </c>
    </row>
    <row r="30" spans="1:8" s="17" customFormat="1" x14ac:dyDescent="0.25">
      <c r="A30" s="72" t="str">
        <f>Hoja1!A39</f>
        <v>ville</v>
      </c>
      <c r="B30" s="73">
        <f>Hoja1!B39</f>
        <v>8</v>
      </c>
      <c r="C30" s="73" t="s">
        <v>116</v>
      </c>
      <c r="D30" s="73">
        <f>Hoja1!F39</f>
        <v>4</v>
      </c>
      <c r="E30" s="73">
        <f>Hoja1!H39</f>
        <v>2</v>
      </c>
      <c r="F30" s="73">
        <f>Hoja1!J39</f>
        <v>5</v>
      </c>
      <c r="G30" s="74">
        <f>Hoja1!L39</f>
        <v>2</v>
      </c>
    </row>
    <row r="31" spans="1:8" s="17" customFormat="1" ht="15.75" thickBot="1" x14ac:dyDescent="0.3">
      <c r="A31" s="75" t="str">
        <f>Hoja1!A40</f>
        <v>mur</v>
      </c>
      <c r="B31" s="76">
        <f>Hoja1!B40</f>
        <v>5</v>
      </c>
      <c r="C31" s="76" t="s">
        <v>116</v>
      </c>
      <c r="D31" s="76">
        <f>Hoja1!F40</f>
        <v>0</v>
      </c>
      <c r="E31" s="76">
        <f>Hoja1!H40</f>
        <v>2</v>
      </c>
      <c r="F31" s="76">
        <f>Hoja1!J40</f>
        <v>0</v>
      </c>
      <c r="G31" s="77">
        <f>Hoja1!L40</f>
        <v>2</v>
      </c>
    </row>
    <row r="32" spans="1:8" s="17" customFormat="1" ht="15.75" thickBot="1" x14ac:dyDescent="0.3"/>
    <row r="33" spans="2:5" s="17" customFormat="1" ht="30" x14ac:dyDescent="0.25">
      <c r="B33" s="78" t="str">
        <f>Hoja1!P9</f>
        <v>terrain occupé</v>
      </c>
      <c r="C33" s="79" t="str">
        <f>Hoja1!Q9</f>
        <v>bonus attaquant</v>
      </c>
      <c r="D33" s="79" t="str">
        <f>Hoja1!R9</f>
        <v>bonus defenseur</v>
      </c>
      <c r="E33" s="80" t="s">
        <v>113</v>
      </c>
    </row>
    <row r="34" spans="2:5" s="17" customFormat="1" x14ac:dyDescent="0.25">
      <c r="B34" s="81" t="s">
        <v>112</v>
      </c>
      <c r="C34" s="82">
        <f>Hoja1!Q10</f>
        <v>0</v>
      </c>
      <c r="D34" s="82">
        <f>Hoja1!R10</f>
        <v>-3</v>
      </c>
      <c r="E34" s="83" t="s">
        <v>89</v>
      </c>
    </row>
    <row r="35" spans="2:5" s="17" customFormat="1" x14ac:dyDescent="0.25">
      <c r="B35" s="81" t="str">
        <f>Hoja1!P11</f>
        <v>forêt</v>
      </c>
      <c r="C35" s="82">
        <f>Hoja1!Q11</f>
        <v>-2</v>
      </c>
      <c r="D35" s="82">
        <f>Hoja1!R11</f>
        <v>0</v>
      </c>
      <c r="E35" s="83" t="s">
        <v>91</v>
      </c>
    </row>
    <row r="36" spans="2:5" s="17" customFormat="1" x14ac:dyDescent="0.25">
      <c r="B36" s="81" t="str">
        <f>Hoja1!P12</f>
        <v>plaine</v>
      </c>
      <c r="C36" s="82">
        <f>Hoja1!Q12</f>
        <v>0</v>
      </c>
      <c r="D36" s="82">
        <f>Hoja1!R12</f>
        <v>-1</v>
      </c>
      <c r="E36" s="83" t="s">
        <v>110</v>
      </c>
    </row>
    <row r="37" spans="2:5" s="17" customFormat="1" ht="15.75" thickBot="1" x14ac:dyDescent="0.3">
      <c r="B37" s="84" t="str">
        <f>Hoja1!P13</f>
        <v>montagne</v>
      </c>
      <c r="C37" s="85">
        <f>Hoja1!Q13</f>
        <v>-2</v>
      </c>
      <c r="D37" s="85">
        <f>Hoja1!R13</f>
        <v>0</v>
      </c>
      <c r="E37" s="86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J9" sqref="J9"/>
    </sheetView>
  </sheetViews>
  <sheetFormatPr baseColWidth="10" defaultRowHeight="15" x14ac:dyDescent="0.25"/>
  <cols>
    <col min="1" max="1" width="11.42578125" style="30"/>
    <col min="2" max="2" width="12.28515625" style="30" customWidth="1"/>
    <col min="3" max="16384" width="11.42578125" style="30"/>
  </cols>
  <sheetData>
    <row r="1" spans="1:7" ht="45" x14ac:dyDescent="0.25">
      <c r="A1" s="37" t="str">
        <f>CONCATENATE(Hoja1!A9," attaque")</f>
        <v>dé à obtenir attaque</v>
      </c>
      <c r="B1" s="38" t="str">
        <f>Hoja1!B9</f>
        <v>fantassins</v>
      </c>
      <c r="C1" s="38" t="str">
        <f>Hoja1!D9</f>
        <v>bazooka</v>
      </c>
      <c r="D1" s="38" t="str">
        <f>Hoja1!F9</f>
        <v>jeep</v>
      </c>
      <c r="E1" s="38" t="str">
        <f>Hoja1!H9</f>
        <v>génie</v>
      </c>
      <c r="F1" s="38" t="str">
        <f>Hoja1!J9</f>
        <v>char</v>
      </c>
      <c r="G1" s="39" t="str">
        <f>Hoja1!L9</f>
        <v>lance-fusée</v>
      </c>
    </row>
    <row r="2" spans="1:7" x14ac:dyDescent="0.25">
      <c r="A2" s="40" t="str">
        <f>Hoja1!A10</f>
        <v>fantassins</v>
      </c>
      <c r="B2" s="35">
        <f>Hoja1!B10</f>
        <v>7</v>
      </c>
      <c r="C2" s="35">
        <f>Hoja1!D10</f>
        <v>6</v>
      </c>
      <c r="D2" s="35">
        <f>Hoja1!F10</f>
        <v>11</v>
      </c>
      <c r="E2" s="35">
        <f>Hoja1!H10</f>
        <v>7</v>
      </c>
      <c r="F2" s="35">
        <f>Hoja1!J10</f>
        <v>11</v>
      </c>
      <c r="G2" s="41">
        <f>Hoja1!L10</f>
        <v>6</v>
      </c>
    </row>
    <row r="3" spans="1:7" x14ac:dyDescent="0.25">
      <c r="A3" s="40" t="str">
        <f>Hoja1!A11</f>
        <v>bazooka</v>
      </c>
      <c r="B3" s="35">
        <f>Hoja1!B11</f>
        <v>8</v>
      </c>
      <c r="C3" s="35">
        <f>Hoja1!D11</f>
        <v>7</v>
      </c>
      <c r="D3" s="35">
        <f>Hoja1!F11</f>
        <v>3</v>
      </c>
      <c r="E3" s="35">
        <f>Hoja1!H11</f>
        <v>11</v>
      </c>
      <c r="F3" s="35">
        <f>Hoja1!J11</f>
        <v>5</v>
      </c>
      <c r="G3" s="41">
        <f>Hoja1!L11</f>
        <v>4</v>
      </c>
    </row>
    <row r="4" spans="1:7" x14ac:dyDescent="0.25">
      <c r="A4" s="40" t="str">
        <f>Hoja1!A12</f>
        <v>jeep</v>
      </c>
      <c r="B4" s="35">
        <f>Hoja1!B12</f>
        <v>6</v>
      </c>
      <c r="C4" s="35">
        <f>Hoja1!D12</f>
        <v>5</v>
      </c>
      <c r="D4" s="35">
        <f>Hoja1!F12</f>
        <v>9</v>
      </c>
      <c r="E4" s="35">
        <f>Hoja1!H12</f>
        <v>11</v>
      </c>
      <c r="F4" s="35">
        <f>Hoja1!J12</f>
        <v>11</v>
      </c>
      <c r="G4" s="41">
        <f>Hoja1!L12</f>
        <v>8</v>
      </c>
    </row>
    <row r="5" spans="1:7" x14ac:dyDescent="0.25">
      <c r="A5" s="40" t="str">
        <f>Hoja1!A13</f>
        <v>génie</v>
      </c>
      <c r="B5" s="35">
        <f>Hoja1!B13</f>
        <v>7</v>
      </c>
      <c r="C5" s="35">
        <f>Hoja1!D13</f>
        <v>7</v>
      </c>
      <c r="D5" s="35">
        <f>Hoja1!F13</f>
        <v>7</v>
      </c>
      <c r="E5" s="35">
        <f>Hoja1!H13</f>
        <v>9</v>
      </c>
      <c r="F5" s="35">
        <f>Hoja1!J13</f>
        <v>11</v>
      </c>
      <c r="G5" s="41">
        <f>Hoja1!L13</f>
        <v>5</v>
      </c>
    </row>
    <row r="6" spans="1:7" x14ac:dyDescent="0.25">
      <c r="A6" s="40" t="str">
        <f>Hoja1!A14</f>
        <v>char</v>
      </c>
      <c r="B6" s="35">
        <f>Hoja1!B14</f>
        <v>5</v>
      </c>
      <c r="C6" s="35">
        <f>Hoja1!D14</f>
        <v>9</v>
      </c>
      <c r="D6" s="35">
        <f>Hoja1!F14</f>
        <v>3</v>
      </c>
      <c r="E6" s="35">
        <f>Hoja1!H14</f>
        <v>4</v>
      </c>
      <c r="F6" s="35">
        <f>Hoja1!J14</f>
        <v>7</v>
      </c>
      <c r="G6" s="41">
        <f>Hoja1!L14</f>
        <v>3</v>
      </c>
    </row>
    <row r="7" spans="1:7" ht="15.75" thickBot="1" x14ac:dyDescent="0.3">
      <c r="A7" s="42" t="str">
        <f>Hoja1!A15</f>
        <v>lance-fusée</v>
      </c>
      <c r="B7" s="43">
        <f>Hoja1!B15</f>
        <v>4</v>
      </c>
      <c r="C7" s="43">
        <f>Hoja1!D15</f>
        <v>4</v>
      </c>
      <c r="D7" s="43">
        <f>Hoja1!F15</f>
        <v>4</v>
      </c>
      <c r="E7" s="43">
        <f>Hoja1!H15</f>
        <v>5</v>
      </c>
      <c r="F7" s="43">
        <f>Hoja1!J15</f>
        <v>7</v>
      </c>
      <c r="G7" s="44">
        <f>Hoja1!L15</f>
        <v>5</v>
      </c>
    </row>
    <row r="8" spans="1:7" ht="15.75" thickBot="1" x14ac:dyDescent="0.3"/>
    <row r="9" spans="1:7" ht="45" x14ac:dyDescent="0.25">
      <c r="A9" s="37" t="str">
        <f>CONCATENATE(Hoja1!A17," défense")</f>
        <v>dé à obtenir défense</v>
      </c>
      <c r="B9" s="38" t="str">
        <f>Hoja1!B17</f>
        <v>fantassins</v>
      </c>
      <c r="C9" s="38" t="str">
        <f>Hoja1!D17</f>
        <v>bazooka</v>
      </c>
      <c r="D9" s="38" t="str">
        <f>Hoja1!F17</f>
        <v>jeep</v>
      </c>
      <c r="E9" s="38" t="str">
        <f>Hoja1!H17</f>
        <v>génie</v>
      </c>
      <c r="F9" s="38" t="str">
        <f>Hoja1!J17</f>
        <v>char</v>
      </c>
      <c r="G9" s="39" t="str">
        <f>Hoja1!L17</f>
        <v>lance-fusée</v>
      </c>
    </row>
    <row r="10" spans="1:7" x14ac:dyDescent="0.25">
      <c r="A10" s="40" t="str">
        <f>Hoja1!A18</f>
        <v>fantassins</v>
      </c>
      <c r="B10" s="35">
        <f>Hoja1!B18</f>
        <v>7</v>
      </c>
      <c r="C10" s="35">
        <f>Hoja1!D18</f>
        <v>8</v>
      </c>
      <c r="D10" s="35">
        <f>Hoja1!F18</f>
        <v>3</v>
      </c>
      <c r="E10" s="35">
        <f>Hoja1!H18</f>
        <v>8</v>
      </c>
      <c r="F10" s="35">
        <f>Hoja1!J18</f>
        <v>3</v>
      </c>
      <c r="G10" s="41" t="s">
        <v>116</v>
      </c>
    </row>
    <row r="11" spans="1:7" x14ac:dyDescent="0.25">
      <c r="A11" s="40" t="str">
        <f>Hoja1!A19</f>
        <v>bazooka</v>
      </c>
      <c r="B11" s="35">
        <f>Hoja1!B19</f>
        <v>6</v>
      </c>
      <c r="C11" s="35">
        <f>Hoja1!D19</f>
        <v>7</v>
      </c>
      <c r="D11" s="35">
        <f>Hoja1!F19</f>
        <v>11</v>
      </c>
      <c r="E11" s="35">
        <f>Hoja1!H19</f>
        <v>3</v>
      </c>
      <c r="F11" s="35">
        <f>Hoja1!J19</f>
        <v>9</v>
      </c>
      <c r="G11" s="41" t="s">
        <v>116</v>
      </c>
    </row>
    <row r="12" spans="1:7" x14ac:dyDescent="0.25">
      <c r="A12" s="40" t="str">
        <f>Hoja1!A20</f>
        <v>jeep</v>
      </c>
      <c r="B12" s="35">
        <f>Hoja1!B20</f>
        <v>8</v>
      </c>
      <c r="C12" s="35">
        <f>Hoja1!D20</f>
        <v>4</v>
      </c>
      <c r="D12" s="35">
        <f>Hoja1!F20</f>
        <v>4</v>
      </c>
      <c r="E12" s="35">
        <f>Hoja1!H20</f>
        <v>3</v>
      </c>
      <c r="F12" s="35">
        <f>Hoja1!J20</f>
        <v>3</v>
      </c>
      <c r="G12" s="41" t="s">
        <v>116</v>
      </c>
    </row>
    <row r="13" spans="1:7" x14ac:dyDescent="0.25">
      <c r="A13" s="40" t="str">
        <f>Hoja1!A21</f>
        <v>génie</v>
      </c>
      <c r="B13" s="35">
        <f>Hoja1!B21</f>
        <v>9</v>
      </c>
      <c r="C13" s="35">
        <f>Hoja1!D21</f>
        <v>9</v>
      </c>
      <c r="D13" s="35">
        <f>Hoja1!F21</f>
        <v>8</v>
      </c>
      <c r="E13" s="35">
        <f>Hoja1!H21</f>
        <v>10</v>
      </c>
      <c r="F13" s="35">
        <f>Hoja1!J21</f>
        <v>11</v>
      </c>
      <c r="G13" s="41" t="s">
        <v>116</v>
      </c>
    </row>
    <row r="14" spans="1:7" x14ac:dyDescent="0.25">
      <c r="A14" s="40" t="str">
        <f>Hoja1!A22</f>
        <v>char</v>
      </c>
      <c r="B14" s="35">
        <f>Hoja1!B22</f>
        <v>7</v>
      </c>
      <c r="C14" s="35">
        <f>Hoja1!D22</f>
        <v>4</v>
      </c>
      <c r="D14" s="35">
        <f>Hoja1!F22</f>
        <v>11</v>
      </c>
      <c r="E14" s="35">
        <f>Hoja1!H22</f>
        <v>10</v>
      </c>
      <c r="F14" s="35">
        <f>Hoja1!J22</f>
        <v>7</v>
      </c>
      <c r="G14" s="41" t="s">
        <v>116</v>
      </c>
    </row>
    <row r="15" spans="1:7" ht="15.75" thickBot="1" x14ac:dyDescent="0.3">
      <c r="A15" s="42" t="str">
        <f>Hoja1!A23</f>
        <v>lance-fusée</v>
      </c>
      <c r="B15" s="43" t="s">
        <v>116</v>
      </c>
      <c r="C15" s="43" t="s">
        <v>116</v>
      </c>
      <c r="D15" s="43" t="s">
        <v>116</v>
      </c>
      <c r="E15" s="43" t="s">
        <v>116</v>
      </c>
      <c r="F15" s="43" t="s">
        <v>116</v>
      </c>
      <c r="G15" s="44" t="s">
        <v>116</v>
      </c>
    </row>
    <row r="16" spans="1:7" ht="15.75" thickBot="1" x14ac:dyDescent="0.3"/>
    <row r="17" spans="1:8" ht="30" x14ac:dyDescent="0.25">
      <c r="A17" s="45" t="str">
        <f>Hoja1!A25</f>
        <v>troupe</v>
      </c>
      <c r="B17" s="46" t="str">
        <f>Hoja1!B25</f>
        <v>mouvement</v>
      </c>
      <c r="C17" s="46" t="str">
        <f>Hoja1!C25</f>
        <v>portée</v>
      </c>
      <c r="D17" s="46" t="str">
        <f>Hoja1!F25</f>
        <v>coût poudre</v>
      </c>
      <c r="E17" s="46" t="str">
        <f>Hoja1!H25</f>
        <v>coût caoutchouc</v>
      </c>
      <c r="F17" s="46" t="str">
        <f>Hoja1!J25</f>
        <v>coût tissu</v>
      </c>
      <c r="G17" s="47" t="str">
        <f>Hoja1!L25</f>
        <v>coût acier</v>
      </c>
      <c r="H17" s="32"/>
    </row>
    <row r="18" spans="1:8" x14ac:dyDescent="0.25">
      <c r="A18" s="48" t="str">
        <f>Hoja1!A26</f>
        <v>fantassins</v>
      </c>
      <c r="B18" s="33">
        <f>Hoja1!B26</f>
        <v>3</v>
      </c>
      <c r="C18" s="33">
        <f>Hoja1!C26</f>
        <v>1</v>
      </c>
      <c r="D18" s="33">
        <f>Hoja1!F26</f>
        <v>0</v>
      </c>
      <c r="E18" s="33">
        <f>Hoja1!H26</f>
        <v>0</v>
      </c>
      <c r="F18" s="33">
        <f>Hoja1!J26</f>
        <v>2</v>
      </c>
      <c r="G18" s="49">
        <f>Hoja1!L26</f>
        <v>1</v>
      </c>
    </row>
    <row r="19" spans="1:8" x14ac:dyDescent="0.25">
      <c r="A19" s="50" t="str">
        <f>Hoja1!A27</f>
        <v>bazooka</v>
      </c>
      <c r="B19" s="34">
        <f>Hoja1!B27</f>
        <v>2</v>
      </c>
      <c r="C19" s="34" t="s">
        <v>114</v>
      </c>
      <c r="D19" s="34">
        <f>Hoja1!F27</f>
        <v>1</v>
      </c>
      <c r="E19" s="34">
        <f>Hoja1!H27</f>
        <v>0</v>
      </c>
      <c r="F19" s="34">
        <f>Hoja1!J27</f>
        <v>1</v>
      </c>
      <c r="G19" s="51">
        <f>Hoja1!L27</f>
        <v>1</v>
      </c>
    </row>
    <row r="20" spans="1:8" x14ac:dyDescent="0.25">
      <c r="A20" s="48" t="str">
        <f>Hoja1!A28</f>
        <v>jeep</v>
      </c>
      <c r="B20" s="33">
        <f>Hoja1!B28</f>
        <v>5</v>
      </c>
      <c r="C20" s="33">
        <f>Hoja1!C28</f>
        <v>1</v>
      </c>
      <c r="D20" s="33">
        <f>Hoja1!F28</f>
        <v>0</v>
      </c>
      <c r="E20" s="33">
        <f>Hoja1!H28</f>
        <v>3</v>
      </c>
      <c r="F20" s="33">
        <f>Hoja1!J28</f>
        <v>0</v>
      </c>
      <c r="G20" s="49">
        <f>Hoja1!L28</f>
        <v>1</v>
      </c>
    </row>
    <row r="21" spans="1:8" x14ac:dyDescent="0.25">
      <c r="A21" s="50" t="str">
        <f>Hoja1!A29</f>
        <v>génie</v>
      </c>
      <c r="B21" s="34">
        <f>Hoja1!B29</f>
        <v>3</v>
      </c>
      <c r="C21" s="34" t="s">
        <v>117</v>
      </c>
      <c r="D21" s="34">
        <f>Hoja1!F29</f>
        <v>1</v>
      </c>
      <c r="E21" s="34">
        <f>Hoja1!H29</f>
        <v>0</v>
      </c>
      <c r="F21" s="34">
        <f>Hoja1!J29</f>
        <v>2</v>
      </c>
      <c r="G21" s="51">
        <f>Hoja1!L29</f>
        <v>0</v>
      </c>
    </row>
    <row r="22" spans="1:8" x14ac:dyDescent="0.25">
      <c r="A22" s="48" t="str">
        <f>Hoja1!A30</f>
        <v>char</v>
      </c>
      <c r="B22" s="33">
        <f>Hoja1!B30</f>
        <v>5</v>
      </c>
      <c r="C22" s="33">
        <f>Hoja1!C30</f>
        <v>1</v>
      </c>
      <c r="D22" s="33">
        <f>Hoja1!F30</f>
        <v>1</v>
      </c>
      <c r="E22" s="33">
        <f>Hoja1!H30</f>
        <v>2</v>
      </c>
      <c r="F22" s="33">
        <f>Hoja1!J30</f>
        <v>0</v>
      </c>
      <c r="G22" s="49">
        <f>Hoja1!L30</f>
        <v>1</v>
      </c>
    </row>
    <row r="23" spans="1:8" ht="15.75" thickBot="1" x14ac:dyDescent="0.3">
      <c r="A23" s="52" t="str">
        <f>Hoja1!A31</f>
        <v>lance-fusée</v>
      </c>
      <c r="B23" s="53">
        <f>Hoja1!B31</f>
        <v>2</v>
      </c>
      <c r="C23" s="53" t="s">
        <v>118</v>
      </c>
      <c r="D23" s="53">
        <f>Hoja1!F31</f>
        <v>3</v>
      </c>
      <c r="E23" s="53">
        <f>Hoja1!H31</f>
        <v>2</v>
      </c>
      <c r="F23" s="53">
        <f>Hoja1!J31</f>
        <v>0</v>
      </c>
      <c r="G23" s="54">
        <f>Hoja1!L31</f>
        <v>2</v>
      </c>
    </row>
    <row r="24" spans="1:8" ht="15.75" thickBot="1" x14ac:dyDescent="0.3">
      <c r="A24" s="35"/>
      <c r="B24" s="35"/>
      <c r="C24" s="35"/>
      <c r="D24" s="35"/>
      <c r="E24" s="35"/>
      <c r="F24" s="35"/>
      <c r="G24" s="35"/>
    </row>
    <row r="25" spans="1:8" ht="30" x14ac:dyDescent="0.25">
      <c r="A25" s="45" t="str">
        <f>Hoja1!A34</f>
        <v>batiment</v>
      </c>
      <c r="B25" s="46" t="str">
        <f>Hoja1!B34</f>
        <v>conquête</v>
      </c>
      <c r="C25" s="46" t="s">
        <v>115</v>
      </c>
      <c r="D25" s="46" t="str">
        <f>Hoja1!F34</f>
        <v>coût poudre</v>
      </c>
      <c r="E25" s="46" t="str">
        <f>Hoja1!H34</f>
        <v>coût caoutchouc</v>
      </c>
      <c r="F25" s="46" t="str">
        <f>Hoja1!J34</f>
        <v>coût tissu</v>
      </c>
      <c r="G25" s="47" t="str">
        <f>Hoja1!L34</f>
        <v>coût acier</v>
      </c>
    </row>
    <row r="26" spans="1:8" x14ac:dyDescent="0.25">
      <c r="A26" s="48" t="str">
        <f>Hoja1!A35</f>
        <v>Armurerie</v>
      </c>
      <c r="B26" s="33">
        <f>Hoja1!B35</f>
        <v>8</v>
      </c>
      <c r="C26" s="33" t="str">
        <f>E34</f>
        <v>poudre</v>
      </c>
      <c r="D26" s="33">
        <f>Hoja1!F35</f>
        <v>0</v>
      </c>
      <c r="E26" s="33">
        <f>Hoja1!H35</f>
        <v>4</v>
      </c>
      <c r="F26" s="33">
        <f>Hoja1!J35</f>
        <v>1</v>
      </c>
      <c r="G26" s="49">
        <f>Hoja1!L35</f>
        <v>4</v>
      </c>
    </row>
    <row r="27" spans="1:8" ht="30" x14ac:dyDescent="0.25">
      <c r="A27" s="50" t="str">
        <f>Hoja1!A36</f>
        <v>Usine chimique</v>
      </c>
      <c r="B27" s="34">
        <f>Hoja1!B36</f>
        <v>7</v>
      </c>
      <c r="C27" s="34" t="str">
        <f>E35</f>
        <v>caoutchouc</v>
      </c>
      <c r="D27" s="34">
        <f>Hoja1!F36</f>
        <v>2</v>
      </c>
      <c r="E27" s="34">
        <f>Hoja1!H36</f>
        <v>0</v>
      </c>
      <c r="F27" s="34">
        <f>Hoja1!J36</f>
        <v>4</v>
      </c>
      <c r="G27" s="51">
        <f>Hoja1!L36</f>
        <v>2</v>
      </c>
    </row>
    <row r="28" spans="1:8" x14ac:dyDescent="0.25">
      <c r="A28" s="48" t="str">
        <f>Hoja1!A37</f>
        <v>Tisserie</v>
      </c>
      <c r="B28" s="33">
        <f>Hoja1!B37</f>
        <v>6</v>
      </c>
      <c r="C28" s="33" t="str">
        <f>E36</f>
        <v>tissu</v>
      </c>
      <c r="D28" s="33">
        <f>Hoja1!F37</f>
        <v>0</v>
      </c>
      <c r="E28" s="33">
        <f>Hoja1!H37</f>
        <v>2</v>
      </c>
      <c r="F28" s="33">
        <f>Hoja1!J37</f>
        <v>0</v>
      </c>
      <c r="G28" s="49">
        <f>Hoja1!L37</f>
        <v>4</v>
      </c>
    </row>
    <row r="29" spans="1:8" x14ac:dyDescent="0.25">
      <c r="A29" s="50" t="str">
        <f>Hoja1!A38</f>
        <v>Acierie</v>
      </c>
      <c r="B29" s="34">
        <f>Hoja1!B38</f>
        <v>7</v>
      </c>
      <c r="C29" s="34" t="str">
        <f>E37</f>
        <v>acier</v>
      </c>
      <c r="D29" s="34">
        <f>Hoja1!F38</f>
        <v>1</v>
      </c>
      <c r="E29" s="34">
        <f>Hoja1!H38</f>
        <v>4</v>
      </c>
      <c r="F29" s="34">
        <f>Hoja1!J38</f>
        <v>3</v>
      </c>
      <c r="G29" s="51">
        <f>Hoja1!L38</f>
        <v>0</v>
      </c>
    </row>
    <row r="30" spans="1:8" x14ac:dyDescent="0.25">
      <c r="A30" s="48" t="str">
        <f>Hoja1!A39</f>
        <v>ville</v>
      </c>
      <c r="B30" s="33">
        <f>Hoja1!B39</f>
        <v>8</v>
      </c>
      <c r="C30" s="33" t="s">
        <v>116</v>
      </c>
      <c r="D30" s="33">
        <f>Hoja1!F39</f>
        <v>4</v>
      </c>
      <c r="E30" s="33">
        <f>Hoja1!H39</f>
        <v>2</v>
      </c>
      <c r="F30" s="33">
        <f>Hoja1!J39</f>
        <v>5</v>
      </c>
      <c r="G30" s="49">
        <f>Hoja1!L39</f>
        <v>2</v>
      </c>
    </row>
    <row r="31" spans="1:8" ht="15.75" thickBot="1" x14ac:dyDescent="0.3">
      <c r="A31" s="52" t="str">
        <f>Hoja1!A40</f>
        <v>mur</v>
      </c>
      <c r="B31" s="53">
        <f>Hoja1!B40</f>
        <v>5</v>
      </c>
      <c r="C31" s="53" t="s">
        <v>116</v>
      </c>
      <c r="D31" s="53">
        <f>Hoja1!F40</f>
        <v>0</v>
      </c>
      <c r="E31" s="53">
        <f>Hoja1!H40</f>
        <v>2</v>
      </c>
      <c r="F31" s="53">
        <f>Hoja1!J40</f>
        <v>0</v>
      </c>
      <c r="G31" s="54">
        <f>Hoja1!L40</f>
        <v>2</v>
      </c>
    </row>
    <row r="32" spans="1:8" ht="15.75" thickBot="1" x14ac:dyDescent="0.3"/>
    <row r="33" spans="2:5" ht="30" x14ac:dyDescent="0.25">
      <c r="B33" s="55" t="str">
        <f>Hoja1!P9</f>
        <v>terrain occupé</v>
      </c>
      <c r="C33" s="56" t="str">
        <f>Hoja1!Q9</f>
        <v>bonus attaquant</v>
      </c>
      <c r="D33" s="56" t="str">
        <f>Hoja1!R9</f>
        <v>bonus defenseur</v>
      </c>
      <c r="E33" s="57" t="s">
        <v>113</v>
      </c>
    </row>
    <row r="34" spans="2:5" x14ac:dyDescent="0.25">
      <c r="B34" s="58" t="s">
        <v>112</v>
      </c>
      <c r="C34" s="36">
        <f>Hoja1!Q10</f>
        <v>0</v>
      </c>
      <c r="D34" s="36">
        <f>Hoja1!R10</f>
        <v>-3</v>
      </c>
      <c r="E34" s="59" t="s">
        <v>89</v>
      </c>
    </row>
    <row r="35" spans="2:5" x14ac:dyDescent="0.25">
      <c r="B35" s="58" t="str">
        <f>Hoja1!P11</f>
        <v>forêt</v>
      </c>
      <c r="C35" s="36">
        <f>Hoja1!Q11</f>
        <v>-2</v>
      </c>
      <c r="D35" s="36">
        <f>Hoja1!R11</f>
        <v>0</v>
      </c>
      <c r="E35" s="59" t="s">
        <v>91</v>
      </c>
    </row>
    <row r="36" spans="2:5" x14ac:dyDescent="0.25">
      <c r="B36" s="58" t="str">
        <f>Hoja1!P12</f>
        <v>plaine</v>
      </c>
      <c r="C36" s="36">
        <f>Hoja1!Q12</f>
        <v>0</v>
      </c>
      <c r="D36" s="36">
        <f>Hoja1!R12</f>
        <v>-1</v>
      </c>
      <c r="E36" s="59" t="s">
        <v>110</v>
      </c>
    </row>
    <row r="37" spans="2:5" ht="15.75" thickBot="1" x14ac:dyDescent="0.3">
      <c r="B37" s="60" t="str">
        <f>Hoja1!P13</f>
        <v>montagne</v>
      </c>
      <c r="C37" s="61">
        <f>Hoja1!Q13</f>
        <v>-2</v>
      </c>
      <c r="D37" s="61">
        <f>Hoja1!R13</f>
        <v>0</v>
      </c>
      <c r="E37" s="62" t="s">
        <v>93</v>
      </c>
    </row>
  </sheetData>
  <conditionalFormatting sqref="B2:G7">
    <cfRule type="colorScale" priority="2">
      <colorScale>
        <cfvo type="num" val="3"/>
        <cfvo type="num" val="7"/>
        <cfvo type="num" val="11"/>
        <color rgb="FF00B050"/>
        <color rgb="FFFFFF00"/>
        <color rgb="FFC00000"/>
      </colorScale>
    </cfRule>
  </conditionalFormatting>
  <conditionalFormatting sqref="B10:F14">
    <cfRule type="colorScale" priority="1">
      <colorScale>
        <cfvo type="num" val="3"/>
        <cfvo type="num" val="7"/>
        <cfvo type="num" val="11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4"/>
  <sheetViews>
    <sheetView workbookViewId="0">
      <selection activeCell="J9" sqref="J9"/>
    </sheetView>
  </sheetViews>
  <sheetFormatPr baseColWidth="10" defaultRowHeight="15" x14ac:dyDescent="0.25"/>
  <cols>
    <col min="9" max="9" width="11.85546875" bestFit="1" customWidth="1"/>
    <col min="10" max="12" width="11.85546875" customWidth="1"/>
  </cols>
  <sheetData>
    <row r="2" spans="2:28" x14ac:dyDescent="0.25">
      <c r="B2" s="12"/>
      <c r="H2">
        <v>1.5</v>
      </c>
      <c r="I2">
        <v>2</v>
      </c>
      <c r="J2">
        <v>2.25</v>
      </c>
      <c r="K2" s="24">
        <f>(5+1/3)/2</f>
        <v>2.6666666666666665</v>
      </c>
      <c r="L2">
        <f>5.5/2</f>
        <v>2.75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</row>
    <row r="3" spans="2:28" x14ac:dyDescent="0.25">
      <c r="B3" s="12"/>
      <c r="D3">
        <v>2</v>
      </c>
      <c r="E3">
        <v>1</v>
      </c>
      <c r="F3" s="12">
        <f>E3/36</f>
        <v>2.7777777777777776E-2</v>
      </c>
      <c r="G3" s="12">
        <f>G4+F3</f>
        <v>1.0000000000000002</v>
      </c>
      <c r="H3" s="25">
        <f>MROUND(($G3+1)^H$2-1,0.1)</f>
        <v>1.8</v>
      </c>
      <c r="I3" s="25">
        <f>MROUND(($G3+1)^I$2-1,0.1)</f>
        <v>3</v>
      </c>
      <c r="J3" s="25">
        <f>MROUND(($G3+1)^J$2-1,0.1)</f>
        <v>3.8000000000000003</v>
      </c>
      <c r="K3" s="25">
        <f t="shared" ref="K3:L13" si="0">MROUND(($G3+1)^K$2-1,0.1)</f>
        <v>5.3000000000000007</v>
      </c>
      <c r="L3" s="25">
        <f t="shared" si="0"/>
        <v>5.7</v>
      </c>
      <c r="M3" s="25">
        <f t="shared" ref="M3:Z13" si="1">MROUND(($G3+1)^M$2-1,0.1)</f>
        <v>7</v>
      </c>
      <c r="N3" s="25">
        <f t="shared" si="1"/>
        <v>15</v>
      </c>
      <c r="O3" s="25">
        <f t="shared" si="1"/>
        <v>31</v>
      </c>
      <c r="P3" s="25">
        <f t="shared" si="1"/>
        <v>63</v>
      </c>
      <c r="Q3" s="25">
        <f t="shared" si="1"/>
        <v>127</v>
      </c>
      <c r="R3" s="25">
        <f t="shared" si="1"/>
        <v>255</v>
      </c>
      <c r="S3" s="25">
        <f t="shared" si="1"/>
        <v>511</v>
      </c>
      <c r="T3" s="25">
        <f t="shared" si="1"/>
        <v>1023</v>
      </c>
      <c r="U3" s="25">
        <f t="shared" si="1"/>
        <v>2047</v>
      </c>
      <c r="V3" s="25">
        <f t="shared" si="1"/>
        <v>4095</v>
      </c>
      <c r="W3" s="25">
        <f t="shared" si="1"/>
        <v>8191</v>
      </c>
      <c r="X3" s="25">
        <f t="shared" si="1"/>
        <v>16383</v>
      </c>
      <c r="Y3" s="25">
        <f t="shared" si="1"/>
        <v>32767</v>
      </c>
      <c r="Z3" s="25">
        <f t="shared" si="1"/>
        <v>65535</v>
      </c>
      <c r="AA3" s="26"/>
      <c r="AB3" s="26"/>
    </row>
    <row r="4" spans="2:28" x14ac:dyDescent="0.25">
      <c r="B4" s="12"/>
      <c r="D4">
        <v>3</v>
      </c>
      <c r="E4">
        <v>2</v>
      </c>
      <c r="F4" s="12">
        <f t="shared" ref="F4:F13" si="2">E4/36</f>
        <v>5.5555555555555552E-2</v>
      </c>
      <c r="G4" s="12">
        <f t="shared" ref="G4:G11" si="3">G5+F4</f>
        <v>0.97222222222222243</v>
      </c>
      <c r="H4" s="25">
        <f t="shared" ref="H4:H13" si="4">MROUND(($G4+1)^H$2-1,0.1)</f>
        <v>1.8</v>
      </c>
      <c r="I4" s="25">
        <f t="shared" ref="I4:J13" si="5">MROUND(($G4+1)^I$2-1,0.1)</f>
        <v>2.9000000000000004</v>
      </c>
      <c r="J4" s="25">
        <f t="shared" si="5"/>
        <v>3.6</v>
      </c>
      <c r="K4" s="25">
        <f t="shared" si="0"/>
        <v>5.1000000000000005</v>
      </c>
      <c r="L4" s="25">
        <f t="shared" si="0"/>
        <v>5.5</v>
      </c>
      <c r="M4" s="25">
        <f t="shared" si="1"/>
        <v>6.7</v>
      </c>
      <c r="N4" s="25">
        <f t="shared" si="1"/>
        <v>14.100000000000001</v>
      </c>
      <c r="O4" s="25">
        <f t="shared" si="1"/>
        <v>28.8</v>
      </c>
      <c r="P4" s="25">
        <f t="shared" si="1"/>
        <v>57.800000000000004</v>
      </c>
      <c r="Q4" s="25">
        <f t="shared" si="1"/>
        <v>115.10000000000001</v>
      </c>
      <c r="R4" s="25">
        <f t="shared" si="1"/>
        <v>227.9</v>
      </c>
      <c r="S4" s="25">
        <f t="shared" si="1"/>
        <v>450.40000000000003</v>
      </c>
      <c r="T4" s="25">
        <f t="shared" si="1"/>
        <v>889.30000000000007</v>
      </c>
      <c r="U4" s="25">
        <f t="shared" si="1"/>
        <v>1755</v>
      </c>
      <c r="V4" s="25">
        <f t="shared" si="1"/>
        <v>3462.1000000000004</v>
      </c>
      <c r="W4" s="25">
        <f t="shared" si="1"/>
        <v>6829.1</v>
      </c>
      <c r="X4" s="25">
        <f t="shared" si="1"/>
        <v>13469.400000000001</v>
      </c>
      <c r="Y4" s="25">
        <f t="shared" si="1"/>
        <v>26565.7</v>
      </c>
      <c r="Z4" s="25">
        <f t="shared" si="1"/>
        <v>52394.400000000001</v>
      </c>
      <c r="AA4" s="26"/>
      <c r="AB4" s="26"/>
    </row>
    <row r="5" spans="2:28" x14ac:dyDescent="0.25">
      <c r="B5" s="12"/>
      <c r="D5">
        <v>4</v>
      </c>
      <c r="E5">
        <v>3</v>
      </c>
      <c r="F5" s="12">
        <f t="shared" si="2"/>
        <v>8.3333333333333329E-2</v>
      </c>
      <c r="G5" s="12">
        <f t="shared" si="3"/>
        <v>0.91666666666666685</v>
      </c>
      <c r="H5" s="25">
        <f t="shared" si="4"/>
        <v>1.7000000000000002</v>
      </c>
      <c r="I5" s="28">
        <f t="shared" si="5"/>
        <v>2.7</v>
      </c>
      <c r="J5" s="25">
        <f t="shared" si="5"/>
        <v>3.3000000000000003</v>
      </c>
      <c r="K5" s="25">
        <f t="shared" si="0"/>
        <v>4.7</v>
      </c>
      <c r="L5" s="25">
        <f t="shared" si="0"/>
        <v>5</v>
      </c>
      <c r="M5" s="28">
        <f t="shared" si="1"/>
        <v>6</v>
      </c>
      <c r="N5" s="28">
        <f t="shared" si="1"/>
        <v>12.5</v>
      </c>
      <c r="O5" s="28">
        <f t="shared" si="1"/>
        <v>24.900000000000002</v>
      </c>
      <c r="P5" s="25">
        <f t="shared" si="1"/>
        <v>48.6</v>
      </c>
      <c r="Q5" s="25">
        <f t="shared" si="1"/>
        <v>94</v>
      </c>
      <c r="R5" s="25">
        <f t="shared" si="1"/>
        <v>181.10000000000002</v>
      </c>
      <c r="S5" s="25">
        <f t="shared" si="1"/>
        <v>348.1</v>
      </c>
      <c r="T5" s="25">
        <f t="shared" si="1"/>
        <v>668.1</v>
      </c>
      <c r="U5" s="25">
        <f t="shared" si="1"/>
        <v>1281.4000000000001</v>
      </c>
      <c r="V5" s="25">
        <f t="shared" si="1"/>
        <v>2456.9</v>
      </c>
      <c r="W5" s="25">
        <f t="shared" si="1"/>
        <v>4709.9000000000005</v>
      </c>
      <c r="X5" s="25">
        <f t="shared" si="1"/>
        <v>9028.3000000000011</v>
      </c>
      <c r="Y5" s="25">
        <f t="shared" si="1"/>
        <v>17305.100000000002</v>
      </c>
      <c r="Z5" s="25">
        <f t="shared" si="1"/>
        <v>33169</v>
      </c>
      <c r="AA5" s="26"/>
      <c r="AB5" s="26"/>
    </row>
    <row r="6" spans="2:28" x14ac:dyDescent="0.25">
      <c r="B6" s="12"/>
      <c r="D6">
        <v>5</v>
      </c>
      <c r="E6">
        <v>4</v>
      </c>
      <c r="F6" s="12">
        <f>E6/36</f>
        <v>0.1111111111111111</v>
      </c>
      <c r="G6" s="12">
        <f t="shared" si="3"/>
        <v>0.83333333333333348</v>
      </c>
      <c r="H6" s="25">
        <f t="shared" si="4"/>
        <v>1.5</v>
      </c>
      <c r="I6" s="28">
        <f t="shared" si="5"/>
        <v>2.4000000000000004</v>
      </c>
      <c r="J6" s="25">
        <f t="shared" si="5"/>
        <v>2.9000000000000004</v>
      </c>
      <c r="K6" s="25">
        <f t="shared" si="0"/>
        <v>4</v>
      </c>
      <c r="L6" s="25">
        <f t="shared" si="0"/>
        <v>4.3</v>
      </c>
      <c r="M6" s="28">
        <f t="shared" si="1"/>
        <v>5.2</v>
      </c>
      <c r="N6" s="28">
        <f t="shared" si="1"/>
        <v>10.3</v>
      </c>
      <c r="O6" s="28">
        <f t="shared" si="1"/>
        <v>19.700000000000003</v>
      </c>
      <c r="P6" s="25">
        <f t="shared" si="1"/>
        <v>37</v>
      </c>
      <c r="Q6" s="25">
        <f t="shared" si="1"/>
        <v>68.600000000000009</v>
      </c>
      <c r="R6" s="25">
        <f t="shared" si="1"/>
        <v>126.60000000000001</v>
      </c>
      <c r="S6" s="25">
        <f t="shared" si="1"/>
        <v>233</v>
      </c>
      <c r="T6" s="25">
        <f t="shared" si="1"/>
        <v>428</v>
      </c>
      <c r="U6" s="25">
        <f t="shared" si="1"/>
        <v>785.40000000000009</v>
      </c>
      <c r="V6" s="25">
        <f t="shared" si="1"/>
        <v>1440.8000000000002</v>
      </c>
      <c r="W6" s="25">
        <f t="shared" si="1"/>
        <v>2642.3</v>
      </c>
      <c r="X6" s="25">
        <f t="shared" si="1"/>
        <v>4845</v>
      </c>
      <c r="Y6" s="25">
        <f t="shared" si="1"/>
        <v>8883.3000000000011</v>
      </c>
      <c r="Z6" s="25">
        <f t="shared" si="1"/>
        <v>16286.800000000001</v>
      </c>
      <c r="AA6" s="26"/>
      <c r="AB6" s="26"/>
    </row>
    <row r="7" spans="2:28" x14ac:dyDescent="0.25">
      <c r="B7" s="12"/>
      <c r="D7">
        <v>6</v>
      </c>
      <c r="E7">
        <v>5</v>
      </c>
      <c r="F7" s="12">
        <f t="shared" si="2"/>
        <v>0.1388888888888889</v>
      </c>
      <c r="G7" s="12">
        <f>G8+F7</f>
        <v>0.72222222222222232</v>
      </c>
      <c r="H7" s="27">
        <f t="shared" si="4"/>
        <v>1.3</v>
      </c>
      <c r="I7" s="28">
        <f t="shared" si="5"/>
        <v>2</v>
      </c>
      <c r="J7" s="28">
        <f t="shared" si="5"/>
        <v>2.4000000000000004</v>
      </c>
      <c r="K7" s="28">
        <f t="shared" si="0"/>
        <v>3.3000000000000003</v>
      </c>
      <c r="L7" s="28">
        <f t="shared" si="0"/>
        <v>3.5</v>
      </c>
      <c r="M7" s="28">
        <f t="shared" si="1"/>
        <v>4.1000000000000005</v>
      </c>
      <c r="N7" s="28">
        <f t="shared" si="1"/>
        <v>7.8000000000000007</v>
      </c>
      <c r="O7" s="28">
        <f t="shared" si="1"/>
        <v>14.200000000000001</v>
      </c>
      <c r="P7" s="25">
        <f t="shared" si="1"/>
        <v>25.1</v>
      </c>
      <c r="Q7" s="25">
        <f t="shared" si="1"/>
        <v>43.900000000000006</v>
      </c>
      <c r="R7" s="25">
        <f t="shared" si="1"/>
        <v>76.400000000000006</v>
      </c>
      <c r="S7" s="25">
        <f t="shared" si="1"/>
        <v>132.30000000000001</v>
      </c>
      <c r="T7" s="25">
        <f t="shared" si="1"/>
        <v>228.60000000000002</v>
      </c>
      <c r="U7" s="25">
        <f t="shared" si="1"/>
        <v>394.3</v>
      </c>
      <c r="V7" s="25">
        <f t="shared" si="1"/>
        <v>679.90000000000009</v>
      </c>
      <c r="W7" s="25">
        <f t="shared" si="1"/>
        <v>1171.6000000000001</v>
      </c>
      <c r="X7" s="25">
        <f t="shared" si="1"/>
        <v>2018.5</v>
      </c>
      <c r="Y7" s="25">
        <f t="shared" si="1"/>
        <v>3477.1000000000004</v>
      </c>
      <c r="Z7" s="25">
        <f t="shared" si="1"/>
        <v>5989</v>
      </c>
      <c r="AA7" s="26"/>
      <c r="AB7" s="26"/>
    </row>
    <row r="8" spans="2:28" x14ac:dyDescent="0.25">
      <c r="B8" s="12"/>
      <c r="C8" s="13"/>
      <c r="D8">
        <v>7</v>
      </c>
      <c r="E8">
        <v>6</v>
      </c>
      <c r="F8" s="12">
        <f t="shared" si="2"/>
        <v>0.16666666666666666</v>
      </c>
      <c r="G8" s="12">
        <f t="shared" si="3"/>
        <v>0.58333333333333337</v>
      </c>
      <c r="H8" s="28">
        <f t="shared" si="4"/>
        <v>1</v>
      </c>
      <c r="I8" s="27">
        <f t="shared" si="5"/>
        <v>1.5</v>
      </c>
      <c r="J8" s="28">
        <f t="shared" si="5"/>
        <v>1.8</v>
      </c>
      <c r="K8" s="28">
        <f t="shared" si="0"/>
        <v>2.4000000000000004</v>
      </c>
      <c r="L8" s="28">
        <f t="shared" si="0"/>
        <v>2.5</v>
      </c>
      <c r="M8" s="28">
        <f t="shared" si="1"/>
        <v>3</v>
      </c>
      <c r="N8" s="28">
        <f t="shared" si="1"/>
        <v>5.3000000000000007</v>
      </c>
      <c r="O8" s="28">
        <f t="shared" si="1"/>
        <v>9</v>
      </c>
      <c r="P8" s="25">
        <f t="shared" si="1"/>
        <v>14.8</v>
      </c>
      <c r="Q8" s="25">
        <f t="shared" si="1"/>
        <v>23.900000000000002</v>
      </c>
      <c r="R8" s="25">
        <f t="shared" si="1"/>
        <v>38.5</v>
      </c>
      <c r="S8" s="25">
        <f t="shared" si="1"/>
        <v>61.5</v>
      </c>
      <c r="T8" s="25">
        <f t="shared" si="1"/>
        <v>98</v>
      </c>
      <c r="U8" s="25">
        <f t="shared" si="1"/>
        <v>155.80000000000001</v>
      </c>
      <c r="V8" s="25">
        <f t="shared" si="1"/>
        <v>247.20000000000002</v>
      </c>
      <c r="W8" s="25">
        <f t="shared" si="1"/>
        <v>392</v>
      </c>
      <c r="X8" s="25">
        <f t="shared" si="1"/>
        <v>621.30000000000007</v>
      </c>
      <c r="Y8" s="25">
        <f t="shared" si="1"/>
        <v>984.30000000000007</v>
      </c>
      <c r="Z8" s="25">
        <f t="shared" si="1"/>
        <v>1559.1000000000001</v>
      </c>
      <c r="AA8" s="26"/>
      <c r="AB8" s="26"/>
    </row>
    <row r="9" spans="2:28" x14ac:dyDescent="0.25">
      <c r="B9" s="12"/>
      <c r="D9">
        <v>8</v>
      </c>
      <c r="E9">
        <v>5</v>
      </c>
      <c r="F9" s="12">
        <f t="shared" si="2"/>
        <v>0.1388888888888889</v>
      </c>
      <c r="G9" s="12">
        <f t="shared" si="3"/>
        <v>0.41666666666666669</v>
      </c>
      <c r="H9" s="28">
        <f t="shared" si="4"/>
        <v>0.70000000000000007</v>
      </c>
      <c r="I9" s="28">
        <f t="shared" si="5"/>
        <v>1</v>
      </c>
      <c r="J9" s="27">
        <f t="shared" si="5"/>
        <v>1.2000000000000002</v>
      </c>
      <c r="K9" s="27">
        <f t="shared" si="0"/>
        <v>1.5</v>
      </c>
      <c r="L9" s="27">
        <f t="shared" si="0"/>
        <v>1.6</v>
      </c>
      <c r="M9" s="28">
        <f t="shared" si="1"/>
        <v>1.8</v>
      </c>
      <c r="N9" s="28">
        <f t="shared" si="1"/>
        <v>3</v>
      </c>
      <c r="O9" s="28">
        <f t="shared" si="1"/>
        <v>4.7</v>
      </c>
      <c r="P9" s="25">
        <f t="shared" si="1"/>
        <v>7.1000000000000005</v>
      </c>
      <c r="Q9" s="25">
        <f t="shared" si="1"/>
        <v>10.5</v>
      </c>
      <c r="R9" s="25">
        <f t="shared" si="1"/>
        <v>15.200000000000001</v>
      </c>
      <c r="S9" s="25">
        <f t="shared" si="1"/>
        <v>22</v>
      </c>
      <c r="T9" s="25">
        <f t="shared" si="1"/>
        <v>31.6</v>
      </c>
      <c r="U9" s="25">
        <f t="shared" si="1"/>
        <v>45.1</v>
      </c>
      <c r="V9" s="25">
        <f t="shared" si="1"/>
        <v>64.3</v>
      </c>
      <c r="W9" s="25">
        <f t="shared" si="1"/>
        <v>91.600000000000009</v>
      </c>
      <c r="X9" s="25">
        <f t="shared" si="1"/>
        <v>130.1</v>
      </c>
      <c r="Y9" s="25">
        <f t="shared" si="1"/>
        <v>184.8</v>
      </c>
      <c r="Z9" s="25">
        <f t="shared" si="1"/>
        <v>262.2</v>
      </c>
      <c r="AA9" s="26"/>
      <c r="AB9" s="26"/>
    </row>
    <row r="10" spans="2:28" x14ac:dyDescent="0.25">
      <c r="B10" s="12"/>
      <c r="D10">
        <v>9</v>
      </c>
      <c r="E10">
        <v>4</v>
      </c>
      <c r="F10" s="12">
        <f t="shared" si="2"/>
        <v>0.1111111111111111</v>
      </c>
      <c r="G10" s="12">
        <f t="shared" si="3"/>
        <v>0.27777777777777779</v>
      </c>
      <c r="H10" s="28">
        <f t="shared" si="4"/>
        <v>0.4</v>
      </c>
      <c r="I10" s="28">
        <f t="shared" si="5"/>
        <v>0.60000000000000009</v>
      </c>
      <c r="J10" s="28">
        <f t="shared" si="5"/>
        <v>0.70000000000000007</v>
      </c>
      <c r="K10" s="28">
        <f t="shared" si="0"/>
        <v>0.9</v>
      </c>
      <c r="L10" s="28">
        <f t="shared" si="0"/>
        <v>1</v>
      </c>
      <c r="M10" s="28">
        <f t="shared" si="1"/>
        <v>1.1000000000000001</v>
      </c>
      <c r="N10" s="28">
        <f t="shared" si="1"/>
        <v>1.7000000000000002</v>
      </c>
      <c r="O10" s="28">
        <f t="shared" si="1"/>
        <v>2.4000000000000004</v>
      </c>
      <c r="P10" s="28">
        <f t="shared" si="1"/>
        <v>3.4000000000000004</v>
      </c>
      <c r="Q10" s="25">
        <f t="shared" si="1"/>
        <v>4.6000000000000005</v>
      </c>
      <c r="R10" s="25">
        <f t="shared" si="1"/>
        <v>6.1000000000000005</v>
      </c>
      <c r="S10" s="25">
        <f t="shared" si="1"/>
        <v>8.1</v>
      </c>
      <c r="T10" s="25">
        <f t="shared" si="1"/>
        <v>10.600000000000001</v>
      </c>
      <c r="U10" s="25">
        <f t="shared" si="1"/>
        <v>13.8</v>
      </c>
      <c r="V10" s="25">
        <f t="shared" si="1"/>
        <v>17.900000000000002</v>
      </c>
      <c r="W10" s="25">
        <f t="shared" si="1"/>
        <v>23.200000000000003</v>
      </c>
      <c r="X10" s="25">
        <f t="shared" si="1"/>
        <v>29.900000000000002</v>
      </c>
      <c r="Y10" s="25">
        <f t="shared" si="1"/>
        <v>38.5</v>
      </c>
      <c r="Z10" s="25">
        <f t="shared" si="1"/>
        <v>49.5</v>
      </c>
      <c r="AA10" s="26"/>
      <c r="AB10" s="26"/>
    </row>
    <row r="11" spans="2:28" x14ac:dyDescent="0.25">
      <c r="B11" s="12"/>
      <c r="D11">
        <v>10</v>
      </c>
      <c r="E11">
        <v>3</v>
      </c>
      <c r="F11" s="12">
        <f t="shared" si="2"/>
        <v>8.3333333333333329E-2</v>
      </c>
      <c r="G11" s="12">
        <f t="shared" si="3"/>
        <v>0.16666666666666666</v>
      </c>
      <c r="H11" s="28">
        <f t="shared" si="4"/>
        <v>0.30000000000000004</v>
      </c>
      <c r="I11" s="28">
        <f t="shared" si="5"/>
        <v>0.4</v>
      </c>
      <c r="J11" s="28">
        <f t="shared" si="5"/>
        <v>0.4</v>
      </c>
      <c r="K11" s="28">
        <f t="shared" si="0"/>
        <v>0.5</v>
      </c>
      <c r="L11" s="28">
        <f t="shared" si="0"/>
        <v>0.5</v>
      </c>
      <c r="M11" s="28">
        <f t="shared" si="1"/>
        <v>0.60000000000000009</v>
      </c>
      <c r="N11" s="28">
        <f t="shared" si="1"/>
        <v>0.9</v>
      </c>
      <c r="O11" s="28">
        <f t="shared" si="1"/>
        <v>1.2000000000000002</v>
      </c>
      <c r="P11" s="25">
        <f t="shared" si="1"/>
        <v>1.5</v>
      </c>
      <c r="Q11" s="25">
        <f t="shared" si="1"/>
        <v>1.9000000000000001</v>
      </c>
      <c r="R11" s="25">
        <f t="shared" si="1"/>
        <v>2.4000000000000004</v>
      </c>
      <c r="S11" s="25">
        <f t="shared" si="1"/>
        <v>3</v>
      </c>
      <c r="T11" s="25">
        <f t="shared" si="1"/>
        <v>3.7</v>
      </c>
      <c r="U11" s="25">
        <f t="shared" si="1"/>
        <v>4.5</v>
      </c>
      <c r="V11" s="25">
        <f t="shared" si="1"/>
        <v>5.4</v>
      </c>
      <c r="W11" s="25">
        <f t="shared" si="1"/>
        <v>6.4</v>
      </c>
      <c r="X11" s="25">
        <f t="shared" si="1"/>
        <v>7.7</v>
      </c>
      <c r="Y11" s="25">
        <f t="shared" si="1"/>
        <v>9.1</v>
      </c>
      <c r="Z11" s="25">
        <f t="shared" si="1"/>
        <v>10.8</v>
      </c>
      <c r="AA11" s="26"/>
      <c r="AB11" s="26"/>
    </row>
    <row r="12" spans="2:28" x14ac:dyDescent="0.25">
      <c r="B12" s="12"/>
      <c r="D12">
        <v>11</v>
      </c>
      <c r="E12">
        <v>2</v>
      </c>
      <c r="F12" s="12">
        <f t="shared" si="2"/>
        <v>5.5555555555555552E-2</v>
      </c>
      <c r="G12" s="12">
        <f>G13+F12</f>
        <v>8.3333333333333329E-2</v>
      </c>
      <c r="H12" s="28">
        <f t="shared" si="4"/>
        <v>0.1</v>
      </c>
      <c r="I12" s="28">
        <f t="shared" si="5"/>
        <v>0.2</v>
      </c>
      <c r="J12" s="28">
        <f t="shared" si="5"/>
        <v>0.2</v>
      </c>
      <c r="K12" s="28">
        <f t="shared" si="0"/>
        <v>0.2</v>
      </c>
      <c r="L12" s="28">
        <f t="shared" si="0"/>
        <v>0.2</v>
      </c>
      <c r="M12" s="28">
        <f t="shared" si="1"/>
        <v>0.30000000000000004</v>
      </c>
      <c r="N12" s="28">
        <f t="shared" si="1"/>
        <v>0.4</v>
      </c>
      <c r="O12" s="28">
        <f t="shared" si="1"/>
        <v>0.5</v>
      </c>
      <c r="P12" s="25">
        <f t="shared" si="1"/>
        <v>0.60000000000000009</v>
      </c>
      <c r="Q12" s="25">
        <f t="shared" si="1"/>
        <v>0.8</v>
      </c>
      <c r="R12" s="25">
        <f t="shared" si="1"/>
        <v>0.9</v>
      </c>
      <c r="S12" s="25">
        <f t="shared" si="1"/>
        <v>1.1000000000000001</v>
      </c>
      <c r="T12" s="25">
        <f t="shared" si="1"/>
        <v>1.2000000000000002</v>
      </c>
      <c r="U12" s="25">
        <f t="shared" si="1"/>
        <v>1.4000000000000001</v>
      </c>
      <c r="V12" s="25">
        <f t="shared" si="1"/>
        <v>1.6</v>
      </c>
      <c r="W12" s="25">
        <f t="shared" si="1"/>
        <v>1.8</v>
      </c>
      <c r="X12" s="25">
        <f t="shared" si="1"/>
        <v>2.1</v>
      </c>
      <c r="Y12" s="25">
        <f t="shared" si="1"/>
        <v>2.3000000000000003</v>
      </c>
      <c r="Z12" s="25">
        <f t="shared" si="1"/>
        <v>2.6</v>
      </c>
      <c r="AA12" s="26"/>
      <c r="AB12" s="26"/>
    </row>
    <row r="13" spans="2:28" x14ac:dyDescent="0.25">
      <c r="B13" s="12"/>
      <c r="D13">
        <v>12</v>
      </c>
      <c r="E13">
        <v>1</v>
      </c>
      <c r="F13" s="12">
        <f t="shared" si="2"/>
        <v>2.7777777777777776E-2</v>
      </c>
      <c r="G13" s="12">
        <f>F13</f>
        <v>2.7777777777777776E-2</v>
      </c>
      <c r="H13" s="25">
        <f t="shared" si="4"/>
        <v>0</v>
      </c>
      <c r="I13" s="25">
        <f t="shared" si="5"/>
        <v>0.1</v>
      </c>
      <c r="J13" s="25">
        <f t="shared" si="5"/>
        <v>0.1</v>
      </c>
      <c r="K13" s="25">
        <f t="shared" si="0"/>
        <v>0.1</v>
      </c>
      <c r="L13" s="25">
        <f t="shared" si="0"/>
        <v>0.1</v>
      </c>
      <c r="M13" s="25">
        <f t="shared" si="1"/>
        <v>0.1</v>
      </c>
      <c r="N13" s="25">
        <f t="shared" si="1"/>
        <v>0.1</v>
      </c>
      <c r="O13" s="25">
        <f t="shared" si="1"/>
        <v>0.1</v>
      </c>
      <c r="P13" s="25">
        <f t="shared" si="1"/>
        <v>0.2</v>
      </c>
      <c r="Q13" s="25">
        <f t="shared" si="1"/>
        <v>0.2</v>
      </c>
      <c r="R13" s="25">
        <f t="shared" si="1"/>
        <v>0.2</v>
      </c>
      <c r="S13" s="25">
        <f t="shared" si="1"/>
        <v>0.30000000000000004</v>
      </c>
      <c r="T13" s="25">
        <f t="shared" si="1"/>
        <v>0.30000000000000004</v>
      </c>
      <c r="U13" s="25">
        <f t="shared" si="1"/>
        <v>0.4</v>
      </c>
      <c r="V13" s="25">
        <f t="shared" si="1"/>
        <v>0.4</v>
      </c>
      <c r="W13" s="25">
        <f t="shared" si="1"/>
        <v>0.4</v>
      </c>
      <c r="X13" s="25">
        <f t="shared" si="1"/>
        <v>0.5</v>
      </c>
      <c r="Y13" s="25">
        <f t="shared" si="1"/>
        <v>0.5</v>
      </c>
      <c r="Z13" s="25">
        <f t="shared" si="1"/>
        <v>0.60000000000000009</v>
      </c>
      <c r="AA13" s="26"/>
      <c r="AB13" s="26"/>
    </row>
    <row r="14" spans="2:28" x14ac:dyDescent="0.25">
      <c r="F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à imprimer noir&amp;blanc</vt:lpstr>
      <vt:lpstr>à imprimer couleur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DAVIAU</dc:creator>
  <cp:lastModifiedBy>DAVIAU</cp:lastModifiedBy>
  <cp:lastPrinted>2017-11-23T11:34:08Z</cp:lastPrinted>
  <dcterms:created xsi:type="dcterms:W3CDTF">2017-10-19T16:22:07Z</dcterms:created>
  <dcterms:modified xsi:type="dcterms:W3CDTF">2017-11-23T11:35:04Z</dcterms:modified>
</cp:coreProperties>
</file>