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"/>
    </mc:Choice>
  </mc:AlternateContent>
  <xr:revisionPtr revIDLastSave="0" documentId="8_{20F9EB8C-2331-4D87-AB82-58ED01880F50}" xr6:coauthVersionLast="47" xr6:coauthVersionMax="47" xr10:uidLastSave="{00000000-0000-0000-0000-000000000000}"/>
  <bookViews>
    <workbookView xWindow="25692" yWindow="1080" windowWidth="17280" windowHeight="9420" tabRatio="723" firstSheet="2" activeTab="5" xr2:uid="{00000000-000D-0000-FFFF-FFFF00000000}"/>
  </bookViews>
  <sheets>
    <sheet name="Crowdfunding" sheetId="1" r:id="rId1"/>
    <sheet name="Outcome(Parent Category)" sheetId="2" r:id="rId2"/>
    <sheet name="Outcome(sub-catergory)" sheetId="3" r:id="rId3"/>
    <sheet name="Outcome(Years-Created)" sheetId="7" r:id="rId4"/>
    <sheet name="Outcome(Goal)" sheetId="8" r:id="rId5"/>
    <sheet name="Statistical Analysis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F18" i="9"/>
  <c r="C19" i="9"/>
  <c r="C18" i="9"/>
  <c r="F14" i="9" l="1"/>
  <c r="F17" i="9"/>
  <c r="F16" i="9"/>
  <c r="F15" i="9"/>
  <c r="C17" i="9"/>
  <c r="C16" i="9"/>
  <c r="C15" i="9"/>
  <c r="C14" i="9"/>
  <c r="H3" i="8"/>
  <c r="H10" i="8"/>
  <c r="H11" i="8"/>
  <c r="G9" i="8"/>
  <c r="G2" i="8"/>
  <c r="F3" i="8"/>
  <c r="E3" i="8"/>
  <c r="G3" i="8" s="1"/>
  <c r="E4" i="8"/>
  <c r="G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G12" i="8" s="1"/>
  <c r="E13" i="8"/>
  <c r="F13" i="8" s="1"/>
  <c r="E2" i="8"/>
  <c r="F2" i="8" s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1" i="8" l="1"/>
  <c r="H9" i="8"/>
  <c r="G10" i="8"/>
  <c r="H8" i="8"/>
  <c r="H7" i="8"/>
  <c r="H6" i="8"/>
  <c r="H13" i="8"/>
  <c r="H5" i="8"/>
  <c r="H12" i="8"/>
  <c r="H4" i="8"/>
  <c r="H2" i="8"/>
  <c r="F4" i="8"/>
  <c r="G8" i="8"/>
  <c r="G7" i="8"/>
  <c r="G6" i="8"/>
  <c r="G13" i="8"/>
  <c r="G5" i="8"/>
  <c r="F12" i="8"/>
</calcChain>
</file>

<file path=xl/sharedStrings.xml><?xml version="1.0" encoding="utf-8"?>
<sst xmlns="http://schemas.openxmlformats.org/spreadsheetml/2006/main" count="8157" uniqueCount="2115">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</sst>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0" xfId="0" applyNumberFormat="1"/>
    <xf numFmtId="1" fontId="0" fillId="0" borderId="0" xfId="0" applyNumberFormat="1"/>
    <xf numFmtId="0" fontId="16" fillId="0" borderId="24" xfId="0" applyFon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[CrowdfundingBook.xlsx]Outcome(Parent Category)!PivotTable1</c:name>
    <c:fmtId val="5"/>
  </c:pivotSource>
  <c:chart>
    <c:autoTitleDeleted val="0"/>
    <c:pivotFmts>
      <c:pivotFmt>
        <c:idx val="0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81502271231768E-2"/>
          <c:y val="3.5862314085739276E-2"/>
          <c:w val="0.82713987017340751"/>
          <c:h val="0.92083734324876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6E4-8619-2E0F3832588A}"/>
            </c:ext>
          </c:extLst>
        </c:ser>
        <c:ser>
          <c:idx val="1"/>
          <c:order val="1"/>
          <c:tx>
            <c:strRef>
              <c:f>'Outcome(Parent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46E4-8619-2E0F3832588A}"/>
            </c:ext>
          </c:extLst>
        </c:ser>
        <c:ser>
          <c:idx val="2"/>
          <c:order val="2"/>
          <c:tx>
            <c:strRef>
              <c:f>'Outcome(Parent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2-46E4-8619-2E0F3832588A}"/>
            </c:ext>
          </c:extLst>
        </c:ser>
        <c:ser>
          <c:idx val="3"/>
          <c:order val="3"/>
          <c:tx>
            <c:strRef>
              <c:f>'Outcome(Parent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2-46E4-8619-2E0F3832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680927"/>
        <c:axId val="130443647"/>
      </c:barChart>
      <c:catAx>
        <c:axId val="1266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3647"/>
        <c:crosses val="autoZero"/>
        <c:auto val="1"/>
        <c:lblAlgn val="ctr"/>
        <c:lblOffset val="100"/>
        <c:noMultiLvlLbl val="0"/>
      </c:catAx>
      <c:valAx>
        <c:axId val="130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6351739321448"/>
          <c:y val="0.42187445319335082"/>
          <c:w val="0.10688935229823629"/>
          <c:h val="0.2511585010207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[CrowdfundingBook.xlsx]Outcome(sub-catergory)!PivotTable2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'Outcome(sub-catergory)'!$B$4:$B$5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492D-8CD1-88800314CCBC}"/>
            </c:ext>
          </c:extLst>
        </c:ser>
        <c:ser>
          <c:idx val="1"/>
          <c:order val="1"/>
          <c:tx>
            <c:strRef>
              <c:f>'Outcome(sub-catergory)'!$C$4:$C$5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92D-8CD1-88800314CCBC}"/>
            </c:ext>
          </c:extLst>
        </c:ser>
        <c:ser>
          <c:idx val="2"/>
          <c:order val="2"/>
          <c:tx>
            <c:strRef>
              <c:f>'Outcome(sub-catergory)'!$D$4:$D$5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B-492D-8CD1-88800314CCBC}"/>
            </c:ext>
          </c:extLst>
        </c:ser>
        <c:ser>
          <c:idx val="3"/>
          <c:order val="3"/>
          <c:tx>
            <c:strRef>
              <c:f>'Outcome(sub-catergory)'!$E$4:$E$5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B-492D-8CD1-888003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400543"/>
        <c:axId val="797087359"/>
      </c:barChart>
      <c:catAx>
        <c:axId val="6124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87359"/>
        <c:crosses val="autoZero"/>
        <c:auto val="1"/>
        <c:lblAlgn val="ctr"/>
        <c:lblOffset val="100"/>
        <c:noMultiLvlLbl val="0"/>
      </c:catAx>
      <c:valAx>
        <c:axId val="7970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[CrowdfundingBook.xlsx]Outcome(Years-Created)!PivotTable6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78642835832508E-2"/>
          <c:y val="1.4884880371482912E-2"/>
          <c:w val="0.82422930022853413"/>
          <c:h val="0.90732174792944287"/>
        </c:manualLayout>
      </c:layout>
      <c:lineChart>
        <c:grouping val="stacked"/>
        <c:varyColors val="0"/>
        <c:ser>
          <c:idx val="0"/>
          <c:order val="0"/>
          <c:tx>
            <c:strRef>
              <c:f>'Outcome(Years-Created)'!$B$4:$B$5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B-4155-B964-EDA294DCCDB1}"/>
            </c:ext>
          </c:extLst>
        </c:ser>
        <c:ser>
          <c:idx val="1"/>
          <c:order val="1"/>
          <c:tx>
            <c:strRef>
              <c:f>'Outcome(Years-Created)'!$C$4:$C$5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A-4C6C-8E93-AFD730E9D1B0}"/>
            </c:ext>
          </c:extLst>
        </c:ser>
        <c:ser>
          <c:idx val="2"/>
          <c:order val="2"/>
          <c:tx>
            <c:strRef>
              <c:f>'Outcome(Years-Created)'!$D$4:$D$5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A-4C6C-8E93-AFD730E9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38511"/>
        <c:axId val="761854479"/>
      </c:lineChart>
      <c:catAx>
        <c:axId val="6116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54479"/>
        <c:crosses val="autoZero"/>
        <c:auto val="1"/>
        <c:lblAlgn val="ctr"/>
        <c:lblOffset val="100"/>
        <c:noMultiLvlLbl val="0"/>
      </c:catAx>
      <c:valAx>
        <c:axId val="7618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1DC-4576-B341-EA4CFF5B7C25}"/>
            </c:ext>
          </c:extLst>
        </c:ser>
        <c:ser>
          <c:idx val="5"/>
          <c:order val="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1DC-4576-B341-EA4CFF5B7C25}"/>
            </c:ext>
          </c:extLst>
        </c:ser>
        <c:ser>
          <c:idx val="6"/>
          <c:order val="2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D1DC-4576-B341-EA4CFF5B7C25}"/>
            </c:ext>
          </c:extLst>
        </c:ser>
        <c:ser>
          <c:idx val="0"/>
          <c:order val="3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D1DC-4576-B341-EA4CFF5B7C25}"/>
            </c:ext>
          </c:extLst>
        </c:ser>
        <c:ser>
          <c:idx val="1"/>
          <c:order val="4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D1DC-4576-B341-EA4CFF5B7C25}"/>
            </c:ext>
          </c:extLst>
        </c:ser>
        <c:ser>
          <c:idx val="2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D1DC-4576-B341-EA4CFF5B7C25}"/>
            </c:ext>
          </c:extLst>
        </c:ser>
        <c:ser>
          <c:idx val="3"/>
          <c:order val="6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D1DC-4576-B341-EA4CFF5B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7855"/>
        <c:axId val="1503298255"/>
      </c:lineChart>
      <c:catAx>
        <c:axId val="243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8255"/>
        <c:crosses val="autoZero"/>
        <c:auto val="1"/>
        <c:lblAlgn val="ctr"/>
        <c:lblOffset val="100"/>
        <c:noMultiLvlLbl val="0"/>
      </c:catAx>
      <c:valAx>
        <c:axId val="1503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71435</xdr:colOff>
      <xdr:row>1</xdr:row>
      <xdr:rowOff>38100</xdr:rowOff>
    </xdr:from>
    <xdr:to>
      <xdr:col>17</xdr:col>
      <xdr:colOff>238124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A7A1-AD8A-6E68-CF14-9BB9D6C0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190500</xdr:rowOff>
    </xdr:from>
    <xdr:to>
      <xdr:col>19</xdr:col>
      <xdr:colOff>228600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69281-255F-FDC5-3E5F-452BABD9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314327</xdr:colOff>
      <xdr:row>2</xdr:row>
      <xdr:rowOff>152400</xdr:rowOff>
    </xdr:from>
    <xdr:to>
      <xdr:col>15</xdr:col>
      <xdr:colOff>57151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8E9BE-5D65-957D-A3DE-F60959F8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152399</xdr:rowOff>
    </xdr:from>
    <xdr:to>
      <xdr:col>8</xdr:col>
      <xdr:colOff>76200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BB5B-6114-D074-0C74-3D8F6AA20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03.272806365741" createdVersion="8" refreshedVersion="8" minRefreshableVersion="3" recordCount="1000" xr:uid="{E5B0CFAD-40F2-42F6-B2C3-A208FF5D62E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58278-6563-4164-8C77-56FEBD5423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048A9-9B87-4B71-AC4C-A286E5C98E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9DC28-160E-4669-BE94-F4AD137DCF7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1C8C1-F196-47C5-BF09-81EED0B2D91A}" name="Table1" displayName="Table1" ref="A1:H13" totalsRowShown="0" headerRowDxfId="8">
  <autoFilter ref="A1:H13" xr:uid="{D5B1C8C1-F196-47C5-BF09-81EED0B2D91A}"/>
  <tableColumns count="8">
    <tableColumn id="1" xr3:uid="{8F392078-CA2E-4499-A4FF-80514718969B}" name="Goals"/>
    <tableColumn id="2" xr3:uid="{1CFF2379-2E3E-443D-A672-B3607D61B3B3}" name="Number Successful" dataDxfId="7">
      <calculatedColumnFormula>COUNTIFS(Crowdfunding!D:D,"&lt;1000",Crowdfunding!G:G,"successful")</calculatedColumnFormula>
    </tableColumn>
    <tableColumn id="3" xr3:uid="{4C444D56-8519-422A-BF67-245734088FD4}" name="Number Failed"/>
    <tableColumn id="4" xr3:uid="{F35F5C47-8EE4-4C4D-9557-69F1A1747A2D}" name="Number Canceled"/>
    <tableColumn id="5" xr3:uid="{182683AC-CAF2-41F7-8752-7504BBA15A10}" name="Total Projects">
      <calculatedColumnFormula>SUM(Table1[[#This Row],[Number Successful]:[Number Canceled]])</calculatedColumnFormula>
    </tableColumn>
    <tableColumn id="6" xr3:uid="{6128C409-12E5-4B10-91F8-4F93ADD36656}" name="Percentage Successful">
      <calculatedColumnFormula>Table1[[#This Row],[Number Successful]]/Table1[[#This Row],[Total Projects]]</calculatedColumnFormula>
    </tableColumn>
    <tableColumn id="7" xr3:uid="{45F6CA29-1C15-47AD-9FE9-7CFB5F21454B}" name="Percentage Failed">
      <calculatedColumnFormula>Table1[[#This Row],[Number Failed]]/Table1[[#This Row],[Total Projects]]</calculatedColumnFormula>
    </tableColumn>
    <tableColumn id="8" xr3:uid="{C2C7687B-E358-46D2-BFC1-66592C300AEB}" name="Percentage Canceled">
      <calculatedColumnFormula>Table1[[#This Row],[Number Canceled]]/Table1[[#This Row],[Total Projects]]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D974" sqref="D97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9.75" customWidth="1"/>
    <col min="8" max="8" width="13.875" customWidth="1"/>
    <col min="9" max="9" width="11.125" customWidth="1"/>
    <col min="12" max="12" width="14.375" customWidth="1"/>
    <col min="13" max="13" width="11.125" bestFit="1" customWidth="1"/>
    <col min="14" max="14" width="14.125" customWidth="1"/>
    <col min="15" max="15" width="11.125" customWidth="1"/>
    <col min="18" max="18" width="22.625" customWidth="1"/>
    <col min="19" max="19" width="14.5" customWidth="1"/>
    <col min="20" max="20" width="13.625" customWidth="1"/>
  </cols>
  <sheetData>
    <row r="1" spans="1:20" s="1" customFormat="1" ht="33.75" customHeigh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4">ROUND((E67/D67*100),0)</f>
        <v>236</v>
      </c>
      <c r="G67" t="s">
        <v>20</v>
      </c>
      <c r="H67">
        <v>236</v>
      </c>
      <c r="I67">
        <f t="shared" ref="I67:I130" si="5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8">ROUND((E131/D131*100),0)</f>
        <v>3</v>
      </c>
      <c r="G131" t="s">
        <v>74</v>
      </c>
      <c r="H131">
        <v>55</v>
      </c>
      <c r="I131">
        <f t="shared" ref="I131:I194" si="9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2">ROUND((E195/D195*100),0)</f>
        <v>46</v>
      </c>
      <c r="G195" t="s">
        <v>14</v>
      </c>
      <c r="H195">
        <v>65</v>
      </c>
      <c r="I195">
        <f t="shared" ref="I195:I258" si="13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16">ROUND((E259/D259*100),0)</f>
        <v>146</v>
      </c>
      <c r="G259" t="s">
        <v>20</v>
      </c>
      <c r="H259">
        <v>92</v>
      </c>
      <c r="I259">
        <f t="shared" ref="I259:I322" si="17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20">ROUND((E323/D323*100),0)</f>
        <v>94</v>
      </c>
      <c r="G323" t="s">
        <v>14</v>
      </c>
      <c r="H323">
        <v>2468</v>
      </c>
      <c r="I323">
        <f t="shared" ref="I323:I386" si="2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24">ROUND((E387/D387*100),0)</f>
        <v>146</v>
      </c>
      <c r="G387" t="s">
        <v>20</v>
      </c>
      <c r="H387">
        <v>1137</v>
      </c>
      <c r="I387">
        <f t="shared" ref="I387:I450" si="25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28">ROUND((E451/D451*100),0)</f>
        <v>967</v>
      </c>
      <c r="G451" t="s">
        <v>20</v>
      </c>
      <c r="H451">
        <v>86</v>
      </c>
      <c r="I451">
        <f t="shared" ref="I451:I514" si="29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32">ROUND((E515/D515*100),0)</f>
        <v>39</v>
      </c>
      <c r="G515" t="s">
        <v>74</v>
      </c>
      <c r="H515">
        <v>35</v>
      </c>
      <c r="I515">
        <f t="shared" ref="I515:I578" si="33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36">ROUND((E579/D579*100),0)</f>
        <v>19</v>
      </c>
      <c r="G579" t="s">
        <v>74</v>
      </c>
      <c r="H579">
        <v>37</v>
      </c>
      <c r="I579">
        <f t="shared" ref="I579:I642" si="37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40">ROUND((E643/D643*100),0)</f>
        <v>120</v>
      </c>
      <c r="G643" t="s">
        <v>20</v>
      </c>
      <c r="H643">
        <v>194</v>
      </c>
      <c r="I643">
        <f t="shared" ref="I643:I706" si="4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44">ROUND((E707/D707*100),0)</f>
        <v>99</v>
      </c>
      <c r="G707" t="s">
        <v>14</v>
      </c>
      <c r="H707">
        <v>2025</v>
      </c>
      <c r="I707">
        <f t="shared" ref="I707:I770" si="45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48">ROUND((E771/D771*100),0)</f>
        <v>87</v>
      </c>
      <c r="G771" t="s">
        <v>14</v>
      </c>
      <c r="H771">
        <v>3410</v>
      </c>
      <c r="I771">
        <f t="shared" ref="I771:I834" si="49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52">ROUND((E835/D835*100),0)</f>
        <v>158</v>
      </c>
      <c r="G835" t="s">
        <v>20</v>
      </c>
      <c r="H835">
        <v>165</v>
      </c>
      <c r="I835">
        <f t="shared" ref="I835:I898" si="53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56">ROUND((E899/D899*100),0)</f>
        <v>28</v>
      </c>
      <c r="G899" t="s">
        <v>14</v>
      </c>
      <c r="H899">
        <v>27</v>
      </c>
      <c r="I899">
        <f t="shared" ref="I899:I962" si="57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60">ROUND((E963/D963*100),0)</f>
        <v>119</v>
      </c>
      <c r="G963" t="s">
        <v>20</v>
      </c>
      <c r="H963">
        <v>155</v>
      </c>
      <c r="I963">
        <f t="shared" ref="I963:I1001" si="6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3300"/>
        <color theme="9"/>
        <color theme="4"/>
      </colorScale>
    </cfRule>
  </conditionalFormatting>
  <conditionalFormatting sqref="G2:G1001">
    <cfRule type="containsText" dxfId="6" priority="2" operator="containsText" text="live">
      <formula>NOT(ISERROR(SEARCH("live",G2)))</formula>
    </cfRule>
    <cfRule type="containsText" dxfId="5" priority="3" operator="containsText" text="successful">
      <formula>NOT(ISERROR(SEARCH("successful",G2)))</formula>
    </cfRule>
    <cfRule type="containsText" dxfId="4" priority="4" operator="containsText" text="canceled">
      <formula>NOT(ISERROR(SEARCH("canceled",G2)))</formula>
    </cfRule>
    <cfRule type="containsText" dxfId="3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F210-51EB-47D0-97C7-4F2862B93ED0}">
  <sheetPr codeName="Sheet2"/>
  <dimension ref="A1:F14"/>
  <sheetViews>
    <sheetView workbookViewId="0">
      <selection activeCell="K34" sqref="K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2066</v>
      </c>
    </row>
    <row r="3" spans="1:6" x14ac:dyDescent="0.25">
      <c r="A3" s="3" t="s">
        <v>2070</v>
      </c>
      <c r="B3" s="3" t="s">
        <v>2069</v>
      </c>
    </row>
    <row r="4" spans="1:6" x14ac:dyDescent="0.25">
      <c r="A4" s="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4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4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4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4" t="s">
        <v>2064</v>
      </c>
      <c r="E8">
        <v>4</v>
      </c>
      <c r="F8">
        <v>4</v>
      </c>
    </row>
    <row r="9" spans="1:6" x14ac:dyDescent="0.25">
      <c r="A9" s="4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4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4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4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4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4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FB71-633F-4825-8892-AD15C5405D26}">
  <sheetPr codeName="Sheet3"/>
  <dimension ref="A1:F30"/>
  <sheetViews>
    <sheetView workbookViewId="0">
      <selection activeCell="F36" sqref="F36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2066</v>
      </c>
    </row>
    <row r="2" spans="1:6" x14ac:dyDescent="0.25">
      <c r="A2" s="3" t="s">
        <v>2032</v>
      </c>
      <c r="B2" t="s">
        <v>2066</v>
      </c>
    </row>
    <row r="4" spans="1:6" x14ac:dyDescent="0.25">
      <c r="A4" s="3" t="s">
        <v>2070</v>
      </c>
      <c r="B4" s="3" t="s">
        <v>2069</v>
      </c>
    </row>
    <row r="5" spans="1:6" x14ac:dyDescent="0.25">
      <c r="A5" s="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4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2065</v>
      </c>
      <c r="E7">
        <v>4</v>
      </c>
      <c r="F7">
        <v>4</v>
      </c>
    </row>
    <row r="8" spans="1:6" x14ac:dyDescent="0.25">
      <c r="A8" s="4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2043</v>
      </c>
      <c r="C10">
        <v>8</v>
      </c>
      <c r="E10">
        <v>10</v>
      </c>
      <c r="F10">
        <v>18</v>
      </c>
    </row>
    <row r="11" spans="1:6" x14ac:dyDescent="0.25">
      <c r="A11" s="4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2057</v>
      </c>
      <c r="C15">
        <v>3</v>
      </c>
      <c r="E15">
        <v>4</v>
      </c>
      <c r="F15">
        <v>7</v>
      </c>
    </row>
    <row r="16" spans="1:6" x14ac:dyDescent="0.25">
      <c r="A16" s="4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2056</v>
      </c>
      <c r="C20">
        <v>4</v>
      </c>
      <c r="E20">
        <v>4</v>
      </c>
      <c r="F20">
        <v>8</v>
      </c>
    </row>
    <row r="21" spans="1:6" x14ac:dyDescent="0.25">
      <c r="A21" s="4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2063</v>
      </c>
      <c r="C22">
        <v>9</v>
      </c>
      <c r="E22">
        <v>5</v>
      </c>
      <c r="F22">
        <v>14</v>
      </c>
    </row>
    <row r="23" spans="1:6" x14ac:dyDescent="0.25">
      <c r="A23" s="4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2059</v>
      </c>
      <c r="C25">
        <v>7</v>
      </c>
      <c r="E25">
        <v>14</v>
      </c>
      <c r="F25">
        <v>21</v>
      </c>
    </row>
    <row r="26" spans="1:6" x14ac:dyDescent="0.25">
      <c r="A26" s="4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2062</v>
      </c>
      <c r="E29">
        <v>3</v>
      </c>
      <c r="F29">
        <v>3</v>
      </c>
    </row>
    <row r="30" spans="1:6" x14ac:dyDescent="0.25">
      <c r="A30" s="4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D672-17B3-4040-9B83-F68C19DDD12D}">
  <sheetPr codeName="Sheet4"/>
  <dimension ref="A1:E18"/>
  <sheetViews>
    <sheetView workbookViewId="0">
      <selection activeCell="A6" sqref="A6: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5.625" bestFit="1" customWidth="1"/>
    <col min="8" max="8" width="3.875" bestFit="1" customWidth="1"/>
    <col min="9" max="9" width="9.25" bestFit="1" customWidth="1"/>
    <col min="10" max="10" width="21.625" bestFit="1" customWidth="1"/>
    <col min="11" max="11" width="22.625" bestFit="1" customWidth="1"/>
  </cols>
  <sheetData>
    <row r="1" spans="1:5" x14ac:dyDescent="0.25">
      <c r="A1" s="3" t="s">
        <v>2032</v>
      </c>
      <c r="B1" t="s">
        <v>2066</v>
      </c>
    </row>
    <row r="2" spans="1:5" x14ac:dyDescent="0.25">
      <c r="A2" s="3" t="s">
        <v>2085</v>
      </c>
      <c r="B2" t="s">
        <v>2066</v>
      </c>
    </row>
    <row r="4" spans="1:5" x14ac:dyDescent="0.25">
      <c r="A4" s="3" t="s">
        <v>2070</v>
      </c>
      <c r="B4" s="3" t="s">
        <v>2069</v>
      </c>
    </row>
    <row r="5" spans="1:5" x14ac:dyDescent="0.25">
      <c r="A5" s="3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4A78-A720-4A1F-A263-C7C0CF0A4863}">
  <sheetPr codeName="Sheet5"/>
  <dimension ref="A1:H13"/>
  <sheetViews>
    <sheetView workbookViewId="0">
      <selection activeCell="K7" sqref="K7"/>
    </sheetView>
  </sheetViews>
  <sheetFormatPr defaultRowHeight="15.75" x14ac:dyDescent="0.25"/>
  <cols>
    <col min="1" max="1" width="18.125" customWidth="1"/>
    <col min="2" max="2" width="20.125" customWidth="1"/>
    <col min="3" max="3" width="15.875" customWidth="1"/>
    <col min="4" max="4" width="18.5" customWidth="1"/>
    <col min="5" max="5" width="15.25" customWidth="1"/>
    <col min="6" max="6" width="22.5" customWidth="1"/>
    <col min="7" max="7" width="18.5" customWidth="1"/>
    <col min="8" max="8" width="21.625" customWidth="1"/>
  </cols>
  <sheetData>
    <row r="1" spans="1:8" s="5" customFormat="1" ht="30" customHeight="1" x14ac:dyDescent="0.25">
      <c r="A1" s="5" t="s">
        <v>2086</v>
      </c>
      <c r="B1" s="5" t="s">
        <v>2087</v>
      </c>
      <c r="C1" s="5" t="s">
        <v>2088</v>
      </c>
      <c r="D1" s="5" t="s">
        <v>2089</v>
      </c>
      <c r="E1" s="5" t="s">
        <v>2090</v>
      </c>
      <c r="F1" s="5" t="s">
        <v>2091</v>
      </c>
      <c r="G1" s="5" t="s">
        <v>2092</v>
      </c>
      <c r="H1" s="5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SUM(Table1[[#This Row],[Number Successful]:[Number Canceled]])</f>
        <v>51</v>
      </c>
      <c r="F2" s="7">
        <f>Table1[[#This Row],[Number Successful]]/Table1[[#This Row],[Total Projects]]</f>
        <v>0.58823529411764708</v>
      </c>
      <c r="G2" s="7">
        <f>Table1[[#This Row],[Number Failed]]/Table1[[#This Row],[Total Projects]]</f>
        <v>0.39215686274509803</v>
      </c>
      <c r="H2" s="7">
        <f>Table1[[#This Row],[Number Canceled]]/Table1[[#This Row],[Total Projects]]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>SUM(Table1[[#This Row],[Number Successful]:[Number Canceled]])</f>
        <v>231</v>
      </c>
      <c r="F3" s="7">
        <f>Table1[[#This Row],[Number Successful]]/Table1[[#This Row],[Total Projects]]</f>
        <v>0.82683982683982682</v>
      </c>
      <c r="G3" s="7">
        <f>Table1[[#This Row],[Number Failed]]/Table1[[#This Row],[Total Projects]]</f>
        <v>0.16450216450216451</v>
      </c>
      <c r="H3" s="7">
        <f>Table1[[#This Row],[Number Canceled]]/Table1[[#This Row],[Total Projects]]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>SUM(Table1[[#This Row],[Number Successful]:[Number Canceled]])</f>
        <v>315</v>
      </c>
      <c r="F4" s="7">
        <f>Table1[[#This Row],[Number Successful]]/Table1[[#This Row],[Total Projects]]</f>
        <v>0.52063492063492067</v>
      </c>
      <c r="G4" s="7">
        <f>Table1[[#This Row],[Number Failed]]/Table1[[#This Row],[Total Projects]]</f>
        <v>0.4</v>
      </c>
      <c r="H4" s="7">
        <f>Table1[[#This Row],[Number Canceled]]/Table1[[#This Row],[Total Projects]]</f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>SUM(Table1[[#This Row],[Number Successful]:[Number Canceled]])</f>
        <v>9</v>
      </c>
      <c r="F5" s="7">
        <f>Table1[[#This Row],[Number Successful]]/Table1[[#This Row],[Total Projects]]</f>
        <v>0.44444444444444442</v>
      </c>
      <c r="G5" s="7">
        <f>Table1[[#This Row],[Number Failed]]/Table1[[#This Row],[Total Projects]]</f>
        <v>0.55555555555555558</v>
      </c>
      <c r="H5" s="7">
        <f>Table1[[#This Row],[Number Canceled]]/Table1[[#This Row],[Total Projects]]</f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>SUM(Table1[[#This Row],[Number Successful]:[Number Canceled]])</f>
        <v>10</v>
      </c>
      <c r="F6" s="7">
        <f>Table1[[#This Row],[Number Successful]]/Table1[[#This Row],[Total Projects]]</f>
        <v>1</v>
      </c>
      <c r="G6" s="7">
        <f>Table1[[#This Row],[Number Failed]]/Table1[[#This Row],[Total Projects]]</f>
        <v>0</v>
      </c>
      <c r="H6" s="7">
        <f>Table1[[#This Row],[Number Canceled]]/Table1[[#This Row],[Total Projects]]</f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>SUM(Table1[[#This Row],[Number Successful]:[Number Canceled]])</f>
        <v>7</v>
      </c>
      <c r="F7" s="7">
        <f>Table1[[#This Row],[Number Successful]]/Table1[[#This Row],[Total Projects]]</f>
        <v>1</v>
      </c>
      <c r="G7" s="7">
        <f>Table1[[#This Row],[Number Failed]]/Table1[[#This Row],[Total Projects]]</f>
        <v>0</v>
      </c>
      <c r="H7" s="7">
        <f>Table1[[#This Row],[Number Canceled]]/Table1[[#This Row],[Total Projects]]</f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>SUM(Table1[[#This Row],[Number Successful]:[Number Canceled]])</f>
        <v>14</v>
      </c>
      <c r="F8" s="7">
        <f>Table1[[#This Row],[Number Successful]]/Table1[[#This Row],[Total Projects]]</f>
        <v>0.7857142857142857</v>
      </c>
      <c r="G8" s="7">
        <f>Table1[[#This Row],[Number Failed]]/Table1[[#This Row],[Total Projects]]</f>
        <v>0.21428571428571427</v>
      </c>
      <c r="H8" s="7">
        <f>Table1[[#This Row],[Number Canceled]]/Table1[[#This Row],[Total Projects]]</f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>SUM(Table1[[#This Row],[Number Successful]:[Number Canceled]])</f>
        <v>7</v>
      </c>
      <c r="F9" s="7">
        <f>Table1[[#This Row],[Number Successful]]/Table1[[#This Row],[Total Projects]]</f>
        <v>1</v>
      </c>
      <c r="G9" s="7">
        <f>Table1[[#This Row],[Number Failed]]/Table1[[#This Row],[Total Projects]]</f>
        <v>0</v>
      </c>
      <c r="H9" s="7">
        <f>Table1[[#This Row],[Number Canceled]]/Table1[[#This Row],[Total Projects]]</f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>SUM(Table1[[#This Row],[Number Successful]:[Number Canceled]])</f>
        <v>12</v>
      </c>
      <c r="F10" s="7">
        <f>Table1[[#This Row],[Number Successful]]/Table1[[#This Row],[Total Projects]]</f>
        <v>0.66666666666666663</v>
      </c>
      <c r="G10" s="7">
        <f>Table1[[#This Row],[Number Failed]]/Table1[[#This Row],[Total Projects]]</f>
        <v>0.25</v>
      </c>
      <c r="H10" s="7">
        <f>Table1[[#This Row],[Number Canceled]]/Table1[[#This Row],[Total Projects]]</f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>SUM(Table1[[#This Row],[Number Successful]:[Number Canceled]])</f>
        <v>14</v>
      </c>
      <c r="F11" s="7">
        <f>Table1[[#This Row],[Number Successful]]/Table1[[#This Row],[Total Projects]]</f>
        <v>0.7857142857142857</v>
      </c>
      <c r="G11" s="7">
        <f>Table1[[#This Row],[Number Failed]]/Table1[[#This Row],[Total Projects]]</f>
        <v>0.21428571428571427</v>
      </c>
      <c r="H11" s="7">
        <f>Table1[[#This Row],[Number Canceled]]/Table1[[#This Row],[Total Projects]]</f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>SUM(Table1[[#This Row],[Number Successful]:[Number Canceled]])</f>
        <v>11</v>
      </c>
      <c r="F12" s="7">
        <f>Table1[[#This Row],[Number Successful]]/Table1[[#This Row],[Total Projects]]</f>
        <v>0.72727272727272729</v>
      </c>
      <c r="G12" s="7">
        <f>Table1[[#This Row],[Number Failed]]/Table1[[#This Row],[Total Projects]]</f>
        <v>0.27272727272727271</v>
      </c>
      <c r="H12" s="7">
        <f>Table1[[#This Row],[Number Canceled]]/Table1[[#This Row],[Total Projects]]</f>
        <v>0</v>
      </c>
    </row>
    <row r="13" spans="1:8" x14ac:dyDescent="0.25">
      <c r="A13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>SUM(Table1[[#This Row],[Number Successful]:[Number Canceled]])</f>
        <v>305</v>
      </c>
      <c r="F13" s="7">
        <f>Table1[[#This Row],[Number Successful]]/Table1[[#This Row],[Total Projects]]</f>
        <v>0.3737704918032787</v>
      </c>
      <c r="G13" s="7">
        <f>Table1[[#This Row],[Number Failed]]/Table1[[#This Row],[Total Projects]]</f>
        <v>0.53442622950819674</v>
      </c>
      <c r="H13" s="7">
        <f>Table1[[#This Row],[Number Canceled]]/Table1[[#This Row],[Total Projects]]</f>
        <v>9.1803278688524587E-2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4296-CD04-415F-8B62-54AD3EB2E4E8}">
  <dimension ref="B1:F19"/>
  <sheetViews>
    <sheetView tabSelected="1" topLeftCell="A7" workbookViewId="0">
      <selection activeCell="H28" sqref="H28"/>
    </sheetView>
  </sheetViews>
  <sheetFormatPr defaultRowHeight="15.75" x14ac:dyDescent="0.25"/>
  <cols>
    <col min="1" max="1" width="7.75" customWidth="1"/>
    <col min="2" max="2" width="11.125" customWidth="1"/>
    <col min="3" max="3" width="14.5" customWidth="1"/>
    <col min="4" max="4" width="11" customWidth="1"/>
    <col min="6" max="6" width="14.125" customWidth="1"/>
    <col min="11" max="11" width="9.875" bestFit="1" customWidth="1"/>
  </cols>
  <sheetData>
    <row r="1" spans="2:6" ht="16.5" thickBot="1" x14ac:dyDescent="0.3"/>
    <row r="2" spans="2:6" x14ac:dyDescent="0.25">
      <c r="B2" s="8" t="s">
        <v>2106</v>
      </c>
      <c r="C2" s="14" t="s">
        <v>5</v>
      </c>
      <c r="D2" s="12"/>
      <c r="E2" s="21" t="s">
        <v>2106</v>
      </c>
      <c r="F2" s="13" t="s">
        <v>5</v>
      </c>
    </row>
    <row r="3" spans="2:6" x14ac:dyDescent="0.25">
      <c r="B3" s="9" t="s">
        <v>2107</v>
      </c>
      <c r="C3" s="15">
        <v>158</v>
      </c>
      <c r="D3" s="17"/>
      <c r="E3" t="s">
        <v>2108</v>
      </c>
      <c r="F3" s="19">
        <v>0</v>
      </c>
    </row>
    <row r="4" spans="2:6" x14ac:dyDescent="0.25">
      <c r="B4" s="9" t="s">
        <v>2107</v>
      </c>
      <c r="C4" s="15">
        <v>1425</v>
      </c>
      <c r="D4" s="17"/>
      <c r="E4" t="s">
        <v>2108</v>
      </c>
      <c r="F4" s="19">
        <v>24</v>
      </c>
    </row>
    <row r="5" spans="2:6" x14ac:dyDescent="0.25">
      <c r="B5" s="9" t="s">
        <v>2107</v>
      </c>
      <c r="C5" s="15">
        <v>174</v>
      </c>
      <c r="D5" s="17"/>
      <c r="E5" t="s">
        <v>2108</v>
      </c>
      <c r="F5" s="19">
        <v>53</v>
      </c>
    </row>
    <row r="6" spans="2:6" x14ac:dyDescent="0.25">
      <c r="B6" s="9" t="s">
        <v>2107</v>
      </c>
      <c r="C6" s="15">
        <v>227</v>
      </c>
      <c r="D6" s="17"/>
      <c r="E6" t="s">
        <v>2108</v>
      </c>
      <c r="F6" s="19">
        <v>18</v>
      </c>
    </row>
    <row r="7" spans="2:6" x14ac:dyDescent="0.25">
      <c r="B7" s="9" t="s">
        <v>2107</v>
      </c>
      <c r="C7" s="15">
        <v>220</v>
      </c>
      <c r="D7" s="17"/>
      <c r="E7" t="s">
        <v>2108</v>
      </c>
      <c r="F7" s="19">
        <v>44</v>
      </c>
    </row>
    <row r="8" spans="2:6" x14ac:dyDescent="0.25">
      <c r="B8" s="9" t="s">
        <v>2107</v>
      </c>
      <c r="C8" s="15">
        <v>98</v>
      </c>
      <c r="D8" s="17"/>
      <c r="E8" t="s">
        <v>2108</v>
      </c>
      <c r="F8" s="19">
        <v>27</v>
      </c>
    </row>
    <row r="9" spans="2:6" x14ac:dyDescent="0.25">
      <c r="B9" s="9" t="s">
        <v>2107</v>
      </c>
      <c r="C9" s="15">
        <v>100</v>
      </c>
      <c r="D9" s="17"/>
      <c r="E9" t="s">
        <v>2108</v>
      </c>
      <c r="F9" s="19">
        <v>55</v>
      </c>
    </row>
    <row r="10" spans="2:6" x14ac:dyDescent="0.25">
      <c r="B10" s="9" t="s">
        <v>2107</v>
      </c>
      <c r="C10" s="15">
        <v>1249</v>
      </c>
      <c r="D10" s="17"/>
      <c r="E10" t="s">
        <v>2108</v>
      </c>
      <c r="F10" s="19">
        <v>200</v>
      </c>
    </row>
    <row r="11" spans="2:6" ht="16.5" thickBot="1" x14ac:dyDescent="0.3">
      <c r="B11" s="10" t="s">
        <v>2107</v>
      </c>
      <c r="C11" s="16">
        <v>1396</v>
      </c>
      <c r="D11" s="18"/>
      <c r="E11" s="11" t="s">
        <v>2108</v>
      </c>
      <c r="F11" s="20">
        <v>452</v>
      </c>
    </row>
    <row r="13" spans="2:6" x14ac:dyDescent="0.25">
      <c r="C13" t="s">
        <v>2107</v>
      </c>
      <c r="F13" t="s">
        <v>2108</v>
      </c>
    </row>
    <row r="14" spans="2:6" x14ac:dyDescent="0.25">
      <c r="B14" s="24" t="s">
        <v>2109</v>
      </c>
      <c r="C14" s="22">
        <f>AVERAGE(C3:C11)</f>
        <v>560.77777777777783</v>
      </c>
      <c r="E14" s="24" t="s">
        <v>2109</v>
      </c>
      <c r="F14" s="23">
        <f>AVERAGE(F3:F11)</f>
        <v>97</v>
      </c>
    </row>
    <row r="15" spans="2:6" x14ac:dyDescent="0.25">
      <c r="B15" s="24" t="s">
        <v>2110</v>
      </c>
      <c r="C15" s="23">
        <f>MEDIAN(C3:C11)</f>
        <v>220</v>
      </c>
      <c r="E15" s="24" t="s">
        <v>2110</v>
      </c>
      <c r="F15" s="23">
        <f>MEDIAN(F3:F11)</f>
        <v>44</v>
      </c>
    </row>
    <row r="16" spans="2:6" x14ac:dyDescent="0.25">
      <c r="B16" s="24" t="s">
        <v>2111</v>
      </c>
      <c r="C16" s="23">
        <f>MIN(C3:C11)</f>
        <v>98</v>
      </c>
      <c r="E16" s="24" t="s">
        <v>2111</v>
      </c>
      <c r="F16" s="23">
        <f>MIN(F3:F11)</f>
        <v>0</v>
      </c>
    </row>
    <row r="17" spans="2:6" x14ac:dyDescent="0.25">
      <c r="B17" s="24" t="s">
        <v>2112</v>
      </c>
      <c r="C17" s="23">
        <f>MAX(C3:C11)</f>
        <v>1425</v>
      </c>
      <c r="E17" s="24" t="s">
        <v>2112</v>
      </c>
      <c r="F17" s="23">
        <f>MAX(F3:F11)</f>
        <v>452</v>
      </c>
    </row>
    <row r="18" spans="2:6" x14ac:dyDescent="0.25">
      <c r="B18" s="24" t="s">
        <v>2113</v>
      </c>
      <c r="C18" s="22">
        <f>_xlfn.VAR.S(C3:C11)</f>
        <v>360496.19444444444</v>
      </c>
      <c r="E18" s="24" t="s">
        <v>2113</v>
      </c>
      <c r="F18" s="22">
        <f>_xlfn.VAR.S(F3:F11)</f>
        <v>21127.75</v>
      </c>
    </row>
    <row r="19" spans="2:6" x14ac:dyDescent="0.25">
      <c r="B19" s="24" t="s">
        <v>2114</v>
      </c>
      <c r="C19" s="22">
        <f>_xlfn.STDEV.S(C3:C11)</f>
        <v>600.41335298646084</v>
      </c>
      <c r="E19" s="24" t="s">
        <v>2114</v>
      </c>
      <c r="F19" s="22">
        <f>_xlfn.STDEV.S(F3:F11)</f>
        <v>145.3538785172243</v>
      </c>
    </row>
  </sheetData>
  <sortState xmlns:xlrd2="http://schemas.microsoft.com/office/spreadsheetml/2017/richdata2" ref="H3:I13">
    <sortCondition ref="H3:H13"/>
  </sortState>
  <conditionalFormatting sqref="B3:B11 C13:C14">
    <cfRule type="containsText" dxfId="2" priority="3" operator="containsText" text="Successful">
      <formula>NOT(ISERROR(SEARCH("Successful",B3)))</formula>
    </cfRule>
  </conditionalFormatting>
  <conditionalFormatting sqref="E3:E11 F13">
    <cfRule type="containsText" dxfId="1" priority="2" operator="containsText" text="Failed">
      <formula>NOT(ISERROR(SEARCH("Failed",E3)))</formula>
    </cfRule>
  </conditionalFormatting>
  <conditionalFormatting sqref="F14">
    <cfRule type="containsText" dxfId="0" priority="1" operator="containsText" text="Successful">
      <formula>NOT(ISERROR(SEARCH("Successful",F14)))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Outcome(Parent Category)</vt:lpstr>
      <vt:lpstr>Outcome(sub-catergory)</vt:lpstr>
      <vt:lpstr>Outcome(Years-Created)</vt:lpstr>
      <vt:lpstr>Outcome(Goal)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 Awosanya Frazier</cp:lastModifiedBy>
  <dcterms:created xsi:type="dcterms:W3CDTF">2021-09-29T18:52:28Z</dcterms:created>
  <dcterms:modified xsi:type="dcterms:W3CDTF">2023-10-05T20:37:13Z</dcterms:modified>
</cp:coreProperties>
</file>