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OREX\MT5_1\MQL5\Experts\Projects\Sharing-Projects\Misc\Exercises\Conta\"/>
    </mc:Choice>
  </mc:AlternateContent>
  <xr:revisionPtr revIDLastSave="0" documentId="13_ncr:1_{64EDDF50-52D9-4DB7-967F-FEB2FC221595}" xr6:coauthVersionLast="47" xr6:coauthVersionMax="47" xr10:uidLastSave="{00000000-0000-0000-0000-000000000000}"/>
  <bookViews>
    <workbookView xWindow="0" yWindow="0" windowWidth="24330" windowHeight="20880" tabRatio="783" firstSheet="1" activeTab="1" xr2:uid="{00000000-000D-0000-FFFF-FFFF00000000}"/>
  </bookViews>
  <sheets>
    <sheet name="Caratula" sheetId="11" r:id="rId1"/>
    <sheet name="Situación Financiera" sheetId="1" r:id="rId2"/>
    <sheet name="Resultados Integrales" sheetId="2" r:id="rId3"/>
    <sheet name="Ventas" sheetId="3" r:id="rId4"/>
    <sheet name="Compras_COGS" sheetId="4" r:id="rId5"/>
    <sheet name="Gastos_Operativos" sheetId="5" r:id="rId6"/>
    <sheet name="Estado_Resultados_Proj" sheetId="6" r:id="rId7"/>
    <sheet name="Flujo_Caja_Proj" sheetId="7" r:id="rId8"/>
    <sheet name="Balance_31-03-2015" sheetId="8" r:id="rId9"/>
    <sheet name="Ratios_Decisiones" sheetId="9" r:id="rId10"/>
    <sheet name="Decisiones_Clave" sheetId="10" r:id="rId11"/>
  </sheets>
  <calcPr calcId="191029"/>
</workbook>
</file>

<file path=xl/calcChain.xml><?xml version="1.0" encoding="utf-8"?>
<calcChain xmlns="http://schemas.openxmlformats.org/spreadsheetml/2006/main">
  <c r="B6" i="6" l="1"/>
  <c r="B5" i="6"/>
  <c r="H6" i="5"/>
  <c r="D6" i="5"/>
  <c r="G6" i="5" s="1"/>
  <c r="E6" i="6" s="1"/>
  <c r="H5" i="5"/>
  <c r="D5" i="5"/>
  <c r="G5" i="5" s="1"/>
  <c r="E5" i="6" s="1"/>
  <c r="C6" i="4"/>
  <c r="C6" i="6" s="1"/>
  <c r="C5" i="4"/>
  <c r="C5" i="6" s="1"/>
  <c r="B8" i="3"/>
  <c r="D6" i="3"/>
  <c r="B6" i="8" s="1"/>
  <c r="C6" i="3"/>
  <c r="C6" i="7" s="1"/>
  <c r="D5" i="3"/>
  <c r="D8" i="3" s="1"/>
  <c r="C5" i="3"/>
  <c r="C8" i="3" s="1"/>
  <c r="D5" i="6" l="1"/>
  <c r="F5" i="6" s="1"/>
  <c r="H5" i="6" s="1"/>
  <c r="D6" i="6"/>
  <c r="F6" i="6" s="1"/>
  <c r="H6" i="6" s="1"/>
  <c r="D5" i="4"/>
  <c r="E5" i="4"/>
  <c r="D6" i="4"/>
  <c r="B7" i="8" s="1"/>
  <c r="B7" i="9" s="1"/>
  <c r="E6" i="4"/>
  <c r="C5" i="7"/>
  <c r="G6" i="4" l="1"/>
  <c r="F6" i="4"/>
  <c r="D6" i="7" s="1"/>
  <c r="I6" i="6"/>
  <c r="J6" i="6" s="1"/>
  <c r="G5" i="4"/>
  <c r="F5" i="4"/>
  <c r="D5" i="7" s="1"/>
  <c r="E5" i="7" s="1"/>
  <c r="B6" i="7" s="1"/>
  <c r="I5" i="6"/>
  <c r="J5" i="6"/>
  <c r="E6" i="7" l="1"/>
  <c r="B5" i="8" s="1"/>
  <c r="B6" i="9" s="1"/>
  <c r="B5" i="9"/>
  <c r="B11" i="8"/>
  <c r="K6" i="6"/>
  <c r="L6" i="6" s="1"/>
  <c r="K5" i="6"/>
  <c r="L5" i="6" s="1"/>
  <c r="B9" i="9" l="1"/>
  <c r="B8" i="9"/>
  <c r="B10" i="8"/>
</calcChain>
</file>

<file path=xl/sharedStrings.xml><?xml version="1.0" encoding="utf-8"?>
<sst xmlns="http://schemas.openxmlformats.org/spreadsheetml/2006/main" count="141" uniqueCount="109">
  <si>
    <t>ANTARES S.A.C.</t>
  </si>
  <si>
    <t>ESTADO DE SITUACIÓN FINANCIERA</t>
  </si>
  <si>
    <t>(Expresado en Nuevos Soles)</t>
  </si>
  <si>
    <t>Al 31 de diciembre de 2014</t>
  </si>
  <si>
    <t>Descripción</t>
  </si>
  <si>
    <t>Valor (S/.)</t>
  </si>
  <si>
    <t>Activo Corriente</t>
  </si>
  <si>
    <t>Efectivo y equivalentes de efectivo</t>
  </si>
  <si>
    <t>Cuentas por cobrar comerciales - terceros</t>
  </si>
  <si>
    <t>Servicios y otros contratos por anticipado</t>
  </si>
  <si>
    <t>Materiales auxiliares y suministros</t>
  </si>
  <si>
    <t>Activo No Corriente</t>
  </si>
  <si>
    <t>Inmuebles, maquinaria y equipo</t>
  </si>
  <si>
    <t>Depreciación acumulada</t>
  </si>
  <si>
    <t>Pasivo Corriente</t>
  </si>
  <si>
    <t>Tributos por pagar</t>
  </si>
  <si>
    <t>Remuneraciones y participaciones por pagar</t>
  </si>
  <si>
    <t>Cuentas por pagar comerciales - terceros</t>
  </si>
  <si>
    <t>Obligaciones financieras</t>
  </si>
  <si>
    <t>Pasivo No Corriente</t>
  </si>
  <si>
    <t>Patrimonio</t>
  </si>
  <si>
    <t>Capital</t>
  </si>
  <si>
    <t>Reserva legal acumulada</t>
  </si>
  <si>
    <t>Resultados acumulados</t>
  </si>
  <si>
    <t>Total Activo Corriente</t>
  </si>
  <si>
    <t>Total Activo No Corriente</t>
  </si>
  <si>
    <t>Total Pasivo Corriente</t>
  </si>
  <si>
    <t>Total Pasivo No Corriente</t>
  </si>
  <si>
    <t>Total Patrimonio</t>
  </si>
  <si>
    <t>Totales</t>
  </si>
  <si>
    <t>Total Activo</t>
  </si>
  <si>
    <t>Total Pasivo y Patrimonio</t>
  </si>
  <si>
    <t>ESTADO DE RESULTADOS INTEGRALES</t>
  </si>
  <si>
    <t xml:space="preserve">    Ventas Netas</t>
  </si>
  <si>
    <t xml:space="preserve">    Costo de Servicios</t>
  </si>
  <si>
    <t>Utilidad Bruta</t>
  </si>
  <si>
    <t xml:space="preserve">    Gastos de Administración</t>
  </si>
  <si>
    <t xml:space="preserve">    Gastos de Ventas</t>
  </si>
  <si>
    <t>Utilidad Operativa</t>
  </si>
  <si>
    <t>Gastos Financieros</t>
  </si>
  <si>
    <t>Resultado Antes de Participaciones e Impuestos</t>
  </si>
  <si>
    <t>Participación Trabajadores (5%)</t>
  </si>
  <si>
    <t>Utilidad Antes de Impuestos</t>
  </si>
  <si>
    <t>Impuesto a la Renta (30%)</t>
  </si>
  <si>
    <t>Utilidad Neta del Ejercicio</t>
  </si>
  <si>
    <t>ANTARES S.A.C. – Presupuesto de Ventas y Cobranza</t>
  </si>
  <si>
    <t>(Expresado en S/.)   Feb – Mar 2015</t>
  </si>
  <si>
    <t>Mes</t>
  </si>
  <si>
    <t>Ventas</t>
  </si>
  <si>
    <t>Cobro Contado</t>
  </si>
  <si>
    <t>Cobro 30 días</t>
  </si>
  <si>
    <t>Feb</t>
  </si>
  <si>
    <t>Mar</t>
  </si>
  <si>
    <t>TOTAL</t>
  </si>
  <si>
    <t>ANTARES S.A.C. – Presupuesto de Compras &amp; COGS</t>
  </si>
  <si>
    <t>Inv. Inicial</t>
  </si>
  <si>
    <t>COGS</t>
  </si>
  <si>
    <t>Inv. Final</t>
  </si>
  <si>
    <t>Compras</t>
  </si>
  <si>
    <t>Pago Contado</t>
  </si>
  <si>
    <t>Pago 60 días</t>
  </si>
  <si>
    <t>ANTARES S.A.C. – Presupuesto de Gastos Operativos</t>
  </si>
  <si>
    <t>Sueldos</t>
  </si>
  <si>
    <t>Alquiler</t>
  </si>
  <si>
    <t>Comisiones</t>
  </si>
  <si>
    <t>Depreciación</t>
  </si>
  <si>
    <t>Amort. Seguros</t>
  </si>
  <si>
    <t>Gastos Efectivo</t>
  </si>
  <si>
    <t>Gastos No Efect.</t>
  </si>
  <si>
    <t>ANTARES S.A.C. – Estado de Resultados Proyectado</t>
  </si>
  <si>
    <t>Costo Ventas</t>
  </si>
  <si>
    <t>Gastos Operativos</t>
  </si>
  <si>
    <t>Resultado Antes Part</t>
  </si>
  <si>
    <t>Partic. Trab (5%)</t>
  </si>
  <si>
    <t>Util. Antes IR</t>
  </si>
  <si>
    <t>Impuesto (30%)</t>
  </si>
  <si>
    <t>Utilidad Neta</t>
  </si>
  <si>
    <t>ANTARES S.A.C. – Flujo de Caja Proyectado</t>
  </si>
  <si>
    <t>Efectivo Inicial</t>
  </si>
  <si>
    <t>Entradas</t>
  </si>
  <si>
    <t>Salidas</t>
  </si>
  <si>
    <t>Efectivo Final</t>
  </si>
  <si>
    <t>ANTARES S.A.C. – Estado de Situación Financiera</t>
  </si>
  <si>
    <t>(Expresado en S/.)   Al 31-03-2015</t>
  </si>
  <si>
    <t>Cuenta</t>
  </si>
  <si>
    <t>Monto</t>
  </si>
  <si>
    <t>Efectivo</t>
  </si>
  <si>
    <t>Ctas por Cobrar</t>
  </si>
  <si>
    <t>Inventario</t>
  </si>
  <si>
    <t>Pagos Anticipados</t>
  </si>
  <si>
    <t>PPE Neta</t>
  </si>
  <si>
    <t>Ctas por Pagar</t>
  </si>
  <si>
    <t>Tributos x Pagar</t>
  </si>
  <si>
    <t>Oblig. Financieras</t>
  </si>
  <si>
    <t>ANTARES S.A.C. – Ratios Financieros Proyectados</t>
  </si>
  <si>
    <t>(Expresado en S/.)   31-03-2015</t>
  </si>
  <si>
    <t>Ratio</t>
  </si>
  <si>
    <t>Razón Corriente</t>
  </si>
  <si>
    <t>Razón Rápida</t>
  </si>
  <si>
    <t>Endeudamiento</t>
  </si>
  <si>
    <t>ROE (Feb-Mar)</t>
  </si>
  <si>
    <t>Margen Neto</t>
  </si>
  <si>
    <t>ANTARES S.A.C. – Línea de Acción Gerencial</t>
  </si>
  <si>
    <t>Decisiones Clave</t>
  </si>
  <si>
    <t>Extender pago a proveedores a 90 días</t>
  </si>
  <si>
    <t>Descuento 3 % pronto-pago clientes</t>
  </si>
  <si>
    <t>Refinanciar deuda en línea revolvente</t>
  </si>
  <si>
    <t>Reducir inventario a 15 % del COGS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</si>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</sst>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C9C9C"/>
      </left>
      <right style="thin">
        <color rgb="FF9C9C9C"/>
      </right>
      <top style="thin">
        <color rgb="FF9C9C9C"/>
      </top>
      <bottom style="thin">
        <color rgb="FF9C9C9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5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5" fillId="0" borderId="0" xfId="0" applyFont="1"/>
    <xf numFmtId="0" fontId="8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" fontId="0" fillId="0" borderId="4" xfId="0" applyNumberFormat="1" applyBorder="1" applyAlignment="1">
      <alignment horizontal="right" vertical="center"/>
    </xf>
    <xf numFmtId="0" fontId="8" fillId="0" borderId="0" xfId="0" applyFont="1"/>
    <xf numFmtId="0" fontId="4" fillId="3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57149</xdr:rowOff>
    </xdr:from>
    <xdr:to>
      <xdr:col>4</xdr:col>
      <xdr:colOff>742950</xdr:colOff>
      <xdr:row>39</xdr:row>
      <xdr:rowOff>96652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47660C-7E49-EE03-D02A-C59355E71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57149"/>
          <a:ext cx="3771900" cy="7469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399D-B9A7-4376-95F8-1ADF9C7BEDDE}">
  <dimension ref="A1"/>
  <sheetViews>
    <sheetView workbookViewId="0">
      <selection activeCell="H21" sqref="H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workbookViewId="0">
      <pane ySplit="4" topLeftCell="A5" activePane="bottomLeft" state="frozen"/>
      <selection pane="bottomLeft" activeCell="C20" sqref="C20"/>
    </sheetView>
  </sheetViews>
  <sheetFormatPr baseColWidth="10" defaultColWidth="9.140625" defaultRowHeight="15" x14ac:dyDescent="0.25"/>
  <cols>
    <col min="1" max="1" width="20.7109375" customWidth="1"/>
    <col min="2" max="6" width="18" customWidth="1"/>
  </cols>
  <sheetData>
    <row r="1" spans="1:6" ht="21.95" customHeight="1" x14ac:dyDescent="0.3">
      <c r="A1" s="18" t="s">
        <v>94</v>
      </c>
      <c r="B1" s="15"/>
      <c r="C1" s="15"/>
      <c r="D1" s="15"/>
      <c r="E1" s="15"/>
      <c r="F1" s="15"/>
    </row>
    <row r="2" spans="1:6" ht="18" customHeight="1" x14ac:dyDescent="0.25">
      <c r="A2" s="17" t="s">
        <v>95</v>
      </c>
      <c r="B2" s="15"/>
      <c r="C2" s="15"/>
      <c r="D2" s="15"/>
      <c r="E2" s="15"/>
      <c r="F2" s="15"/>
    </row>
    <row r="3" spans="1:6" x14ac:dyDescent="0.25">
      <c r="A3" t="s">
        <v>96</v>
      </c>
      <c r="B3" t="s">
        <v>108</v>
      </c>
    </row>
    <row r="4" spans="1:6" ht="20.100000000000001" customHeight="1" x14ac:dyDescent="0.25">
      <c r="A4" s="7"/>
      <c r="B4" s="7"/>
      <c r="C4" s="7"/>
      <c r="D4" s="7"/>
      <c r="E4" s="7"/>
      <c r="F4" s="7"/>
    </row>
    <row r="5" spans="1:6" ht="18" customHeight="1" x14ac:dyDescent="0.25">
      <c r="A5" s="8" t="s">
        <v>97</v>
      </c>
      <c r="B5" s="8">
        <f>'Balance_31-03-2015'!$B$5/'Balance_31-03-2015'!$B$7</f>
        <v>0.12958686928491547</v>
      </c>
      <c r="C5" s="8"/>
      <c r="D5" s="8"/>
      <c r="E5" s="8"/>
      <c r="F5" s="8"/>
    </row>
    <row r="6" spans="1:6" ht="18" customHeight="1" x14ac:dyDescent="0.25">
      <c r="A6" s="8" t="s">
        <v>98</v>
      </c>
      <c r="B6" s="8">
        <f>('Balance_31-03-2015'!$B$5+'Balance_31-03-2015'!$B$6)/'Balance_31-03-2015'!$B$7</f>
        <v>1.9073646470626933</v>
      </c>
      <c r="C6" s="8"/>
      <c r="D6" s="8"/>
      <c r="E6" s="8"/>
      <c r="F6" s="8"/>
    </row>
    <row r="7" spans="1:6" ht="18" customHeight="1" x14ac:dyDescent="0.25">
      <c r="A7" s="8" t="s">
        <v>99</v>
      </c>
      <c r="B7" s="8">
        <f>'Balance_31-03-2015'!$B$7/('Balance_31-03-2015'!$B$7+'Balance_31-03-2015'!$B$9)</f>
        <v>0.23771174275914522</v>
      </c>
      <c r="C7" s="8"/>
      <c r="D7" s="8"/>
      <c r="E7" s="8"/>
      <c r="F7" s="8"/>
    </row>
    <row r="8" spans="1:6" ht="18" customHeight="1" x14ac:dyDescent="0.25">
      <c r="A8" s="8" t="s">
        <v>100</v>
      </c>
      <c r="B8" s="8">
        <f>(Estado_Resultados_Proj!$L5+Estado_Resultados_Proj!$L6)/'Balance_31-03-2015'!$B$9</f>
        <v>0.12993181406751134</v>
      </c>
      <c r="C8" s="8"/>
      <c r="D8" s="8"/>
      <c r="E8" s="8"/>
      <c r="F8" s="8"/>
    </row>
    <row r="9" spans="1:6" ht="18" customHeight="1" x14ac:dyDescent="0.25">
      <c r="A9" s="8" t="s">
        <v>101</v>
      </c>
      <c r="B9" s="8">
        <f>(Estado_Resultados_Proj!$L5+Estado_Resultados_Proj!$L6)/SUM(Ventas!$B$5:'Ventas'!$B$6)</f>
        <v>4.1682671931556434E-2</v>
      </c>
      <c r="C9" s="8"/>
      <c r="D9" s="8"/>
      <c r="E9" s="8"/>
      <c r="F9" s="8"/>
    </row>
  </sheetData>
  <mergeCells count="2">
    <mergeCell ref="A2:F2"/>
    <mergeCell ref="A1:F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4" topLeftCell="A5" activePane="bottomLeft" state="frozen"/>
      <selection pane="bottomLeft" activeCell="A13" sqref="A13"/>
    </sheetView>
  </sheetViews>
  <sheetFormatPr baseColWidth="10" defaultColWidth="9.140625" defaultRowHeight="15" x14ac:dyDescent="0.25"/>
  <cols>
    <col min="1" max="1" width="60" customWidth="1"/>
    <col min="2" max="6" width="18" customWidth="1"/>
  </cols>
  <sheetData>
    <row r="1" spans="1:6" ht="21.95" customHeight="1" x14ac:dyDescent="0.3">
      <c r="A1" s="18" t="s">
        <v>102</v>
      </c>
      <c r="B1" s="15"/>
      <c r="C1" s="15"/>
      <c r="D1" s="15"/>
      <c r="E1" s="15"/>
      <c r="F1" s="15"/>
    </row>
    <row r="2" spans="1:6" ht="18" customHeight="1" x14ac:dyDescent="0.25">
      <c r="A2" s="17"/>
      <c r="B2" s="15"/>
      <c r="C2" s="15"/>
      <c r="D2" s="15"/>
      <c r="E2" s="15"/>
      <c r="F2" s="15"/>
    </row>
    <row r="3" spans="1:6" x14ac:dyDescent="0.25">
      <c r="A3" t="s">
        <v>103</v>
      </c>
    </row>
    <row r="4" spans="1:6" ht="20.100000000000001" customHeight="1" x14ac:dyDescent="0.25">
      <c r="A4" s="7"/>
      <c r="B4" s="7"/>
      <c r="C4" s="7"/>
      <c r="D4" s="7"/>
      <c r="E4" s="7"/>
      <c r="F4" s="7"/>
    </row>
    <row r="5" spans="1:6" ht="18" customHeight="1" x14ac:dyDescent="0.25">
      <c r="A5" s="8" t="s">
        <v>104</v>
      </c>
      <c r="B5" s="8"/>
      <c r="C5" s="8"/>
      <c r="D5" s="8"/>
      <c r="E5" s="8"/>
      <c r="F5" s="8"/>
    </row>
    <row r="6" spans="1:6" ht="18" customHeight="1" x14ac:dyDescent="0.25">
      <c r="A6" s="8" t="s">
        <v>105</v>
      </c>
      <c r="B6" s="8"/>
      <c r="C6" s="8"/>
      <c r="D6" s="8"/>
      <c r="E6" s="8"/>
      <c r="F6" s="8"/>
    </row>
    <row r="7" spans="1:6" ht="18" customHeight="1" x14ac:dyDescent="0.25">
      <c r="A7" s="8" t="s">
        <v>106</v>
      </c>
      <c r="B7" s="8"/>
      <c r="C7" s="8"/>
      <c r="D7" s="8"/>
      <c r="E7" s="8"/>
      <c r="F7" s="8"/>
    </row>
    <row r="8" spans="1:6" ht="18" customHeight="1" x14ac:dyDescent="0.25">
      <c r="A8" s="8" t="s">
        <v>107</v>
      </c>
      <c r="B8" s="8"/>
      <c r="C8" s="8"/>
      <c r="D8" s="8"/>
      <c r="E8" s="8"/>
      <c r="F8" s="8"/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1"/>
  <sheetViews>
    <sheetView tabSelected="1" workbookViewId="0">
      <pane ySplit="6" topLeftCell="A7" activePane="bottomLeft" state="frozen"/>
      <selection pane="bottomLeft" activeCell="E21" sqref="E21"/>
    </sheetView>
  </sheetViews>
  <sheetFormatPr baseColWidth="10" defaultColWidth="9.140625" defaultRowHeight="15" x14ac:dyDescent="0.25"/>
  <cols>
    <col min="1" max="1" width="2.7109375" customWidth="1"/>
    <col min="2" max="2" width="45.7109375" customWidth="1"/>
    <col min="3" max="3" width="18.7109375" customWidth="1"/>
  </cols>
  <sheetData>
    <row r="1" spans="1:3" ht="20.100000000000001" customHeight="1" x14ac:dyDescent="0.3">
      <c r="A1" s="14" t="s">
        <v>0</v>
      </c>
      <c r="B1" s="15"/>
      <c r="C1" s="15"/>
    </row>
    <row r="2" spans="1:3" ht="20.100000000000001" customHeight="1" x14ac:dyDescent="0.25">
      <c r="A2" s="16" t="s">
        <v>1</v>
      </c>
      <c r="B2" s="15"/>
      <c r="C2" s="15"/>
    </row>
    <row r="3" spans="1:3" ht="20.100000000000001" customHeight="1" x14ac:dyDescent="0.25">
      <c r="A3" s="16" t="s">
        <v>2</v>
      </c>
      <c r="B3" s="15"/>
      <c r="C3" s="15"/>
    </row>
    <row r="4" spans="1:3" ht="20.100000000000001" customHeight="1" x14ac:dyDescent="0.25">
      <c r="A4" s="16" t="s">
        <v>3</v>
      </c>
      <c r="B4" s="15"/>
      <c r="C4" s="15"/>
    </row>
    <row r="6" spans="1:3" ht="18" customHeight="1" x14ac:dyDescent="0.25">
      <c r="A6" s="1"/>
      <c r="B6" s="1" t="s">
        <v>4</v>
      </c>
      <c r="C6" s="1" t="s">
        <v>5</v>
      </c>
    </row>
    <row r="8" spans="1:3" ht="15.95" customHeight="1" x14ac:dyDescent="0.25">
      <c r="A8" s="11" t="s">
        <v>6</v>
      </c>
      <c r="B8" s="12"/>
      <c r="C8" s="13"/>
    </row>
    <row r="9" spans="1:3" x14ac:dyDescent="0.25">
      <c r="B9" s="2" t="s">
        <v>7</v>
      </c>
      <c r="C9" s="3">
        <v>65347</v>
      </c>
    </row>
    <row r="10" spans="1:3" x14ac:dyDescent="0.25">
      <c r="B10" s="2" t="s">
        <v>8</v>
      </c>
      <c r="C10" s="3">
        <v>6120</v>
      </c>
    </row>
    <row r="11" spans="1:3" x14ac:dyDescent="0.25">
      <c r="B11" s="2" t="s">
        <v>9</v>
      </c>
      <c r="C11" s="3">
        <v>2843.95</v>
      </c>
    </row>
    <row r="12" spans="1:3" x14ac:dyDescent="0.25">
      <c r="B12" s="2" t="s">
        <v>10</v>
      </c>
      <c r="C12" s="3">
        <v>2595</v>
      </c>
    </row>
    <row r="14" spans="1:3" ht="15.95" customHeight="1" x14ac:dyDescent="0.25">
      <c r="A14" s="11" t="s">
        <v>11</v>
      </c>
      <c r="B14" s="12"/>
      <c r="C14" s="13"/>
    </row>
    <row r="15" spans="1:3" x14ac:dyDescent="0.25">
      <c r="B15" s="2" t="s">
        <v>12</v>
      </c>
      <c r="C15" s="3">
        <v>1544238.56</v>
      </c>
    </row>
    <row r="16" spans="1:3" x14ac:dyDescent="0.25">
      <c r="B16" s="2" t="s">
        <v>13</v>
      </c>
      <c r="C16" s="3">
        <v>-565981.27</v>
      </c>
    </row>
    <row r="18" spans="1:3" ht="15.95" customHeight="1" x14ac:dyDescent="0.25">
      <c r="A18" s="11" t="s">
        <v>14</v>
      </c>
      <c r="B18" s="12"/>
      <c r="C18" s="13"/>
    </row>
    <row r="19" spans="1:3" x14ac:dyDescent="0.25">
      <c r="B19" s="2" t="s">
        <v>15</v>
      </c>
      <c r="C19" s="3">
        <v>23680</v>
      </c>
    </row>
    <row r="20" spans="1:3" x14ac:dyDescent="0.25">
      <c r="B20" s="2" t="s">
        <v>16</v>
      </c>
      <c r="C20" s="3">
        <v>13850.39</v>
      </c>
    </row>
    <row r="21" spans="1:3" x14ac:dyDescent="0.25">
      <c r="B21" s="2" t="s">
        <v>17</v>
      </c>
      <c r="C21" s="3">
        <v>2940.2</v>
      </c>
    </row>
    <row r="22" spans="1:3" x14ac:dyDescent="0.25">
      <c r="B22" s="2" t="s">
        <v>18</v>
      </c>
      <c r="C22" s="3">
        <v>41454.93</v>
      </c>
    </row>
    <row r="24" spans="1:3" ht="15.95" customHeight="1" x14ac:dyDescent="0.25">
      <c r="A24" s="11" t="s">
        <v>19</v>
      </c>
      <c r="B24" s="12"/>
      <c r="C24" s="13"/>
    </row>
    <row r="25" spans="1:3" x14ac:dyDescent="0.25">
      <c r="B25" s="2" t="s">
        <v>18</v>
      </c>
      <c r="C25" s="3">
        <v>102497.31</v>
      </c>
    </row>
    <row r="27" spans="1:3" ht="15.95" customHeight="1" x14ac:dyDescent="0.25">
      <c r="A27" s="11" t="s">
        <v>20</v>
      </c>
      <c r="B27" s="12"/>
      <c r="C27" s="13"/>
    </row>
    <row r="28" spans="1:3" x14ac:dyDescent="0.25">
      <c r="B28" s="2" t="s">
        <v>21</v>
      </c>
      <c r="C28" s="3">
        <v>777307</v>
      </c>
    </row>
    <row r="29" spans="1:3" x14ac:dyDescent="0.25">
      <c r="B29" s="2" t="s">
        <v>22</v>
      </c>
      <c r="C29" s="3">
        <v>44222.1</v>
      </c>
    </row>
    <row r="30" spans="1:3" x14ac:dyDescent="0.25">
      <c r="B30" s="2" t="s">
        <v>23</v>
      </c>
      <c r="C30" s="3">
        <v>49211.31</v>
      </c>
    </row>
    <row r="32" spans="1:3" ht="15.95" customHeight="1" x14ac:dyDescent="0.25">
      <c r="A32" s="11" t="s">
        <v>6</v>
      </c>
      <c r="B32" s="12"/>
      <c r="C32" s="13"/>
    </row>
    <row r="33" spans="1:3" x14ac:dyDescent="0.25">
      <c r="B33" s="2" t="s">
        <v>24</v>
      </c>
      <c r="C33" s="3">
        <v>76905.95</v>
      </c>
    </row>
    <row r="35" spans="1:3" ht="15.95" customHeight="1" x14ac:dyDescent="0.25">
      <c r="A35" s="11" t="s">
        <v>11</v>
      </c>
      <c r="B35" s="12"/>
      <c r="C35" s="13"/>
    </row>
    <row r="36" spans="1:3" x14ac:dyDescent="0.25">
      <c r="B36" s="2" t="s">
        <v>25</v>
      </c>
      <c r="C36" s="3">
        <v>978257.29</v>
      </c>
    </row>
    <row r="38" spans="1:3" ht="15.95" customHeight="1" x14ac:dyDescent="0.25">
      <c r="A38" s="11" t="s">
        <v>14</v>
      </c>
      <c r="B38" s="12"/>
      <c r="C38" s="13"/>
    </row>
    <row r="39" spans="1:3" x14ac:dyDescent="0.25">
      <c r="B39" s="2" t="s">
        <v>26</v>
      </c>
      <c r="C39" s="3">
        <v>81925.51999999999</v>
      </c>
    </row>
    <row r="41" spans="1:3" ht="15.95" customHeight="1" x14ac:dyDescent="0.25">
      <c r="A41" s="11" t="s">
        <v>19</v>
      </c>
      <c r="B41" s="12"/>
      <c r="C41" s="13"/>
    </row>
    <row r="42" spans="1:3" x14ac:dyDescent="0.25">
      <c r="B42" s="2" t="s">
        <v>27</v>
      </c>
      <c r="C42" s="3">
        <v>102497.31</v>
      </c>
    </row>
    <row r="44" spans="1:3" ht="15.95" customHeight="1" x14ac:dyDescent="0.25">
      <c r="A44" s="11" t="s">
        <v>20</v>
      </c>
      <c r="B44" s="12"/>
      <c r="C44" s="13"/>
    </row>
    <row r="45" spans="1:3" x14ac:dyDescent="0.25">
      <c r="B45" s="2" t="s">
        <v>28</v>
      </c>
      <c r="C45" s="3">
        <v>870740.40999999992</v>
      </c>
    </row>
    <row r="47" spans="1:3" ht="15.95" customHeight="1" x14ac:dyDescent="0.25">
      <c r="A47" s="11" t="s">
        <v>29</v>
      </c>
      <c r="B47" s="12"/>
      <c r="C47" s="13"/>
    </row>
    <row r="48" spans="1:3" x14ac:dyDescent="0.25">
      <c r="B48" s="2" t="s">
        <v>30</v>
      </c>
      <c r="C48" s="3">
        <v>1055163.24</v>
      </c>
    </row>
    <row r="49" spans="1:3" x14ac:dyDescent="0.25">
      <c r="B49" s="2" t="s">
        <v>31</v>
      </c>
      <c r="C49" s="3">
        <v>1055163.24</v>
      </c>
    </row>
    <row r="51" spans="1:3" x14ac:dyDescent="0.25">
      <c r="A51" s="4"/>
    </row>
  </sheetData>
  <mergeCells count="15">
    <mergeCell ref="A41:C41"/>
    <mergeCell ref="A44:C44"/>
    <mergeCell ref="A47:C47"/>
    <mergeCell ref="A1:C1"/>
    <mergeCell ref="A32:C32"/>
    <mergeCell ref="A8:C8"/>
    <mergeCell ref="A14:C14"/>
    <mergeCell ref="A18:C18"/>
    <mergeCell ref="A27:C27"/>
    <mergeCell ref="A24:C24"/>
    <mergeCell ref="A3:C3"/>
    <mergeCell ref="A35:C35"/>
    <mergeCell ref="A4:C4"/>
    <mergeCell ref="A38:C38"/>
    <mergeCell ref="A2:C2"/>
  </mergeCells>
  <pageMargins left="0.7" right="0.7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0"/>
  <sheetViews>
    <sheetView workbookViewId="0">
      <pane ySplit="6" topLeftCell="A7" activePane="bottomLeft" state="frozen"/>
      <selection pane="bottomLeft" activeCell="B28" sqref="B28"/>
    </sheetView>
  </sheetViews>
  <sheetFormatPr baseColWidth="10" defaultColWidth="9.140625" defaultRowHeight="15" x14ac:dyDescent="0.25"/>
  <cols>
    <col min="1" max="1" width="2.7109375" customWidth="1"/>
    <col min="2" max="2" width="45.7109375" customWidth="1"/>
    <col min="3" max="3" width="18.7109375" customWidth="1"/>
  </cols>
  <sheetData>
    <row r="1" spans="1:3" ht="20.100000000000001" customHeight="1" x14ac:dyDescent="0.3">
      <c r="A1" s="14" t="s">
        <v>0</v>
      </c>
      <c r="B1" s="15"/>
      <c r="C1" s="15"/>
    </row>
    <row r="2" spans="1:3" ht="20.100000000000001" customHeight="1" x14ac:dyDescent="0.25">
      <c r="A2" s="16" t="s">
        <v>32</v>
      </c>
      <c r="B2" s="15"/>
      <c r="C2" s="15"/>
    </row>
    <row r="3" spans="1:3" ht="20.100000000000001" customHeight="1" x14ac:dyDescent="0.25">
      <c r="A3" s="16" t="s">
        <v>2</v>
      </c>
      <c r="B3" s="15"/>
      <c r="C3" s="15"/>
    </row>
    <row r="4" spans="1:3" ht="20.100000000000001" customHeight="1" x14ac:dyDescent="0.25">
      <c r="A4" s="16" t="s">
        <v>3</v>
      </c>
      <c r="B4" s="15"/>
      <c r="C4" s="15"/>
    </row>
    <row r="6" spans="1:3" ht="18" customHeight="1" x14ac:dyDescent="0.25">
      <c r="A6" s="5"/>
      <c r="B6" s="5" t="s">
        <v>4</v>
      </c>
      <c r="C6" s="5" t="s">
        <v>5</v>
      </c>
    </row>
    <row r="7" spans="1:3" x14ac:dyDescent="0.25">
      <c r="B7" s="2" t="s">
        <v>33</v>
      </c>
      <c r="C7" s="3">
        <v>730847.48</v>
      </c>
    </row>
    <row r="8" spans="1:3" x14ac:dyDescent="0.25">
      <c r="B8" s="2" t="s">
        <v>34</v>
      </c>
      <c r="C8" s="3">
        <v>-412532.41</v>
      </c>
    </row>
    <row r="9" spans="1:3" x14ac:dyDescent="0.25">
      <c r="B9" s="2" t="s">
        <v>35</v>
      </c>
      <c r="C9" s="3">
        <v>318315.07</v>
      </c>
    </row>
    <row r="10" spans="1:3" x14ac:dyDescent="0.25">
      <c r="B10" s="2" t="s">
        <v>36</v>
      </c>
      <c r="C10" s="3">
        <v>-212772.09</v>
      </c>
    </row>
    <row r="11" spans="1:3" x14ac:dyDescent="0.25">
      <c r="B11" s="2" t="s">
        <v>37</v>
      </c>
      <c r="C11" s="3">
        <v>-278.39999999999998</v>
      </c>
    </row>
    <row r="12" spans="1:3" x14ac:dyDescent="0.25">
      <c r="B12" s="2" t="s">
        <v>38</v>
      </c>
      <c r="C12" s="3">
        <v>105264.58</v>
      </c>
    </row>
    <row r="13" spans="1:3" x14ac:dyDescent="0.25">
      <c r="B13" s="2" t="s">
        <v>39</v>
      </c>
      <c r="C13" s="3">
        <v>-23040.18</v>
      </c>
    </row>
    <row r="14" spans="1:3" x14ac:dyDescent="0.25">
      <c r="B14" s="2" t="s">
        <v>40</v>
      </c>
      <c r="C14" s="3">
        <v>82224.400000000023</v>
      </c>
    </row>
    <row r="15" spans="1:3" x14ac:dyDescent="0.25">
      <c r="B15" s="2" t="s">
        <v>41</v>
      </c>
      <c r="C15" s="3">
        <v>-4111.2200000000012</v>
      </c>
    </row>
    <row r="16" spans="1:3" x14ac:dyDescent="0.25">
      <c r="B16" s="2" t="s">
        <v>42</v>
      </c>
      <c r="C16" s="3">
        <v>78113.180000000022</v>
      </c>
    </row>
    <row r="17" spans="1:3" x14ac:dyDescent="0.25">
      <c r="B17" s="2" t="s">
        <v>43</v>
      </c>
      <c r="C17" s="3">
        <v>-23433.954000000009</v>
      </c>
    </row>
    <row r="18" spans="1:3" x14ac:dyDescent="0.25">
      <c r="B18" s="2" t="s">
        <v>44</v>
      </c>
      <c r="C18" s="3">
        <v>54679.226000000017</v>
      </c>
    </row>
    <row r="20" spans="1:3" x14ac:dyDescent="0.25">
      <c r="A20" s="6"/>
    </row>
  </sheetData>
  <mergeCells count="4">
    <mergeCell ref="A1:C1"/>
    <mergeCell ref="A4:C4"/>
    <mergeCell ref="A3:C3"/>
    <mergeCell ref="A2:C2"/>
  </mergeCells>
  <pageMargins left="0.7" right="0.7" top="0.75" bottom="0.75" header="0.3" footer="0.3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pane ySplit="4" topLeftCell="A5" activePane="bottomLeft" state="frozen"/>
      <selection pane="bottomLeft" sqref="A1:F1"/>
    </sheetView>
  </sheetViews>
  <sheetFormatPr baseColWidth="10" defaultColWidth="9.140625" defaultRowHeight="15" x14ac:dyDescent="0.25"/>
  <cols>
    <col min="1" max="1" width="12" customWidth="1"/>
    <col min="2" max="6" width="18" customWidth="1"/>
  </cols>
  <sheetData>
    <row r="1" spans="1:6" ht="21.95" customHeight="1" x14ac:dyDescent="0.3">
      <c r="A1" s="18" t="s">
        <v>45</v>
      </c>
      <c r="B1" s="15"/>
      <c r="C1" s="15"/>
      <c r="D1" s="15"/>
      <c r="E1" s="15"/>
      <c r="F1" s="15"/>
    </row>
    <row r="2" spans="1:6" ht="18" customHeight="1" x14ac:dyDescent="0.25">
      <c r="A2" s="17" t="s">
        <v>46</v>
      </c>
      <c r="B2" s="15"/>
      <c r="C2" s="15"/>
      <c r="D2" s="15"/>
      <c r="E2" s="15"/>
      <c r="F2" s="15"/>
    </row>
    <row r="3" spans="1:6" x14ac:dyDescent="0.25">
      <c r="A3" t="s">
        <v>47</v>
      </c>
      <c r="B3" t="s">
        <v>48</v>
      </c>
      <c r="C3" t="s">
        <v>49</v>
      </c>
      <c r="D3" t="s">
        <v>50</v>
      </c>
    </row>
    <row r="4" spans="1:6" ht="20.100000000000001" customHeight="1" x14ac:dyDescent="0.25">
      <c r="A4" s="7"/>
      <c r="B4" s="7"/>
      <c r="C4" s="7"/>
      <c r="D4" s="7"/>
      <c r="E4" s="7"/>
      <c r="F4" s="7"/>
    </row>
    <row r="5" spans="1:6" ht="18" customHeight="1" x14ac:dyDescent="0.25">
      <c r="A5" s="8" t="s">
        <v>51</v>
      </c>
      <c r="B5" s="9">
        <v>1350000</v>
      </c>
      <c r="C5" s="8">
        <f>ROUND($B5*0.68,2)</f>
        <v>918000</v>
      </c>
      <c r="D5" s="8">
        <f>ROUND($B5*0.32,2)</f>
        <v>432000</v>
      </c>
      <c r="E5" s="8"/>
      <c r="F5" s="8"/>
    </row>
    <row r="6" spans="1:6" ht="18" customHeight="1" x14ac:dyDescent="0.25">
      <c r="A6" s="8" t="s">
        <v>52</v>
      </c>
      <c r="B6" s="9">
        <v>1689000</v>
      </c>
      <c r="C6" s="8">
        <f>ROUND($B6*0.68,2)</f>
        <v>1148520</v>
      </c>
      <c r="D6" s="8">
        <f>ROUND($B6*0.32,2)</f>
        <v>540480</v>
      </c>
      <c r="E6" s="8"/>
      <c r="F6" s="8"/>
    </row>
    <row r="8" spans="1:6" x14ac:dyDescent="0.25">
      <c r="A8" s="10" t="s">
        <v>53</v>
      </c>
      <c r="B8" s="10">
        <f>SUM(B5:B7)</f>
        <v>3039000</v>
      </c>
      <c r="C8" s="10">
        <f>SUM(C5:C7)</f>
        <v>2066520</v>
      </c>
      <c r="D8" s="10">
        <f>SUM(D5:D7)</f>
        <v>972480</v>
      </c>
    </row>
  </sheetData>
  <mergeCells count="2">
    <mergeCell ref="A2:F2"/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pane ySplit="4" topLeftCell="A5" activePane="bottomLeft" state="frozen"/>
      <selection pane="bottomLeft" activeCell="C53" sqref="C53"/>
    </sheetView>
  </sheetViews>
  <sheetFormatPr baseColWidth="10" defaultColWidth="9.140625" defaultRowHeight="15" x14ac:dyDescent="0.25"/>
  <cols>
    <col min="1" max="1" width="12" customWidth="1"/>
    <col min="2" max="6" width="18" customWidth="1"/>
  </cols>
  <sheetData>
    <row r="1" spans="1:7" ht="21.95" customHeight="1" x14ac:dyDescent="0.3">
      <c r="A1" s="18" t="s">
        <v>54</v>
      </c>
      <c r="B1" s="15"/>
      <c r="C1" s="15"/>
      <c r="D1" s="15"/>
      <c r="E1" s="15"/>
      <c r="F1" s="15"/>
    </row>
    <row r="2" spans="1:7" ht="18" customHeight="1" x14ac:dyDescent="0.25">
      <c r="A2" s="17" t="s">
        <v>46</v>
      </c>
      <c r="B2" s="15"/>
      <c r="C2" s="15"/>
      <c r="D2" s="15"/>
      <c r="E2" s="15"/>
      <c r="F2" s="15"/>
    </row>
    <row r="3" spans="1:7" x14ac:dyDescent="0.25">
      <c r="A3" t="s">
        <v>47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</row>
    <row r="4" spans="1:7" ht="20.100000000000001" customHeight="1" x14ac:dyDescent="0.25">
      <c r="A4" s="7"/>
      <c r="B4" s="7"/>
      <c r="C4" s="7"/>
      <c r="D4" s="7"/>
      <c r="E4" s="7"/>
      <c r="F4" s="7"/>
      <c r="G4" s="7"/>
    </row>
    <row r="5" spans="1:7" ht="18" customHeight="1" x14ac:dyDescent="0.25">
      <c r="A5" s="8" t="s">
        <v>51</v>
      </c>
      <c r="B5" s="8">
        <v>26400</v>
      </c>
      <c r="C5" s="8">
        <f>ROUND(Ventas!$B5*0.9,2)</f>
        <v>1215000</v>
      </c>
      <c r="D5" s="8">
        <f>ROUND($C5*0.2,2)</f>
        <v>243000</v>
      </c>
      <c r="E5" s="8">
        <f>ROUND($C5+$D5-$B5,2)</f>
        <v>1431600</v>
      </c>
      <c r="F5" s="8">
        <f>ROUND($E5*0.75,2)</f>
        <v>1073700</v>
      </c>
      <c r="G5" s="8">
        <f>ROUND($E5*0.25,2)</f>
        <v>357900</v>
      </c>
    </row>
    <row r="6" spans="1:7" ht="18" customHeight="1" x14ac:dyDescent="0.25">
      <c r="A6" s="8" t="s">
        <v>52</v>
      </c>
      <c r="B6" s="8">
        <v>26400</v>
      </c>
      <c r="C6" s="8">
        <f>ROUND(Ventas!$B6*0.9,2)</f>
        <v>1520100</v>
      </c>
      <c r="D6" s="8">
        <f>ROUND($C6*0.2,2)</f>
        <v>304020</v>
      </c>
      <c r="E6" s="8">
        <f>ROUND($C6+$D6-$B6,2)</f>
        <v>1797720</v>
      </c>
      <c r="F6" s="8">
        <f>ROUND($E6*0.75,2)</f>
        <v>1348290</v>
      </c>
      <c r="G6" s="8">
        <f>ROUND($E6*0.25,2)</f>
        <v>449430</v>
      </c>
    </row>
  </sheetData>
  <mergeCells count="2">
    <mergeCell ref="A2:F2"/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pane ySplit="4" topLeftCell="A5" activePane="bottomLeft" state="frozen"/>
      <selection pane="bottomLeft" sqref="A1:F1"/>
    </sheetView>
  </sheetViews>
  <sheetFormatPr baseColWidth="10" defaultColWidth="9.140625" defaultRowHeight="15" x14ac:dyDescent="0.25"/>
  <cols>
    <col min="1" max="1" width="12" customWidth="1"/>
    <col min="2" max="6" width="18" customWidth="1"/>
  </cols>
  <sheetData>
    <row r="1" spans="1:8" ht="21.95" customHeight="1" x14ac:dyDescent="0.3">
      <c r="A1" s="18" t="s">
        <v>61</v>
      </c>
      <c r="B1" s="15"/>
      <c r="C1" s="15"/>
      <c r="D1" s="15"/>
      <c r="E1" s="15"/>
      <c r="F1" s="15"/>
    </row>
    <row r="2" spans="1:8" ht="18" customHeight="1" x14ac:dyDescent="0.25">
      <c r="A2" s="17" t="s">
        <v>46</v>
      </c>
      <c r="B2" s="15"/>
      <c r="C2" s="15"/>
      <c r="D2" s="15"/>
      <c r="E2" s="15"/>
      <c r="F2" s="15"/>
    </row>
    <row r="3" spans="1:8" x14ac:dyDescent="0.25">
      <c r="A3" t="s">
        <v>47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</row>
    <row r="4" spans="1:8" ht="20.100000000000001" customHeight="1" x14ac:dyDescent="0.25">
      <c r="A4" s="7"/>
      <c r="B4" s="7"/>
      <c r="C4" s="7"/>
      <c r="D4" s="7"/>
      <c r="E4" s="7"/>
      <c r="F4" s="7"/>
      <c r="G4" s="7"/>
      <c r="H4" s="7"/>
    </row>
    <row r="5" spans="1:8" ht="18" customHeight="1" x14ac:dyDescent="0.25">
      <c r="A5" s="8" t="s">
        <v>51</v>
      </c>
      <c r="B5" s="9">
        <v>19000</v>
      </c>
      <c r="C5" s="9">
        <v>2100</v>
      </c>
      <c r="D5" s="8">
        <f>ROUND(Ventas!$B5*0.02,2)</f>
        <v>27000</v>
      </c>
      <c r="E5" s="9">
        <v>1666.66</v>
      </c>
      <c r="F5" s="9">
        <v>2000</v>
      </c>
      <c r="G5" s="8">
        <f>$B5+$C5+$D5</f>
        <v>48100</v>
      </c>
      <c r="H5" s="8">
        <f>$E5+$F5</f>
        <v>3666.66</v>
      </c>
    </row>
    <row r="6" spans="1:8" ht="18" customHeight="1" x14ac:dyDescent="0.25">
      <c r="A6" s="8" t="s">
        <v>52</v>
      </c>
      <c r="B6" s="9">
        <v>18500</v>
      </c>
      <c r="C6" s="9">
        <v>2100</v>
      </c>
      <c r="D6" s="8">
        <f>ROUND(Ventas!$B6*0.02,2)</f>
        <v>33780</v>
      </c>
      <c r="E6" s="9">
        <v>1666.66</v>
      </c>
      <c r="F6" s="9">
        <v>2000</v>
      </c>
      <c r="G6" s="8">
        <f>$B6+$C6+$D6</f>
        <v>54380</v>
      </c>
      <c r="H6" s="8">
        <f>$E6+$F6</f>
        <v>3666.66</v>
      </c>
    </row>
  </sheetData>
  <mergeCells count="2">
    <mergeCell ref="A2:F2"/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workbookViewId="0">
      <pane ySplit="4" topLeftCell="A5" activePane="bottomLeft" state="frozen"/>
      <selection pane="bottomLeft" sqref="A1:F1"/>
    </sheetView>
  </sheetViews>
  <sheetFormatPr baseColWidth="10" defaultColWidth="9.140625" defaultRowHeight="15" x14ac:dyDescent="0.25"/>
  <cols>
    <col min="1" max="1" width="12" customWidth="1"/>
    <col min="2" max="6" width="18" customWidth="1"/>
  </cols>
  <sheetData>
    <row r="1" spans="1:12" ht="21.95" customHeight="1" x14ac:dyDescent="0.3">
      <c r="A1" s="18" t="s">
        <v>69</v>
      </c>
      <c r="B1" s="15"/>
      <c r="C1" s="15"/>
      <c r="D1" s="15"/>
      <c r="E1" s="15"/>
      <c r="F1" s="15"/>
    </row>
    <row r="2" spans="1:12" ht="18" customHeight="1" x14ac:dyDescent="0.25">
      <c r="A2" s="17" t="s">
        <v>46</v>
      </c>
      <c r="B2" s="15"/>
      <c r="C2" s="15"/>
      <c r="D2" s="15"/>
      <c r="E2" s="15"/>
      <c r="F2" s="15"/>
    </row>
    <row r="3" spans="1:12" x14ac:dyDescent="0.25">
      <c r="A3" t="s">
        <v>47</v>
      </c>
      <c r="B3" t="s">
        <v>48</v>
      </c>
      <c r="C3" t="s">
        <v>70</v>
      </c>
      <c r="D3" t="s">
        <v>35</v>
      </c>
      <c r="E3" t="s">
        <v>71</v>
      </c>
      <c r="F3" t="s">
        <v>38</v>
      </c>
      <c r="G3" t="s">
        <v>39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</row>
    <row r="4" spans="1:12" ht="20.100000000000001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8" customHeight="1" x14ac:dyDescent="0.25">
      <c r="A5" s="8" t="s">
        <v>51</v>
      </c>
      <c r="B5" s="8">
        <f>Ventas!$B5</f>
        <v>1350000</v>
      </c>
      <c r="C5" s="8">
        <f>-Compras_COGS!$C5</f>
        <v>-1215000</v>
      </c>
      <c r="D5" s="8">
        <f>$B5+$C5</f>
        <v>135000</v>
      </c>
      <c r="E5" s="8">
        <f>-Gastos_Operativos!$G5-Gastos_Operativos!$H5</f>
        <v>-51766.66</v>
      </c>
      <c r="F5" s="8">
        <f>$D5+$E5</f>
        <v>83233.34</v>
      </c>
      <c r="G5" s="8">
        <v>-3600</v>
      </c>
      <c r="H5" s="8">
        <f>$F5+$G5</f>
        <v>79633.34</v>
      </c>
      <c r="I5" s="8">
        <f>ROUND($H5*-0.05,2)</f>
        <v>-3981.67</v>
      </c>
      <c r="J5" s="8">
        <f>$H5+$I5</f>
        <v>75651.67</v>
      </c>
      <c r="K5" s="8">
        <f>ROUND($J5*-0.3,2)</f>
        <v>-22695.5</v>
      </c>
      <c r="L5" s="8">
        <f>$J5+$K5</f>
        <v>52956.17</v>
      </c>
    </row>
    <row r="6" spans="1:12" ht="18" customHeight="1" x14ac:dyDescent="0.25">
      <c r="A6" s="8" t="s">
        <v>52</v>
      </c>
      <c r="B6" s="8">
        <f>Ventas!$B6</f>
        <v>1689000</v>
      </c>
      <c r="C6" s="8">
        <f>-Compras_COGS!$C6</f>
        <v>-1520100</v>
      </c>
      <c r="D6" s="8">
        <f>$B6+$C6</f>
        <v>168900</v>
      </c>
      <c r="E6" s="8">
        <f>-Gastos_Operativos!$G6-Gastos_Operativos!$H6</f>
        <v>-58046.66</v>
      </c>
      <c r="F6" s="8">
        <f>$D6+$E6</f>
        <v>110853.34</v>
      </c>
      <c r="G6" s="8">
        <v>0</v>
      </c>
      <c r="H6" s="8">
        <f>$F6+$G6</f>
        <v>110853.34</v>
      </c>
      <c r="I6" s="8">
        <f>ROUND($H6*-0.05,2)</f>
        <v>-5542.67</v>
      </c>
      <c r="J6" s="8">
        <f>$H6+$I6</f>
        <v>105310.67</v>
      </c>
      <c r="K6" s="8">
        <f>ROUND($J6*-0.3,2)</f>
        <v>-31593.200000000001</v>
      </c>
      <c r="L6" s="8">
        <f>$J6+$K6</f>
        <v>73717.47</v>
      </c>
    </row>
  </sheetData>
  <mergeCells count="2">
    <mergeCell ref="A2:F2"/>
    <mergeCell ref="A1:F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pane ySplit="4" topLeftCell="A5" activePane="bottomLeft" state="frozen"/>
      <selection pane="bottomLeft" activeCell="E18" sqref="E18"/>
    </sheetView>
  </sheetViews>
  <sheetFormatPr baseColWidth="10" defaultColWidth="9.140625" defaultRowHeight="15" x14ac:dyDescent="0.25"/>
  <cols>
    <col min="1" max="1" width="12" customWidth="1"/>
    <col min="2" max="6" width="18" customWidth="1"/>
  </cols>
  <sheetData>
    <row r="1" spans="1:6" ht="21.95" customHeight="1" x14ac:dyDescent="0.3">
      <c r="A1" s="18" t="s">
        <v>77</v>
      </c>
      <c r="B1" s="15"/>
      <c r="C1" s="15"/>
      <c r="D1" s="15"/>
      <c r="E1" s="15"/>
      <c r="F1" s="15"/>
    </row>
    <row r="2" spans="1:6" ht="18" customHeight="1" x14ac:dyDescent="0.25">
      <c r="A2" s="17" t="s">
        <v>46</v>
      </c>
      <c r="B2" s="15"/>
      <c r="C2" s="15"/>
      <c r="D2" s="15"/>
      <c r="E2" s="15"/>
      <c r="F2" s="15"/>
    </row>
    <row r="3" spans="1:6" x14ac:dyDescent="0.25">
      <c r="A3" t="s">
        <v>47</v>
      </c>
      <c r="B3" t="s">
        <v>78</v>
      </c>
      <c r="C3" t="s">
        <v>79</v>
      </c>
      <c r="D3" t="s">
        <v>80</v>
      </c>
      <c r="E3" t="s">
        <v>81</v>
      </c>
    </row>
    <row r="4" spans="1:6" ht="20.100000000000001" customHeight="1" x14ac:dyDescent="0.25">
      <c r="A4" s="7"/>
      <c r="B4" s="7"/>
      <c r="C4" s="7"/>
      <c r="D4" s="7"/>
      <c r="E4" s="7"/>
      <c r="F4" s="7"/>
    </row>
    <row r="5" spans="1:6" ht="18" customHeight="1" x14ac:dyDescent="0.25">
      <c r="A5" s="8" t="s">
        <v>51</v>
      </c>
      <c r="B5" s="8">
        <v>65347</v>
      </c>
      <c r="C5" s="8">
        <f>Ventas!$C5</f>
        <v>918000</v>
      </c>
      <c r="D5" s="8">
        <f>Compras_COGS!$F5+Gastos_Operativos!$G5+Ratios_Decisiones!$B$10</f>
        <v>1121800</v>
      </c>
      <c r="E5" s="8">
        <f>$B5+$C5-$D5</f>
        <v>-138453</v>
      </c>
      <c r="F5" s="8"/>
    </row>
    <row r="6" spans="1:6" ht="18" customHeight="1" x14ac:dyDescent="0.25">
      <c r="A6" s="8" t="s">
        <v>52</v>
      </c>
      <c r="B6" s="8">
        <f>E5</f>
        <v>-138453</v>
      </c>
      <c r="C6" s="8">
        <f>Ventas!$C6+Ventas!$D5</f>
        <v>1580520</v>
      </c>
      <c r="D6" s="8">
        <f>Compras_COGS!$F6+Gastos_Operativos!$G6</f>
        <v>1402670</v>
      </c>
      <c r="E6" s="8">
        <f>$B6+$C6-$D6</f>
        <v>39397</v>
      </c>
      <c r="F6" s="8"/>
    </row>
  </sheetData>
  <mergeCells count="2">
    <mergeCell ref="A2:F2"/>
    <mergeCell ref="A1:F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pane ySplit="4" topLeftCell="A5" activePane="bottomLeft" state="frozen"/>
      <selection pane="bottomLeft" activeCell="C20" sqref="C20"/>
    </sheetView>
  </sheetViews>
  <sheetFormatPr baseColWidth="10" defaultColWidth="9.140625" defaultRowHeight="15" x14ac:dyDescent="0.25"/>
  <cols>
    <col min="1" max="1" width="19.7109375" customWidth="1"/>
    <col min="2" max="6" width="18" customWidth="1"/>
  </cols>
  <sheetData>
    <row r="1" spans="1:6" ht="21.95" customHeight="1" x14ac:dyDescent="0.3">
      <c r="A1" s="18" t="s">
        <v>82</v>
      </c>
      <c r="B1" s="15"/>
      <c r="C1" s="15"/>
      <c r="D1" s="15"/>
      <c r="E1" s="15"/>
      <c r="F1" s="15"/>
    </row>
    <row r="2" spans="1:6" ht="18" customHeight="1" x14ac:dyDescent="0.25">
      <c r="A2" s="17" t="s">
        <v>83</v>
      </c>
      <c r="B2" s="15"/>
      <c r="C2" s="15"/>
      <c r="D2" s="15"/>
      <c r="E2" s="15"/>
      <c r="F2" s="15"/>
    </row>
    <row r="3" spans="1:6" x14ac:dyDescent="0.25">
      <c r="A3" t="s">
        <v>84</v>
      </c>
      <c r="B3" t="s">
        <v>85</v>
      </c>
    </row>
    <row r="4" spans="1:6" ht="20.100000000000001" customHeight="1" x14ac:dyDescent="0.25">
      <c r="A4" s="7"/>
      <c r="B4" s="7"/>
      <c r="C4" s="7"/>
      <c r="D4" s="7"/>
      <c r="E4" s="7"/>
      <c r="F4" s="7"/>
    </row>
    <row r="5" spans="1:6" ht="18" customHeight="1" x14ac:dyDescent="0.25">
      <c r="A5" s="8" t="s">
        <v>86</v>
      </c>
      <c r="B5" s="19">
        <f>Flujo_Caja_Proj!$E6</f>
        <v>39397</v>
      </c>
      <c r="C5" s="8"/>
      <c r="D5" s="8"/>
      <c r="E5" s="8"/>
      <c r="F5" s="8"/>
    </row>
    <row r="6" spans="1:6" ht="18" customHeight="1" x14ac:dyDescent="0.25">
      <c r="A6" s="8" t="s">
        <v>87</v>
      </c>
      <c r="B6" s="19">
        <f>Ventas!$D6</f>
        <v>540480</v>
      </c>
      <c r="C6" s="8"/>
      <c r="D6" s="8"/>
      <c r="E6" s="8"/>
      <c r="F6" s="8"/>
    </row>
    <row r="7" spans="1:6" ht="18" customHeight="1" x14ac:dyDescent="0.25">
      <c r="A7" s="8" t="s">
        <v>88</v>
      </c>
      <c r="B7" s="19">
        <f>Compras_COGS!$D6</f>
        <v>304020</v>
      </c>
      <c r="C7" s="8"/>
      <c r="D7" s="8"/>
      <c r="E7" s="8"/>
      <c r="F7" s="8"/>
    </row>
    <row r="8" spans="1:6" ht="18" customHeight="1" x14ac:dyDescent="0.25">
      <c r="A8" s="8" t="s">
        <v>89</v>
      </c>
      <c r="B8" s="19">
        <v>-1156.05</v>
      </c>
      <c r="C8" s="8"/>
      <c r="D8" s="8"/>
      <c r="E8" s="8"/>
      <c r="F8" s="8"/>
    </row>
    <row r="9" spans="1:6" ht="18" customHeight="1" x14ac:dyDescent="0.25">
      <c r="A9" s="8" t="s">
        <v>90</v>
      </c>
      <c r="B9" s="19">
        <v>974923.97000000009</v>
      </c>
      <c r="C9" s="8"/>
      <c r="D9" s="8"/>
      <c r="E9" s="8"/>
      <c r="F9" s="8"/>
    </row>
    <row r="10" spans="1:6" ht="18" customHeight="1" x14ac:dyDescent="0.25">
      <c r="A10" s="8" t="s">
        <v>91</v>
      </c>
      <c r="B10" s="20">
        <f>Estado_Resultados_Proj!$L5+Estado_Resultados_Proj!$L6</f>
        <v>126673.64</v>
      </c>
      <c r="C10" s="8"/>
      <c r="D10" s="8"/>
      <c r="E10" s="8"/>
      <c r="F10" s="8"/>
    </row>
    <row r="11" spans="1:6" ht="18" customHeight="1" x14ac:dyDescent="0.25">
      <c r="A11" s="8" t="s">
        <v>92</v>
      </c>
      <c r="B11" s="20">
        <f>SUM(B5:B9)</f>
        <v>1857664.92</v>
      </c>
      <c r="C11" s="8"/>
      <c r="D11" s="8"/>
      <c r="E11" s="8"/>
      <c r="F11" s="8"/>
    </row>
    <row r="12" spans="1:6" ht="18" customHeight="1" x14ac:dyDescent="0.25">
      <c r="A12" s="8" t="s">
        <v>93</v>
      </c>
      <c r="B12" s="19">
        <v>86371.343999999983</v>
      </c>
      <c r="C12" s="8"/>
      <c r="D12" s="8"/>
      <c r="E12" s="8"/>
      <c r="F12" s="8"/>
    </row>
    <row r="13" spans="1:6" ht="18" customHeight="1" x14ac:dyDescent="0.25">
      <c r="A13" s="8" t="s">
        <v>20</v>
      </c>
      <c r="B13" s="20"/>
      <c r="C13" s="8"/>
      <c r="D13" s="8"/>
      <c r="E13" s="8"/>
      <c r="F13" s="8"/>
    </row>
  </sheetData>
  <mergeCells count="2"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Caratula</vt:lpstr>
      <vt:lpstr>Situación Financiera</vt:lpstr>
      <vt:lpstr>Resultados Integrales</vt:lpstr>
      <vt:lpstr>Ventas</vt:lpstr>
      <vt:lpstr>Compras_COGS</vt:lpstr>
      <vt:lpstr>Gastos_Operativos</vt:lpstr>
      <vt:lpstr>Estado_Resultados_Proj</vt:lpstr>
      <vt:lpstr>Flujo_Caja_Proj</vt:lpstr>
      <vt:lpstr>Balance_31-03-2015</vt:lpstr>
      <vt:lpstr>Ratios_Decisiones</vt:lpstr>
      <vt:lpstr>Decisiones_Clave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Gonzales</cp:lastModifiedBy>
  <dcterms:created xsi:type="dcterms:W3CDTF">2025-07-16T03:23:21Z</dcterms:created>
  <dcterms:modified xsi:type="dcterms:W3CDTF">2025-07-16T03:30:48Z</dcterms:modified>
</cp:coreProperties>
</file>